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https://d.docs.live.net/130fda80f0432a83/TravelMarketViz/wit/web_region_bar_MENA/"/>
    </mc:Choice>
  </mc:AlternateContent>
  <xr:revisionPtr revIDLastSave="3" documentId="13_ncr:1_{B50101F6-161F-1741-AA56-1575861400A0}" xr6:coauthVersionLast="47" xr6:coauthVersionMax="47" xr10:uidLastSave="{58E03C57-CDE0-4849-9013-ACD9054B6571}"/>
  <bookViews>
    <workbookView xWindow="1060" yWindow="760" windowWidth="27740" windowHeight="17500" xr2:uid="{00000000-000D-0000-FFFF-FFFF00000000}"/>
  </bookViews>
  <sheets>
    <sheet name="Visualization Data" sheetId="1" r:id="rId1"/>
    <sheet name="Data pivot" sheetId="2" r:id="rId2"/>
    <sheet name="Raw GDP data" sheetId="3" r:id="rId3"/>
    <sheet name="Backfilled Data" sheetId="4" r:id="rId4"/>
    <sheet name="Raw PhocalPoint Data" sheetId="5" r:id="rId5"/>
    <sheet name="New Backfilled Data" sheetId="6" r:id="rId6"/>
  </sheets>
  <definedNames>
    <definedName name="_xlnm._FilterDatabase" localSheetId="3" hidden="1">'Backfilled Data'!$A$1:$H$2794</definedName>
    <definedName name="_xlnm._FilterDatabase" localSheetId="5" hidden="1">'New Backfilled Data'!$A$1:$K$2793</definedName>
    <definedName name="_xlnm._FilterDatabase" localSheetId="4" hidden="1">'Raw PhocalPoint Data'!$A$1:$H$2310</definedName>
    <definedName name="_xlnm._FilterDatabase" localSheetId="0" hidden="1">'Visualization Data'!$A$1:$F$921</definedName>
  </definedNames>
  <calcPr calcId="191029"/>
  <pivotCaches>
    <pivotCache cacheId="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I1+6j/BdnWvtbvUmi1jYFarJ2M6XG1A7oHlQ/VBp88k="/>
    </ext>
  </extLst>
</workbook>
</file>

<file path=xl/calcChain.xml><?xml version="1.0" encoding="utf-8"?>
<calcChain xmlns="http://schemas.openxmlformats.org/spreadsheetml/2006/main">
  <c r="J921" i="6" l="1"/>
  <c r="I921" i="6"/>
  <c r="J920" i="6"/>
  <c r="I920" i="6"/>
  <c r="J919" i="6"/>
  <c r="I919" i="6"/>
  <c r="J918" i="6"/>
  <c r="I918" i="6"/>
  <c r="J917" i="6"/>
  <c r="I917" i="6"/>
  <c r="J916" i="6"/>
  <c r="I916" i="6"/>
  <c r="J915" i="6"/>
  <c r="I915" i="6"/>
  <c r="J914" i="6"/>
  <c r="I914" i="6"/>
  <c r="J913" i="6"/>
  <c r="I913" i="6"/>
  <c r="J912" i="6"/>
  <c r="I912" i="6"/>
  <c r="J911" i="6"/>
  <c r="I911" i="6"/>
  <c r="J910" i="6"/>
  <c r="I910" i="6"/>
  <c r="J909" i="6"/>
  <c r="I909" i="6"/>
  <c r="J908" i="6"/>
  <c r="I908" i="6"/>
  <c r="J907" i="6"/>
  <c r="I907" i="6"/>
  <c r="J906" i="6"/>
  <c r="I906" i="6"/>
  <c r="J905" i="6"/>
  <c r="I905" i="6"/>
  <c r="J904" i="6"/>
  <c r="I904" i="6"/>
  <c r="J903" i="6"/>
  <c r="I903" i="6"/>
  <c r="J902" i="6"/>
  <c r="I902" i="6"/>
  <c r="J901" i="6"/>
  <c r="I901" i="6"/>
  <c r="J900" i="6"/>
  <c r="I900" i="6"/>
  <c r="J899" i="6"/>
  <c r="I899" i="6"/>
  <c r="J898" i="6"/>
  <c r="I898" i="6"/>
  <c r="J897" i="6"/>
  <c r="I897" i="6"/>
  <c r="J896" i="6"/>
  <c r="I896" i="6"/>
  <c r="J895" i="6"/>
  <c r="I895" i="6"/>
  <c r="J894" i="6"/>
  <c r="I894" i="6"/>
  <c r="J893" i="6"/>
  <c r="I893" i="6"/>
  <c r="J892" i="6"/>
  <c r="I892" i="6"/>
  <c r="J891" i="6"/>
  <c r="I891" i="6"/>
  <c r="J890" i="6"/>
  <c r="I890" i="6"/>
  <c r="J889" i="6"/>
  <c r="I889" i="6"/>
  <c r="J888" i="6"/>
  <c r="I888" i="6"/>
  <c r="J887" i="6"/>
  <c r="I887" i="6"/>
  <c r="J886" i="6"/>
  <c r="I886" i="6"/>
  <c r="J885" i="6"/>
  <c r="I885" i="6"/>
  <c r="J884" i="6"/>
  <c r="I884" i="6"/>
  <c r="J883" i="6"/>
  <c r="I883" i="6"/>
  <c r="J882" i="6"/>
  <c r="I882" i="6"/>
  <c r="J881" i="6"/>
  <c r="I881" i="6"/>
  <c r="J880" i="6"/>
  <c r="I880" i="6"/>
  <c r="J879" i="6"/>
  <c r="I879" i="6"/>
  <c r="J878" i="6"/>
  <c r="I878" i="6"/>
  <c r="J877" i="6"/>
  <c r="I877" i="6"/>
  <c r="J876" i="6"/>
  <c r="I876" i="6"/>
  <c r="J875" i="6"/>
  <c r="I875" i="6"/>
  <c r="J874" i="6"/>
  <c r="I874" i="6"/>
  <c r="J873" i="6"/>
  <c r="I873" i="6"/>
  <c r="J872" i="6"/>
  <c r="I872" i="6"/>
  <c r="J871" i="6"/>
  <c r="I871" i="6"/>
  <c r="J870" i="6"/>
  <c r="I870" i="6"/>
  <c r="J869" i="6"/>
  <c r="I869" i="6"/>
  <c r="J868" i="6"/>
  <c r="I868" i="6"/>
  <c r="J867" i="6"/>
  <c r="I867" i="6"/>
  <c r="J866" i="6"/>
  <c r="I866" i="6"/>
  <c r="J865" i="6"/>
  <c r="I865" i="6"/>
  <c r="J864" i="6"/>
  <c r="I864" i="6"/>
  <c r="J863" i="6"/>
  <c r="I863" i="6"/>
  <c r="J862" i="6"/>
  <c r="I862" i="6"/>
  <c r="J861" i="6"/>
  <c r="I861" i="6"/>
  <c r="J860" i="6"/>
  <c r="I860" i="6"/>
  <c r="J859" i="6"/>
  <c r="I859" i="6"/>
  <c r="J858" i="6"/>
  <c r="I858" i="6"/>
  <c r="J857" i="6"/>
  <c r="I857" i="6"/>
  <c r="J856" i="6"/>
  <c r="I856" i="6"/>
  <c r="J855" i="6"/>
  <c r="I855" i="6"/>
  <c r="J854" i="6"/>
  <c r="I854" i="6"/>
  <c r="J853" i="6"/>
  <c r="I853" i="6"/>
  <c r="J852" i="6"/>
  <c r="I852" i="6"/>
  <c r="J851" i="6"/>
  <c r="I851" i="6"/>
  <c r="J850" i="6"/>
  <c r="I850" i="6"/>
  <c r="J849" i="6"/>
  <c r="I849" i="6"/>
  <c r="J848" i="6"/>
  <c r="I848" i="6"/>
  <c r="J847" i="6"/>
  <c r="I847" i="6"/>
  <c r="J846" i="6"/>
  <c r="I846" i="6"/>
  <c r="J845" i="6"/>
  <c r="I845" i="6"/>
  <c r="J844" i="6"/>
  <c r="I844" i="6"/>
  <c r="J843" i="6"/>
  <c r="I843" i="6"/>
  <c r="J842" i="6"/>
  <c r="I842" i="6"/>
  <c r="J841" i="6"/>
  <c r="I841" i="6"/>
  <c r="J840" i="6"/>
  <c r="I840" i="6"/>
  <c r="J839" i="6"/>
  <c r="I839" i="6"/>
  <c r="J838" i="6"/>
  <c r="I838" i="6"/>
  <c r="J837" i="6"/>
  <c r="I837" i="6"/>
  <c r="J836" i="6"/>
  <c r="I836" i="6"/>
  <c r="J835" i="6"/>
  <c r="I835" i="6"/>
  <c r="J834" i="6"/>
  <c r="I834" i="6"/>
  <c r="J833" i="6"/>
  <c r="I833" i="6"/>
  <c r="J832" i="6"/>
  <c r="I832" i="6"/>
  <c r="J831" i="6"/>
  <c r="I831" i="6"/>
  <c r="J830" i="6"/>
  <c r="I830" i="6"/>
  <c r="J829" i="6"/>
  <c r="I829" i="6"/>
  <c r="J828" i="6"/>
  <c r="I828" i="6"/>
  <c r="J827" i="6"/>
  <c r="I827" i="6"/>
  <c r="J826" i="6"/>
  <c r="I826" i="6"/>
  <c r="J825" i="6"/>
  <c r="I825" i="6"/>
  <c r="J824" i="6"/>
  <c r="I824" i="6"/>
  <c r="J823" i="6"/>
  <c r="I823" i="6"/>
  <c r="J822" i="6"/>
  <c r="I822" i="6"/>
  <c r="J821" i="6"/>
  <c r="I821" i="6"/>
  <c r="J820" i="6"/>
  <c r="I820" i="6"/>
  <c r="J819" i="6"/>
  <c r="I819" i="6"/>
  <c r="J818" i="6"/>
  <c r="I818" i="6"/>
  <c r="J817" i="6"/>
  <c r="I817" i="6"/>
  <c r="J816" i="6"/>
  <c r="I816" i="6"/>
  <c r="J815" i="6"/>
  <c r="I815" i="6"/>
  <c r="J814" i="6"/>
  <c r="I814" i="6"/>
  <c r="J813" i="6"/>
  <c r="I813" i="6"/>
  <c r="J812" i="6"/>
  <c r="I812" i="6"/>
  <c r="J811" i="6"/>
  <c r="I811" i="6"/>
  <c r="J810" i="6"/>
  <c r="I810" i="6"/>
  <c r="J809" i="6"/>
  <c r="I809" i="6"/>
  <c r="J808" i="6"/>
  <c r="I808" i="6"/>
  <c r="J807" i="6"/>
  <c r="I807" i="6"/>
  <c r="J806" i="6"/>
  <c r="I806" i="6"/>
  <c r="J805" i="6"/>
  <c r="I805" i="6"/>
  <c r="J804" i="6"/>
  <c r="I804" i="6"/>
  <c r="J803" i="6"/>
  <c r="I803" i="6"/>
  <c r="J802" i="6"/>
  <c r="I802" i="6"/>
  <c r="J801" i="6"/>
  <c r="I801" i="6"/>
  <c r="J800" i="6"/>
  <c r="I800" i="6"/>
  <c r="J799" i="6"/>
  <c r="I799" i="6"/>
  <c r="J798" i="6"/>
  <c r="I798" i="6"/>
  <c r="J797" i="6"/>
  <c r="I797" i="6"/>
  <c r="J796" i="6"/>
  <c r="I796" i="6"/>
  <c r="J795" i="6"/>
  <c r="I795" i="6"/>
  <c r="J794" i="6"/>
  <c r="I794" i="6"/>
  <c r="J793" i="6"/>
  <c r="I793" i="6"/>
  <c r="J792" i="6"/>
  <c r="I792" i="6"/>
  <c r="J791" i="6"/>
  <c r="I791" i="6"/>
  <c r="J790" i="6"/>
  <c r="I790" i="6"/>
  <c r="J789" i="6"/>
  <c r="I789" i="6"/>
  <c r="J788" i="6"/>
  <c r="I788" i="6"/>
  <c r="J787" i="6"/>
  <c r="I787" i="6"/>
  <c r="J786" i="6"/>
  <c r="I786" i="6"/>
  <c r="J785" i="6"/>
  <c r="I785" i="6"/>
  <c r="J784" i="6"/>
  <c r="I784" i="6"/>
  <c r="J783" i="6"/>
  <c r="I783" i="6"/>
  <c r="J782" i="6"/>
  <c r="I782" i="6"/>
  <c r="J781" i="6"/>
  <c r="I781" i="6"/>
  <c r="J780" i="6"/>
  <c r="I780" i="6"/>
  <c r="J779" i="6"/>
  <c r="I779" i="6"/>
  <c r="J778" i="6"/>
  <c r="I778" i="6"/>
  <c r="J777" i="6"/>
  <c r="I777" i="6"/>
  <c r="J776" i="6"/>
  <c r="I776" i="6"/>
  <c r="J775" i="6"/>
  <c r="I775" i="6"/>
  <c r="J774" i="6"/>
  <c r="I774" i="6"/>
  <c r="J773" i="6"/>
  <c r="I773" i="6"/>
  <c r="J772" i="6"/>
  <c r="I772" i="6"/>
  <c r="J771" i="6"/>
  <c r="I771" i="6"/>
  <c r="J770" i="6"/>
  <c r="I770" i="6"/>
  <c r="J769" i="6"/>
  <c r="I769" i="6"/>
  <c r="J768" i="6"/>
  <c r="I768" i="6"/>
  <c r="J767" i="6"/>
  <c r="I767" i="6"/>
  <c r="J766" i="6"/>
  <c r="I766" i="6"/>
  <c r="J765" i="6"/>
  <c r="I765" i="6"/>
  <c r="J764" i="6"/>
  <c r="I764" i="6"/>
  <c r="J763" i="6"/>
  <c r="I763" i="6"/>
  <c r="J762" i="6"/>
  <c r="I762" i="6"/>
  <c r="J761" i="6"/>
  <c r="I761" i="6"/>
  <c r="J760" i="6"/>
  <c r="I760" i="6"/>
  <c r="J759" i="6"/>
  <c r="I759" i="6"/>
  <c r="J758" i="6"/>
  <c r="I758" i="6"/>
  <c r="J757" i="6"/>
  <c r="I757" i="6"/>
  <c r="J756" i="6"/>
  <c r="I756" i="6"/>
  <c r="J755" i="6"/>
  <c r="I755" i="6"/>
  <c r="J754" i="6"/>
  <c r="I754" i="6"/>
  <c r="J753" i="6"/>
  <c r="I753" i="6"/>
  <c r="J752" i="6"/>
  <c r="I752" i="6"/>
  <c r="J751" i="6"/>
  <c r="I751" i="6"/>
  <c r="J750" i="6"/>
  <c r="I750" i="6"/>
  <c r="J749" i="6"/>
  <c r="I749" i="6"/>
  <c r="J748" i="6"/>
  <c r="I748" i="6"/>
  <c r="J747" i="6"/>
  <c r="I747" i="6"/>
  <c r="J746" i="6"/>
  <c r="I746" i="6"/>
  <c r="J745" i="6"/>
  <c r="I745" i="6"/>
  <c r="J744" i="6"/>
  <c r="I744" i="6"/>
  <c r="J743" i="6"/>
  <c r="I743" i="6"/>
  <c r="J742" i="6"/>
  <c r="I742" i="6"/>
  <c r="J741" i="6"/>
  <c r="I741" i="6"/>
  <c r="J740" i="6"/>
  <c r="I740" i="6"/>
  <c r="J739" i="6"/>
  <c r="I739" i="6"/>
  <c r="J738" i="6"/>
  <c r="I738" i="6"/>
  <c r="J737" i="6"/>
  <c r="I737" i="6"/>
  <c r="J736" i="6"/>
  <c r="I736" i="6"/>
  <c r="J735" i="6"/>
  <c r="I735" i="6"/>
  <c r="J734" i="6"/>
  <c r="I734" i="6"/>
  <c r="J733" i="6"/>
  <c r="I733" i="6"/>
  <c r="J732" i="6"/>
  <c r="I732" i="6"/>
  <c r="J731" i="6"/>
  <c r="I731" i="6"/>
  <c r="J730" i="6"/>
  <c r="I730" i="6"/>
  <c r="J729" i="6"/>
  <c r="I729" i="6"/>
  <c r="J728" i="6"/>
  <c r="I728" i="6"/>
  <c r="J727" i="6"/>
  <c r="I727" i="6"/>
  <c r="J726" i="6"/>
  <c r="I726" i="6"/>
  <c r="J725" i="6"/>
  <c r="I725" i="6"/>
  <c r="J724" i="6"/>
  <c r="I724" i="6"/>
  <c r="J723" i="6"/>
  <c r="I723" i="6"/>
  <c r="J722" i="6"/>
  <c r="I722" i="6"/>
  <c r="J721" i="6"/>
  <c r="I721" i="6"/>
  <c r="J720" i="6"/>
  <c r="I720" i="6"/>
  <c r="J719" i="6"/>
  <c r="I719" i="6"/>
  <c r="J718" i="6"/>
  <c r="I718" i="6"/>
  <c r="J717" i="6"/>
  <c r="I717" i="6"/>
  <c r="J716" i="6"/>
  <c r="I716" i="6"/>
  <c r="J715" i="6"/>
  <c r="I715" i="6"/>
  <c r="J714" i="6"/>
  <c r="I714" i="6"/>
  <c r="J713" i="6"/>
  <c r="I713" i="6"/>
  <c r="J712" i="6"/>
  <c r="I712" i="6"/>
  <c r="J711" i="6"/>
  <c r="I711" i="6"/>
  <c r="J710" i="6"/>
  <c r="I710" i="6"/>
  <c r="J709" i="6"/>
  <c r="I709" i="6"/>
  <c r="J708" i="6"/>
  <c r="I708" i="6"/>
  <c r="J707" i="6"/>
  <c r="I707" i="6"/>
  <c r="J706" i="6"/>
  <c r="I706" i="6"/>
  <c r="J705" i="6"/>
  <c r="I705" i="6"/>
  <c r="J704" i="6"/>
  <c r="I704" i="6"/>
  <c r="J703" i="6"/>
  <c r="I703" i="6"/>
  <c r="J702" i="6"/>
  <c r="I702" i="6"/>
  <c r="J701" i="6"/>
  <c r="I701" i="6"/>
  <c r="J700" i="6"/>
  <c r="I700" i="6"/>
  <c r="J699" i="6"/>
  <c r="I699" i="6"/>
  <c r="J698" i="6"/>
  <c r="I698" i="6"/>
  <c r="J697" i="6"/>
  <c r="I697" i="6"/>
  <c r="J696" i="6"/>
  <c r="I696" i="6"/>
  <c r="J695" i="6"/>
  <c r="I695" i="6"/>
  <c r="J694" i="6"/>
  <c r="I694" i="6"/>
  <c r="J693" i="6"/>
  <c r="I693" i="6"/>
  <c r="J692" i="6"/>
  <c r="I692" i="6"/>
  <c r="J691" i="6"/>
  <c r="I691" i="6"/>
  <c r="J690" i="6"/>
  <c r="I690" i="6"/>
  <c r="J689" i="6"/>
  <c r="I689" i="6"/>
  <c r="J688" i="6"/>
  <c r="I688" i="6"/>
  <c r="J687" i="6"/>
  <c r="I687" i="6"/>
  <c r="J686" i="6"/>
  <c r="I686" i="6"/>
  <c r="J685" i="6"/>
  <c r="I685" i="6"/>
  <c r="J684" i="6"/>
  <c r="I684" i="6"/>
  <c r="J683" i="6"/>
  <c r="I683" i="6"/>
  <c r="J682" i="6"/>
  <c r="I682" i="6"/>
  <c r="J681" i="6"/>
  <c r="I681" i="6"/>
  <c r="J680" i="6"/>
  <c r="I680" i="6"/>
  <c r="J679" i="6"/>
  <c r="I679" i="6"/>
  <c r="J678" i="6"/>
  <c r="I678" i="6"/>
  <c r="J677" i="6"/>
  <c r="I677" i="6"/>
  <c r="J676" i="6"/>
  <c r="I676" i="6"/>
  <c r="J675" i="6"/>
  <c r="I675" i="6"/>
  <c r="J674" i="6"/>
  <c r="I674" i="6"/>
  <c r="J673" i="6"/>
  <c r="I673" i="6"/>
  <c r="J672" i="6"/>
  <c r="I672" i="6"/>
  <c r="J671" i="6"/>
  <c r="I671" i="6"/>
  <c r="J670" i="6"/>
  <c r="I670" i="6"/>
  <c r="J669" i="6"/>
  <c r="I669" i="6"/>
  <c r="J668" i="6"/>
  <c r="I668" i="6"/>
  <c r="J667" i="6"/>
  <c r="I667" i="6"/>
  <c r="J666" i="6"/>
  <c r="I666" i="6"/>
  <c r="J665" i="6"/>
  <c r="I665" i="6"/>
  <c r="J664" i="6"/>
  <c r="I664" i="6"/>
  <c r="J663" i="6"/>
  <c r="I663" i="6"/>
  <c r="J662" i="6"/>
  <c r="I662" i="6"/>
  <c r="J661" i="6"/>
  <c r="I661" i="6"/>
  <c r="J660" i="6"/>
  <c r="I660" i="6"/>
  <c r="J659" i="6"/>
  <c r="I659" i="6"/>
  <c r="J658" i="6"/>
  <c r="I658" i="6"/>
  <c r="J657" i="6"/>
  <c r="I657" i="6"/>
  <c r="J656" i="6"/>
  <c r="I656" i="6"/>
  <c r="J655" i="6"/>
  <c r="I655" i="6"/>
  <c r="J654" i="6"/>
  <c r="I654" i="6"/>
  <c r="J653" i="6"/>
  <c r="I653" i="6"/>
  <c r="J652" i="6"/>
  <c r="I652" i="6"/>
  <c r="J651" i="6"/>
  <c r="I651" i="6"/>
  <c r="J650" i="6"/>
  <c r="I650" i="6"/>
  <c r="J649" i="6"/>
  <c r="I649" i="6"/>
  <c r="J648" i="6"/>
  <c r="I648" i="6"/>
  <c r="J647" i="6"/>
  <c r="I647" i="6"/>
  <c r="J646" i="6"/>
  <c r="I646" i="6"/>
  <c r="J645" i="6"/>
  <c r="I645" i="6"/>
  <c r="J644" i="6"/>
  <c r="I644" i="6"/>
  <c r="J643" i="6"/>
  <c r="I643" i="6"/>
  <c r="J642" i="6"/>
  <c r="I642" i="6"/>
  <c r="J641" i="6"/>
  <c r="I641" i="6"/>
  <c r="J640" i="6"/>
  <c r="I640" i="6"/>
  <c r="J639" i="6"/>
  <c r="I639" i="6"/>
  <c r="J638" i="6"/>
  <c r="I638" i="6"/>
  <c r="J637" i="6"/>
  <c r="I637" i="6"/>
  <c r="J636" i="6"/>
  <c r="I636" i="6"/>
  <c r="J635" i="6"/>
  <c r="I635" i="6"/>
  <c r="J634" i="6"/>
  <c r="I634" i="6"/>
  <c r="J633" i="6"/>
  <c r="I633" i="6"/>
  <c r="J632" i="6"/>
  <c r="I632" i="6"/>
  <c r="J631" i="6"/>
  <c r="I631" i="6"/>
  <c r="J630" i="6"/>
  <c r="I630" i="6"/>
  <c r="J629" i="6"/>
  <c r="I629" i="6"/>
  <c r="J628" i="6"/>
  <c r="I628" i="6"/>
  <c r="J627" i="6"/>
  <c r="I627" i="6"/>
  <c r="J626" i="6"/>
  <c r="I626" i="6"/>
  <c r="J625" i="6"/>
  <c r="I625" i="6"/>
  <c r="J624" i="6"/>
  <c r="I624" i="6"/>
  <c r="J623" i="6"/>
  <c r="I623" i="6"/>
  <c r="J622" i="6"/>
  <c r="I622" i="6"/>
  <c r="J621" i="6"/>
  <c r="I621" i="6"/>
  <c r="J620" i="6"/>
  <c r="I620" i="6"/>
  <c r="J619" i="6"/>
  <c r="I619" i="6"/>
  <c r="J618" i="6"/>
  <c r="I618" i="6"/>
  <c r="J617" i="6"/>
  <c r="I617" i="6"/>
  <c r="J616" i="6"/>
  <c r="I616" i="6"/>
  <c r="J615" i="6"/>
  <c r="I615" i="6"/>
  <c r="J614" i="6"/>
  <c r="I614" i="6"/>
  <c r="J613" i="6"/>
  <c r="I613" i="6"/>
  <c r="J612" i="6"/>
  <c r="I612" i="6"/>
  <c r="J611" i="6"/>
  <c r="I611" i="6"/>
  <c r="J610" i="6"/>
  <c r="I610" i="6"/>
  <c r="J609" i="6"/>
  <c r="I609" i="6"/>
  <c r="J608" i="6"/>
  <c r="I608" i="6"/>
  <c r="J607" i="6"/>
  <c r="I607" i="6"/>
  <c r="J606" i="6"/>
  <c r="I606" i="6"/>
  <c r="J605" i="6"/>
  <c r="I605" i="6"/>
  <c r="J604" i="6"/>
  <c r="I604" i="6"/>
  <c r="J603" i="6"/>
  <c r="I603" i="6"/>
  <c r="J602" i="6"/>
  <c r="I602" i="6"/>
  <c r="J601" i="6"/>
  <c r="I601" i="6"/>
  <c r="J600" i="6"/>
  <c r="I600" i="6"/>
  <c r="J599" i="6"/>
  <c r="I599" i="6"/>
  <c r="J598" i="6"/>
  <c r="I598" i="6"/>
  <c r="J597" i="6"/>
  <c r="I597" i="6"/>
  <c r="J596" i="6"/>
  <c r="I596" i="6"/>
  <c r="J595" i="6"/>
  <c r="I595" i="6"/>
  <c r="J594" i="6"/>
  <c r="I594" i="6"/>
  <c r="J593" i="6"/>
  <c r="I593" i="6"/>
  <c r="J592" i="6"/>
  <c r="I592" i="6"/>
  <c r="J591" i="6"/>
  <c r="I591" i="6"/>
  <c r="J590" i="6"/>
  <c r="I590" i="6"/>
  <c r="J589" i="6"/>
  <c r="I589" i="6"/>
  <c r="J588" i="6"/>
  <c r="I588" i="6"/>
  <c r="J587" i="6"/>
  <c r="I587" i="6"/>
  <c r="J586" i="6"/>
  <c r="I586" i="6"/>
  <c r="J585" i="6"/>
  <c r="I585" i="6"/>
  <c r="J584" i="6"/>
  <c r="I584" i="6"/>
  <c r="J583" i="6"/>
  <c r="I583" i="6"/>
  <c r="J582" i="6"/>
  <c r="I582" i="6"/>
  <c r="J581" i="6"/>
  <c r="I581" i="6"/>
  <c r="J580" i="6"/>
  <c r="I580" i="6"/>
  <c r="J579" i="6"/>
  <c r="I579" i="6"/>
  <c r="J578" i="6"/>
  <c r="I578" i="6"/>
  <c r="J577" i="6"/>
  <c r="I577" i="6"/>
  <c r="J576" i="6"/>
  <c r="I576" i="6"/>
  <c r="J575" i="6"/>
  <c r="I575" i="6"/>
  <c r="J574" i="6"/>
  <c r="I574" i="6"/>
  <c r="J573" i="6"/>
  <c r="I573" i="6"/>
  <c r="J572" i="6"/>
  <c r="I572" i="6"/>
  <c r="J571" i="6"/>
  <c r="I571" i="6"/>
  <c r="J570" i="6"/>
  <c r="I570" i="6"/>
  <c r="J569" i="6"/>
  <c r="I569" i="6"/>
  <c r="J568" i="6"/>
  <c r="I568" i="6"/>
  <c r="J567" i="6"/>
  <c r="I567" i="6"/>
  <c r="J566" i="6"/>
  <c r="I566" i="6"/>
  <c r="J565" i="6"/>
  <c r="I565" i="6"/>
  <c r="J564" i="6"/>
  <c r="I564" i="6"/>
  <c r="J563" i="6"/>
  <c r="I563" i="6"/>
  <c r="J562" i="6"/>
  <c r="I562" i="6"/>
  <c r="J561" i="6"/>
  <c r="I561" i="6"/>
  <c r="J560" i="6"/>
  <c r="I560" i="6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J537" i="6"/>
  <c r="I537" i="6"/>
  <c r="J536" i="6"/>
  <c r="I536" i="6"/>
  <c r="J535" i="6"/>
  <c r="I535" i="6"/>
  <c r="J534" i="6"/>
  <c r="I534" i="6"/>
  <c r="J533" i="6"/>
  <c r="I533" i="6"/>
  <c r="J532" i="6"/>
  <c r="I532" i="6"/>
  <c r="J531" i="6"/>
  <c r="I531" i="6"/>
  <c r="J530" i="6"/>
  <c r="I530" i="6"/>
  <c r="J529" i="6"/>
  <c r="I529" i="6"/>
  <c r="J528" i="6"/>
  <c r="I528" i="6"/>
  <c r="J527" i="6"/>
  <c r="I527" i="6"/>
  <c r="J526" i="6"/>
  <c r="I526" i="6"/>
  <c r="J525" i="6"/>
  <c r="I525" i="6"/>
  <c r="J524" i="6"/>
  <c r="I524" i="6"/>
  <c r="J523" i="6"/>
  <c r="I523" i="6"/>
  <c r="J522" i="6"/>
  <c r="I522" i="6"/>
  <c r="J521" i="6"/>
  <c r="I521" i="6"/>
  <c r="J520" i="6"/>
  <c r="I520" i="6"/>
  <c r="J519" i="6"/>
  <c r="I519" i="6"/>
  <c r="J518" i="6"/>
  <c r="I518" i="6"/>
  <c r="J517" i="6"/>
  <c r="I517" i="6"/>
  <c r="J516" i="6"/>
  <c r="I516" i="6"/>
  <c r="J515" i="6"/>
  <c r="I515" i="6"/>
  <c r="J514" i="6"/>
  <c r="I514" i="6"/>
  <c r="J513" i="6"/>
  <c r="I513" i="6"/>
  <c r="J512" i="6"/>
  <c r="I512" i="6"/>
  <c r="J511" i="6"/>
  <c r="I511" i="6"/>
  <c r="J510" i="6"/>
  <c r="I510" i="6"/>
  <c r="J509" i="6"/>
  <c r="I509" i="6"/>
  <c r="J508" i="6"/>
  <c r="I508" i="6"/>
  <c r="J507" i="6"/>
  <c r="I507" i="6"/>
  <c r="J506" i="6"/>
  <c r="I506" i="6"/>
  <c r="J505" i="6"/>
  <c r="I505" i="6"/>
  <c r="J504" i="6"/>
  <c r="I504" i="6"/>
  <c r="J503" i="6"/>
  <c r="I503" i="6"/>
  <c r="J502" i="6"/>
  <c r="I502" i="6"/>
  <c r="J501" i="6"/>
  <c r="I501" i="6"/>
  <c r="J500" i="6"/>
  <c r="I500" i="6"/>
  <c r="J499" i="6"/>
  <c r="I499" i="6"/>
  <c r="J498" i="6"/>
  <c r="I498" i="6"/>
  <c r="J497" i="6"/>
  <c r="I497" i="6"/>
  <c r="J496" i="6"/>
  <c r="I496" i="6"/>
  <c r="J495" i="6"/>
  <c r="I495" i="6"/>
  <c r="J494" i="6"/>
  <c r="I494" i="6"/>
  <c r="J493" i="6"/>
  <c r="I493" i="6"/>
  <c r="J492" i="6"/>
  <c r="I492" i="6"/>
  <c r="J491" i="6"/>
  <c r="I491" i="6"/>
  <c r="J490" i="6"/>
  <c r="I490" i="6"/>
  <c r="J489" i="6"/>
  <c r="I489" i="6"/>
  <c r="J488" i="6"/>
  <c r="I488" i="6"/>
  <c r="J487" i="6"/>
  <c r="I487" i="6"/>
  <c r="J486" i="6"/>
  <c r="I486" i="6"/>
  <c r="J485" i="6"/>
  <c r="I485" i="6"/>
  <c r="J484" i="6"/>
  <c r="I484" i="6"/>
  <c r="G484" i="6"/>
  <c r="J483" i="6"/>
  <c r="I483" i="6"/>
  <c r="G483" i="6"/>
  <c r="J482" i="6"/>
  <c r="I482" i="6"/>
  <c r="G482" i="6"/>
  <c r="J481" i="6"/>
  <c r="I481" i="6"/>
  <c r="G481" i="6"/>
  <c r="J480" i="6"/>
  <c r="I480" i="6"/>
  <c r="G480" i="6"/>
  <c r="J479" i="6"/>
  <c r="I479" i="6"/>
  <c r="G479" i="6"/>
  <c r="J478" i="6"/>
  <c r="I478" i="6"/>
  <c r="G478" i="6"/>
  <c r="J477" i="6"/>
  <c r="I477" i="6"/>
  <c r="G477" i="6"/>
  <c r="J476" i="6"/>
  <c r="I476" i="6"/>
  <c r="G476" i="6"/>
  <c r="J475" i="6"/>
  <c r="I475" i="6"/>
  <c r="G475" i="6"/>
  <c r="J474" i="6"/>
  <c r="I474" i="6"/>
  <c r="G474" i="6"/>
  <c r="J473" i="6"/>
  <c r="I473" i="6"/>
  <c r="G473" i="6"/>
  <c r="J472" i="6"/>
  <c r="I472" i="6"/>
  <c r="G472" i="6"/>
  <c r="J471" i="6"/>
  <c r="I471" i="6"/>
  <c r="G471" i="6"/>
  <c r="J470" i="6"/>
  <c r="I470" i="6"/>
  <c r="G470" i="6"/>
  <c r="J469" i="6"/>
  <c r="I469" i="6"/>
  <c r="G469" i="6"/>
  <c r="J468" i="6"/>
  <c r="I468" i="6"/>
  <c r="G468" i="6"/>
  <c r="J467" i="6"/>
  <c r="I467" i="6"/>
  <c r="G467" i="6"/>
  <c r="J466" i="6"/>
  <c r="I466" i="6"/>
  <c r="G466" i="6"/>
  <c r="J465" i="6"/>
  <c r="I465" i="6"/>
  <c r="G465" i="6"/>
  <c r="J464" i="6"/>
  <c r="I464" i="6"/>
  <c r="G464" i="6"/>
  <c r="J463" i="6"/>
  <c r="I463" i="6"/>
  <c r="G463" i="6"/>
  <c r="J462" i="6"/>
  <c r="I462" i="6"/>
  <c r="G462" i="6"/>
  <c r="J461" i="6"/>
  <c r="I461" i="6"/>
  <c r="G461" i="6"/>
  <c r="J460" i="6"/>
  <c r="I460" i="6"/>
  <c r="G460" i="6"/>
  <c r="J459" i="6"/>
  <c r="I459" i="6"/>
  <c r="G459" i="6"/>
  <c r="J458" i="6"/>
  <c r="I458" i="6"/>
  <c r="G458" i="6"/>
  <c r="J457" i="6"/>
  <c r="I457" i="6"/>
  <c r="G457" i="6"/>
  <c r="J456" i="6"/>
  <c r="I456" i="6"/>
  <c r="G456" i="6"/>
  <c r="J455" i="6"/>
  <c r="I455" i="6"/>
  <c r="G455" i="6"/>
  <c r="J454" i="6"/>
  <c r="I454" i="6"/>
  <c r="G454" i="6"/>
  <c r="J453" i="6"/>
  <c r="I453" i="6"/>
  <c r="G453" i="6"/>
  <c r="J452" i="6"/>
  <c r="I452" i="6"/>
  <c r="G452" i="6"/>
  <c r="J451" i="6"/>
  <c r="I451" i="6"/>
  <c r="G451" i="6"/>
  <c r="J450" i="6"/>
  <c r="I450" i="6"/>
  <c r="G450" i="6"/>
  <c r="J449" i="6"/>
  <c r="I449" i="6"/>
  <c r="G449" i="6"/>
  <c r="J448" i="6"/>
  <c r="I448" i="6"/>
  <c r="G448" i="6"/>
  <c r="J447" i="6"/>
  <c r="I447" i="6"/>
  <c r="G447" i="6"/>
  <c r="J446" i="6"/>
  <c r="I446" i="6"/>
  <c r="G446" i="6"/>
  <c r="J445" i="6"/>
  <c r="I445" i="6"/>
  <c r="G445" i="6"/>
  <c r="J444" i="6"/>
  <c r="I444" i="6"/>
  <c r="G444" i="6"/>
  <c r="J443" i="6"/>
  <c r="I443" i="6"/>
  <c r="G443" i="6"/>
  <c r="J442" i="6"/>
  <c r="I442" i="6"/>
  <c r="G442" i="6"/>
  <c r="J441" i="6"/>
  <c r="I441" i="6"/>
  <c r="G441" i="6"/>
  <c r="J440" i="6"/>
  <c r="I440" i="6"/>
  <c r="G440" i="6"/>
  <c r="J439" i="6"/>
  <c r="I439" i="6"/>
  <c r="G439" i="6"/>
  <c r="J438" i="6"/>
  <c r="I438" i="6"/>
  <c r="G438" i="6"/>
  <c r="J437" i="6"/>
  <c r="I437" i="6"/>
  <c r="G437" i="6"/>
  <c r="J436" i="6"/>
  <c r="I436" i="6"/>
  <c r="G436" i="6"/>
  <c r="J435" i="6"/>
  <c r="I435" i="6"/>
  <c r="G435" i="6"/>
  <c r="J434" i="6"/>
  <c r="I434" i="6"/>
  <c r="G434" i="6"/>
  <c r="J433" i="6"/>
  <c r="I433" i="6"/>
  <c r="G433" i="6"/>
  <c r="J432" i="6"/>
  <c r="I432" i="6"/>
  <c r="G432" i="6"/>
  <c r="J431" i="6"/>
  <c r="I431" i="6"/>
  <c r="G431" i="6"/>
  <c r="J430" i="6"/>
  <c r="I430" i="6"/>
  <c r="G430" i="6"/>
  <c r="J429" i="6"/>
  <c r="I429" i="6"/>
  <c r="G429" i="6"/>
  <c r="J428" i="6"/>
  <c r="I428" i="6"/>
  <c r="G428" i="6"/>
  <c r="J427" i="6"/>
  <c r="I427" i="6"/>
  <c r="G427" i="6"/>
  <c r="J426" i="6"/>
  <c r="I426" i="6"/>
  <c r="G426" i="6"/>
  <c r="J425" i="6"/>
  <c r="I425" i="6"/>
  <c r="G425" i="6"/>
  <c r="J424" i="6"/>
  <c r="I424" i="6"/>
  <c r="G424" i="6"/>
  <c r="J423" i="6"/>
  <c r="I423" i="6"/>
  <c r="G423" i="6"/>
  <c r="J422" i="6"/>
  <c r="I422" i="6"/>
  <c r="G422" i="6"/>
  <c r="J421" i="6"/>
  <c r="I421" i="6"/>
  <c r="G421" i="6"/>
  <c r="J420" i="6"/>
  <c r="I420" i="6"/>
  <c r="G420" i="6"/>
  <c r="J419" i="6"/>
  <c r="I419" i="6"/>
  <c r="G419" i="6"/>
  <c r="J418" i="6"/>
  <c r="I418" i="6"/>
  <c r="G418" i="6"/>
  <c r="J417" i="6"/>
  <c r="I417" i="6"/>
  <c r="G417" i="6"/>
  <c r="J416" i="6"/>
  <c r="I416" i="6"/>
  <c r="G416" i="6"/>
  <c r="J415" i="6"/>
  <c r="I415" i="6"/>
  <c r="G415" i="6"/>
  <c r="J414" i="6"/>
  <c r="I414" i="6"/>
  <c r="G414" i="6"/>
  <c r="J413" i="6"/>
  <c r="I413" i="6"/>
  <c r="G413" i="6"/>
  <c r="J412" i="6"/>
  <c r="I412" i="6"/>
  <c r="G412" i="6"/>
  <c r="J411" i="6"/>
  <c r="I411" i="6"/>
  <c r="G411" i="6"/>
  <c r="J410" i="6"/>
  <c r="I410" i="6"/>
  <c r="G410" i="6"/>
  <c r="J409" i="6"/>
  <c r="I409" i="6"/>
  <c r="G409" i="6"/>
  <c r="J408" i="6"/>
  <c r="I408" i="6"/>
  <c r="G408" i="6"/>
  <c r="J407" i="6"/>
  <c r="I407" i="6"/>
  <c r="G407" i="6"/>
  <c r="J406" i="6"/>
  <c r="I406" i="6"/>
  <c r="G406" i="6"/>
  <c r="J405" i="6"/>
  <c r="I405" i="6"/>
  <c r="G405" i="6"/>
  <c r="J404" i="6"/>
  <c r="I404" i="6"/>
  <c r="G404" i="6"/>
  <c r="J403" i="6"/>
  <c r="I403" i="6"/>
  <c r="G403" i="6"/>
  <c r="J402" i="6"/>
  <c r="I402" i="6"/>
  <c r="G402" i="6"/>
  <c r="J401" i="6"/>
  <c r="I401" i="6"/>
  <c r="G401" i="6"/>
  <c r="J400" i="6"/>
  <c r="I400" i="6"/>
  <c r="G400" i="6"/>
  <c r="J399" i="6"/>
  <c r="I399" i="6"/>
  <c r="G399" i="6"/>
  <c r="J398" i="6"/>
  <c r="I398" i="6"/>
  <c r="G398" i="6"/>
  <c r="J397" i="6"/>
  <c r="I397" i="6"/>
  <c r="G397" i="6"/>
  <c r="J396" i="6"/>
  <c r="I396" i="6"/>
  <c r="G396" i="6"/>
  <c r="J395" i="6"/>
  <c r="I395" i="6"/>
  <c r="G395" i="6"/>
  <c r="J394" i="6"/>
  <c r="I394" i="6"/>
  <c r="G394" i="6"/>
  <c r="J393" i="6"/>
  <c r="I393" i="6"/>
  <c r="G393" i="6"/>
  <c r="J392" i="6"/>
  <c r="I392" i="6"/>
  <c r="G392" i="6"/>
  <c r="J391" i="6"/>
  <c r="I391" i="6"/>
  <c r="G391" i="6"/>
  <c r="J390" i="6"/>
  <c r="I390" i="6"/>
  <c r="G390" i="6"/>
  <c r="J389" i="6"/>
  <c r="I389" i="6"/>
  <c r="G389" i="6"/>
  <c r="J388" i="6"/>
  <c r="I388" i="6"/>
  <c r="G388" i="6"/>
  <c r="J387" i="6"/>
  <c r="I387" i="6"/>
  <c r="G387" i="6"/>
  <c r="J386" i="6"/>
  <c r="I386" i="6"/>
  <c r="G386" i="6"/>
  <c r="J385" i="6"/>
  <c r="I385" i="6"/>
  <c r="G385" i="6"/>
  <c r="J384" i="6"/>
  <c r="I384" i="6"/>
  <c r="G384" i="6"/>
  <c r="J383" i="6"/>
  <c r="I383" i="6"/>
  <c r="G383" i="6"/>
  <c r="J382" i="6"/>
  <c r="I382" i="6"/>
  <c r="G382" i="6"/>
  <c r="J381" i="6"/>
  <c r="I381" i="6"/>
  <c r="G381" i="6"/>
  <c r="J380" i="6"/>
  <c r="I380" i="6"/>
  <c r="G380" i="6"/>
  <c r="J379" i="6"/>
  <c r="I379" i="6"/>
  <c r="G379" i="6"/>
  <c r="J378" i="6"/>
  <c r="I378" i="6"/>
  <c r="G378" i="6"/>
  <c r="J377" i="6"/>
  <c r="I377" i="6"/>
  <c r="G377" i="6"/>
  <c r="J376" i="6"/>
  <c r="I376" i="6"/>
  <c r="G376" i="6"/>
  <c r="J375" i="6"/>
  <c r="I375" i="6"/>
  <c r="G375" i="6"/>
  <c r="J374" i="6"/>
  <c r="I374" i="6"/>
  <c r="G374" i="6"/>
  <c r="J373" i="6"/>
  <c r="I373" i="6"/>
  <c r="G373" i="6"/>
  <c r="J372" i="6"/>
  <c r="I372" i="6"/>
  <c r="G372" i="6"/>
  <c r="J371" i="6"/>
  <c r="I371" i="6"/>
  <c r="G371" i="6"/>
  <c r="J370" i="6"/>
  <c r="I370" i="6"/>
  <c r="G370" i="6"/>
  <c r="J369" i="6"/>
  <c r="I369" i="6"/>
  <c r="G369" i="6"/>
  <c r="J368" i="6"/>
  <c r="I368" i="6"/>
  <c r="G368" i="6"/>
  <c r="J367" i="6"/>
  <c r="I367" i="6"/>
  <c r="G367" i="6"/>
  <c r="J366" i="6"/>
  <c r="I366" i="6"/>
  <c r="G366" i="6"/>
  <c r="J365" i="6"/>
  <c r="I365" i="6"/>
  <c r="G365" i="6"/>
  <c r="J364" i="6"/>
  <c r="I364" i="6"/>
  <c r="G364" i="6"/>
  <c r="J363" i="6"/>
  <c r="I363" i="6"/>
  <c r="G363" i="6"/>
  <c r="J362" i="6"/>
  <c r="I362" i="6"/>
  <c r="G362" i="6"/>
  <c r="J361" i="6"/>
  <c r="I361" i="6"/>
  <c r="G361" i="6"/>
  <c r="J360" i="6"/>
  <c r="I360" i="6"/>
  <c r="G360" i="6"/>
  <c r="J359" i="6"/>
  <c r="I359" i="6"/>
  <c r="G359" i="6"/>
  <c r="J358" i="6"/>
  <c r="I358" i="6"/>
  <c r="G358" i="6"/>
  <c r="J357" i="6"/>
  <c r="I357" i="6"/>
  <c r="G357" i="6"/>
  <c r="J356" i="6"/>
  <c r="I356" i="6"/>
  <c r="G356" i="6"/>
  <c r="J355" i="6"/>
  <c r="I355" i="6"/>
  <c r="G355" i="6"/>
  <c r="J354" i="6"/>
  <c r="I354" i="6"/>
  <c r="G354" i="6"/>
  <c r="J353" i="6"/>
  <c r="I353" i="6"/>
  <c r="G353" i="6"/>
  <c r="J352" i="6"/>
  <c r="I352" i="6"/>
  <c r="G352" i="6"/>
  <c r="J351" i="6"/>
  <c r="I351" i="6"/>
  <c r="G351" i="6"/>
  <c r="J350" i="6"/>
  <c r="I350" i="6"/>
  <c r="G350" i="6"/>
  <c r="J349" i="6"/>
  <c r="I349" i="6"/>
  <c r="G349" i="6"/>
  <c r="J348" i="6"/>
  <c r="I348" i="6"/>
  <c r="G348" i="6"/>
  <c r="J347" i="6"/>
  <c r="I347" i="6"/>
  <c r="G347" i="6"/>
  <c r="J346" i="6"/>
  <c r="I346" i="6"/>
  <c r="G346" i="6"/>
  <c r="J345" i="6"/>
  <c r="I345" i="6"/>
  <c r="G345" i="6"/>
  <c r="J344" i="6"/>
  <c r="I344" i="6"/>
  <c r="G344" i="6"/>
  <c r="J343" i="6"/>
  <c r="I343" i="6"/>
  <c r="G343" i="6"/>
  <c r="J342" i="6"/>
  <c r="I342" i="6"/>
  <c r="G342" i="6"/>
  <c r="J341" i="6"/>
  <c r="I341" i="6"/>
  <c r="G341" i="6"/>
  <c r="J340" i="6"/>
  <c r="I340" i="6"/>
  <c r="G340" i="6"/>
  <c r="J339" i="6"/>
  <c r="I339" i="6"/>
  <c r="G339" i="6"/>
  <c r="J338" i="6"/>
  <c r="I338" i="6"/>
  <c r="G338" i="6"/>
  <c r="J337" i="6"/>
  <c r="I337" i="6"/>
  <c r="G337" i="6"/>
  <c r="J336" i="6"/>
  <c r="I336" i="6"/>
  <c r="G336" i="6"/>
  <c r="J335" i="6"/>
  <c r="I335" i="6"/>
  <c r="G335" i="6"/>
  <c r="J334" i="6"/>
  <c r="I334" i="6"/>
  <c r="G334" i="6"/>
  <c r="J333" i="6"/>
  <c r="I333" i="6"/>
  <c r="G333" i="6"/>
  <c r="J332" i="6"/>
  <c r="I332" i="6"/>
  <c r="G332" i="6"/>
  <c r="J331" i="6"/>
  <c r="I331" i="6"/>
  <c r="G331" i="6"/>
  <c r="J330" i="6"/>
  <c r="I330" i="6"/>
  <c r="G330" i="6"/>
  <c r="J329" i="6"/>
  <c r="I329" i="6"/>
  <c r="G329" i="6"/>
  <c r="J328" i="6"/>
  <c r="I328" i="6"/>
  <c r="G328" i="6"/>
  <c r="J327" i="6"/>
  <c r="I327" i="6"/>
  <c r="G327" i="6"/>
  <c r="J326" i="6"/>
  <c r="I326" i="6"/>
  <c r="G326" i="6"/>
  <c r="J325" i="6"/>
  <c r="I325" i="6"/>
  <c r="G325" i="6"/>
  <c r="J324" i="6"/>
  <c r="I324" i="6"/>
  <c r="G324" i="6"/>
  <c r="J323" i="6"/>
  <c r="I323" i="6"/>
  <c r="G323" i="6"/>
  <c r="J322" i="6"/>
  <c r="I322" i="6"/>
  <c r="G322" i="6"/>
  <c r="J321" i="6"/>
  <c r="I321" i="6"/>
  <c r="G321" i="6"/>
  <c r="J320" i="6"/>
  <c r="I320" i="6"/>
  <c r="G320" i="6"/>
  <c r="J319" i="6"/>
  <c r="I319" i="6"/>
  <c r="G319" i="6"/>
  <c r="J318" i="6"/>
  <c r="I318" i="6"/>
  <c r="G318" i="6"/>
  <c r="J317" i="6"/>
  <c r="I317" i="6"/>
  <c r="G317" i="6"/>
  <c r="J316" i="6"/>
  <c r="I316" i="6"/>
  <c r="G316" i="6"/>
  <c r="J315" i="6"/>
  <c r="I315" i="6"/>
  <c r="G315" i="6"/>
  <c r="J314" i="6"/>
  <c r="I314" i="6"/>
  <c r="G314" i="6"/>
  <c r="J313" i="6"/>
  <c r="I313" i="6"/>
  <c r="G313" i="6"/>
  <c r="J312" i="6"/>
  <c r="I312" i="6"/>
  <c r="G312" i="6"/>
  <c r="J311" i="6"/>
  <c r="I311" i="6"/>
  <c r="G311" i="6"/>
  <c r="J310" i="6"/>
  <c r="I310" i="6"/>
  <c r="G310" i="6"/>
  <c r="J309" i="6"/>
  <c r="I309" i="6"/>
  <c r="G309" i="6"/>
  <c r="J308" i="6"/>
  <c r="I308" i="6"/>
  <c r="G308" i="6"/>
  <c r="J307" i="6"/>
  <c r="I307" i="6"/>
  <c r="G307" i="6"/>
  <c r="J306" i="6"/>
  <c r="I306" i="6"/>
  <c r="G306" i="6"/>
  <c r="J305" i="6"/>
  <c r="I305" i="6"/>
  <c r="G305" i="6"/>
  <c r="J304" i="6"/>
  <c r="I304" i="6"/>
  <c r="G304" i="6"/>
  <c r="J303" i="6"/>
  <c r="I303" i="6"/>
  <c r="G303" i="6"/>
  <c r="J302" i="6"/>
  <c r="I302" i="6"/>
  <c r="G302" i="6"/>
  <c r="J301" i="6"/>
  <c r="I301" i="6"/>
  <c r="G301" i="6"/>
  <c r="J300" i="6"/>
  <c r="I300" i="6"/>
  <c r="G300" i="6"/>
  <c r="J299" i="6"/>
  <c r="I299" i="6"/>
  <c r="G299" i="6"/>
  <c r="J298" i="6"/>
  <c r="I298" i="6"/>
  <c r="G298" i="6"/>
  <c r="J297" i="6"/>
  <c r="I297" i="6"/>
  <c r="G297" i="6"/>
  <c r="J296" i="6"/>
  <c r="I296" i="6"/>
  <c r="G296" i="6"/>
  <c r="J295" i="6"/>
  <c r="I295" i="6"/>
  <c r="G295" i="6"/>
  <c r="J294" i="6"/>
  <c r="I294" i="6"/>
  <c r="G294" i="6"/>
  <c r="J293" i="6"/>
  <c r="I293" i="6"/>
  <c r="G293" i="6"/>
  <c r="J292" i="6"/>
  <c r="I292" i="6"/>
  <c r="G292" i="6"/>
  <c r="J291" i="6"/>
  <c r="I291" i="6"/>
  <c r="G291" i="6"/>
  <c r="J290" i="6"/>
  <c r="I290" i="6"/>
  <c r="G290" i="6"/>
  <c r="J289" i="6"/>
  <c r="I289" i="6"/>
  <c r="G289" i="6"/>
  <c r="J288" i="6"/>
  <c r="I288" i="6"/>
  <c r="G288" i="6"/>
  <c r="J287" i="6"/>
  <c r="I287" i="6"/>
  <c r="G287" i="6"/>
  <c r="J286" i="6"/>
  <c r="I286" i="6"/>
  <c r="G286" i="6"/>
  <c r="J285" i="6"/>
  <c r="I285" i="6"/>
  <c r="G285" i="6"/>
  <c r="J284" i="6"/>
  <c r="I284" i="6"/>
  <c r="G284" i="6"/>
  <c r="J283" i="6"/>
  <c r="I283" i="6"/>
  <c r="G283" i="6"/>
  <c r="J282" i="6"/>
  <c r="I282" i="6"/>
  <c r="G282" i="6"/>
  <c r="J281" i="6"/>
  <c r="I281" i="6"/>
  <c r="G281" i="6"/>
  <c r="J280" i="6"/>
  <c r="I280" i="6"/>
  <c r="G280" i="6"/>
  <c r="J279" i="6"/>
  <c r="I279" i="6"/>
  <c r="G279" i="6"/>
  <c r="J278" i="6"/>
  <c r="I278" i="6"/>
  <c r="G278" i="6"/>
  <c r="J277" i="6"/>
  <c r="I277" i="6"/>
  <c r="G277" i="6"/>
  <c r="J276" i="6"/>
  <c r="I276" i="6"/>
  <c r="G276" i="6"/>
  <c r="J275" i="6"/>
  <c r="I275" i="6"/>
  <c r="G275" i="6"/>
  <c r="J274" i="6"/>
  <c r="I274" i="6"/>
  <c r="G274" i="6"/>
  <c r="J273" i="6"/>
  <c r="I273" i="6"/>
  <c r="G273" i="6"/>
  <c r="J272" i="6"/>
  <c r="I272" i="6"/>
  <c r="G272" i="6"/>
  <c r="J271" i="6"/>
  <c r="I271" i="6"/>
  <c r="G271" i="6"/>
  <c r="J270" i="6"/>
  <c r="I270" i="6"/>
  <c r="G270" i="6"/>
  <c r="J269" i="6"/>
  <c r="I269" i="6"/>
  <c r="G269" i="6"/>
  <c r="J268" i="6"/>
  <c r="I268" i="6"/>
  <c r="G268" i="6"/>
  <c r="J267" i="6"/>
  <c r="I267" i="6"/>
  <c r="G267" i="6"/>
  <c r="J266" i="6"/>
  <c r="I266" i="6"/>
  <c r="G266" i="6"/>
  <c r="J265" i="6"/>
  <c r="I265" i="6"/>
  <c r="G265" i="6"/>
  <c r="J264" i="6"/>
  <c r="I264" i="6"/>
  <c r="G264" i="6"/>
  <c r="J263" i="6"/>
  <c r="I263" i="6"/>
  <c r="G263" i="6"/>
  <c r="J262" i="6"/>
  <c r="I262" i="6"/>
  <c r="G262" i="6"/>
  <c r="J261" i="6"/>
  <c r="I261" i="6"/>
  <c r="G261" i="6"/>
  <c r="J260" i="6"/>
  <c r="I260" i="6"/>
  <c r="G260" i="6"/>
  <c r="J259" i="6"/>
  <c r="I259" i="6"/>
  <c r="G259" i="6"/>
  <c r="J258" i="6"/>
  <c r="I258" i="6"/>
  <c r="G258" i="6"/>
  <c r="J257" i="6"/>
  <c r="I257" i="6"/>
  <c r="G257" i="6"/>
  <c r="J256" i="6"/>
  <c r="I256" i="6"/>
  <c r="G256" i="6"/>
  <c r="J255" i="6"/>
  <c r="I255" i="6"/>
  <c r="G255" i="6"/>
  <c r="J254" i="6"/>
  <c r="I254" i="6"/>
  <c r="G254" i="6"/>
  <c r="J253" i="6"/>
  <c r="I253" i="6"/>
  <c r="G253" i="6"/>
  <c r="J252" i="6"/>
  <c r="I252" i="6"/>
  <c r="G252" i="6"/>
  <c r="J251" i="6"/>
  <c r="I251" i="6"/>
  <c r="G251" i="6"/>
  <c r="J250" i="6"/>
  <c r="I250" i="6"/>
  <c r="G250" i="6"/>
  <c r="J249" i="6"/>
  <c r="I249" i="6"/>
  <c r="G249" i="6"/>
  <c r="J248" i="6"/>
  <c r="I248" i="6"/>
  <c r="G248" i="6"/>
  <c r="J247" i="6"/>
  <c r="I247" i="6"/>
  <c r="G247" i="6"/>
  <c r="J246" i="6"/>
  <c r="I246" i="6"/>
  <c r="G246" i="6"/>
  <c r="J245" i="6"/>
  <c r="I245" i="6"/>
  <c r="G245" i="6"/>
  <c r="J244" i="6"/>
  <c r="I244" i="6"/>
  <c r="G244" i="6"/>
  <c r="J243" i="6"/>
  <c r="I243" i="6"/>
  <c r="G243" i="6"/>
  <c r="J242" i="6"/>
  <c r="I242" i="6"/>
  <c r="G242" i="6"/>
  <c r="J241" i="6"/>
  <c r="I241" i="6"/>
  <c r="G241" i="6"/>
  <c r="J240" i="6"/>
  <c r="I240" i="6"/>
  <c r="G240" i="6"/>
  <c r="J239" i="6"/>
  <c r="I239" i="6"/>
  <c r="G239" i="6"/>
  <c r="J238" i="6"/>
  <c r="I238" i="6"/>
  <c r="G238" i="6"/>
  <c r="J237" i="6"/>
  <c r="I237" i="6"/>
  <c r="G237" i="6"/>
  <c r="J236" i="6"/>
  <c r="I236" i="6"/>
  <c r="G236" i="6"/>
  <c r="J235" i="6"/>
  <c r="I235" i="6"/>
  <c r="G235" i="6"/>
  <c r="J234" i="6"/>
  <c r="I234" i="6"/>
  <c r="G234" i="6"/>
  <c r="J233" i="6"/>
  <c r="I233" i="6"/>
  <c r="G233" i="6"/>
  <c r="J232" i="6"/>
  <c r="I232" i="6"/>
  <c r="G232" i="6"/>
  <c r="J231" i="6"/>
  <c r="I231" i="6"/>
  <c r="G231" i="6"/>
  <c r="J230" i="6"/>
  <c r="I230" i="6"/>
  <c r="G230" i="6"/>
  <c r="J229" i="6"/>
  <c r="I229" i="6"/>
  <c r="G229" i="6"/>
  <c r="J228" i="6"/>
  <c r="I228" i="6"/>
  <c r="G228" i="6"/>
  <c r="J227" i="6"/>
  <c r="I227" i="6"/>
  <c r="G227" i="6"/>
  <c r="J226" i="6"/>
  <c r="I226" i="6"/>
  <c r="G226" i="6"/>
  <c r="J225" i="6"/>
  <c r="I225" i="6"/>
  <c r="G225" i="6"/>
  <c r="J224" i="6"/>
  <c r="I224" i="6"/>
  <c r="G224" i="6"/>
  <c r="J223" i="6"/>
  <c r="I223" i="6"/>
  <c r="G223" i="6"/>
  <c r="J222" i="6"/>
  <c r="I222" i="6"/>
  <c r="G222" i="6"/>
  <c r="J221" i="6"/>
  <c r="I221" i="6"/>
  <c r="G221" i="6"/>
  <c r="J220" i="6"/>
  <c r="I220" i="6"/>
  <c r="G220" i="6"/>
  <c r="J219" i="6"/>
  <c r="I219" i="6"/>
  <c r="G219" i="6"/>
  <c r="J218" i="6"/>
  <c r="I218" i="6"/>
  <c r="G218" i="6"/>
  <c r="J217" i="6"/>
  <c r="I217" i="6"/>
  <c r="G217" i="6"/>
  <c r="J216" i="6"/>
  <c r="I216" i="6"/>
  <c r="G216" i="6"/>
  <c r="J215" i="6"/>
  <c r="I215" i="6"/>
  <c r="G215" i="6"/>
  <c r="J214" i="6"/>
  <c r="I214" i="6"/>
  <c r="K214" i="6" s="1"/>
  <c r="G214" i="6"/>
  <c r="J213" i="6"/>
  <c r="I213" i="6"/>
  <c r="G213" i="6"/>
  <c r="J212" i="6"/>
  <c r="I212" i="6"/>
  <c r="G212" i="6"/>
  <c r="J211" i="6"/>
  <c r="I211" i="6"/>
  <c r="G211" i="6"/>
  <c r="J210" i="6"/>
  <c r="I210" i="6"/>
  <c r="G210" i="6"/>
  <c r="J209" i="6"/>
  <c r="I209" i="6"/>
  <c r="G209" i="6"/>
  <c r="J208" i="6"/>
  <c r="I208" i="6"/>
  <c r="G208" i="6"/>
  <c r="J207" i="6"/>
  <c r="I207" i="6"/>
  <c r="G207" i="6"/>
  <c r="J206" i="6"/>
  <c r="I206" i="6"/>
  <c r="K206" i="6" s="1"/>
  <c r="G206" i="6"/>
  <c r="J205" i="6"/>
  <c r="I205" i="6"/>
  <c r="G205" i="6"/>
  <c r="J204" i="6"/>
  <c r="I204" i="6"/>
  <c r="G204" i="6"/>
  <c r="J203" i="6"/>
  <c r="I203" i="6"/>
  <c r="G203" i="6"/>
  <c r="J202" i="6"/>
  <c r="I202" i="6"/>
  <c r="G202" i="6"/>
  <c r="J201" i="6"/>
  <c r="I201" i="6"/>
  <c r="G201" i="6"/>
  <c r="J200" i="6"/>
  <c r="I200" i="6"/>
  <c r="G200" i="6"/>
  <c r="J199" i="6"/>
  <c r="I199" i="6"/>
  <c r="G199" i="6"/>
  <c r="J198" i="6"/>
  <c r="I198" i="6"/>
  <c r="G198" i="6"/>
  <c r="J197" i="6"/>
  <c r="I197" i="6"/>
  <c r="G197" i="6"/>
  <c r="J196" i="6"/>
  <c r="I196" i="6"/>
  <c r="G196" i="6"/>
  <c r="J195" i="6"/>
  <c r="I195" i="6"/>
  <c r="G195" i="6"/>
  <c r="J194" i="6"/>
  <c r="I194" i="6"/>
  <c r="G194" i="6"/>
  <c r="J193" i="6"/>
  <c r="I193" i="6"/>
  <c r="G193" i="6"/>
  <c r="J192" i="6"/>
  <c r="I192" i="6"/>
  <c r="G192" i="6"/>
  <c r="J191" i="6"/>
  <c r="I191" i="6"/>
  <c r="G191" i="6"/>
  <c r="J190" i="6"/>
  <c r="I190" i="6"/>
  <c r="G190" i="6"/>
  <c r="J189" i="6"/>
  <c r="I189" i="6"/>
  <c r="G189" i="6"/>
  <c r="J188" i="6"/>
  <c r="I188" i="6"/>
  <c r="G188" i="6"/>
  <c r="J187" i="6"/>
  <c r="I187" i="6"/>
  <c r="G187" i="6"/>
  <c r="J186" i="6"/>
  <c r="I186" i="6"/>
  <c r="G186" i="6"/>
  <c r="J185" i="6"/>
  <c r="I185" i="6"/>
  <c r="G185" i="6"/>
  <c r="J184" i="6"/>
  <c r="I184" i="6"/>
  <c r="G184" i="6"/>
  <c r="J183" i="6"/>
  <c r="I183" i="6"/>
  <c r="G183" i="6"/>
  <c r="J182" i="6"/>
  <c r="I182" i="6"/>
  <c r="G182" i="6"/>
  <c r="J181" i="6"/>
  <c r="I181" i="6"/>
  <c r="G181" i="6"/>
  <c r="J180" i="6"/>
  <c r="I180" i="6"/>
  <c r="G180" i="6"/>
  <c r="J179" i="6"/>
  <c r="I179" i="6"/>
  <c r="G179" i="6"/>
  <c r="J178" i="6"/>
  <c r="I178" i="6"/>
  <c r="G178" i="6"/>
  <c r="J177" i="6"/>
  <c r="I177" i="6"/>
  <c r="G177" i="6"/>
  <c r="J176" i="6"/>
  <c r="I176" i="6"/>
  <c r="G176" i="6"/>
  <c r="J175" i="6"/>
  <c r="I175" i="6"/>
  <c r="G175" i="6"/>
  <c r="J174" i="6"/>
  <c r="I174" i="6"/>
  <c r="G174" i="6"/>
  <c r="J173" i="6"/>
  <c r="I173" i="6"/>
  <c r="G173" i="6"/>
  <c r="J172" i="6"/>
  <c r="I172" i="6"/>
  <c r="G172" i="6"/>
  <c r="J171" i="6"/>
  <c r="I171" i="6"/>
  <c r="G171" i="6"/>
  <c r="J170" i="6"/>
  <c r="I170" i="6"/>
  <c r="G170" i="6"/>
  <c r="J169" i="6"/>
  <c r="I169" i="6"/>
  <c r="G169" i="6"/>
  <c r="J168" i="6"/>
  <c r="I168" i="6"/>
  <c r="G168" i="6"/>
  <c r="J167" i="6"/>
  <c r="I167" i="6"/>
  <c r="G167" i="6"/>
  <c r="J166" i="6"/>
  <c r="I166" i="6"/>
  <c r="G166" i="6"/>
  <c r="J165" i="6"/>
  <c r="I165" i="6"/>
  <c r="G165" i="6"/>
  <c r="J164" i="6"/>
  <c r="I164" i="6"/>
  <c r="G164" i="6"/>
  <c r="J163" i="6"/>
  <c r="I163" i="6"/>
  <c r="G163" i="6"/>
  <c r="J162" i="6"/>
  <c r="I162" i="6"/>
  <c r="G162" i="6"/>
  <c r="J161" i="6"/>
  <c r="I161" i="6"/>
  <c r="G161" i="6"/>
  <c r="J160" i="6"/>
  <c r="I160" i="6"/>
  <c r="G160" i="6"/>
  <c r="J159" i="6"/>
  <c r="I159" i="6"/>
  <c r="G159" i="6"/>
  <c r="J158" i="6"/>
  <c r="I158" i="6"/>
  <c r="G158" i="6"/>
  <c r="J157" i="6"/>
  <c r="I157" i="6"/>
  <c r="G157" i="6"/>
  <c r="J156" i="6"/>
  <c r="I156" i="6"/>
  <c r="G156" i="6"/>
  <c r="J155" i="6"/>
  <c r="I155" i="6"/>
  <c r="G155" i="6"/>
  <c r="J154" i="6"/>
  <c r="I154" i="6"/>
  <c r="G154" i="6"/>
  <c r="J153" i="6"/>
  <c r="I153" i="6"/>
  <c r="G153" i="6"/>
  <c r="J152" i="6"/>
  <c r="I152" i="6"/>
  <c r="G152" i="6"/>
  <c r="J151" i="6"/>
  <c r="I151" i="6"/>
  <c r="G151" i="6"/>
  <c r="J150" i="6"/>
  <c r="I150" i="6"/>
  <c r="K150" i="6" s="1"/>
  <c r="G150" i="6"/>
  <c r="J149" i="6"/>
  <c r="I149" i="6"/>
  <c r="G149" i="6"/>
  <c r="J148" i="6"/>
  <c r="I148" i="6"/>
  <c r="G148" i="6"/>
  <c r="J147" i="6"/>
  <c r="I147" i="6"/>
  <c r="G147" i="6"/>
  <c r="J146" i="6"/>
  <c r="I146" i="6"/>
  <c r="G146" i="6"/>
  <c r="J145" i="6"/>
  <c r="I145" i="6"/>
  <c r="G145" i="6"/>
  <c r="J144" i="6"/>
  <c r="I144" i="6"/>
  <c r="G144" i="6"/>
  <c r="J143" i="6"/>
  <c r="I143" i="6"/>
  <c r="G143" i="6"/>
  <c r="J142" i="6"/>
  <c r="I142" i="6"/>
  <c r="G142" i="6"/>
  <c r="J141" i="6"/>
  <c r="I141" i="6"/>
  <c r="G141" i="6"/>
  <c r="J140" i="6"/>
  <c r="I140" i="6"/>
  <c r="G140" i="6"/>
  <c r="J139" i="6"/>
  <c r="I139" i="6"/>
  <c r="G139" i="6"/>
  <c r="J138" i="6"/>
  <c r="I138" i="6"/>
  <c r="G138" i="6"/>
  <c r="J137" i="6"/>
  <c r="I137" i="6"/>
  <c r="G137" i="6"/>
  <c r="J136" i="6"/>
  <c r="I136" i="6"/>
  <c r="G136" i="6"/>
  <c r="J135" i="6"/>
  <c r="I135" i="6"/>
  <c r="G135" i="6"/>
  <c r="J134" i="6"/>
  <c r="I134" i="6"/>
  <c r="G134" i="6"/>
  <c r="J133" i="6"/>
  <c r="I133" i="6"/>
  <c r="G133" i="6"/>
  <c r="J132" i="6"/>
  <c r="I132" i="6"/>
  <c r="G132" i="6"/>
  <c r="J131" i="6"/>
  <c r="I131" i="6"/>
  <c r="G131" i="6"/>
  <c r="J130" i="6"/>
  <c r="I130" i="6"/>
  <c r="G130" i="6"/>
  <c r="J129" i="6"/>
  <c r="I129" i="6"/>
  <c r="G129" i="6"/>
  <c r="J128" i="6"/>
  <c r="I128" i="6"/>
  <c r="G128" i="6"/>
  <c r="J127" i="6"/>
  <c r="I127" i="6"/>
  <c r="G127" i="6"/>
  <c r="J126" i="6"/>
  <c r="I126" i="6"/>
  <c r="G126" i="6"/>
  <c r="J125" i="6"/>
  <c r="I125" i="6"/>
  <c r="G125" i="6"/>
  <c r="J124" i="6"/>
  <c r="I124" i="6"/>
  <c r="G124" i="6"/>
  <c r="J123" i="6"/>
  <c r="I123" i="6"/>
  <c r="G123" i="6"/>
  <c r="J122" i="6"/>
  <c r="I122" i="6"/>
  <c r="G122" i="6"/>
  <c r="J121" i="6"/>
  <c r="I121" i="6"/>
  <c r="G121" i="6"/>
  <c r="J120" i="6"/>
  <c r="I120" i="6"/>
  <c r="G120" i="6"/>
  <c r="J119" i="6"/>
  <c r="I119" i="6"/>
  <c r="G119" i="6"/>
  <c r="J118" i="6"/>
  <c r="I118" i="6"/>
  <c r="G118" i="6"/>
  <c r="J117" i="6"/>
  <c r="I117" i="6"/>
  <c r="G117" i="6"/>
  <c r="J116" i="6"/>
  <c r="I116" i="6"/>
  <c r="G116" i="6"/>
  <c r="J115" i="6"/>
  <c r="I115" i="6"/>
  <c r="G115" i="6"/>
  <c r="J114" i="6"/>
  <c r="I114" i="6"/>
  <c r="G114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J101" i="6"/>
  <c r="I101" i="6"/>
  <c r="G101" i="6"/>
  <c r="J100" i="6"/>
  <c r="I100" i="6"/>
  <c r="K100" i="6" s="1"/>
  <c r="G100" i="6"/>
  <c r="J99" i="6"/>
  <c r="I99" i="6"/>
  <c r="G99" i="6"/>
  <c r="J98" i="6"/>
  <c r="I98" i="6"/>
  <c r="G98" i="6"/>
  <c r="J97" i="6"/>
  <c r="I97" i="6"/>
  <c r="G97" i="6"/>
  <c r="J96" i="6"/>
  <c r="I96" i="6"/>
  <c r="G96" i="6"/>
  <c r="J95" i="6"/>
  <c r="I95" i="6"/>
  <c r="G95" i="6"/>
  <c r="J94" i="6"/>
  <c r="I94" i="6"/>
  <c r="G94" i="6"/>
  <c r="J93" i="6"/>
  <c r="I93" i="6"/>
  <c r="G93" i="6"/>
  <c r="J92" i="6"/>
  <c r="I92" i="6"/>
  <c r="G92" i="6"/>
  <c r="J91" i="6"/>
  <c r="I91" i="6"/>
  <c r="G91" i="6"/>
  <c r="J90" i="6"/>
  <c r="I90" i="6"/>
  <c r="G90" i="6"/>
  <c r="J89" i="6"/>
  <c r="I89" i="6"/>
  <c r="G89" i="6"/>
  <c r="J88" i="6"/>
  <c r="I88" i="6"/>
  <c r="G88" i="6"/>
  <c r="J87" i="6"/>
  <c r="I87" i="6"/>
  <c r="G87" i="6"/>
  <c r="J86" i="6"/>
  <c r="I86" i="6"/>
  <c r="G86" i="6"/>
  <c r="J85" i="6"/>
  <c r="I85" i="6"/>
  <c r="G85" i="6"/>
  <c r="J84" i="6"/>
  <c r="I84" i="6"/>
  <c r="G84" i="6"/>
  <c r="J83" i="6"/>
  <c r="I83" i="6"/>
  <c r="G83" i="6"/>
  <c r="J82" i="6"/>
  <c r="I82" i="6"/>
  <c r="G82" i="6"/>
  <c r="J81" i="6"/>
  <c r="I81" i="6"/>
  <c r="G81" i="6"/>
  <c r="J80" i="6"/>
  <c r="I80" i="6"/>
  <c r="G80" i="6"/>
  <c r="J79" i="6"/>
  <c r="I79" i="6"/>
  <c r="G79" i="6"/>
  <c r="J78" i="6"/>
  <c r="I78" i="6"/>
  <c r="G78" i="6"/>
  <c r="J77" i="6"/>
  <c r="I77" i="6"/>
  <c r="G77" i="6"/>
  <c r="J76" i="6"/>
  <c r="I76" i="6"/>
  <c r="G76" i="6"/>
  <c r="J75" i="6"/>
  <c r="I75" i="6"/>
  <c r="G75" i="6"/>
  <c r="J74" i="6"/>
  <c r="I74" i="6"/>
  <c r="G74" i="6"/>
  <c r="J73" i="6"/>
  <c r="I73" i="6"/>
  <c r="G73" i="6"/>
  <c r="J72" i="6"/>
  <c r="I72" i="6"/>
  <c r="G72" i="6"/>
  <c r="J71" i="6"/>
  <c r="I71" i="6"/>
  <c r="G71" i="6"/>
  <c r="J70" i="6"/>
  <c r="I70" i="6"/>
  <c r="G70" i="6"/>
  <c r="J69" i="6"/>
  <c r="I69" i="6"/>
  <c r="G69" i="6"/>
  <c r="J68" i="6"/>
  <c r="I68" i="6"/>
  <c r="G68" i="6"/>
  <c r="J67" i="6"/>
  <c r="I67" i="6"/>
  <c r="G67" i="6"/>
  <c r="J66" i="6"/>
  <c r="I66" i="6"/>
  <c r="G66" i="6"/>
  <c r="J65" i="6"/>
  <c r="I65" i="6"/>
  <c r="G65" i="6"/>
  <c r="J64" i="6"/>
  <c r="I64" i="6"/>
  <c r="G64" i="6"/>
  <c r="J63" i="6"/>
  <c r="I63" i="6"/>
  <c r="G63" i="6"/>
  <c r="J62" i="6"/>
  <c r="I62" i="6"/>
  <c r="G62" i="6"/>
  <c r="J61" i="6"/>
  <c r="I61" i="6"/>
  <c r="G61" i="6"/>
  <c r="J60" i="6"/>
  <c r="I60" i="6"/>
  <c r="G60" i="6"/>
  <c r="J59" i="6"/>
  <c r="I59" i="6"/>
  <c r="G59" i="6"/>
  <c r="J58" i="6"/>
  <c r="I58" i="6"/>
  <c r="G58" i="6"/>
  <c r="J57" i="6"/>
  <c r="I57" i="6"/>
  <c r="G57" i="6"/>
  <c r="J56" i="6"/>
  <c r="I56" i="6"/>
  <c r="G56" i="6"/>
  <c r="J55" i="6"/>
  <c r="I55" i="6"/>
  <c r="G55" i="6"/>
  <c r="J54" i="6"/>
  <c r="I54" i="6"/>
  <c r="G54" i="6"/>
  <c r="J53" i="6"/>
  <c r="I53" i="6"/>
  <c r="G53" i="6"/>
  <c r="J52" i="6"/>
  <c r="I52" i="6"/>
  <c r="G52" i="6"/>
  <c r="J51" i="6"/>
  <c r="I51" i="6"/>
  <c r="G51" i="6"/>
  <c r="J50" i="6"/>
  <c r="I50" i="6"/>
  <c r="G50" i="6"/>
  <c r="J49" i="6"/>
  <c r="I49" i="6"/>
  <c r="G49" i="6"/>
  <c r="J48" i="6"/>
  <c r="I48" i="6"/>
  <c r="G48" i="6"/>
  <c r="J47" i="6"/>
  <c r="I47" i="6"/>
  <c r="G47" i="6"/>
  <c r="J46" i="6"/>
  <c r="I46" i="6"/>
  <c r="G46" i="6"/>
  <c r="J45" i="6"/>
  <c r="I45" i="6"/>
  <c r="G45" i="6"/>
  <c r="J44" i="6"/>
  <c r="I44" i="6"/>
  <c r="G44" i="6"/>
  <c r="J43" i="6"/>
  <c r="I43" i="6"/>
  <c r="G43" i="6"/>
  <c r="J42" i="6"/>
  <c r="I42" i="6"/>
  <c r="G42" i="6"/>
  <c r="J41" i="6"/>
  <c r="I41" i="6"/>
  <c r="G41" i="6"/>
  <c r="J40" i="6"/>
  <c r="I40" i="6"/>
  <c r="G40" i="6"/>
  <c r="J39" i="6"/>
  <c r="I39" i="6"/>
  <c r="G39" i="6"/>
  <c r="J38" i="6"/>
  <c r="I38" i="6"/>
  <c r="G38" i="6"/>
  <c r="J37" i="6"/>
  <c r="I37" i="6"/>
  <c r="G37" i="6"/>
  <c r="J36" i="6"/>
  <c r="I36" i="6"/>
  <c r="G36" i="6"/>
  <c r="J35" i="6"/>
  <c r="I35" i="6"/>
  <c r="G35" i="6"/>
  <c r="J34" i="6"/>
  <c r="I34" i="6"/>
  <c r="G34" i="6"/>
  <c r="J33" i="6"/>
  <c r="I33" i="6"/>
  <c r="G33" i="6"/>
  <c r="J32" i="6"/>
  <c r="I32" i="6"/>
  <c r="G32" i="6"/>
  <c r="J31" i="6"/>
  <c r="I31" i="6"/>
  <c r="G31" i="6"/>
  <c r="J30" i="6"/>
  <c r="I30" i="6"/>
  <c r="G30" i="6"/>
  <c r="J29" i="6"/>
  <c r="I29" i="6"/>
  <c r="G29" i="6"/>
  <c r="J28" i="6"/>
  <c r="I28" i="6"/>
  <c r="G28" i="6"/>
  <c r="J27" i="6"/>
  <c r="I27" i="6"/>
  <c r="G27" i="6"/>
  <c r="J26" i="6"/>
  <c r="I26" i="6"/>
  <c r="G26" i="6"/>
  <c r="J25" i="6"/>
  <c r="I25" i="6"/>
  <c r="G25" i="6"/>
  <c r="J24" i="6"/>
  <c r="I24" i="6"/>
  <c r="G24" i="6"/>
  <c r="J23" i="6"/>
  <c r="I23" i="6"/>
  <c r="G23" i="6"/>
  <c r="J22" i="6"/>
  <c r="I22" i="6"/>
  <c r="G22" i="6"/>
  <c r="J21" i="6"/>
  <c r="I21" i="6"/>
  <c r="G21" i="6"/>
  <c r="J20" i="6"/>
  <c r="I20" i="6"/>
  <c r="G20" i="6"/>
  <c r="J19" i="6"/>
  <c r="I19" i="6"/>
  <c r="G19" i="6"/>
  <c r="J18" i="6"/>
  <c r="I18" i="6"/>
  <c r="G18" i="6"/>
  <c r="J17" i="6"/>
  <c r="I17" i="6"/>
  <c r="G17" i="6"/>
  <c r="J16" i="6"/>
  <c r="I16" i="6"/>
  <c r="G16" i="6"/>
  <c r="J15" i="6"/>
  <c r="I15" i="6"/>
  <c r="G15" i="6"/>
  <c r="J14" i="6"/>
  <c r="I14" i="6"/>
  <c r="G14" i="6"/>
  <c r="J13" i="6"/>
  <c r="I13" i="6"/>
  <c r="G13" i="6"/>
  <c r="J12" i="6"/>
  <c r="I12" i="6"/>
  <c r="G12" i="6"/>
  <c r="J11" i="6"/>
  <c r="I11" i="6"/>
  <c r="G11" i="6"/>
  <c r="J10" i="6"/>
  <c r="I10" i="6"/>
  <c r="G10" i="6"/>
  <c r="J9" i="6"/>
  <c r="I9" i="6"/>
  <c r="G9" i="6"/>
  <c r="J8" i="6"/>
  <c r="I8" i="6"/>
  <c r="G8" i="6"/>
  <c r="J7" i="6"/>
  <c r="I7" i="6"/>
  <c r="G7" i="6"/>
  <c r="J6" i="6"/>
  <c r="I6" i="6"/>
  <c r="G6" i="6"/>
  <c r="J5" i="6"/>
  <c r="I5" i="6"/>
  <c r="G5" i="6"/>
  <c r="J4" i="6"/>
  <c r="I4" i="6"/>
  <c r="G4" i="6"/>
  <c r="J3" i="6"/>
  <c r="I3" i="6"/>
  <c r="G3" i="6"/>
  <c r="J2" i="6"/>
  <c r="I2" i="6"/>
  <c r="G2" i="6"/>
  <c r="I485" i="5"/>
  <c r="I484" i="5"/>
  <c r="I483" i="5"/>
  <c r="I482" i="5"/>
  <c r="I364" i="5"/>
  <c r="I363" i="5"/>
  <c r="I362" i="5"/>
  <c r="I361" i="5"/>
  <c r="I243" i="5"/>
  <c r="I242" i="5"/>
  <c r="I241" i="5"/>
  <c r="I240" i="5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J478" i="4" s="1"/>
  <c r="I961" i="4"/>
  <c r="I960" i="4"/>
  <c r="I959" i="4"/>
  <c r="J475" i="4" s="1"/>
  <c r="I958" i="4"/>
  <c r="I957" i="4"/>
  <c r="I956" i="4"/>
  <c r="I955" i="4"/>
  <c r="I954" i="4"/>
  <c r="J470" i="4" s="1"/>
  <c r="I953" i="4"/>
  <c r="I952" i="4"/>
  <c r="I951" i="4"/>
  <c r="J467" i="4" s="1"/>
  <c r="I950" i="4"/>
  <c r="J466" i="4" s="1"/>
  <c r="I949" i="4"/>
  <c r="I948" i="4"/>
  <c r="I947" i="4"/>
  <c r="I946" i="4"/>
  <c r="I945" i="4"/>
  <c r="I944" i="4"/>
  <c r="I943" i="4"/>
  <c r="J459" i="4" s="1"/>
  <c r="I942" i="4"/>
  <c r="J458" i="4" s="1"/>
  <c r="I941" i="4"/>
  <c r="I940" i="4"/>
  <c r="I939" i="4"/>
  <c r="I938" i="4"/>
  <c r="I937" i="4"/>
  <c r="I936" i="4"/>
  <c r="I935" i="4"/>
  <c r="I934" i="4"/>
  <c r="J450" i="4" s="1"/>
  <c r="I933" i="4"/>
  <c r="I932" i="4"/>
  <c r="I931" i="4"/>
  <c r="I930" i="4"/>
  <c r="J446" i="4" s="1"/>
  <c r="I929" i="4"/>
  <c r="I928" i="4"/>
  <c r="I927" i="4"/>
  <c r="I926" i="4"/>
  <c r="I925" i="4"/>
  <c r="I924" i="4"/>
  <c r="I923" i="4"/>
  <c r="I922" i="4"/>
  <c r="I921" i="4"/>
  <c r="I920" i="4"/>
  <c r="I919" i="4"/>
  <c r="I918" i="4"/>
  <c r="J434" i="4" s="1"/>
  <c r="I917" i="4"/>
  <c r="I916" i="4"/>
  <c r="I915" i="4"/>
  <c r="I914" i="4"/>
  <c r="I913" i="4"/>
  <c r="I912" i="4"/>
  <c r="I911" i="4"/>
  <c r="I910" i="4"/>
  <c r="J426" i="4" s="1"/>
  <c r="I909" i="4"/>
  <c r="I908" i="4"/>
  <c r="I907" i="4"/>
  <c r="I906" i="4"/>
  <c r="J422" i="4" s="1"/>
  <c r="I905" i="4"/>
  <c r="I904" i="4"/>
  <c r="I903" i="4"/>
  <c r="I902" i="4"/>
  <c r="I901" i="4"/>
  <c r="I900" i="4"/>
  <c r="I899" i="4"/>
  <c r="I898" i="4"/>
  <c r="J414" i="4" s="1"/>
  <c r="I897" i="4"/>
  <c r="I896" i="4"/>
  <c r="I895" i="4"/>
  <c r="J411" i="4" s="1"/>
  <c r="I894" i="4"/>
  <c r="I893" i="4"/>
  <c r="I892" i="4"/>
  <c r="I891" i="4"/>
  <c r="I890" i="4"/>
  <c r="J406" i="4" s="1"/>
  <c r="I889" i="4"/>
  <c r="I888" i="4"/>
  <c r="I887" i="4"/>
  <c r="J403" i="4" s="1"/>
  <c r="I886" i="4"/>
  <c r="I885" i="4"/>
  <c r="I884" i="4"/>
  <c r="I883" i="4"/>
  <c r="I882" i="4"/>
  <c r="I881" i="4"/>
  <c r="I880" i="4"/>
  <c r="I879" i="4"/>
  <c r="I878" i="4"/>
  <c r="J394" i="4" s="1"/>
  <c r="I877" i="4"/>
  <c r="I876" i="4"/>
  <c r="I875" i="4"/>
  <c r="I874" i="4"/>
  <c r="J390" i="4" s="1"/>
  <c r="I873" i="4"/>
  <c r="I872" i="4"/>
  <c r="I871" i="4"/>
  <c r="I870" i="4"/>
  <c r="I869" i="4"/>
  <c r="I868" i="4"/>
  <c r="I867" i="4"/>
  <c r="I866" i="4"/>
  <c r="J382" i="4" s="1"/>
  <c r="I865" i="4"/>
  <c r="I864" i="4"/>
  <c r="I863" i="4"/>
  <c r="J379" i="4" s="1"/>
  <c r="I862" i="4"/>
  <c r="I861" i="4"/>
  <c r="I860" i="4"/>
  <c r="I859" i="4"/>
  <c r="I858" i="4"/>
  <c r="J374" i="4" s="1"/>
  <c r="I857" i="4"/>
  <c r="I856" i="4"/>
  <c r="I855" i="4"/>
  <c r="I854" i="4"/>
  <c r="I853" i="4"/>
  <c r="I852" i="4"/>
  <c r="I851" i="4"/>
  <c r="I850" i="4"/>
  <c r="I849" i="4"/>
  <c r="I848" i="4"/>
  <c r="I847" i="4"/>
  <c r="I846" i="4"/>
  <c r="J362" i="4" s="1"/>
  <c r="I845" i="4"/>
  <c r="I844" i="4"/>
  <c r="I843" i="4"/>
  <c r="I842" i="4"/>
  <c r="I841" i="4"/>
  <c r="I840" i="4"/>
  <c r="I839" i="4"/>
  <c r="I838" i="4"/>
  <c r="I837" i="4"/>
  <c r="I836" i="4"/>
  <c r="I835" i="4"/>
  <c r="I834" i="4"/>
  <c r="J350" i="4" s="1"/>
  <c r="I833" i="4"/>
  <c r="I832" i="4"/>
  <c r="I831" i="4"/>
  <c r="I830" i="4"/>
  <c r="J346" i="4" s="1"/>
  <c r="I829" i="4"/>
  <c r="I828" i="4"/>
  <c r="I827" i="4"/>
  <c r="I826" i="4"/>
  <c r="I825" i="4"/>
  <c r="I824" i="4"/>
  <c r="I823" i="4"/>
  <c r="J339" i="4" s="1"/>
  <c r="I822" i="4"/>
  <c r="I821" i="4"/>
  <c r="I820" i="4"/>
  <c r="I819" i="4"/>
  <c r="I818" i="4"/>
  <c r="I817" i="4"/>
  <c r="I816" i="4"/>
  <c r="I815" i="4"/>
  <c r="J331" i="4" s="1"/>
  <c r="I814" i="4"/>
  <c r="J330" i="4" s="1"/>
  <c r="I813" i="4"/>
  <c r="I812" i="4"/>
  <c r="I811" i="4"/>
  <c r="I810" i="4"/>
  <c r="I809" i="4"/>
  <c r="I808" i="4"/>
  <c r="I807" i="4"/>
  <c r="J323" i="4" s="1"/>
  <c r="I806" i="4"/>
  <c r="J322" i="4" s="1"/>
  <c r="I805" i="4"/>
  <c r="I804" i="4"/>
  <c r="I803" i="4"/>
  <c r="I802" i="4"/>
  <c r="J318" i="4" s="1"/>
  <c r="I801" i="4"/>
  <c r="I800" i="4"/>
  <c r="J316" i="4" s="1"/>
  <c r="I799" i="4"/>
  <c r="I798" i="4"/>
  <c r="I797" i="4"/>
  <c r="I796" i="4"/>
  <c r="I795" i="4"/>
  <c r="I794" i="4"/>
  <c r="I793" i="4"/>
  <c r="I792" i="4"/>
  <c r="I791" i="4"/>
  <c r="I790" i="4"/>
  <c r="J306" i="4" s="1"/>
  <c r="I789" i="4"/>
  <c r="I788" i="4"/>
  <c r="I787" i="4"/>
  <c r="I786" i="4"/>
  <c r="I785" i="4"/>
  <c r="I784" i="4"/>
  <c r="I783" i="4"/>
  <c r="I782" i="4"/>
  <c r="J298" i="4" s="1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J284" i="4" s="1"/>
  <c r="I767" i="4"/>
  <c r="J283" i="4" s="1"/>
  <c r="I766" i="4"/>
  <c r="J282" i="4" s="1"/>
  <c r="I765" i="4"/>
  <c r="I764" i="4"/>
  <c r="I763" i="4"/>
  <c r="I762" i="4"/>
  <c r="J278" i="4" s="1"/>
  <c r="I761" i="4"/>
  <c r="I760" i="4"/>
  <c r="I759" i="4"/>
  <c r="J275" i="4" s="1"/>
  <c r="I758" i="4"/>
  <c r="I757" i="4"/>
  <c r="I756" i="4"/>
  <c r="I755" i="4"/>
  <c r="I754" i="4"/>
  <c r="I753" i="4"/>
  <c r="I752" i="4"/>
  <c r="I751" i="4"/>
  <c r="J267" i="4" s="1"/>
  <c r="I750" i="4"/>
  <c r="J266" i="4" s="1"/>
  <c r="I749" i="4"/>
  <c r="I748" i="4"/>
  <c r="I747" i="4"/>
  <c r="I746" i="4"/>
  <c r="I745" i="4"/>
  <c r="I744" i="4"/>
  <c r="I743" i="4"/>
  <c r="I742" i="4"/>
  <c r="J258" i="4" s="1"/>
  <c r="I741" i="4"/>
  <c r="I740" i="4"/>
  <c r="I739" i="4"/>
  <c r="I738" i="4"/>
  <c r="I737" i="4"/>
  <c r="I736" i="4"/>
  <c r="J252" i="4" s="1"/>
  <c r="I735" i="4"/>
  <c r="I734" i="4"/>
  <c r="J250" i="4" s="1"/>
  <c r="I733" i="4"/>
  <c r="I732" i="4"/>
  <c r="I731" i="4"/>
  <c r="I730" i="4"/>
  <c r="J246" i="4" s="1"/>
  <c r="I729" i="4"/>
  <c r="I728" i="4"/>
  <c r="I727" i="4"/>
  <c r="I726" i="4"/>
  <c r="I725" i="4"/>
  <c r="I724" i="4"/>
  <c r="I723" i="4"/>
  <c r="I722" i="4"/>
  <c r="I721" i="4"/>
  <c r="I720" i="4"/>
  <c r="I719" i="4"/>
  <c r="I718" i="4"/>
  <c r="J234" i="4" s="1"/>
  <c r="I717" i="4"/>
  <c r="I716" i="4"/>
  <c r="I715" i="4"/>
  <c r="I714" i="4"/>
  <c r="J230" i="4" s="1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J214" i="4" s="1"/>
  <c r="I697" i="4"/>
  <c r="I696" i="4"/>
  <c r="I695" i="4"/>
  <c r="I694" i="4"/>
  <c r="I693" i="4"/>
  <c r="I692" i="4"/>
  <c r="I691" i="4"/>
  <c r="I690" i="4"/>
  <c r="I689" i="4"/>
  <c r="I688" i="4"/>
  <c r="I687" i="4"/>
  <c r="I686" i="4"/>
  <c r="J202" i="4" s="1"/>
  <c r="I685" i="4"/>
  <c r="I684" i="4"/>
  <c r="I683" i="4"/>
  <c r="I682" i="4"/>
  <c r="I681" i="4"/>
  <c r="I680" i="4"/>
  <c r="I679" i="4"/>
  <c r="J195" i="4" s="1"/>
  <c r="I678" i="4"/>
  <c r="I677" i="4"/>
  <c r="I676" i="4"/>
  <c r="I675" i="4"/>
  <c r="I674" i="4"/>
  <c r="J190" i="4" s="1"/>
  <c r="I673" i="4"/>
  <c r="I672" i="4"/>
  <c r="I671" i="4"/>
  <c r="I670" i="4"/>
  <c r="J186" i="4" s="1"/>
  <c r="I669" i="4"/>
  <c r="I668" i="4"/>
  <c r="I667" i="4"/>
  <c r="I666" i="4"/>
  <c r="I665" i="4"/>
  <c r="I664" i="4"/>
  <c r="I663" i="4"/>
  <c r="J179" i="4" s="1"/>
  <c r="I662" i="4"/>
  <c r="I661" i="4"/>
  <c r="I660" i="4"/>
  <c r="I659" i="4"/>
  <c r="I658" i="4"/>
  <c r="I657" i="4"/>
  <c r="I656" i="4"/>
  <c r="I655" i="4"/>
  <c r="I654" i="4"/>
  <c r="J170" i="4" s="1"/>
  <c r="I653" i="4"/>
  <c r="I652" i="4"/>
  <c r="I651" i="4"/>
  <c r="I650" i="4"/>
  <c r="J166" i="4" s="1"/>
  <c r="I649" i="4"/>
  <c r="I648" i="4"/>
  <c r="I647" i="4"/>
  <c r="I646" i="4"/>
  <c r="J162" i="4" s="1"/>
  <c r="I645" i="4"/>
  <c r="I644" i="4"/>
  <c r="I643" i="4"/>
  <c r="I642" i="4"/>
  <c r="J158" i="4" s="1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J138" i="4" s="1"/>
  <c r="I621" i="4"/>
  <c r="I620" i="4"/>
  <c r="I619" i="4"/>
  <c r="I618" i="4"/>
  <c r="J134" i="4" s="1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J114" i="4" s="1"/>
  <c r="I597" i="4"/>
  <c r="I596" i="4"/>
  <c r="I595" i="4"/>
  <c r="I594" i="4"/>
  <c r="I593" i="4"/>
  <c r="I592" i="4"/>
  <c r="I591" i="4"/>
  <c r="I590" i="4"/>
  <c r="J106" i="4" s="1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J92" i="4" s="1"/>
  <c r="I575" i="4"/>
  <c r="I574" i="4"/>
  <c r="J90" i="4" s="1"/>
  <c r="I573" i="4"/>
  <c r="I572" i="4"/>
  <c r="I571" i="4"/>
  <c r="I570" i="4"/>
  <c r="J86" i="4" s="1"/>
  <c r="I569" i="4"/>
  <c r="I568" i="4"/>
  <c r="I567" i="4"/>
  <c r="I566" i="4"/>
  <c r="J82" i="4" s="1"/>
  <c r="I565" i="4"/>
  <c r="I564" i="4"/>
  <c r="I563" i="4"/>
  <c r="I562" i="4"/>
  <c r="I561" i="4"/>
  <c r="I560" i="4"/>
  <c r="I559" i="4"/>
  <c r="I558" i="4"/>
  <c r="J74" i="4" s="1"/>
  <c r="I557" i="4"/>
  <c r="I556" i="4"/>
  <c r="I555" i="4"/>
  <c r="I554" i="4"/>
  <c r="I553" i="4"/>
  <c r="I552" i="4"/>
  <c r="I551" i="4"/>
  <c r="I550" i="4"/>
  <c r="J66" i="4" s="1"/>
  <c r="I549" i="4"/>
  <c r="I548" i="4"/>
  <c r="I547" i="4"/>
  <c r="I546" i="4"/>
  <c r="I545" i="4"/>
  <c r="I544" i="4"/>
  <c r="I543" i="4"/>
  <c r="I542" i="4"/>
  <c r="J58" i="4" s="1"/>
  <c r="I541" i="4"/>
  <c r="I540" i="4"/>
  <c r="I539" i="4"/>
  <c r="I538" i="4"/>
  <c r="I537" i="4"/>
  <c r="I536" i="4"/>
  <c r="I535" i="4"/>
  <c r="I534" i="4"/>
  <c r="J50" i="4" s="1"/>
  <c r="I533" i="4"/>
  <c r="I532" i="4"/>
  <c r="I531" i="4"/>
  <c r="I530" i="4"/>
  <c r="I529" i="4"/>
  <c r="I528" i="4"/>
  <c r="I527" i="4"/>
  <c r="I526" i="4"/>
  <c r="J42" i="4" s="1"/>
  <c r="I525" i="4"/>
  <c r="I524" i="4"/>
  <c r="I523" i="4"/>
  <c r="I522" i="4"/>
  <c r="J38" i="4" s="1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J484" i="4" s="1"/>
  <c r="I483" i="4"/>
  <c r="J483" i="4" s="1"/>
  <c r="J482" i="4"/>
  <c r="I482" i="4"/>
  <c r="I481" i="4"/>
  <c r="J481" i="4" s="1"/>
  <c r="I480" i="4"/>
  <c r="J480" i="4" s="1"/>
  <c r="I479" i="4"/>
  <c r="J479" i="4" s="1"/>
  <c r="I478" i="4"/>
  <c r="I477" i="4"/>
  <c r="J477" i="4" s="1"/>
  <c r="J476" i="4"/>
  <c r="I476" i="4"/>
  <c r="I475" i="4"/>
  <c r="I474" i="4"/>
  <c r="I473" i="4"/>
  <c r="J473" i="4" s="1"/>
  <c r="I472" i="4"/>
  <c r="J472" i="4" s="1"/>
  <c r="I471" i="4"/>
  <c r="J471" i="4" s="1"/>
  <c r="I470" i="4"/>
  <c r="I469" i="4"/>
  <c r="J468" i="4"/>
  <c r="I468" i="4"/>
  <c r="I467" i="4"/>
  <c r="I466" i="4"/>
  <c r="I465" i="4"/>
  <c r="J465" i="4" s="1"/>
  <c r="I464" i="4"/>
  <c r="J464" i="4" s="1"/>
  <c r="I463" i="4"/>
  <c r="J463" i="4" s="1"/>
  <c r="I462" i="4"/>
  <c r="I461" i="4"/>
  <c r="J461" i="4" s="1"/>
  <c r="J460" i="4"/>
  <c r="I460" i="4"/>
  <c r="I459" i="4"/>
  <c r="I458" i="4"/>
  <c r="I457" i="4"/>
  <c r="J457" i="4" s="1"/>
  <c r="I456" i="4"/>
  <c r="J456" i="4" s="1"/>
  <c r="I455" i="4"/>
  <c r="J455" i="4" s="1"/>
  <c r="I454" i="4"/>
  <c r="I453" i="4"/>
  <c r="I452" i="4"/>
  <c r="J452" i="4" s="1"/>
  <c r="J451" i="4"/>
  <c r="I451" i="4"/>
  <c r="I450" i="4"/>
  <c r="I449" i="4"/>
  <c r="J449" i="4" s="1"/>
  <c r="I448" i="4"/>
  <c r="J448" i="4" s="1"/>
  <c r="I447" i="4"/>
  <c r="J447" i="4" s="1"/>
  <c r="I446" i="4"/>
  <c r="I445" i="4"/>
  <c r="J445" i="4" s="1"/>
  <c r="J444" i="4"/>
  <c r="I444" i="4"/>
  <c r="I443" i="4"/>
  <c r="I442" i="4"/>
  <c r="I441" i="4"/>
  <c r="J441" i="4" s="1"/>
  <c r="I440" i="4"/>
  <c r="J440" i="4" s="1"/>
  <c r="I439" i="4"/>
  <c r="J439" i="4" s="1"/>
  <c r="I438" i="4"/>
  <c r="I437" i="4"/>
  <c r="J437" i="4" s="1"/>
  <c r="J436" i="4"/>
  <c r="I436" i="4"/>
  <c r="J435" i="4"/>
  <c r="I435" i="4"/>
  <c r="I434" i="4"/>
  <c r="I433" i="4"/>
  <c r="J433" i="4" s="1"/>
  <c r="J432" i="4"/>
  <c r="I432" i="4"/>
  <c r="I431" i="4"/>
  <c r="J431" i="4" s="1"/>
  <c r="I430" i="4"/>
  <c r="I429" i="4"/>
  <c r="J429" i="4" s="1"/>
  <c r="J428" i="4"/>
  <c r="I428" i="4"/>
  <c r="J427" i="4"/>
  <c r="I427" i="4"/>
  <c r="I426" i="4"/>
  <c r="I425" i="4"/>
  <c r="J425" i="4" s="1"/>
  <c r="J424" i="4"/>
  <c r="I424" i="4"/>
  <c r="J423" i="4"/>
  <c r="I423" i="4"/>
  <c r="I422" i="4"/>
  <c r="I421" i="4"/>
  <c r="I420" i="4"/>
  <c r="J420" i="4" s="1"/>
  <c r="I419" i="4"/>
  <c r="J419" i="4" s="1"/>
  <c r="I418" i="4"/>
  <c r="I417" i="4"/>
  <c r="J417" i="4" s="1"/>
  <c r="I416" i="4"/>
  <c r="J416" i="4" s="1"/>
  <c r="I415" i="4"/>
  <c r="J415" i="4" s="1"/>
  <c r="I414" i="4"/>
  <c r="I413" i="4"/>
  <c r="J412" i="4"/>
  <c r="I412" i="4"/>
  <c r="I411" i="4"/>
  <c r="I410" i="4"/>
  <c r="I409" i="4"/>
  <c r="J409" i="4" s="1"/>
  <c r="I408" i="4"/>
  <c r="J408" i="4" s="1"/>
  <c r="I407" i="4"/>
  <c r="I406" i="4"/>
  <c r="I405" i="4"/>
  <c r="I404" i="4"/>
  <c r="J404" i="4" s="1"/>
  <c r="I403" i="4"/>
  <c r="I402" i="4"/>
  <c r="I401" i="4"/>
  <c r="J401" i="4" s="1"/>
  <c r="J400" i="4"/>
  <c r="I400" i="4"/>
  <c r="I399" i="4"/>
  <c r="J399" i="4" s="1"/>
  <c r="I398" i="4"/>
  <c r="I397" i="4"/>
  <c r="J396" i="4"/>
  <c r="I396" i="4"/>
  <c r="J395" i="4"/>
  <c r="I395" i="4"/>
  <c r="I394" i="4"/>
  <c r="I393" i="4"/>
  <c r="J393" i="4" s="1"/>
  <c r="I392" i="4"/>
  <c r="J392" i="4" s="1"/>
  <c r="J391" i="4"/>
  <c r="I391" i="4"/>
  <c r="I390" i="4"/>
  <c r="I389" i="4"/>
  <c r="J388" i="4"/>
  <c r="I388" i="4"/>
  <c r="I387" i="4"/>
  <c r="J387" i="4" s="1"/>
  <c r="I386" i="4"/>
  <c r="I385" i="4"/>
  <c r="J385" i="4" s="1"/>
  <c r="I384" i="4"/>
  <c r="J384" i="4" s="1"/>
  <c r="J383" i="4"/>
  <c r="I383" i="4"/>
  <c r="I382" i="4"/>
  <c r="I381" i="4"/>
  <c r="J380" i="4"/>
  <c r="I380" i="4"/>
  <c r="I379" i="4"/>
  <c r="I378" i="4"/>
  <c r="I377" i="4"/>
  <c r="J377" i="4" s="1"/>
  <c r="J376" i="4"/>
  <c r="I376" i="4"/>
  <c r="I375" i="4"/>
  <c r="J375" i="4" s="1"/>
  <c r="I374" i="4"/>
  <c r="I373" i="4"/>
  <c r="I372" i="4"/>
  <c r="J372" i="4" s="1"/>
  <c r="J371" i="4"/>
  <c r="I371" i="4"/>
  <c r="I370" i="4"/>
  <c r="I369" i="4"/>
  <c r="J369" i="4" s="1"/>
  <c r="I368" i="4"/>
  <c r="J368" i="4" s="1"/>
  <c r="I367" i="4"/>
  <c r="J367" i="4" s="1"/>
  <c r="I366" i="4"/>
  <c r="I365" i="4"/>
  <c r="J365" i="4" s="1"/>
  <c r="J364" i="4"/>
  <c r="I364" i="4"/>
  <c r="I363" i="4"/>
  <c r="J363" i="4" s="1"/>
  <c r="I362" i="4"/>
  <c r="I361" i="4"/>
  <c r="J361" i="4" s="1"/>
  <c r="I360" i="4"/>
  <c r="J360" i="4" s="1"/>
  <c r="J359" i="4"/>
  <c r="I359" i="4"/>
  <c r="I358" i="4"/>
  <c r="I357" i="4"/>
  <c r="J356" i="4"/>
  <c r="I356" i="4"/>
  <c r="I355" i="4"/>
  <c r="J355" i="4" s="1"/>
  <c r="I354" i="4"/>
  <c r="I353" i="4"/>
  <c r="J353" i="4" s="1"/>
  <c r="I352" i="4"/>
  <c r="J352" i="4" s="1"/>
  <c r="I351" i="4"/>
  <c r="J351" i="4" s="1"/>
  <c r="I350" i="4"/>
  <c r="I349" i="4"/>
  <c r="J348" i="4"/>
  <c r="I348" i="4"/>
  <c r="J347" i="4"/>
  <c r="I347" i="4"/>
  <c r="I346" i="4"/>
  <c r="I345" i="4"/>
  <c r="J345" i="4" s="1"/>
  <c r="I344" i="4"/>
  <c r="J344" i="4" s="1"/>
  <c r="I343" i="4"/>
  <c r="J343" i="4" s="1"/>
  <c r="I342" i="4"/>
  <c r="I341" i="4"/>
  <c r="I340" i="4"/>
  <c r="J340" i="4" s="1"/>
  <c r="I339" i="4"/>
  <c r="I338" i="4"/>
  <c r="I337" i="4"/>
  <c r="J337" i="4" s="1"/>
  <c r="J336" i="4"/>
  <c r="I336" i="4"/>
  <c r="J335" i="4"/>
  <c r="I335" i="4"/>
  <c r="I334" i="4"/>
  <c r="I333" i="4"/>
  <c r="J332" i="4"/>
  <c r="I332" i="4"/>
  <c r="I331" i="4"/>
  <c r="I330" i="4"/>
  <c r="I329" i="4"/>
  <c r="J329" i="4" s="1"/>
  <c r="I328" i="4"/>
  <c r="J328" i="4" s="1"/>
  <c r="I327" i="4"/>
  <c r="J327" i="4" s="1"/>
  <c r="I326" i="4"/>
  <c r="I325" i="4"/>
  <c r="I324" i="4"/>
  <c r="J324" i="4" s="1"/>
  <c r="I323" i="4"/>
  <c r="I322" i="4"/>
  <c r="I321" i="4"/>
  <c r="J321" i="4" s="1"/>
  <c r="I320" i="4"/>
  <c r="J320" i="4" s="1"/>
  <c r="J319" i="4"/>
  <c r="I319" i="4"/>
  <c r="I318" i="4"/>
  <c r="I317" i="4"/>
  <c r="I316" i="4"/>
  <c r="I315" i="4"/>
  <c r="J315" i="4" s="1"/>
  <c r="I314" i="4"/>
  <c r="I313" i="4"/>
  <c r="J313" i="4" s="1"/>
  <c r="J312" i="4"/>
  <c r="I312" i="4"/>
  <c r="I311" i="4"/>
  <c r="J311" i="4" s="1"/>
  <c r="I310" i="4"/>
  <c r="I309" i="4"/>
  <c r="J309" i="4" s="1"/>
  <c r="I308" i="4"/>
  <c r="J308" i="4" s="1"/>
  <c r="J307" i="4"/>
  <c r="I307" i="4"/>
  <c r="I306" i="4"/>
  <c r="I305" i="4"/>
  <c r="J305" i="4" s="1"/>
  <c r="J304" i="4"/>
  <c r="I304" i="4"/>
  <c r="I303" i="4"/>
  <c r="J303" i="4" s="1"/>
  <c r="I302" i="4"/>
  <c r="I301" i="4"/>
  <c r="J301" i="4" s="1"/>
  <c r="I300" i="4"/>
  <c r="I299" i="4"/>
  <c r="J299" i="4" s="1"/>
  <c r="I298" i="4"/>
  <c r="I297" i="4"/>
  <c r="J297" i="4" s="1"/>
  <c r="J296" i="4"/>
  <c r="I296" i="4"/>
  <c r="I295" i="4"/>
  <c r="J295" i="4" s="1"/>
  <c r="I294" i="4"/>
  <c r="I293" i="4"/>
  <c r="J292" i="4"/>
  <c r="I292" i="4"/>
  <c r="I291" i="4"/>
  <c r="J291" i="4" s="1"/>
  <c r="I290" i="4"/>
  <c r="I289" i="4"/>
  <c r="J289" i="4" s="1"/>
  <c r="I288" i="4"/>
  <c r="J288" i="4" s="1"/>
  <c r="J287" i="4"/>
  <c r="I287" i="4"/>
  <c r="I286" i="4"/>
  <c r="I285" i="4"/>
  <c r="J285" i="4" s="1"/>
  <c r="I284" i="4"/>
  <c r="I283" i="4"/>
  <c r="I282" i="4"/>
  <c r="I281" i="4"/>
  <c r="J281" i="4" s="1"/>
  <c r="J280" i="4"/>
  <c r="I280" i="4"/>
  <c r="I279" i="4"/>
  <c r="J279" i="4" s="1"/>
  <c r="I278" i="4"/>
  <c r="I277" i="4"/>
  <c r="J277" i="4" s="1"/>
  <c r="I276" i="4"/>
  <c r="J276" i="4" s="1"/>
  <c r="I275" i="4"/>
  <c r="I274" i="4"/>
  <c r="I273" i="4"/>
  <c r="J273" i="4" s="1"/>
  <c r="J272" i="4"/>
  <c r="I272" i="4"/>
  <c r="I271" i="4"/>
  <c r="J271" i="4" s="1"/>
  <c r="I270" i="4"/>
  <c r="I269" i="4"/>
  <c r="I268" i="4"/>
  <c r="J268" i="4" s="1"/>
  <c r="I267" i="4"/>
  <c r="I266" i="4"/>
  <c r="I265" i="4"/>
  <c r="J265" i="4" s="1"/>
  <c r="I264" i="4"/>
  <c r="J264" i="4" s="1"/>
  <c r="I263" i="4"/>
  <c r="J263" i="4" s="1"/>
  <c r="I262" i="4"/>
  <c r="I261" i="4"/>
  <c r="I260" i="4"/>
  <c r="J260" i="4" s="1"/>
  <c r="I259" i="4"/>
  <c r="I258" i="4"/>
  <c r="I257" i="4"/>
  <c r="J257" i="4" s="1"/>
  <c r="I256" i="4"/>
  <c r="J256" i="4" s="1"/>
  <c r="I255" i="4"/>
  <c r="J255" i="4" s="1"/>
  <c r="I254" i="4"/>
  <c r="I253" i="4"/>
  <c r="J253" i="4" s="1"/>
  <c r="I252" i="4"/>
  <c r="J251" i="4"/>
  <c r="I251" i="4"/>
  <c r="I250" i="4"/>
  <c r="I249" i="4"/>
  <c r="J249" i="4" s="1"/>
  <c r="J248" i="4"/>
  <c r="I248" i="4"/>
  <c r="I247" i="4"/>
  <c r="J247" i="4" s="1"/>
  <c r="I246" i="4"/>
  <c r="I245" i="4"/>
  <c r="J245" i="4" s="1"/>
  <c r="J244" i="4"/>
  <c r="I244" i="4"/>
  <c r="J243" i="4"/>
  <c r="I243" i="4"/>
  <c r="I242" i="4"/>
  <c r="I241" i="4"/>
  <c r="J241" i="4" s="1"/>
  <c r="J240" i="4"/>
  <c r="I240" i="4"/>
  <c r="I239" i="4"/>
  <c r="J239" i="4" s="1"/>
  <c r="I238" i="4"/>
  <c r="I237" i="4"/>
  <c r="J237" i="4" s="1"/>
  <c r="I236" i="4"/>
  <c r="J236" i="4" s="1"/>
  <c r="I235" i="4"/>
  <c r="J235" i="4" s="1"/>
  <c r="I234" i="4"/>
  <c r="I233" i="4"/>
  <c r="J233" i="4" s="1"/>
  <c r="I232" i="4"/>
  <c r="J232" i="4" s="1"/>
  <c r="I231" i="4"/>
  <c r="J231" i="4" s="1"/>
  <c r="I230" i="4"/>
  <c r="I229" i="4"/>
  <c r="I228" i="4"/>
  <c r="J228" i="4" s="1"/>
  <c r="I227" i="4"/>
  <c r="J227" i="4" s="1"/>
  <c r="I226" i="4"/>
  <c r="I225" i="4"/>
  <c r="J225" i="4" s="1"/>
  <c r="I224" i="4"/>
  <c r="J224" i="4" s="1"/>
  <c r="I223" i="4"/>
  <c r="J223" i="4" s="1"/>
  <c r="I222" i="4"/>
  <c r="I221" i="4"/>
  <c r="J221" i="4" s="1"/>
  <c r="J220" i="4"/>
  <c r="I220" i="4"/>
  <c r="J219" i="4"/>
  <c r="I219" i="4"/>
  <c r="I218" i="4"/>
  <c r="I217" i="4"/>
  <c r="J217" i="4" s="1"/>
  <c r="J216" i="4"/>
  <c r="I216" i="4"/>
  <c r="I215" i="4"/>
  <c r="J215" i="4" s="1"/>
  <c r="I214" i="4"/>
  <c r="I213" i="4"/>
  <c r="J212" i="4"/>
  <c r="I212" i="4"/>
  <c r="J211" i="4"/>
  <c r="I211" i="4"/>
  <c r="I210" i="4"/>
  <c r="I209" i="4"/>
  <c r="J209" i="4" s="1"/>
  <c r="I208" i="4"/>
  <c r="J208" i="4" s="1"/>
  <c r="J207" i="4"/>
  <c r="I207" i="4"/>
  <c r="I206" i="4"/>
  <c r="I205" i="4"/>
  <c r="J205" i="4" s="1"/>
  <c r="J204" i="4"/>
  <c r="I204" i="4"/>
  <c r="I203" i="4"/>
  <c r="J203" i="4" s="1"/>
  <c r="I202" i="4"/>
  <c r="I201" i="4"/>
  <c r="J201" i="4" s="1"/>
  <c r="I200" i="4"/>
  <c r="J200" i="4" s="1"/>
  <c r="I199" i="4"/>
  <c r="J199" i="4" s="1"/>
  <c r="I198" i="4"/>
  <c r="I197" i="4"/>
  <c r="J196" i="4"/>
  <c r="I196" i="4"/>
  <c r="I195" i="4"/>
  <c r="I194" i="4"/>
  <c r="I193" i="4"/>
  <c r="J193" i="4" s="1"/>
  <c r="I192" i="4"/>
  <c r="J192" i="4" s="1"/>
  <c r="I191" i="4"/>
  <c r="J191" i="4" s="1"/>
  <c r="I190" i="4"/>
  <c r="I189" i="4"/>
  <c r="J188" i="4"/>
  <c r="I188" i="4"/>
  <c r="J187" i="4"/>
  <c r="I187" i="4"/>
  <c r="I186" i="4"/>
  <c r="I185" i="4"/>
  <c r="J185" i="4" s="1"/>
  <c r="I184" i="4"/>
  <c r="J184" i="4" s="1"/>
  <c r="I183" i="4"/>
  <c r="J183" i="4" s="1"/>
  <c r="I182" i="4"/>
  <c r="I181" i="4"/>
  <c r="J181" i="4" s="1"/>
  <c r="J180" i="4"/>
  <c r="I180" i="4"/>
  <c r="I179" i="4"/>
  <c r="I178" i="4"/>
  <c r="I177" i="4"/>
  <c r="J177" i="4" s="1"/>
  <c r="I176" i="4"/>
  <c r="J176" i="4" s="1"/>
  <c r="I175" i="4"/>
  <c r="J175" i="4" s="1"/>
  <c r="I174" i="4"/>
  <c r="I173" i="4"/>
  <c r="J173" i="4" s="1"/>
  <c r="I172" i="4"/>
  <c r="J172" i="4" s="1"/>
  <c r="I171" i="4"/>
  <c r="J171" i="4" s="1"/>
  <c r="I170" i="4"/>
  <c r="I169" i="4"/>
  <c r="J169" i="4" s="1"/>
  <c r="I168" i="4"/>
  <c r="J168" i="4" s="1"/>
  <c r="J167" i="4"/>
  <c r="I167" i="4"/>
  <c r="I166" i="4"/>
  <c r="I165" i="4"/>
  <c r="J164" i="4"/>
  <c r="I164" i="4"/>
  <c r="I163" i="4"/>
  <c r="J163" i="4" s="1"/>
  <c r="I162" i="4"/>
  <c r="I161" i="4"/>
  <c r="J161" i="4" s="1"/>
  <c r="I160" i="4"/>
  <c r="J160" i="4" s="1"/>
  <c r="J159" i="4"/>
  <c r="I159" i="4"/>
  <c r="I158" i="4"/>
  <c r="I157" i="4"/>
  <c r="J157" i="4" s="1"/>
  <c r="J156" i="4"/>
  <c r="I156" i="4"/>
  <c r="J155" i="4"/>
  <c r="I155" i="4"/>
  <c r="I154" i="4"/>
  <c r="I153" i="4"/>
  <c r="J153" i="4" s="1"/>
  <c r="J152" i="4"/>
  <c r="I152" i="4"/>
  <c r="I151" i="4"/>
  <c r="I150" i="4"/>
  <c r="I149" i="4"/>
  <c r="I148" i="4"/>
  <c r="J148" i="4" s="1"/>
  <c r="J147" i="4"/>
  <c r="I147" i="4"/>
  <c r="I146" i="4"/>
  <c r="I145" i="4"/>
  <c r="J145" i="4" s="1"/>
  <c r="J144" i="4"/>
  <c r="I144" i="4"/>
  <c r="I143" i="4"/>
  <c r="J143" i="4" s="1"/>
  <c r="I142" i="4"/>
  <c r="I141" i="4"/>
  <c r="J140" i="4"/>
  <c r="I140" i="4"/>
  <c r="J139" i="4"/>
  <c r="I139" i="4"/>
  <c r="I138" i="4"/>
  <c r="I137" i="4"/>
  <c r="J137" i="4" s="1"/>
  <c r="I136" i="4"/>
  <c r="J136" i="4" s="1"/>
  <c r="J135" i="4"/>
  <c r="I135" i="4"/>
  <c r="I134" i="4"/>
  <c r="I133" i="4"/>
  <c r="J132" i="4"/>
  <c r="I132" i="4"/>
  <c r="J131" i="4"/>
  <c r="I131" i="4"/>
  <c r="I130" i="4"/>
  <c r="I129" i="4"/>
  <c r="J129" i="4" s="1"/>
  <c r="I128" i="4"/>
  <c r="J128" i="4" s="1"/>
  <c r="J127" i="4"/>
  <c r="I127" i="4"/>
  <c r="I126" i="4"/>
  <c r="I125" i="4"/>
  <c r="J124" i="4"/>
  <c r="I124" i="4"/>
  <c r="J123" i="4"/>
  <c r="I123" i="4"/>
  <c r="I122" i="4"/>
  <c r="I121" i="4"/>
  <c r="J121" i="4" s="1"/>
  <c r="J120" i="4"/>
  <c r="I120" i="4"/>
  <c r="I119" i="4"/>
  <c r="J119" i="4" s="1"/>
  <c r="I118" i="4"/>
  <c r="I117" i="4"/>
  <c r="I116" i="4"/>
  <c r="J116" i="4" s="1"/>
  <c r="J115" i="4"/>
  <c r="I115" i="4"/>
  <c r="I114" i="4"/>
  <c r="I113" i="4"/>
  <c r="J113" i="4" s="1"/>
  <c r="I112" i="4"/>
  <c r="J112" i="4" s="1"/>
  <c r="J111" i="4"/>
  <c r="I111" i="4"/>
  <c r="I110" i="4"/>
  <c r="I109" i="4"/>
  <c r="J109" i="4" s="1"/>
  <c r="J108" i="4"/>
  <c r="I108" i="4"/>
  <c r="I107" i="4"/>
  <c r="I106" i="4"/>
  <c r="I105" i="4"/>
  <c r="J105" i="4" s="1"/>
  <c r="I104" i="4"/>
  <c r="J104" i="4" s="1"/>
  <c r="J103" i="4"/>
  <c r="I103" i="4"/>
  <c r="I102" i="4"/>
  <c r="I101" i="4"/>
  <c r="I100" i="4"/>
  <c r="J100" i="4" s="1"/>
  <c r="J99" i="4"/>
  <c r="I99" i="4"/>
  <c r="I98" i="4"/>
  <c r="I97" i="4"/>
  <c r="J97" i="4" s="1"/>
  <c r="I96" i="4"/>
  <c r="J96" i="4" s="1"/>
  <c r="J95" i="4"/>
  <c r="I95" i="4"/>
  <c r="I94" i="4"/>
  <c r="I93" i="4"/>
  <c r="I92" i="4"/>
  <c r="I91" i="4"/>
  <c r="J91" i="4" s="1"/>
  <c r="I90" i="4"/>
  <c r="I89" i="4"/>
  <c r="J89" i="4" s="1"/>
  <c r="I88" i="4"/>
  <c r="J88" i="4" s="1"/>
  <c r="I87" i="4"/>
  <c r="J87" i="4" s="1"/>
  <c r="I86" i="4"/>
  <c r="I85" i="4"/>
  <c r="J85" i="4" s="1"/>
  <c r="I84" i="4"/>
  <c r="J84" i="4" s="1"/>
  <c r="J83" i="4"/>
  <c r="I83" i="4"/>
  <c r="I82" i="4"/>
  <c r="I81" i="4"/>
  <c r="J81" i="4" s="1"/>
  <c r="I80" i="4"/>
  <c r="J80" i="4" s="1"/>
  <c r="I79" i="4"/>
  <c r="J79" i="4" s="1"/>
  <c r="I78" i="4"/>
  <c r="I77" i="4"/>
  <c r="J77" i="4" s="1"/>
  <c r="J76" i="4"/>
  <c r="I76" i="4"/>
  <c r="I75" i="4"/>
  <c r="J75" i="4" s="1"/>
  <c r="I74" i="4"/>
  <c r="I73" i="4"/>
  <c r="J73" i="4" s="1"/>
  <c r="J72" i="4"/>
  <c r="I72" i="4"/>
  <c r="I71" i="4"/>
  <c r="J71" i="4" s="1"/>
  <c r="I70" i="4"/>
  <c r="I69" i="4"/>
  <c r="J69" i="4" s="1"/>
  <c r="J68" i="4"/>
  <c r="I68" i="4"/>
  <c r="I67" i="4"/>
  <c r="J67" i="4" s="1"/>
  <c r="I66" i="4"/>
  <c r="I65" i="4"/>
  <c r="J65" i="4" s="1"/>
  <c r="I64" i="4"/>
  <c r="J64" i="4" s="1"/>
  <c r="I63" i="4"/>
  <c r="J63" i="4" s="1"/>
  <c r="I62" i="4"/>
  <c r="I61" i="4"/>
  <c r="J61" i="4" s="1"/>
  <c r="J60" i="4"/>
  <c r="I60" i="4"/>
  <c r="I59" i="4"/>
  <c r="J59" i="4" s="1"/>
  <c r="I58" i="4"/>
  <c r="I57" i="4"/>
  <c r="J57" i="4" s="1"/>
  <c r="I56" i="4"/>
  <c r="J56" i="4" s="1"/>
  <c r="I55" i="4"/>
  <c r="J55" i="4" s="1"/>
  <c r="I54" i="4"/>
  <c r="J53" i="4"/>
  <c r="I53" i="4"/>
  <c r="J52" i="4"/>
  <c r="I52" i="4"/>
  <c r="J51" i="4"/>
  <c r="I51" i="4"/>
  <c r="I50" i="4"/>
  <c r="J49" i="4"/>
  <c r="I49" i="4"/>
  <c r="I48" i="4"/>
  <c r="J48" i="4" s="1"/>
  <c r="I47" i="4"/>
  <c r="J47" i="4" s="1"/>
  <c r="I46" i="4"/>
  <c r="J45" i="4"/>
  <c r="I45" i="4"/>
  <c r="AP44" i="4"/>
  <c r="AO44" i="4"/>
  <c r="AN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J44" i="4"/>
  <c r="I44" i="4"/>
  <c r="I43" i="4"/>
  <c r="J43" i="4" s="1"/>
  <c r="I42" i="4"/>
  <c r="Z41" i="4"/>
  <c r="O41" i="4"/>
  <c r="T41" i="4" s="1"/>
  <c r="I41" i="4"/>
  <c r="J41" i="4" s="1"/>
  <c r="O40" i="4"/>
  <c r="J40" i="4"/>
  <c r="I40" i="4"/>
  <c r="O39" i="4"/>
  <c r="R39" i="4" s="1"/>
  <c r="I39" i="4"/>
  <c r="J39" i="4" s="1"/>
  <c r="O38" i="4"/>
  <c r="I38" i="4"/>
  <c r="O37" i="4"/>
  <c r="AL37" i="4" s="1"/>
  <c r="I37" i="4"/>
  <c r="J37" i="4" s="1"/>
  <c r="O36" i="4"/>
  <c r="AJ36" i="4" s="1"/>
  <c r="J36" i="4"/>
  <c r="I36" i="4"/>
  <c r="O35" i="4"/>
  <c r="I35" i="4"/>
  <c r="J35" i="4" s="1"/>
  <c r="O34" i="4"/>
  <c r="AL34" i="4" s="1"/>
  <c r="I34" i="4"/>
  <c r="O33" i="4"/>
  <c r="J33" i="4"/>
  <c r="I33" i="4"/>
  <c r="O32" i="4"/>
  <c r="AI32" i="4" s="1"/>
  <c r="I32" i="4"/>
  <c r="J32" i="4" s="1"/>
  <c r="O31" i="4"/>
  <c r="I31" i="4"/>
  <c r="J31" i="4" s="1"/>
  <c r="O30" i="4"/>
  <c r="I30" i="4"/>
  <c r="J30" i="4" s="1"/>
  <c r="O29" i="4"/>
  <c r="W29" i="4" s="1"/>
  <c r="J29" i="4"/>
  <c r="I29" i="4"/>
  <c r="O28" i="4"/>
  <c r="AC28" i="4" s="1"/>
  <c r="I28" i="4"/>
  <c r="J28" i="4" s="1"/>
  <c r="O27" i="4"/>
  <c r="I27" i="4"/>
  <c r="J27" i="4" s="1"/>
  <c r="O26" i="4"/>
  <c r="AG26" i="4" s="1"/>
  <c r="I26" i="4"/>
  <c r="O25" i="4"/>
  <c r="AI25" i="4" s="1"/>
  <c r="J25" i="4"/>
  <c r="I25" i="4"/>
  <c r="O24" i="4"/>
  <c r="AC24" i="4" s="1"/>
  <c r="I24" i="4"/>
  <c r="J24" i="4" s="1"/>
  <c r="O23" i="4"/>
  <c r="W23" i="4" s="1"/>
  <c r="I23" i="4"/>
  <c r="J23" i="4" s="1"/>
  <c r="O22" i="4"/>
  <c r="Y22" i="4" s="1"/>
  <c r="I22" i="4"/>
  <c r="O21" i="4"/>
  <c r="AI21" i="4" s="1"/>
  <c r="J21" i="4"/>
  <c r="I21" i="4"/>
  <c r="O20" i="4"/>
  <c r="I20" i="4"/>
  <c r="J20" i="4" s="1"/>
  <c r="O19" i="4"/>
  <c r="I19" i="4"/>
  <c r="J19" i="4" s="1"/>
  <c r="O18" i="4"/>
  <c r="Q18" i="4" s="1"/>
  <c r="I18" i="4"/>
  <c r="O17" i="4"/>
  <c r="W17" i="4" s="1"/>
  <c r="J17" i="4"/>
  <c r="I17" i="4"/>
  <c r="O16" i="4"/>
  <c r="I16" i="4"/>
  <c r="J16" i="4" s="1"/>
  <c r="O15" i="4"/>
  <c r="AB15" i="4" s="1"/>
  <c r="I15" i="4"/>
  <c r="J15" i="4" s="1"/>
  <c r="O14" i="4"/>
  <c r="I14" i="4"/>
  <c r="J14" i="4" s="1"/>
  <c r="O13" i="4"/>
  <c r="J13" i="4"/>
  <c r="I13" i="4"/>
  <c r="O12" i="4"/>
  <c r="AD12" i="4" s="1"/>
  <c r="I12" i="4"/>
  <c r="J12" i="4" s="1"/>
  <c r="O11" i="4"/>
  <c r="I11" i="4"/>
  <c r="J11" i="4" s="1"/>
  <c r="O10" i="4"/>
  <c r="AG10" i="4" s="1"/>
  <c r="I10" i="4"/>
  <c r="J10" i="4" s="1"/>
  <c r="O9" i="4"/>
  <c r="AE9" i="4" s="1"/>
  <c r="J9" i="4"/>
  <c r="I9" i="4"/>
  <c r="O8" i="4"/>
  <c r="AA8" i="4" s="1"/>
  <c r="I8" i="4"/>
  <c r="J8" i="4" s="1"/>
  <c r="O7" i="4"/>
  <c r="W7" i="4" s="1"/>
  <c r="I7" i="4"/>
  <c r="J7" i="4" s="1"/>
  <c r="O6" i="4"/>
  <c r="I6" i="4"/>
  <c r="J6" i="4" s="1"/>
  <c r="O5" i="4"/>
  <c r="P5" i="4" s="1"/>
  <c r="P48" i="4" s="1"/>
  <c r="J5" i="4"/>
  <c r="I5" i="4"/>
  <c r="O4" i="4"/>
  <c r="AH4" i="4" s="1"/>
  <c r="M4" i="4"/>
  <c r="J4" i="4"/>
  <c r="I4" i="4"/>
  <c r="O3" i="4"/>
  <c r="M3" i="4"/>
  <c r="J3" i="4"/>
  <c r="I3" i="4"/>
  <c r="O2" i="4"/>
  <c r="AF2" i="4" s="1"/>
  <c r="M2" i="4"/>
  <c r="I2" i="4"/>
  <c r="M41" i="3"/>
  <c r="L41" i="3"/>
  <c r="K41" i="3"/>
  <c r="J41" i="3"/>
  <c r="I41" i="3"/>
  <c r="A41" i="3"/>
  <c r="H41" i="3" s="1"/>
  <c r="M40" i="3"/>
  <c r="L40" i="3"/>
  <c r="K40" i="3"/>
  <c r="J40" i="3"/>
  <c r="I40" i="3"/>
  <c r="A40" i="3"/>
  <c r="H40" i="3" s="1"/>
  <c r="M39" i="3"/>
  <c r="L39" i="3"/>
  <c r="K39" i="3"/>
  <c r="J39" i="3"/>
  <c r="I39" i="3"/>
  <c r="A39" i="3"/>
  <c r="H39" i="3" s="1"/>
  <c r="M38" i="3"/>
  <c r="L38" i="3"/>
  <c r="K38" i="3"/>
  <c r="J38" i="3"/>
  <c r="I38" i="3"/>
  <c r="A38" i="3"/>
  <c r="H38" i="3" s="1"/>
  <c r="M37" i="3"/>
  <c r="L37" i="3"/>
  <c r="K37" i="3"/>
  <c r="J37" i="3"/>
  <c r="I37" i="3"/>
  <c r="A37" i="3"/>
  <c r="H37" i="3" s="1"/>
  <c r="M36" i="3"/>
  <c r="L36" i="3"/>
  <c r="K36" i="3"/>
  <c r="J36" i="3"/>
  <c r="I36" i="3"/>
  <c r="A36" i="3"/>
  <c r="H36" i="3" s="1"/>
  <c r="M35" i="3"/>
  <c r="L35" i="3"/>
  <c r="K35" i="3"/>
  <c r="J35" i="3"/>
  <c r="I35" i="3"/>
  <c r="A35" i="3"/>
  <c r="H35" i="3" s="1"/>
  <c r="M34" i="3"/>
  <c r="L34" i="3"/>
  <c r="K34" i="3"/>
  <c r="J34" i="3"/>
  <c r="I34" i="3"/>
  <c r="A34" i="3"/>
  <c r="H34" i="3" s="1"/>
  <c r="M33" i="3"/>
  <c r="L33" i="3"/>
  <c r="K33" i="3"/>
  <c r="J33" i="3"/>
  <c r="I33" i="3"/>
  <c r="A33" i="3"/>
  <c r="H33" i="3" s="1"/>
  <c r="M32" i="3"/>
  <c r="L32" i="3"/>
  <c r="K32" i="3"/>
  <c r="J32" i="3"/>
  <c r="I32" i="3"/>
  <c r="A32" i="3"/>
  <c r="H32" i="3" s="1"/>
  <c r="M31" i="3"/>
  <c r="L31" i="3"/>
  <c r="K31" i="3"/>
  <c r="J31" i="3"/>
  <c r="I31" i="3"/>
  <c r="A31" i="3"/>
  <c r="H31" i="3" s="1"/>
  <c r="M30" i="3"/>
  <c r="L30" i="3"/>
  <c r="K30" i="3"/>
  <c r="J30" i="3"/>
  <c r="I30" i="3"/>
  <c r="A30" i="3"/>
  <c r="H30" i="3" s="1"/>
  <c r="M29" i="3"/>
  <c r="L29" i="3"/>
  <c r="K29" i="3"/>
  <c r="J29" i="3"/>
  <c r="I29" i="3"/>
  <c r="A29" i="3"/>
  <c r="H29" i="3" s="1"/>
  <c r="M28" i="3"/>
  <c r="L28" i="3"/>
  <c r="K28" i="3"/>
  <c r="J28" i="3"/>
  <c r="I28" i="3"/>
  <c r="A28" i="3"/>
  <c r="H28" i="3" s="1"/>
  <c r="M27" i="3"/>
  <c r="L27" i="3"/>
  <c r="K27" i="3"/>
  <c r="J27" i="3"/>
  <c r="I27" i="3"/>
  <c r="A27" i="3"/>
  <c r="H27" i="3" s="1"/>
  <c r="M26" i="3"/>
  <c r="L26" i="3"/>
  <c r="K26" i="3"/>
  <c r="J26" i="3"/>
  <c r="I26" i="3"/>
  <c r="A26" i="3"/>
  <c r="H26" i="3" s="1"/>
  <c r="M25" i="3"/>
  <c r="L25" i="3"/>
  <c r="K25" i="3"/>
  <c r="J25" i="3"/>
  <c r="I25" i="3"/>
  <c r="A25" i="3"/>
  <c r="H25" i="3" s="1"/>
  <c r="M24" i="3"/>
  <c r="L24" i="3"/>
  <c r="K24" i="3"/>
  <c r="J24" i="3"/>
  <c r="I24" i="3"/>
  <c r="A24" i="3"/>
  <c r="H24" i="3" s="1"/>
  <c r="M23" i="3"/>
  <c r="L23" i="3"/>
  <c r="K23" i="3"/>
  <c r="J23" i="3"/>
  <c r="I23" i="3"/>
  <c r="A23" i="3"/>
  <c r="H23" i="3" s="1"/>
  <c r="M22" i="3"/>
  <c r="L22" i="3"/>
  <c r="K22" i="3"/>
  <c r="J22" i="3"/>
  <c r="I22" i="3"/>
  <c r="A22" i="3"/>
  <c r="H22" i="3" s="1"/>
  <c r="M21" i="3"/>
  <c r="L21" i="3"/>
  <c r="K21" i="3"/>
  <c r="J21" i="3"/>
  <c r="I21" i="3"/>
  <c r="A21" i="3"/>
  <c r="H21" i="3" s="1"/>
  <c r="M20" i="3"/>
  <c r="L20" i="3"/>
  <c r="K20" i="3"/>
  <c r="J20" i="3"/>
  <c r="I20" i="3"/>
  <c r="A20" i="3"/>
  <c r="H20" i="3" s="1"/>
  <c r="M19" i="3"/>
  <c r="L19" i="3"/>
  <c r="K19" i="3"/>
  <c r="J19" i="3"/>
  <c r="I19" i="3"/>
  <c r="A19" i="3"/>
  <c r="H19" i="3" s="1"/>
  <c r="M18" i="3"/>
  <c r="L18" i="3"/>
  <c r="K18" i="3"/>
  <c r="J18" i="3"/>
  <c r="I18" i="3"/>
  <c r="A18" i="3"/>
  <c r="H18" i="3" s="1"/>
  <c r="M17" i="3"/>
  <c r="L17" i="3"/>
  <c r="K17" i="3"/>
  <c r="J17" i="3"/>
  <c r="I17" i="3"/>
  <c r="A17" i="3"/>
  <c r="H17" i="3" s="1"/>
  <c r="M16" i="3"/>
  <c r="L16" i="3"/>
  <c r="K16" i="3"/>
  <c r="J16" i="3"/>
  <c r="I16" i="3"/>
  <c r="A16" i="3"/>
  <c r="H16" i="3" s="1"/>
  <c r="M15" i="3"/>
  <c r="L15" i="3"/>
  <c r="K15" i="3"/>
  <c r="J15" i="3"/>
  <c r="I15" i="3"/>
  <c r="A15" i="3"/>
  <c r="H15" i="3" s="1"/>
  <c r="M14" i="3"/>
  <c r="L14" i="3"/>
  <c r="K14" i="3"/>
  <c r="J14" i="3"/>
  <c r="I14" i="3"/>
  <c r="A14" i="3"/>
  <c r="H14" i="3" s="1"/>
  <c r="M13" i="3"/>
  <c r="L13" i="3"/>
  <c r="K13" i="3"/>
  <c r="J13" i="3"/>
  <c r="I13" i="3"/>
  <c r="A13" i="3"/>
  <c r="H13" i="3" s="1"/>
  <c r="M12" i="3"/>
  <c r="L12" i="3"/>
  <c r="K12" i="3"/>
  <c r="J12" i="3"/>
  <c r="I12" i="3"/>
  <c r="A12" i="3"/>
  <c r="H12" i="3" s="1"/>
  <c r="M11" i="3"/>
  <c r="L11" i="3"/>
  <c r="K11" i="3"/>
  <c r="J11" i="3"/>
  <c r="I11" i="3"/>
  <c r="A11" i="3"/>
  <c r="H11" i="3" s="1"/>
  <c r="M10" i="3"/>
  <c r="L10" i="3"/>
  <c r="K10" i="3"/>
  <c r="J10" i="3"/>
  <c r="I10" i="3"/>
  <c r="A10" i="3"/>
  <c r="H10" i="3" s="1"/>
  <c r="M9" i="3"/>
  <c r="L9" i="3"/>
  <c r="K9" i="3"/>
  <c r="J9" i="3"/>
  <c r="I9" i="3"/>
  <c r="A9" i="3"/>
  <c r="H9" i="3" s="1"/>
  <c r="M8" i="3"/>
  <c r="L8" i="3"/>
  <c r="K8" i="3"/>
  <c r="J8" i="3"/>
  <c r="I8" i="3"/>
  <c r="A8" i="3"/>
  <c r="H8" i="3" s="1"/>
  <c r="M7" i="3"/>
  <c r="L7" i="3"/>
  <c r="K7" i="3"/>
  <c r="J7" i="3"/>
  <c r="I7" i="3"/>
  <c r="A7" i="3"/>
  <c r="H7" i="3" s="1"/>
  <c r="M6" i="3"/>
  <c r="L6" i="3"/>
  <c r="K6" i="3"/>
  <c r="J6" i="3"/>
  <c r="I6" i="3"/>
  <c r="A6" i="3"/>
  <c r="H6" i="3" s="1"/>
  <c r="M5" i="3"/>
  <c r="L5" i="3"/>
  <c r="K5" i="3"/>
  <c r="J5" i="3"/>
  <c r="I5" i="3"/>
  <c r="A5" i="3"/>
  <c r="H5" i="3" s="1"/>
  <c r="M4" i="3"/>
  <c r="L4" i="3"/>
  <c r="K4" i="3"/>
  <c r="J4" i="3"/>
  <c r="I4" i="3"/>
  <c r="A4" i="3"/>
  <c r="H4" i="3" s="1"/>
  <c r="M3" i="3"/>
  <c r="L3" i="3"/>
  <c r="K3" i="3"/>
  <c r="J3" i="3"/>
  <c r="I3" i="3"/>
  <c r="A3" i="3"/>
  <c r="H3" i="3" s="1"/>
  <c r="M2" i="3"/>
  <c r="L2" i="3"/>
  <c r="K2" i="3"/>
  <c r="J2" i="3"/>
  <c r="I2" i="3"/>
  <c r="A2" i="3"/>
  <c r="H2" i="3" s="1"/>
  <c r="M1" i="3"/>
  <c r="L1" i="3"/>
  <c r="K1" i="3"/>
  <c r="J1" i="3"/>
  <c r="I1" i="3"/>
  <c r="D32" i="2"/>
  <c r="C32" i="2"/>
  <c r="A32" i="2"/>
  <c r="D31" i="2"/>
  <c r="C31" i="2"/>
  <c r="A31" i="2"/>
  <c r="D30" i="2"/>
  <c r="C30" i="2"/>
  <c r="A30" i="2"/>
  <c r="D29" i="2"/>
  <c r="C29" i="2"/>
  <c r="A29" i="2"/>
  <c r="D28" i="2"/>
  <c r="C28" i="2"/>
  <c r="A28" i="2"/>
  <c r="D27" i="2"/>
  <c r="C27" i="2"/>
  <c r="A27" i="2"/>
  <c r="D26" i="2"/>
  <c r="F26" i="2" s="1"/>
  <c r="C26" i="2"/>
  <c r="A26" i="2"/>
  <c r="A25" i="2"/>
  <c r="A24" i="2"/>
  <c r="A23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A15" i="2"/>
  <c r="K164" i="6" l="1"/>
  <c r="K172" i="6"/>
  <c r="K188" i="6"/>
  <c r="K196" i="6"/>
  <c r="K297" i="6"/>
  <c r="AE36" i="4"/>
  <c r="K223" i="6"/>
  <c r="K466" i="6"/>
  <c r="E29" i="2"/>
  <c r="F32" i="2"/>
  <c r="K36" i="6"/>
  <c r="K567" i="6"/>
  <c r="K591" i="6"/>
  <c r="K627" i="6"/>
  <c r="K695" i="6"/>
  <c r="K703" i="6"/>
  <c r="K707" i="6"/>
  <c r="K755" i="6"/>
  <c r="K759" i="6"/>
  <c r="K771" i="6"/>
  <c r="K775" i="6"/>
  <c r="K783" i="6"/>
  <c r="K883" i="6"/>
  <c r="K911" i="6"/>
  <c r="K76" i="6"/>
  <c r="K4" i="6"/>
  <c r="K52" i="6"/>
  <c r="K598" i="6"/>
  <c r="K786" i="6"/>
  <c r="K568" i="6"/>
  <c r="K592" i="6"/>
  <c r="K608" i="6"/>
  <c r="K624" i="6"/>
  <c r="K688" i="6"/>
  <c r="K696" i="6"/>
  <c r="K704" i="6"/>
  <c r="K712" i="6"/>
  <c r="K752" i="6"/>
  <c r="K756" i="6"/>
  <c r="K764" i="6"/>
  <c r="K768" i="6"/>
  <c r="K772" i="6"/>
  <c r="K780" i="6"/>
  <c r="K784" i="6"/>
  <c r="K912" i="6"/>
  <c r="K916" i="6"/>
  <c r="K920" i="6"/>
  <c r="F30" i="2"/>
  <c r="K565" i="6"/>
  <c r="K625" i="6"/>
  <c r="K701" i="6"/>
  <c r="K757" i="6"/>
  <c r="K765" i="6"/>
  <c r="K773" i="6"/>
  <c r="K821" i="6"/>
  <c r="AC34" i="4"/>
  <c r="Y34" i="4"/>
  <c r="K168" i="6"/>
  <c r="K176" i="6"/>
  <c r="K184" i="6"/>
  <c r="K192" i="6"/>
  <c r="K200" i="6"/>
  <c r="K208" i="6"/>
  <c r="K216" i="6"/>
  <c r="K392" i="6"/>
  <c r="K486" i="6"/>
  <c r="K914" i="6"/>
  <c r="K323" i="6"/>
  <c r="K331" i="6"/>
  <c r="K339" i="6"/>
  <c r="K355" i="6"/>
  <c r="K363" i="6"/>
  <c r="K371" i="6"/>
  <c r="K387" i="6"/>
  <c r="K419" i="6"/>
  <c r="K483" i="6"/>
  <c r="AA12" i="4"/>
  <c r="K81" i="6"/>
  <c r="K177" i="6"/>
  <c r="K209" i="6"/>
  <c r="K273" i="6"/>
  <c r="K787" i="6"/>
  <c r="K823" i="6"/>
  <c r="W36" i="4"/>
  <c r="K132" i="6"/>
  <c r="K212" i="6"/>
  <c r="K178" i="6"/>
  <c r="K197" i="6"/>
  <c r="K210" i="6"/>
  <c r="K325" i="6"/>
  <c r="K341" i="6"/>
  <c r="AE11" i="4"/>
  <c r="AA11" i="4"/>
  <c r="W11" i="4"/>
  <c r="AA19" i="4"/>
  <c r="AI19" i="4"/>
  <c r="AB16" i="4"/>
  <c r="AA16" i="4"/>
  <c r="K9" i="6"/>
  <c r="K41" i="6"/>
  <c r="K86" i="6"/>
  <c r="K136" i="6"/>
  <c r="K144" i="6"/>
  <c r="K152" i="6"/>
  <c r="K160" i="6"/>
  <c r="K165" i="6"/>
  <c r="K319" i="6"/>
  <c r="K327" i="6"/>
  <c r="K343" i="6"/>
  <c r="K407" i="6"/>
  <c r="K423" i="6"/>
  <c r="K431" i="6"/>
  <c r="K439" i="6"/>
  <c r="K463" i="6"/>
  <c r="K479" i="6"/>
  <c r="K484" i="6"/>
  <c r="K503" i="6"/>
  <c r="K511" i="6"/>
  <c r="K659" i="6"/>
  <c r="K715" i="6"/>
  <c r="K727" i="6"/>
  <c r="K815" i="6"/>
  <c r="K819" i="6"/>
  <c r="K846" i="6"/>
  <c r="K221" i="6"/>
  <c r="K237" i="6"/>
  <c r="K919" i="6"/>
  <c r="W9" i="4"/>
  <c r="V32" i="4"/>
  <c r="K84" i="6"/>
  <c r="K108" i="6"/>
  <c r="K124" i="6"/>
  <c r="K174" i="6"/>
  <c r="K182" i="6"/>
  <c r="K259" i="6"/>
  <c r="K469" i="6"/>
  <c r="K504" i="6"/>
  <c r="K720" i="6"/>
  <c r="K808" i="6"/>
  <c r="K816" i="6"/>
  <c r="K820" i="6"/>
  <c r="K835" i="6"/>
  <c r="K847" i="6"/>
  <c r="AF9" i="4"/>
  <c r="K13" i="6"/>
  <c r="K45" i="6"/>
  <c r="K116" i="6"/>
  <c r="K140" i="6"/>
  <c r="K156" i="6"/>
  <c r="P8" i="4"/>
  <c r="P51" i="4" s="1"/>
  <c r="AC26" i="4"/>
  <c r="X37" i="4"/>
  <c r="K40" i="6"/>
  <c r="K53" i="6"/>
  <c r="K66" i="6"/>
  <c r="K69" i="6"/>
  <c r="K148" i="6"/>
  <c r="K307" i="6"/>
  <c r="K824" i="6"/>
  <c r="S8" i="4"/>
  <c r="P12" i="4"/>
  <c r="P55" i="4" s="1"/>
  <c r="Q24" i="4"/>
  <c r="K16" i="6"/>
  <c r="K48" i="6"/>
  <c r="K72" i="6"/>
  <c r="K80" i="6"/>
  <c r="K96" i="6"/>
  <c r="K101" i="6"/>
  <c r="K114" i="6"/>
  <c r="K180" i="6"/>
  <c r="K204" i="6"/>
  <c r="K241" i="6"/>
  <c r="K321" i="6"/>
  <c r="K329" i="6"/>
  <c r="K353" i="6"/>
  <c r="K385" i="6"/>
  <c r="K390" i="6"/>
  <c r="K467" i="6"/>
  <c r="K566" i="6"/>
  <c r="K702" i="6"/>
  <c r="K758" i="6"/>
  <c r="K762" i="6"/>
  <c r="K766" i="6"/>
  <c r="K774" i="6"/>
  <c r="K913" i="6"/>
  <c r="K921" i="6"/>
  <c r="AC8" i="4"/>
  <c r="Z12" i="4"/>
  <c r="AG24" i="4"/>
  <c r="K112" i="6"/>
  <c r="K133" i="6"/>
  <c r="K146" i="6"/>
  <c r="K271" i="6"/>
  <c r="K401" i="6"/>
  <c r="K449" i="6"/>
  <c r="K822" i="6"/>
  <c r="T20" i="4"/>
  <c r="AG20" i="4"/>
  <c r="AI20" i="4"/>
  <c r="K20" i="6"/>
  <c r="AK14" i="4"/>
  <c r="AD14" i="4"/>
  <c r="AJ3" i="4"/>
  <c r="AF3" i="4"/>
  <c r="AJ10" i="4"/>
  <c r="AL10" i="4"/>
  <c r="AD10" i="4"/>
  <c r="Y10" i="4"/>
  <c r="V10" i="4"/>
  <c r="Y30" i="4"/>
  <c r="AC30" i="4"/>
  <c r="K8" i="6"/>
  <c r="AC6" i="4"/>
  <c r="V6" i="4"/>
  <c r="U6" i="4"/>
  <c r="Q6" i="4"/>
  <c r="AK6" i="4"/>
  <c r="AG6" i="4"/>
  <c r="AF38" i="4"/>
  <c r="AD38" i="4"/>
  <c r="V38" i="4"/>
  <c r="U38" i="4"/>
  <c r="P38" i="4"/>
  <c r="P81" i="4" s="1"/>
  <c r="AI38" i="4"/>
  <c r="AE38" i="4"/>
  <c r="Y6" i="4"/>
  <c r="AI31" i="4"/>
  <c r="AE31" i="4"/>
  <c r="Z38" i="4"/>
  <c r="K104" i="6"/>
  <c r="K33" i="6"/>
  <c r="K38" i="6"/>
  <c r="K58" i="6"/>
  <c r="K61" i="6"/>
  <c r="K92" i="6"/>
  <c r="K110" i="6"/>
  <c r="K120" i="6"/>
  <c r="K128" i="6"/>
  <c r="AK8" i="4"/>
  <c r="AK12" i="4"/>
  <c r="Y26" i="4"/>
  <c r="T28" i="4"/>
  <c r="P41" i="4"/>
  <c r="P84" i="4" s="1"/>
  <c r="K28" i="6"/>
  <c r="K46" i="6"/>
  <c r="K56" i="6"/>
  <c r="K64" i="6"/>
  <c r="K77" i="6"/>
  <c r="K105" i="6"/>
  <c r="K138" i="6"/>
  <c r="K141" i="6"/>
  <c r="K169" i="6"/>
  <c r="K202" i="6"/>
  <c r="K205" i="6"/>
  <c r="K228" i="6"/>
  <c r="K231" i="6"/>
  <c r="K252" i="6"/>
  <c r="K255" i="6"/>
  <c r="K265" i="6"/>
  <c r="K281" i="6"/>
  <c r="K289" i="6"/>
  <c r="K310" i="6"/>
  <c r="K315" i="6"/>
  <c r="K366" i="6"/>
  <c r="K408" i="6"/>
  <c r="K445" i="6"/>
  <c r="K453" i="6"/>
  <c r="K474" i="6"/>
  <c r="K523" i="6"/>
  <c r="K527" i="6"/>
  <c r="K531" i="6"/>
  <c r="K543" i="6"/>
  <c r="K547" i="6"/>
  <c r="K563" i="6"/>
  <c r="K571" i="6"/>
  <c r="K575" i="6"/>
  <c r="K599" i="6"/>
  <c r="K607" i="6"/>
  <c r="K678" i="6"/>
  <c r="K725" i="6"/>
  <c r="K796" i="6"/>
  <c r="K800" i="6"/>
  <c r="K811" i="6"/>
  <c r="K851" i="6"/>
  <c r="K859" i="6"/>
  <c r="K867" i="6"/>
  <c r="K902" i="6"/>
  <c r="K68" i="6"/>
  <c r="AK26" i="4"/>
  <c r="AD41" i="4"/>
  <c r="K18" i="6"/>
  <c r="K44" i="6"/>
  <c r="K49" i="6"/>
  <c r="K70" i="6"/>
  <c r="K85" i="6"/>
  <c r="K90" i="6"/>
  <c r="K93" i="6"/>
  <c r="K98" i="6"/>
  <c r="K129" i="6"/>
  <c r="K134" i="6"/>
  <c r="K154" i="6"/>
  <c r="K157" i="6"/>
  <c r="K162" i="6"/>
  <c r="K185" i="6"/>
  <c r="K193" i="6"/>
  <c r="K198" i="6"/>
  <c r="K213" i="6"/>
  <c r="K218" i="6"/>
  <c r="K226" i="6"/>
  <c r="K234" i="6"/>
  <c r="K250" i="6"/>
  <c r="K258" i="6"/>
  <c r="K279" i="6"/>
  <c r="K287" i="6"/>
  <c r="K313" i="6"/>
  <c r="K337" i="6"/>
  <c r="K369" i="6"/>
  <c r="K377" i="6"/>
  <c r="K403" i="6"/>
  <c r="K411" i="6"/>
  <c r="K451" i="6"/>
  <c r="K497" i="6"/>
  <c r="K536" i="6"/>
  <c r="K560" i="6"/>
  <c r="K604" i="6"/>
  <c r="K679" i="6"/>
  <c r="K687" i="6"/>
  <c r="K690" i="6"/>
  <c r="K726" i="6"/>
  <c r="K797" i="6"/>
  <c r="K832" i="6"/>
  <c r="K848" i="6"/>
  <c r="K852" i="6"/>
  <c r="K856" i="6"/>
  <c r="K860" i="6"/>
  <c r="K864" i="6"/>
  <c r="K876" i="6"/>
  <c r="K880" i="6"/>
  <c r="K887" i="6"/>
  <c r="K899" i="6"/>
  <c r="AL26" i="4"/>
  <c r="K6" i="6"/>
  <c r="K26" i="6"/>
  <c r="K29" i="6"/>
  <c r="K78" i="6"/>
  <c r="K88" i="6"/>
  <c r="K142" i="6"/>
  <c r="P9" i="4"/>
  <c r="P52" i="4" s="1"/>
  <c r="K14" i="6"/>
  <c r="K24" i="6"/>
  <c r="K32" i="6"/>
  <c r="K60" i="6"/>
  <c r="K73" i="6"/>
  <c r="K137" i="6"/>
  <c r="K170" i="6"/>
  <c r="K173" i="6"/>
  <c r="K201" i="6"/>
  <c r="K224" i="6"/>
  <c r="K227" i="6"/>
  <c r="K232" i="6"/>
  <c r="K235" i="6"/>
  <c r="K248" i="6"/>
  <c r="K251" i="6"/>
  <c r="K256" i="6"/>
  <c r="K277" i="6"/>
  <c r="K301" i="6"/>
  <c r="K399" i="6"/>
  <c r="K417" i="6"/>
  <c r="K441" i="6"/>
  <c r="K444" i="6"/>
  <c r="K457" i="6"/>
  <c r="K478" i="6"/>
  <c r="K616" i="6"/>
  <c r="K648" i="6"/>
  <c r="K656" i="6"/>
  <c r="K668" i="6"/>
  <c r="K672" i="6"/>
  <c r="K676" i="6"/>
  <c r="K684" i="6"/>
  <c r="K691" i="6"/>
  <c r="K734" i="6"/>
  <c r="K806" i="6"/>
  <c r="K853" i="6"/>
  <c r="K865" i="6"/>
  <c r="AA9" i="4"/>
  <c r="K12" i="6"/>
  <c r="K17" i="6"/>
  <c r="K50" i="6"/>
  <c r="K97" i="6"/>
  <c r="K102" i="6"/>
  <c r="K117" i="6"/>
  <c r="K122" i="6"/>
  <c r="K125" i="6"/>
  <c r="K130" i="6"/>
  <c r="K153" i="6"/>
  <c r="K161" i="6"/>
  <c r="K166" i="6"/>
  <c r="K181" i="6"/>
  <c r="K186" i="6"/>
  <c r="K189" i="6"/>
  <c r="K194" i="6"/>
  <c r="K217" i="6"/>
  <c r="K230" i="6"/>
  <c r="K254" i="6"/>
  <c r="K262" i="6"/>
  <c r="K267" i="6"/>
  <c r="K275" i="6"/>
  <c r="K283" i="6"/>
  <c r="K397" i="6"/>
  <c r="K402" i="6"/>
  <c r="K415" i="6"/>
  <c r="K495" i="6"/>
  <c r="K499" i="6"/>
  <c r="K518" i="6"/>
  <c r="K526" i="6"/>
  <c r="K542" i="6"/>
  <c r="K550" i="6"/>
  <c r="K590" i="6"/>
  <c r="K677" i="6"/>
  <c r="K685" i="6"/>
  <c r="K724" i="6"/>
  <c r="K731" i="6"/>
  <c r="K747" i="6"/>
  <c r="K791" i="6"/>
  <c r="K799" i="6"/>
  <c r="K807" i="6"/>
  <c r="K850" i="6"/>
  <c r="K858" i="6"/>
  <c r="K866" i="6"/>
  <c r="F29" i="2"/>
  <c r="S5" i="4"/>
  <c r="AA7" i="4"/>
  <c r="AF16" i="4"/>
  <c r="AC18" i="4"/>
  <c r="AA28" i="4"/>
  <c r="O77" i="4"/>
  <c r="AG34" i="4"/>
  <c r="Q34" i="4"/>
  <c r="K2" i="6"/>
  <c r="K22" i="6"/>
  <c r="K34" i="6"/>
  <c r="K54" i="6"/>
  <c r="K113" i="6"/>
  <c r="K118" i="6"/>
  <c r="K145" i="6"/>
  <c r="W5" i="4"/>
  <c r="U12" i="4"/>
  <c r="AK18" i="4"/>
  <c r="Q20" i="4"/>
  <c r="Z24" i="4"/>
  <c r="AB28" i="4"/>
  <c r="AC71" i="4" s="1"/>
  <c r="AL30" i="4"/>
  <c r="Q30" i="4"/>
  <c r="U34" i="4"/>
  <c r="K5" i="6"/>
  <c r="K37" i="6"/>
  <c r="E32" i="2"/>
  <c r="X5" i="4"/>
  <c r="Q10" i="4"/>
  <c r="X12" i="4"/>
  <c r="Q26" i="4"/>
  <c r="AK28" i="4"/>
  <c r="U30" i="4"/>
  <c r="V34" i="4"/>
  <c r="K10" i="6"/>
  <c r="K25" i="6"/>
  <c r="K30" i="6"/>
  <c r="K42" i="6"/>
  <c r="K57" i="6"/>
  <c r="K62" i="6"/>
  <c r="K74" i="6"/>
  <c r="K89" i="6"/>
  <c r="K94" i="6"/>
  <c r="K106" i="6"/>
  <c r="K121" i="6"/>
  <c r="K126" i="6"/>
  <c r="K158" i="6"/>
  <c r="K190" i="6"/>
  <c r="K285" i="6"/>
  <c r="K395" i="6"/>
  <c r="K663" i="6"/>
  <c r="AA5" i="4"/>
  <c r="AL28" i="4"/>
  <c r="K109" i="6"/>
  <c r="K82" i="6"/>
  <c r="E26" i="2"/>
  <c r="E30" i="2"/>
  <c r="S3" i="4"/>
  <c r="U14" i="4"/>
  <c r="S19" i="4"/>
  <c r="P28" i="4"/>
  <c r="P71" i="4" s="1"/>
  <c r="K65" i="6"/>
  <c r="U3" i="4"/>
  <c r="X9" i="4"/>
  <c r="AC10" i="4"/>
  <c r="V14" i="4"/>
  <c r="Q16" i="4"/>
  <c r="R28" i="4"/>
  <c r="AK30" i="4"/>
  <c r="AD34" i="4"/>
  <c r="K21" i="6"/>
  <c r="K149" i="6"/>
  <c r="K247" i="6"/>
  <c r="K830" i="6"/>
  <c r="F31" i="2"/>
  <c r="S7" i="4"/>
  <c r="AA25" i="4"/>
  <c r="Y28" i="4"/>
  <c r="AF36" i="4"/>
  <c r="AF79" i="4" s="1"/>
  <c r="AB41" i="4"/>
  <c r="K7" i="6"/>
  <c r="K23" i="6"/>
  <c r="K39" i="6"/>
  <c r="K55" i="6"/>
  <c r="K71" i="6"/>
  <c r="K87" i="6"/>
  <c r="K103" i="6"/>
  <c r="K119" i="6"/>
  <c r="K135" i="6"/>
  <c r="K151" i="6"/>
  <c r="K167" i="6"/>
  <c r="K183" i="6"/>
  <c r="K199" i="6"/>
  <c r="K215" i="6"/>
  <c r="K222" i="6"/>
  <c r="K240" i="6"/>
  <c r="K243" i="6"/>
  <c r="K253" i="6"/>
  <c r="K286" i="6"/>
  <c r="K291" i="6"/>
  <c r="K309" i="6"/>
  <c r="K427" i="6"/>
  <c r="K448" i="6"/>
  <c r="K458" i="6"/>
  <c r="K468" i="6"/>
  <c r="K473" i="6"/>
  <c r="K516" i="6"/>
  <c r="K520" i="6"/>
  <c r="K528" i="6"/>
  <c r="K532" i="6"/>
  <c r="K540" i="6"/>
  <c r="K544" i="6"/>
  <c r="K552" i="6"/>
  <c r="K556" i="6"/>
  <c r="K583" i="6"/>
  <c r="K632" i="6"/>
  <c r="K636" i="6"/>
  <c r="K644" i="6"/>
  <c r="K651" i="6"/>
  <c r="K655" i="6"/>
  <c r="K670" i="6"/>
  <c r="K674" i="6"/>
  <c r="K682" i="6"/>
  <c r="K686" i="6"/>
  <c r="K694" i="6"/>
  <c r="K717" i="6"/>
  <c r="K732" i="6"/>
  <c r="K736" i="6"/>
  <c r="K744" i="6"/>
  <c r="K767" i="6"/>
  <c r="K794" i="6"/>
  <c r="K798" i="6"/>
  <c r="K802" i="6"/>
  <c r="K814" i="6"/>
  <c r="K829" i="6"/>
  <c r="K836" i="6"/>
  <c r="K844" i="6"/>
  <c r="K855" i="6"/>
  <c r="K871" i="6"/>
  <c r="K891" i="6"/>
  <c r="K910" i="6"/>
  <c r="AF41" i="4"/>
  <c r="K3" i="6"/>
  <c r="K19" i="6"/>
  <c r="K35" i="6"/>
  <c r="K51" i="6"/>
  <c r="K67" i="6"/>
  <c r="K83" i="6"/>
  <c r="K99" i="6"/>
  <c r="K115" i="6"/>
  <c r="K131" i="6"/>
  <c r="K147" i="6"/>
  <c r="K163" i="6"/>
  <c r="K179" i="6"/>
  <c r="K195" i="6"/>
  <c r="K211" i="6"/>
  <c r="K220" i="6"/>
  <c r="K225" i="6"/>
  <c r="K233" i="6"/>
  <c r="K238" i="6"/>
  <c r="K246" i="6"/>
  <c r="K299" i="6"/>
  <c r="K367" i="6"/>
  <c r="K425" i="6"/>
  <c r="K433" i="6"/>
  <c r="K461" i="6"/>
  <c r="K471" i="6"/>
  <c r="K481" i="6"/>
  <c r="K487" i="6"/>
  <c r="K533" i="6"/>
  <c r="K557" i="6"/>
  <c r="K576" i="6"/>
  <c r="K580" i="6"/>
  <c r="K588" i="6"/>
  <c r="K595" i="6"/>
  <c r="K614" i="6"/>
  <c r="K629" i="6"/>
  <c r="K633" i="6"/>
  <c r="K637" i="6"/>
  <c r="K660" i="6"/>
  <c r="K671" i="6"/>
  <c r="K675" i="6"/>
  <c r="K683" i="6"/>
  <c r="K714" i="6"/>
  <c r="K718" i="6"/>
  <c r="K733" i="6"/>
  <c r="K749" i="6"/>
  <c r="K760" i="6"/>
  <c r="K788" i="6"/>
  <c r="K795" i="6"/>
  <c r="K837" i="6"/>
  <c r="K892" i="6"/>
  <c r="K900" i="6"/>
  <c r="K907" i="6"/>
  <c r="AG37" i="4"/>
  <c r="AE81" i="4"/>
  <c r="K15" i="6"/>
  <c r="K31" i="6"/>
  <c r="K47" i="6"/>
  <c r="K63" i="6"/>
  <c r="K79" i="6"/>
  <c r="K95" i="6"/>
  <c r="K111" i="6"/>
  <c r="K127" i="6"/>
  <c r="K143" i="6"/>
  <c r="K159" i="6"/>
  <c r="K175" i="6"/>
  <c r="K191" i="6"/>
  <c r="K207" i="6"/>
  <c r="K236" i="6"/>
  <c r="K239" i="6"/>
  <c r="K244" i="6"/>
  <c r="K249" i="6"/>
  <c r="K257" i="6"/>
  <c r="K295" i="6"/>
  <c r="K305" i="6"/>
  <c r="K318" i="6"/>
  <c r="K365" i="6"/>
  <c r="K370" i="6"/>
  <c r="K375" i="6"/>
  <c r="K398" i="6"/>
  <c r="K405" i="6"/>
  <c r="K413" i="6"/>
  <c r="K418" i="6"/>
  <c r="K462" i="6"/>
  <c r="K477" i="6"/>
  <c r="K482" i="6"/>
  <c r="K488" i="6"/>
  <c r="K492" i="6"/>
  <c r="K510" i="6"/>
  <c r="K581" i="6"/>
  <c r="K596" i="6"/>
  <c r="K615" i="6"/>
  <c r="K630" i="6"/>
  <c r="K634" i="6"/>
  <c r="K638" i="6"/>
  <c r="K646" i="6"/>
  <c r="K661" i="6"/>
  <c r="K664" i="6"/>
  <c r="K699" i="6"/>
  <c r="K719" i="6"/>
  <c r="K722" i="6"/>
  <c r="K742" i="6"/>
  <c r="K746" i="6"/>
  <c r="K750" i="6"/>
  <c r="K789" i="6"/>
  <c r="K838" i="6"/>
  <c r="K885" i="6"/>
  <c r="K889" i="6"/>
  <c r="AD36" i="4"/>
  <c r="AE79" i="4" s="1"/>
  <c r="K11" i="6"/>
  <c r="K27" i="6"/>
  <c r="K43" i="6"/>
  <c r="K59" i="6"/>
  <c r="K75" i="6"/>
  <c r="K91" i="6"/>
  <c r="K107" i="6"/>
  <c r="K123" i="6"/>
  <c r="K139" i="6"/>
  <c r="K155" i="6"/>
  <c r="K171" i="6"/>
  <c r="K187" i="6"/>
  <c r="K203" i="6"/>
  <c r="K219" i="6"/>
  <c r="K242" i="6"/>
  <c r="K306" i="6"/>
  <c r="K311" i="6"/>
  <c r="K342" i="6"/>
  <c r="K347" i="6"/>
  <c r="K358" i="6"/>
  <c r="K421" i="6"/>
  <c r="K432" i="6"/>
  <c r="K437" i="6"/>
  <c r="K455" i="6"/>
  <c r="K493" i="6"/>
  <c r="K496" i="6"/>
  <c r="K507" i="6"/>
  <c r="K519" i="6"/>
  <c r="K535" i="6"/>
  <c r="K551" i="6"/>
  <c r="K559" i="6"/>
  <c r="K582" i="6"/>
  <c r="K597" i="6"/>
  <c r="K600" i="6"/>
  <c r="K619" i="6"/>
  <c r="K639" i="6"/>
  <c r="K647" i="6"/>
  <c r="K654" i="6"/>
  <c r="K723" i="6"/>
  <c r="K735" i="6"/>
  <c r="K743" i="6"/>
  <c r="K751" i="6"/>
  <c r="K790" i="6"/>
  <c r="K813" i="6"/>
  <c r="K828" i="6"/>
  <c r="K831" i="6"/>
  <c r="K839" i="6"/>
  <c r="K854" i="6"/>
  <c r="K870" i="6"/>
  <c r="K878" i="6"/>
  <c r="K890" i="6"/>
  <c r="K894" i="6"/>
  <c r="K909" i="6"/>
  <c r="O46" i="4"/>
  <c r="AC3" i="4"/>
  <c r="P3" i="4"/>
  <c r="P46" i="4" s="1"/>
  <c r="AD3" i="4"/>
  <c r="X4" i="4"/>
  <c r="O51" i="4"/>
  <c r="AI8" i="4"/>
  <c r="Z8" i="4"/>
  <c r="Q8" i="4"/>
  <c r="Q51" i="4" s="1"/>
  <c r="Y8" i="4"/>
  <c r="AJ8" i="4"/>
  <c r="AK51" i="4" s="1"/>
  <c r="AE17" i="4"/>
  <c r="S17" i="4"/>
  <c r="AA17" i="4"/>
  <c r="O63" i="4"/>
  <c r="AJ20" i="4"/>
  <c r="AJ63" i="4" s="1"/>
  <c r="AA20" i="4"/>
  <c r="R20" i="4"/>
  <c r="AF20" i="4"/>
  <c r="AG63" i="4" s="1"/>
  <c r="V20" i="4"/>
  <c r="AB20" i="4"/>
  <c r="P20" i="4"/>
  <c r="P63" i="4" s="1"/>
  <c r="AK20" i="4"/>
  <c r="Y20" i="4"/>
  <c r="AD20" i="4"/>
  <c r="AD39" i="4"/>
  <c r="O47" i="4"/>
  <c r="AD4" i="4"/>
  <c r="U4" i="4"/>
  <c r="Y4" i="4"/>
  <c r="AI4" i="4"/>
  <c r="AI47" i="4" s="1"/>
  <c r="O65" i="4"/>
  <c r="AL22" i="4"/>
  <c r="Q22" i="4"/>
  <c r="AC22" i="4"/>
  <c r="AD22" i="4"/>
  <c r="V22" i="4"/>
  <c r="O75" i="4"/>
  <c r="AL32" i="4"/>
  <c r="AC32" i="4"/>
  <c r="T32" i="4"/>
  <c r="AH32" i="4"/>
  <c r="Y32" i="4"/>
  <c r="P32" i="4"/>
  <c r="P75" i="4" s="1"/>
  <c r="AG32" i="4"/>
  <c r="U32" i="4"/>
  <c r="V75" i="4" s="1"/>
  <c r="AF32" i="4"/>
  <c r="S32" i="4"/>
  <c r="AB32" i="4"/>
  <c r="Q32" i="4"/>
  <c r="AJ32" i="4"/>
  <c r="AJ35" i="4"/>
  <c r="S35" i="4"/>
  <c r="AF35" i="4"/>
  <c r="W35" i="4"/>
  <c r="AJ39" i="4"/>
  <c r="T3" i="4"/>
  <c r="AI3" i="4"/>
  <c r="AJ46" i="4" s="1"/>
  <c r="P4" i="4"/>
  <c r="P47" i="4" s="1"/>
  <c r="Z4" i="4"/>
  <c r="AJ4" i="4"/>
  <c r="T7" i="4"/>
  <c r="T50" i="4" s="1"/>
  <c r="R8" i="4"/>
  <c r="S51" i="4" s="1"/>
  <c r="AB8" i="4"/>
  <c r="AC51" i="4" s="1"/>
  <c r="AL8" i="4"/>
  <c r="O59" i="4"/>
  <c r="AH16" i="4"/>
  <c r="Y16" i="4"/>
  <c r="P16" i="4"/>
  <c r="P59" i="4" s="1"/>
  <c r="AL16" i="4"/>
  <c r="AC16" i="4"/>
  <c r="T16" i="4"/>
  <c r="AJ16" i="4"/>
  <c r="X16" i="4"/>
  <c r="AG16" i="4"/>
  <c r="U16" i="4"/>
  <c r="AD16" i="4"/>
  <c r="AI17" i="4"/>
  <c r="S20" i="4"/>
  <c r="T63" i="4" s="1"/>
  <c r="AH20" i="4"/>
  <c r="U22" i="4"/>
  <c r="O67" i="4"/>
  <c r="AJ24" i="4"/>
  <c r="AA24" i="4"/>
  <c r="R24" i="4"/>
  <c r="AF24" i="4"/>
  <c r="AG67" i="4" s="1"/>
  <c r="V24" i="4"/>
  <c r="AB24" i="4"/>
  <c r="AC67" i="4" s="1"/>
  <c r="P24" i="4"/>
  <c r="P67" i="4" s="1"/>
  <c r="AK24" i="4"/>
  <c r="Y24" i="4"/>
  <c r="AD24" i="4"/>
  <c r="S25" i="4"/>
  <c r="R32" i="4"/>
  <c r="AK32" i="4"/>
  <c r="AA35" i="4"/>
  <c r="AK39" i="4"/>
  <c r="AE13" i="4"/>
  <c r="AA13" i="4"/>
  <c r="P13" i="4"/>
  <c r="P56" i="4" s="1"/>
  <c r="X13" i="4"/>
  <c r="S13" i="4"/>
  <c r="Q4" i="4"/>
  <c r="AA4" i="4"/>
  <c r="AK4" i="4"/>
  <c r="V3" i="4"/>
  <c r="V46" i="4" s="1"/>
  <c r="AK3" i="4"/>
  <c r="AK46" i="4" s="1"/>
  <c r="R4" i="4"/>
  <c r="AB4" i="4"/>
  <c r="AL4" i="4"/>
  <c r="AL47" i="4" s="1"/>
  <c r="AB7" i="4"/>
  <c r="AB50" i="4" s="1"/>
  <c r="T8" i="4"/>
  <c r="AD8" i="4"/>
  <c r="AD51" i="4" s="1"/>
  <c r="O55" i="4"/>
  <c r="AL12" i="4"/>
  <c r="AL55" i="4" s="1"/>
  <c r="AC12" i="4"/>
  <c r="AD55" i="4" s="1"/>
  <c r="T12" i="4"/>
  <c r="U55" i="4" s="1"/>
  <c r="AP55" i="4" s="1"/>
  <c r="AH12" i="4"/>
  <c r="Y12" i="4"/>
  <c r="Y55" i="4" s="1"/>
  <c r="AI12" i="4"/>
  <c r="V12" i="4"/>
  <c r="AF12" i="4"/>
  <c r="S12" i="4"/>
  <c r="AB12" i="4"/>
  <c r="W13" i="4"/>
  <c r="R16" i="4"/>
  <c r="R59" i="4" s="1"/>
  <c r="AI16" i="4"/>
  <c r="AJ59" i="4" s="1"/>
  <c r="O61" i="4"/>
  <c r="V18" i="4"/>
  <c r="AG18" i="4"/>
  <c r="AL18" i="4"/>
  <c r="AL61" i="4" s="1"/>
  <c r="AD18" i="4"/>
  <c r="AD61" i="4" s="1"/>
  <c r="U20" i="4"/>
  <c r="U63" i="4" s="1"/>
  <c r="AL20" i="4"/>
  <c r="AG22" i="4"/>
  <c r="S24" i="4"/>
  <c r="AH24" i="4"/>
  <c r="AH67" i="4" s="1"/>
  <c r="X32" i="4"/>
  <c r="AE39" i="4"/>
  <c r="AL39" i="4"/>
  <c r="AC39" i="4"/>
  <c r="T39" i="4"/>
  <c r="AH39" i="4"/>
  <c r="AH82" i="4" s="1"/>
  <c r="Y39" i="4"/>
  <c r="P39" i="4"/>
  <c r="P82" i="4" s="1"/>
  <c r="O82" i="4"/>
  <c r="AI39" i="4"/>
  <c r="AJ82" i="4" s="1"/>
  <c r="V39" i="4"/>
  <c r="AG39" i="4"/>
  <c r="U39" i="4"/>
  <c r="U82" i="4" s="1"/>
  <c r="AF39" i="4"/>
  <c r="S39" i="4"/>
  <c r="S82" i="4" s="1"/>
  <c r="AB39" i="4"/>
  <c r="Q39" i="4"/>
  <c r="X3" i="4"/>
  <c r="AL3" i="4"/>
  <c r="S4" i="4"/>
  <c r="AC4" i="4"/>
  <c r="AE7" i="4"/>
  <c r="U8" i="4"/>
  <c r="AF8" i="4"/>
  <c r="AI11" i="4"/>
  <c r="AB11" i="4"/>
  <c r="AB54" i="4" s="1"/>
  <c r="AF13" i="4"/>
  <c r="T15" i="4"/>
  <c r="AE15" i="4"/>
  <c r="AI15" i="4"/>
  <c r="AA15" i="4"/>
  <c r="AB58" i="4" s="1"/>
  <c r="S16" i="4"/>
  <c r="AK16" i="4"/>
  <c r="X20" i="4"/>
  <c r="AK22" i="4"/>
  <c r="T24" i="4"/>
  <c r="AI24" i="4"/>
  <c r="AI27" i="4"/>
  <c r="AA27" i="4"/>
  <c r="S27" i="4"/>
  <c r="Z32" i="4"/>
  <c r="S33" i="4"/>
  <c r="AI33" i="4"/>
  <c r="AA33" i="4"/>
  <c r="AI36" i="4"/>
  <c r="AJ79" i="4" s="1"/>
  <c r="V36" i="4"/>
  <c r="W79" i="4" s="1"/>
  <c r="AB36" i="4"/>
  <c r="Q36" i="4"/>
  <c r="AA36" i="4"/>
  <c r="Z36" i="4"/>
  <c r="AL36" i="4"/>
  <c r="T36" i="4"/>
  <c r="X39" i="4"/>
  <c r="Q40" i="4"/>
  <c r="AH40" i="4"/>
  <c r="Z40" i="4"/>
  <c r="Y40" i="4"/>
  <c r="AA3" i="4"/>
  <c r="T4" i="4"/>
  <c r="AF4" i="4"/>
  <c r="O49" i="4"/>
  <c r="AD6" i="4"/>
  <c r="AL6" i="4"/>
  <c r="AI7" i="4"/>
  <c r="V8" i="4"/>
  <c r="V51" i="4" s="1"/>
  <c r="AG8" i="4"/>
  <c r="AG51" i="4" s="1"/>
  <c r="S11" i="4"/>
  <c r="Q12" i="4"/>
  <c r="Q55" i="4" s="1"/>
  <c r="AG12" i="4"/>
  <c r="S15" i="4"/>
  <c r="T58" i="4" s="1"/>
  <c r="V16" i="4"/>
  <c r="U18" i="4"/>
  <c r="Z20" i="4"/>
  <c r="Z63" i="4" s="1"/>
  <c r="U24" i="4"/>
  <c r="AL24" i="4"/>
  <c r="AA32" i="4"/>
  <c r="R36" i="4"/>
  <c r="Z39" i="4"/>
  <c r="AB3" i="4"/>
  <c r="V4" i="4"/>
  <c r="AG4" i="4"/>
  <c r="AE5" i="4"/>
  <c r="AF5" i="4"/>
  <c r="AF48" i="4" s="1"/>
  <c r="X8" i="4"/>
  <c r="AH8" i="4"/>
  <c r="T11" i="4"/>
  <c r="R12" i="4"/>
  <c r="AJ12" i="4"/>
  <c r="AK55" i="4" s="1"/>
  <c r="O57" i="4"/>
  <c r="AC14" i="4"/>
  <c r="AD57" i="4" s="1"/>
  <c r="AL14" i="4"/>
  <c r="AL57" i="4" s="1"/>
  <c r="Q14" i="4"/>
  <c r="AG14" i="4"/>
  <c r="Y14" i="4"/>
  <c r="W15" i="4"/>
  <c r="Z16" i="4"/>
  <c r="AA59" i="4" s="1"/>
  <c r="Y18" i="4"/>
  <c r="AC20" i="4"/>
  <c r="X24" i="4"/>
  <c r="O71" i="4"/>
  <c r="AD28" i="4"/>
  <c r="U28" i="4"/>
  <c r="AI28" i="4"/>
  <c r="Z28" i="4"/>
  <c r="Q28" i="4"/>
  <c r="AJ28" i="4"/>
  <c r="X28" i="4"/>
  <c r="AH28" i="4"/>
  <c r="V28" i="4"/>
  <c r="AF28" i="4"/>
  <c r="S28" i="4"/>
  <c r="T71" i="4" s="1"/>
  <c r="AG28" i="4"/>
  <c r="AD32" i="4"/>
  <c r="S36" i="4"/>
  <c r="T79" i="4" s="1"/>
  <c r="AA39" i="4"/>
  <c r="AH41" i="4"/>
  <c r="W41" i="4"/>
  <c r="AC41" i="4"/>
  <c r="AD84" i="4" s="1"/>
  <c r="R41" i="4"/>
  <c r="AL41" i="4"/>
  <c r="Y41" i="4"/>
  <c r="AK41" i="4"/>
  <c r="AK84" i="4" s="1"/>
  <c r="V41" i="4"/>
  <c r="AJ41" i="4"/>
  <c r="U41" i="4"/>
  <c r="O84" i="4"/>
  <c r="AE41" i="4"/>
  <c r="Q41" i="4"/>
  <c r="Q84" i="4" s="1"/>
  <c r="AK10" i="4"/>
  <c r="O69" i="4"/>
  <c r="AD26" i="4"/>
  <c r="U26" i="4"/>
  <c r="AD30" i="4"/>
  <c r="AD73" i="4" s="1"/>
  <c r="K229" i="6"/>
  <c r="K278" i="6"/>
  <c r="K288" i="6"/>
  <c r="K293" i="6"/>
  <c r="S9" i="4"/>
  <c r="U10" i="4"/>
  <c r="V53" i="4" s="1"/>
  <c r="V26" i="4"/>
  <c r="K261" i="6"/>
  <c r="K631" i="6"/>
  <c r="O73" i="4"/>
  <c r="V30" i="4"/>
  <c r="V73" i="4" s="1"/>
  <c r="AG30" i="4"/>
  <c r="K379" i="6"/>
  <c r="K465" i="6"/>
  <c r="K245" i="6"/>
  <c r="K782" i="6"/>
  <c r="K374" i="6"/>
  <c r="K389" i="6"/>
  <c r="K409" i="6"/>
  <c r="K472" i="6"/>
  <c r="K501" i="6"/>
  <c r="K508" i="6"/>
  <c r="K569" i="6"/>
  <c r="K573" i="6"/>
  <c r="K584" i="6"/>
  <c r="K653" i="6"/>
  <c r="K692" i="6"/>
  <c r="K706" i="6"/>
  <c r="K710" i="6"/>
  <c r="K728" i="6"/>
  <c r="K739" i="6"/>
  <c r="K781" i="6"/>
  <c r="K840" i="6"/>
  <c r="K877" i="6"/>
  <c r="K881" i="6"/>
  <c r="K896" i="6"/>
  <c r="K903" i="6"/>
  <c r="K918" i="6"/>
  <c r="W38" i="4"/>
  <c r="K264" i="6"/>
  <c r="K269" i="6"/>
  <c r="K357" i="6"/>
  <c r="K382" i="6"/>
  <c r="K456" i="6"/>
  <c r="K470" i="6"/>
  <c r="K475" i="6"/>
  <c r="K512" i="6"/>
  <c r="K537" i="6"/>
  <c r="K541" i="6"/>
  <c r="K548" i="6"/>
  <c r="K555" i="6"/>
  <c r="K574" i="6"/>
  <c r="K589" i="6"/>
  <c r="K621" i="6"/>
  <c r="K628" i="6"/>
  <c r="K635" i="6"/>
  <c r="K693" i="6"/>
  <c r="K700" i="6"/>
  <c r="K711" i="6"/>
  <c r="K740" i="6"/>
  <c r="K778" i="6"/>
  <c r="K792" i="6"/>
  <c r="K803" i="6"/>
  <c r="K845" i="6"/>
  <c r="K874" i="6"/>
  <c r="K882" i="6"/>
  <c r="K893" i="6"/>
  <c r="K904" i="6"/>
  <c r="K908" i="6"/>
  <c r="K915" i="6"/>
  <c r="K317" i="6"/>
  <c r="K335" i="6"/>
  <c r="K345" i="6"/>
  <c r="K350" i="6"/>
  <c r="K393" i="6"/>
  <c r="K422" i="6"/>
  <c r="K429" i="6"/>
  <c r="K454" i="6"/>
  <c r="K459" i="6"/>
  <c r="K517" i="6"/>
  <c r="K524" i="6"/>
  <c r="K534" i="6"/>
  <c r="K538" i="6"/>
  <c r="K549" i="6"/>
  <c r="K593" i="6"/>
  <c r="K603" i="6"/>
  <c r="K622" i="6"/>
  <c r="K640" i="6"/>
  <c r="K665" i="6"/>
  <c r="K669" i="6"/>
  <c r="K730" i="6"/>
  <c r="K741" i="6"/>
  <c r="K748" i="6"/>
  <c r="K754" i="6"/>
  <c r="K804" i="6"/>
  <c r="K842" i="6"/>
  <c r="K863" i="6"/>
  <c r="K875" i="6"/>
  <c r="K886" i="6"/>
  <c r="AK34" i="4"/>
  <c r="K290" i="6"/>
  <c r="K303" i="6"/>
  <c r="K333" i="6"/>
  <c r="K361" i="6"/>
  <c r="K406" i="6"/>
  <c r="K435" i="6"/>
  <c r="K447" i="6"/>
  <c r="K500" i="6"/>
  <c r="K525" i="6"/>
  <c r="K561" i="6"/>
  <c r="K572" i="6"/>
  <c r="K579" i="6"/>
  <c r="K611" i="6"/>
  <c r="K623" i="6"/>
  <c r="K645" i="6"/>
  <c r="K652" i="6"/>
  <c r="K662" i="6"/>
  <c r="K666" i="6"/>
  <c r="K680" i="6"/>
  <c r="K776" i="6"/>
  <c r="K805" i="6"/>
  <c r="K812" i="6"/>
  <c r="K818" i="6"/>
  <c r="K294" i="6"/>
  <c r="K304" i="6"/>
  <c r="K326" i="6"/>
  <c r="K351" i="6"/>
  <c r="K373" i="6"/>
  <c r="K383" i="6"/>
  <c r="K414" i="6"/>
  <c r="K440" i="6"/>
  <c r="K450" i="6"/>
  <c r="K464" i="6"/>
  <c r="K480" i="6"/>
  <c r="K485" i="6"/>
  <c r="K491" i="6"/>
  <c r="K502" i="6"/>
  <c r="K505" i="6"/>
  <c r="K509" i="6"/>
  <c r="K515" i="6"/>
  <c r="K529" i="6"/>
  <c r="K539" i="6"/>
  <c r="K570" i="6"/>
  <c r="K587" i="6"/>
  <c r="K601" i="6"/>
  <c r="K605" i="6"/>
  <c r="K612" i="6"/>
  <c r="K643" i="6"/>
  <c r="K657" i="6"/>
  <c r="K667" i="6"/>
  <c r="K708" i="6"/>
  <c r="K779" i="6"/>
  <c r="K826" i="6"/>
  <c r="K843" i="6"/>
  <c r="K861" i="6"/>
  <c r="K868" i="6"/>
  <c r="K872" i="6"/>
  <c r="K879" i="6"/>
  <c r="K898" i="6"/>
  <c r="K901" i="6"/>
  <c r="K263" i="6"/>
  <c r="K270" i="6"/>
  <c r="K280" i="6"/>
  <c r="K302" i="6"/>
  <c r="K334" i="6"/>
  <c r="K349" i="6"/>
  <c r="K354" i="6"/>
  <c r="K359" i="6"/>
  <c r="K381" i="6"/>
  <c r="K386" i="6"/>
  <c r="K391" i="6"/>
  <c r="K436" i="6"/>
  <c r="K443" i="6"/>
  <c r="K460" i="6"/>
  <c r="K476" i="6"/>
  <c r="K506" i="6"/>
  <c r="K564" i="6"/>
  <c r="K602" i="6"/>
  <c r="K606" i="6"/>
  <c r="K613" i="6"/>
  <c r="K620" i="6"/>
  <c r="K698" i="6"/>
  <c r="K709" i="6"/>
  <c r="K716" i="6"/>
  <c r="K763" i="6"/>
  <c r="K810" i="6"/>
  <c r="K827" i="6"/>
  <c r="K862" i="6"/>
  <c r="K869" i="6"/>
  <c r="K884" i="6"/>
  <c r="K888" i="6"/>
  <c r="K895" i="6"/>
  <c r="K906" i="6"/>
  <c r="K917" i="6"/>
  <c r="F27" i="2"/>
  <c r="E27" i="2"/>
  <c r="E31" i="2"/>
  <c r="P2" i="4"/>
  <c r="P45" i="4" s="1"/>
  <c r="O62" i="4"/>
  <c r="AH19" i="4"/>
  <c r="AI62" i="4" s="1"/>
  <c r="Z19" i="4"/>
  <c r="AA62" i="4" s="1"/>
  <c r="R19" i="4"/>
  <c r="AG19" i="4"/>
  <c r="Y19" i="4"/>
  <c r="Q19" i="4"/>
  <c r="AF19" i="4"/>
  <c r="X19" i="4"/>
  <c r="P19" i="4"/>
  <c r="P62" i="4" s="1"/>
  <c r="AL19" i="4"/>
  <c r="AD19" i="4"/>
  <c r="V19" i="4"/>
  <c r="AK19" i="4"/>
  <c r="AC19" i="4"/>
  <c r="U19" i="4"/>
  <c r="AJ19" i="4"/>
  <c r="AJ62" i="4" s="1"/>
  <c r="AB19" i="4"/>
  <c r="AB62" i="4" s="1"/>
  <c r="T19" i="4"/>
  <c r="T62" i="4" s="1"/>
  <c r="S21" i="4"/>
  <c r="O68" i="4"/>
  <c r="AL25" i="4"/>
  <c r="AD25" i="4"/>
  <c r="V25" i="4"/>
  <c r="AK25" i="4"/>
  <c r="AC25" i="4"/>
  <c r="U25" i="4"/>
  <c r="AJ25" i="4"/>
  <c r="AJ68" i="4" s="1"/>
  <c r="AB25" i="4"/>
  <c r="T25" i="4"/>
  <c r="AH25" i="4"/>
  <c r="AI68" i="4" s="1"/>
  <c r="Z25" i="4"/>
  <c r="R25" i="4"/>
  <c r="AG25" i="4"/>
  <c r="Y25" i="4"/>
  <c r="Q25" i="4"/>
  <c r="AF25" i="4"/>
  <c r="X25" i="4"/>
  <c r="P25" i="4"/>
  <c r="P68" i="4" s="1"/>
  <c r="J34" i="4"/>
  <c r="AC37" i="4"/>
  <c r="S2" i="4"/>
  <c r="AK53" i="4"/>
  <c r="W21" i="4"/>
  <c r="O66" i="4"/>
  <c r="AH23" i="4"/>
  <c r="Z23" i="4"/>
  <c r="R23" i="4"/>
  <c r="AG23" i="4"/>
  <c r="Y23" i="4"/>
  <c r="Q23" i="4"/>
  <c r="AF23" i="4"/>
  <c r="X23" i="4"/>
  <c r="X66" i="4" s="1"/>
  <c r="P23" i="4"/>
  <c r="P66" i="4" s="1"/>
  <c r="AL23" i="4"/>
  <c r="AD23" i="4"/>
  <c r="V23" i="4"/>
  <c r="W66" i="4" s="1"/>
  <c r="AK23" i="4"/>
  <c r="AC23" i="4"/>
  <c r="U23" i="4"/>
  <c r="AJ23" i="4"/>
  <c r="AB23" i="4"/>
  <c r="T23" i="4"/>
  <c r="O72" i="4"/>
  <c r="AL29" i="4"/>
  <c r="AD29" i="4"/>
  <c r="V29" i="4"/>
  <c r="W72" i="4" s="1"/>
  <c r="AK29" i="4"/>
  <c r="AC29" i="4"/>
  <c r="U29" i="4"/>
  <c r="AJ29" i="4"/>
  <c r="AB29" i="4"/>
  <c r="T29" i="4"/>
  <c r="AH29" i="4"/>
  <c r="Z29" i="4"/>
  <c r="R29" i="4"/>
  <c r="AG29" i="4"/>
  <c r="Y29" i="4"/>
  <c r="Q29" i="4"/>
  <c r="AF29" i="4"/>
  <c r="X29" i="4"/>
  <c r="X72" i="4" s="1"/>
  <c r="P29" i="4"/>
  <c r="P72" i="4" s="1"/>
  <c r="J62" i="4"/>
  <c r="J94" i="4"/>
  <c r="J310" i="4"/>
  <c r="J358" i="4"/>
  <c r="W2" i="4"/>
  <c r="X48" i="4"/>
  <c r="AL49" i="4"/>
  <c r="X52" i="4"/>
  <c r="AL53" i="4"/>
  <c r="W19" i="4"/>
  <c r="AA21" i="4"/>
  <c r="S23" i="4"/>
  <c r="W25" i="4"/>
  <c r="O70" i="4"/>
  <c r="AH27" i="4"/>
  <c r="Z27" i="4"/>
  <c r="R27" i="4"/>
  <c r="AG27" i="4"/>
  <c r="Y27" i="4"/>
  <c r="Q27" i="4"/>
  <c r="AF27" i="4"/>
  <c r="X27" i="4"/>
  <c r="P27" i="4"/>
  <c r="P70" i="4" s="1"/>
  <c r="AL27" i="4"/>
  <c r="AD27" i="4"/>
  <c r="V27" i="4"/>
  <c r="AK27" i="4"/>
  <c r="AC27" i="4"/>
  <c r="U27" i="4"/>
  <c r="AJ27" i="4"/>
  <c r="AB27" i="4"/>
  <c r="T27" i="4"/>
  <c r="S29" i="4"/>
  <c r="O76" i="4"/>
  <c r="AL33" i="4"/>
  <c r="AD33" i="4"/>
  <c r="V33" i="4"/>
  <c r="AK33" i="4"/>
  <c r="AC33" i="4"/>
  <c r="U33" i="4"/>
  <c r="AJ33" i="4"/>
  <c r="AB33" i="4"/>
  <c r="AB76" i="4" s="1"/>
  <c r="T33" i="4"/>
  <c r="AH33" i="4"/>
  <c r="AI76" i="4" s="1"/>
  <c r="Z33" i="4"/>
  <c r="AA76" i="4" s="1"/>
  <c r="R33" i="4"/>
  <c r="AG33" i="4"/>
  <c r="Y33" i="4"/>
  <c r="Q33" i="4"/>
  <c r="AF33" i="4"/>
  <c r="X33" i="4"/>
  <c r="P33" i="4"/>
  <c r="P76" i="4" s="1"/>
  <c r="F28" i="2"/>
  <c r="E28" i="2"/>
  <c r="X2" i="4"/>
  <c r="AE21" i="4"/>
  <c r="O74" i="4"/>
  <c r="AH31" i="4"/>
  <c r="Z31" i="4"/>
  <c r="R31" i="4"/>
  <c r="AG31" i="4"/>
  <c r="Y31" i="4"/>
  <c r="Q31" i="4"/>
  <c r="AF31" i="4"/>
  <c r="AF74" i="4" s="1"/>
  <c r="X31" i="4"/>
  <c r="P31" i="4"/>
  <c r="P74" i="4" s="1"/>
  <c r="AL31" i="4"/>
  <c r="AD31" i="4"/>
  <c r="V31" i="4"/>
  <c r="AK31" i="4"/>
  <c r="AC31" i="4"/>
  <c r="U31" i="4"/>
  <c r="AJ31" i="4"/>
  <c r="AJ74" i="4" s="1"/>
  <c r="AB31" i="4"/>
  <c r="T31" i="4"/>
  <c r="AA2" i="4"/>
  <c r="V49" i="4"/>
  <c r="O50" i="4"/>
  <c r="AH7" i="4"/>
  <c r="Z7" i="4"/>
  <c r="R7" i="4"/>
  <c r="AG7" i="4"/>
  <c r="Y7" i="4"/>
  <c r="Q7" i="4"/>
  <c r="AF7" i="4"/>
  <c r="AF50" i="4" s="1"/>
  <c r="X7" i="4"/>
  <c r="X50" i="4" s="1"/>
  <c r="P7" i="4"/>
  <c r="P50" i="4" s="1"/>
  <c r="AL7" i="4"/>
  <c r="AD7" i="4"/>
  <c r="V7" i="4"/>
  <c r="AK7" i="4"/>
  <c r="AC7" i="4"/>
  <c r="U7" i="4"/>
  <c r="U50" i="4" s="1"/>
  <c r="AJ7" i="4"/>
  <c r="AJ50" i="4" s="1"/>
  <c r="O54" i="4"/>
  <c r="AH11" i="4"/>
  <c r="Z11" i="4"/>
  <c r="R11" i="4"/>
  <c r="AG11" i="4"/>
  <c r="Y11" i="4"/>
  <c r="Q11" i="4"/>
  <c r="AF11" i="4"/>
  <c r="AF54" i="4" s="1"/>
  <c r="X11" i="4"/>
  <c r="X54" i="4" s="1"/>
  <c r="P11" i="4"/>
  <c r="P54" i="4" s="1"/>
  <c r="AL11" i="4"/>
  <c r="AD11" i="4"/>
  <c r="V11" i="4"/>
  <c r="AK11" i="4"/>
  <c r="AC11" i="4"/>
  <c r="AC54" i="4" s="1"/>
  <c r="U11" i="4"/>
  <c r="AJ11" i="4"/>
  <c r="V57" i="4"/>
  <c r="O58" i="4"/>
  <c r="AH15" i="4"/>
  <c r="Z15" i="4"/>
  <c r="R15" i="4"/>
  <c r="AG15" i="4"/>
  <c r="Y15" i="4"/>
  <c r="Q15" i="4"/>
  <c r="AF15" i="4"/>
  <c r="X15" i="4"/>
  <c r="X58" i="4" s="1"/>
  <c r="P15" i="4"/>
  <c r="P58" i="4" s="1"/>
  <c r="AL15" i="4"/>
  <c r="AD15" i="4"/>
  <c r="V15" i="4"/>
  <c r="W58" i="4" s="1"/>
  <c r="AK15" i="4"/>
  <c r="AC15" i="4"/>
  <c r="AC58" i="4" s="1"/>
  <c r="U15" i="4"/>
  <c r="U58" i="4" s="1"/>
  <c r="AJ15" i="4"/>
  <c r="J18" i="4"/>
  <c r="AE19" i="4"/>
  <c r="AE62" i="4" s="1"/>
  <c r="AA23" i="4"/>
  <c r="AE25" i="4"/>
  <c r="W27" i="4"/>
  <c r="AA29" i="4"/>
  <c r="S31" i="4"/>
  <c r="W33" i="4"/>
  <c r="AE35" i="4"/>
  <c r="O78" i="4"/>
  <c r="AI35" i="4"/>
  <c r="Z35" i="4"/>
  <c r="AA78" i="4" s="1"/>
  <c r="R35" i="4"/>
  <c r="AH35" i="4"/>
  <c r="Y35" i="4"/>
  <c r="Q35" i="4"/>
  <c r="AG35" i="4"/>
  <c r="X35" i="4"/>
  <c r="P35" i="4"/>
  <c r="P78" i="4" s="1"/>
  <c r="AD35" i="4"/>
  <c r="V35" i="4"/>
  <c r="AL35" i="4"/>
  <c r="AC35" i="4"/>
  <c r="U35" i="4"/>
  <c r="AK35" i="4"/>
  <c r="AK78" i="4" s="1"/>
  <c r="AB35" i="4"/>
  <c r="AB78" i="4" s="1"/>
  <c r="T35" i="4"/>
  <c r="J2" i="4"/>
  <c r="AE2" i="4"/>
  <c r="AF45" i="4" s="1"/>
  <c r="AF52" i="4"/>
  <c r="AF56" i="4"/>
  <c r="AP63" i="4"/>
  <c r="J22" i="4"/>
  <c r="AE23" i="4"/>
  <c r="AE29" i="4"/>
  <c r="W31" i="4"/>
  <c r="O80" i="4"/>
  <c r="AI37" i="4"/>
  <c r="AA37" i="4"/>
  <c r="S37" i="4"/>
  <c r="AK37" i="4"/>
  <c r="AB37" i="4"/>
  <c r="R37" i="4"/>
  <c r="AJ37" i="4"/>
  <c r="Z37" i="4"/>
  <c r="Q37" i="4"/>
  <c r="AH37" i="4"/>
  <c r="AH80" i="4" s="1"/>
  <c r="Y37" i="4"/>
  <c r="Y80" i="4" s="1"/>
  <c r="P37" i="4"/>
  <c r="P80" i="4" s="1"/>
  <c r="AF37" i="4"/>
  <c r="AG80" i="4" s="1"/>
  <c r="W37" i="4"/>
  <c r="AE37" i="4"/>
  <c r="V37" i="4"/>
  <c r="AD37" i="4"/>
  <c r="U37" i="4"/>
  <c r="J122" i="4"/>
  <c r="O48" i="4"/>
  <c r="AL5" i="4"/>
  <c r="AD5" i="4"/>
  <c r="V5" i="4"/>
  <c r="AK5" i="4"/>
  <c r="AC5" i="4"/>
  <c r="U5" i="4"/>
  <c r="AJ5" i="4"/>
  <c r="AB5" i="4"/>
  <c r="AB48" i="4" s="1"/>
  <c r="T5" i="4"/>
  <c r="T48" i="4" s="1"/>
  <c r="AH5" i="4"/>
  <c r="Z5" i="4"/>
  <c r="R5" i="4"/>
  <c r="AG5" i="4"/>
  <c r="AG48" i="4" s="1"/>
  <c r="Y5" i="4"/>
  <c r="Y48" i="4" s="1"/>
  <c r="Q5" i="4"/>
  <c r="Q48" i="4" s="1"/>
  <c r="AI5" i="4"/>
  <c r="AL9" i="4"/>
  <c r="AD9" i="4"/>
  <c r="V9" i="4"/>
  <c r="O52" i="4"/>
  <c r="AK9" i="4"/>
  <c r="AC9" i="4"/>
  <c r="U9" i="4"/>
  <c r="AJ9" i="4"/>
  <c r="AB9" i="4"/>
  <c r="AB52" i="4" s="1"/>
  <c r="T9" i="4"/>
  <c r="T52" i="4" s="1"/>
  <c r="AH9" i="4"/>
  <c r="Z9" i="4"/>
  <c r="AA52" i="4" s="1"/>
  <c r="R9" i="4"/>
  <c r="S52" i="4" s="1"/>
  <c r="AG9" i="4"/>
  <c r="AG52" i="4" s="1"/>
  <c r="Y9" i="4"/>
  <c r="Q9" i="4"/>
  <c r="Q52" i="4" s="1"/>
  <c r="AI9" i="4"/>
  <c r="O56" i="4"/>
  <c r="AL13" i="4"/>
  <c r="AD13" i="4"/>
  <c r="V13" i="4"/>
  <c r="AK13" i="4"/>
  <c r="AC13" i="4"/>
  <c r="U13" i="4"/>
  <c r="AJ13" i="4"/>
  <c r="AB13" i="4"/>
  <c r="AB56" i="4" s="1"/>
  <c r="T13" i="4"/>
  <c r="AH13" i="4"/>
  <c r="Z13" i="4"/>
  <c r="R13" i="4"/>
  <c r="AG13" i="4"/>
  <c r="Y13" i="4"/>
  <c r="Y56" i="4" s="1"/>
  <c r="Q13" i="4"/>
  <c r="Q56" i="4" s="1"/>
  <c r="AI13" i="4"/>
  <c r="O60" i="4"/>
  <c r="AL17" i="4"/>
  <c r="AD17" i="4"/>
  <c r="V17" i="4"/>
  <c r="AK17" i="4"/>
  <c r="AC17" i="4"/>
  <c r="U17" i="4"/>
  <c r="AJ17" i="4"/>
  <c r="AB17" i="4"/>
  <c r="T17" i="4"/>
  <c r="AH17" i="4"/>
  <c r="Z17" i="4"/>
  <c r="R17" i="4"/>
  <c r="AG17" i="4"/>
  <c r="Y17" i="4"/>
  <c r="Q17" i="4"/>
  <c r="AF17" i="4"/>
  <c r="AF60" i="4" s="1"/>
  <c r="X17" i="4"/>
  <c r="X60" i="4" s="1"/>
  <c r="P17" i="4"/>
  <c r="P60" i="4" s="1"/>
  <c r="AI23" i="4"/>
  <c r="J26" i="4"/>
  <c r="AE27" i="4"/>
  <c r="AI29" i="4"/>
  <c r="AA31" i="4"/>
  <c r="AE33" i="4"/>
  <c r="T37" i="4"/>
  <c r="O45" i="4"/>
  <c r="AL2" i="4"/>
  <c r="AD2" i="4"/>
  <c r="V2" i="4"/>
  <c r="AK2" i="4"/>
  <c r="AC2" i="4"/>
  <c r="U2" i="4"/>
  <c r="AJ2" i="4"/>
  <c r="AB2" i="4"/>
  <c r="T2" i="4"/>
  <c r="AH2" i="4"/>
  <c r="Z2" i="4"/>
  <c r="R2" i="4"/>
  <c r="AG2" i="4"/>
  <c r="AG45" i="4" s="1"/>
  <c r="Y2" i="4"/>
  <c r="Q2" i="4"/>
  <c r="AI2" i="4"/>
  <c r="O64" i="4"/>
  <c r="AL21" i="4"/>
  <c r="AD21" i="4"/>
  <c r="V21" i="4"/>
  <c r="AK21" i="4"/>
  <c r="AC21" i="4"/>
  <c r="U21" i="4"/>
  <c r="AJ21" i="4"/>
  <c r="AJ64" i="4" s="1"/>
  <c r="AB21" i="4"/>
  <c r="AB64" i="4" s="1"/>
  <c r="T21" i="4"/>
  <c r="T64" i="4" s="1"/>
  <c r="AH21" i="4"/>
  <c r="Z21" i="4"/>
  <c r="R21" i="4"/>
  <c r="AG21" i="4"/>
  <c r="Y21" i="4"/>
  <c r="Q21" i="4"/>
  <c r="AF21" i="4"/>
  <c r="X21" i="4"/>
  <c r="X64" i="4" s="1"/>
  <c r="P21" i="4"/>
  <c r="P64" i="4" s="1"/>
  <c r="AI70" i="4"/>
  <c r="AH59" i="4"/>
  <c r="R63" i="4"/>
  <c r="AH63" i="4"/>
  <c r="AD65" i="4"/>
  <c r="AL65" i="4"/>
  <c r="R67" i="4"/>
  <c r="Z67" i="4"/>
  <c r="V69" i="4"/>
  <c r="AD69" i="4"/>
  <c r="AL69" i="4"/>
  <c r="R71" i="4"/>
  <c r="AL73" i="4"/>
  <c r="Z75" i="4"/>
  <c r="V77" i="4"/>
  <c r="AD77" i="4"/>
  <c r="AL77" i="4"/>
  <c r="V81" i="4"/>
  <c r="Z84" i="4"/>
  <c r="J178" i="4"/>
  <c r="J222" i="4"/>
  <c r="J338" i="4"/>
  <c r="J410" i="4"/>
  <c r="AD46" i="4"/>
  <c r="S47" i="4"/>
  <c r="W6" i="4"/>
  <c r="W49" i="4" s="1"/>
  <c r="AE6" i="4"/>
  <c r="W10" i="4"/>
  <c r="W53" i="4" s="1"/>
  <c r="AE10" i="4"/>
  <c r="AE53" i="4" s="1"/>
  <c r="AA55" i="4"/>
  <c r="W14" i="4"/>
  <c r="W57" i="4" s="1"/>
  <c r="AE14" i="4"/>
  <c r="AE57" i="4" s="1"/>
  <c r="W18" i="4"/>
  <c r="AE18" i="4"/>
  <c r="AE61" i="4" s="1"/>
  <c r="S63" i="4"/>
  <c r="AA63" i="4"/>
  <c r="AI63" i="4"/>
  <c r="W22" i="4"/>
  <c r="W65" i="4" s="1"/>
  <c r="AE22" i="4"/>
  <c r="AE65" i="4" s="1"/>
  <c r="S67" i="4"/>
  <c r="W26" i="4"/>
  <c r="W69" i="4" s="1"/>
  <c r="AE26" i="4"/>
  <c r="AE69" i="4" s="1"/>
  <c r="S71" i="4"/>
  <c r="AI71" i="4"/>
  <c r="W30" i="4"/>
  <c r="AE30" i="4"/>
  <c r="AI75" i="4"/>
  <c r="W34" i="4"/>
  <c r="W77" i="4" s="1"/>
  <c r="AE34" i="4"/>
  <c r="O83" i="4"/>
  <c r="AK40" i="4"/>
  <c r="AC40" i="4"/>
  <c r="U40" i="4"/>
  <c r="AF40" i="4"/>
  <c r="W40" i="4"/>
  <c r="AD40" i="4"/>
  <c r="S40" i="4"/>
  <c r="AB40" i="4"/>
  <c r="R40" i="4"/>
  <c r="AL40" i="4"/>
  <c r="AA40" i="4"/>
  <c r="AA83" i="4" s="1"/>
  <c r="AE40" i="4"/>
  <c r="J54" i="4"/>
  <c r="W3" i="4"/>
  <c r="W46" i="4" s="1"/>
  <c r="AE3" i="4"/>
  <c r="AE46" i="4" s="1"/>
  <c r="AJ47" i="4"/>
  <c r="P6" i="4"/>
  <c r="P49" i="4" s="1"/>
  <c r="X6" i="4"/>
  <c r="AF6" i="4"/>
  <c r="T51" i="4"/>
  <c r="AB51" i="4"/>
  <c r="P10" i="4"/>
  <c r="P53" i="4" s="1"/>
  <c r="X10" i="4"/>
  <c r="AF10" i="4"/>
  <c r="AB55" i="4"/>
  <c r="P14" i="4"/>
  <c r="P57" i="4" s="1"/>
  <c r="X14" i="4"/>
  <c r="AF14" i="4"/>
  <c r="T59" i="4"/>
  <c r="P18" i="4"/>
  <c r="P61" i="4" s="1"/>
  <c r="X18" i="4"/>
  <c r="AF18" i="4"/>
  <c r="AB63" i="4"/>
  <c r="P22" i="4"/>
  <c r="P65" i="4" s="1"/>
  <c r="X22" i="4"/>
  <c r="Y65" i="4" s="1"/>
  <c r="AF22" i="4"/>
  <c r="T67" i="4"/>
  <c r="AB67" i="4"/>
  <c r="AJ67" i="4"/>
  <c r="P26" i="4"/>
  <c r="P69" i="4" s="1"/>
  <c r="X26" i="4"/>
  <c r="AF26" i="4"/>
  <c r="P30" i="4"/>
  <c r="P73" i="4" s="1"/>
  <c r="X30" i="4"/>
  <c r="AF30" i="4"/>
  <c r="AB75" i="4"/>
  <c r="AJ75" i="4"/>
  <c r="P34" i="4"/>
  <c r="P77" i="4" s="1"/>
  <c r="X34" i="4"/>
  <c r="AF34" i="4"/>
  <c r="AG38" i="4"/>
  <c r="AG81" i="4" s="1"/>
  <c r="Y38" i="4"/>
  <c r="Q38" i="4"/>
  <c r="Q81" i="4" s="1"/>
  <c r="O81" i="4"/>
  <c r="X38" i="4"/>
  <c r="X81" i="4" s="1"/>
  <c r="AH38" i="4"/>
  <c r="P40" i="4"/>
  <c r="P83" i="4" s="1"/>
  <c r="AG40" i="4"/>
  <c r="J286" i="4"/>
  <c r="J386" i="4"/>
  <c r="Q3" i="4"/>
  <c r="Q46" i="4" s="1"/>
  <c r="Y3" i="4"/>
  <c r="Y46" i="4" s="1"/>
  <c r="AG3" i="4"/>
  <c r="AG46" i="4" s="1"/>
  <c r="R6" i="4"/>
  <c r="R49" i="4" s="1"/>
  <c r="Z6" i="4"/>
  <c r="Z49" i="4" s="1"/>
  <c r="AH6" i="4"/>
  <c r="AH49" i="4" s="1"/>
  <c r="AL51" i="4"/>
  <c r="R10" i="4"/>
  <c r="R53" i="4" s="1"/>
  <c r="Z10" i="4"/>
  <c r="Z53" i="4" s="1"/>
  <c r="AH10" i="4"/>
  <c r="AH53" i="4" s="1"/>
  <c r="V55" i="4"/>
  <c r="R14" i="4"/>
  <c r="R57" i="4" s="1"/>
  <c r="Z14" i="4"/>
  <c r="Z57" i="4" s="1"/>
  <c r="AH14" i="4"/>
  <c r="V59" i="4"/>
  <c r="R18" i="4"/>
  <c r="R61" i="4" s="1"/>
  <c r="Z18" i="4"/>
  <c r="Z61" i="4" s="1"/>
  <c r="AH18" i="4"/>
  <c r="AH61" i="4" s="1"/>
  <c r="V63" i="4"/>
  <c r="AD63" i="4"/>
  <c r="R22" i="4"/>
  <c r="R65" i="4" s="1"/>
  <c r="Z22" i="4"/>
  <c r="Z65" i="4" s="1"/>
  <c r="AH22" i="4"/>
  <c r="AD67" i="4"/>
  <c r="R26" i="4"/>
  <c r="Z26" i="4"/>
  <c r="Z69" i="4" s="1"/>
  <c r="AH26" i="4"/>
  <c r="AH69" i="4" s="1"/>
  <c r="AD71" i="4"/>
  <c r="AL71" i="4"/>
  <c r="R30" i="4"/>
  <c r="R73" i="4" s="1"/>
  <c r="Z30" i="4"/>
  <c r="Z73" i="4" s="1"/>
  <c r="AH30" i="4"/>
  <c r="AH73" i="4" s="1"/>
  <c r="AD75" i="4"/>
  <c r="R34" i="4"/>
  <c r="R77" i="4" s="1"/>
  <c r="Z34" i="4"/>
  <c r="Z77" i="4" s="1"/>
  <c r="AH34" i="4"/>
  <c r="AH77" i="4" s="1"/>
  <c r="O79" i="4"/>
  <c r="AK36" i="4"/>
  <c r="AK79" i="4" s="1"/>
  <c r="AC36" i="4"/>
  <c r="U36" i="4"/>
  <c r="U79" i="4" s="1"/>
  <c r="X36" i="4"/>
  <c r="X79" i="4" s="1"/>
  <c r="AG36" i="4"/>
  <c r="AG79" i="4" s="1"/>
  <c r="R38" i="4"/>
  <c r="AA38" i="4"/>
  <c r="AA81" i="4" s="1"/>
  <c r="AJ38" i="4"/>
  <c r="AJ81" i="4" s="1"/>
  <c r="R82" i="4"/>
  <c r="T40" i="4"/>
  <c r="AI40" i="4"/>
  <c r="AI83" i="4" s="1"/>
  <c r="O53" i="4"/>
  <c r="J226" i="4"/>
  <c r="J294" i="4"/>
  <c r="R3" i="4"/>
  <c r="Z3" i="4"/>
  <c r="AH3" i="4"/>
  <c r="AI46" i="4" s="1"/>
  <c r="W4" i="4"/>
  <c r="AE4" i="4"/>
  <c r="AE47" i="4" s="1"/>
  <c r="S6" i="4"/>
  <c r="AA6" i="4"/>
  <c r="AI6" i="4"/>
  <c r="W8" i="4"/>
  <c r="AE8" i="4"/>
  <c r="S10" i="4"/>
  <c r="AA10" i="4"/>
  <c r="AI10" i="4"/>
  <c r="W12" i="4"/>
  <c r="AE12" i="4"/>
  <c r="AE55" i="4" s="1"/>
  <c r="S14" i="4"/>
  <c r="AA14" i="4"/>
  <c r="AI14" i="4"/>
  <c r="W16" i="4"/>
  <c r="W59" i="4" s="1"/>
  <c r="AE16" i="4"/>
  <c r="AE59" i="4" s="1"/>
  <c r="S18" i="4"/>
  <c r="AA18" i="4"/>
  <c r="AI18" i="4"/>
  <c r="W20" i="4"/>
  <c r="W63" i="4" s="1"/>
  <c r="AE20" i="4"/>
  <c r="AE63" i="4" s="1"/>
  <c r="S22" i="4"/>
  <c r="AA22" i="4"/>
  <c r="AI22" i="4"/>
  <c r="W24" i="4"/>
  <c r="AE24" i="4"/>
  <c r="S26" i="4"/>
  <c r="AA26" i="4"/>
  <c r="AI26" i="4"/>
  <c r="W28" i="4"/>
  <c r="AE28" i="4"/>
  <c r="S30" i="4"/>
  <c r="AA30" i="4"/>
  <c r="AI30" i="4"/>
  <c r="W32" i="4"/>
  <c r="W75" i="4" s="1"/>
  <c r="AE32" i="4"/>
  <c r="AE75" i="4" s="1"/>
  <c r="S34" i="4"/>
  <c r="AA34" i="4"/>
  <c r="AI34" i="4"/>
  <c r="P36" i="4"/>
  <c r="P79" i="4" s="1"/>
  <c r="Y36" i="4"/>
  <c r="Z79" i="4" s="1"/>
  <c r="AH36" i="4"/>
  <c r="S38" i="4"/>
  <c r="AB38" i="4"/>
  <c r="AK38" i="4"/>
  <c r="V40" i="4"/>
  <c r="AJ40" i="4"/>
  <c r="J126" i="4"/>
  <c r="J150" i="4"/>
  <c r="J474" i="4"/>
  <c r="T6" i="4"/>
  <c r="AB6" i="4"/>
  <c r="AJ6" i="4"/>
  <c r="T10" i="4"/>
  <c r="AB10" i="4"/>
  <c r="T14" i="4"/>
  <c r="AB14" i="4"/>
  <c r="AC57" i="4" s="1"/>
  <c r="AJ14" i="4"/>
  <c r="T18" i="4"/>
  <c r="AB18" i="4"/>
  <c r="AJ18" i="4"/>
  <c r="T22" i="4"/>
  <c r="AB22" i="4"/>
  <c r="AJ22" i="4"/>
  <c r="T26" i="4"/>
  <c r="AB26" i="4"/>
  <c r="AJ26" i="4"/>
  <c r="T30" i="4"/>
  <c r="AB30" i="4"/>
  <c r="AJ30" i="4"/>
  <c r="T34" i="4"/>
  <c r="AB34" i="4"/>
  <c r="AJ34" i="4"/>
  <c r="T38" i="4"/>
  <c r="AC38" i="4"/>
  <c r="AL38" i="4"/>
  <c r="X40" i="4"/>
  <c r="J70" i="4"/>
  <c r="J110" i="4"/>
  <c r="J194" i="4"/>
  <c r="J206" i="4"/>
  <c r="J242" i="4"/>
  <c r="J302" i="4"/>
  <c r="J314" i="4"/>
  <c r="J438" i="4"/>
  <c r="J78" i="4"/>
  <c r="J370" i="4"/>
  <c r="J118" i="4"/>
  <c r="J254" i="4"/>
  <c r="U84" i="4"/>
  <c r="AE84" i="4"/>
  <c r="J102" i="4"/>
  <c r="J154" i="4"/>
  <c r="J430" i="4"/>
  <c r="J442" i="4"/>
  <c r="J454" i="4"/>
  <c r="J46" i="4"/>
  <c r="J142" i="4"/>
  <c r="J198" i="4"/>
  <c r="J210" i="4"/>
  <c r="J274" i="4"/>
  <c r="J402" i="4"/>
  <c r="AK82" i="4"/>
  <c r="J182" i="4"/>
  <c r="J259" i="4"/>
  <c r="J270" i="4"/>
  <c r="J326" i="4"/>
  <c r="J342" i="4"/>
  <c r="J462" i="4"/>
  <c r="AI41" i="4"/>
  <c r="AI84" i="4" s="1"/>
  <c r="AA41" i="4"/>
  <c r="AA84" i="4" s="1"/>
  <c r="S41" i="4"/>
  <c r="S84" i="4" s="1"/>
  <c r="X41" i="4"/>
  <c r="AG41" i="4"/>
  <c r="AG84" i="4" s="1"/>
  <c r="J107" i="4"/>
  <c r="J130" i="4"/>
  <c r="J333" i="4"/>
  <c r="J366" i="4"/>
  <c r="J405" i="4"/>
  <c r="J469" i="4"/>
  <c r="J146" i="4"/>
  <c r="J218" i="4"/>
  <c r="J262" i="4"/>
  <c r="J290" i="4"/>
  <c r="J334" i="4"/>
  <c r="J443" i="4"/>
  <c r="W39" i="4"/>
  <c r="W82" i="4" s="1"/>
  <c r="J125" i="4"/>
  <c r="J213" i="4"/>
  <c r="J317" i="4"/>
  <c r="J354" i="4"/>
  <c r="J381" i="4"/>
  <c r="J418" i="4"/>
  <c r="K336" i="6"/>
  <c r="K312" i="6"/>
  <c r="K322" i="6"/>
  <c r="K344" i="6"/>
  <c r="K368" i="6"/>
  <c r="K274" i="6"/>
  <c r="K296" i="6"/>
  <c r="K320" i="6"/>
  <c r="K272" i="6"/>
  <c r="K376" i="6"/>
  <c r="K328" i="6"/>
  <c r="K352" i="6"/>
  <c r="J98" i="4"/>
  <c r="J149" i="4"/>
  <c r="J174" i="4"/>
  <c r="J189" i="4"/>
  <c r="J269" i="4"/>
  <c r="J300" i="4"/>
  <c r="J341" i="4"/>
  <c r="J378" i="4"/>
  <c r="J398" i="4"/>
  <c r="J413" i="4"/>
  <c r="K338" i="6"/>
  <c r="K360" i="6"/>
  <c r="K260" i="6"/>
  <c r="K276" i="6"/>
  <c r="K292" i="6"/>
  <c r="K308" i="6"/>
  <c r="K324" i="6"/>
  <c r="K340" i="6"/>
  <c r="K356" i="6"/>
  <c r="K372" i="6"/>
  <c r="K388" i="6"/>
  <c r="K404" i="6"/>
  <c r="K420" i="6"/>
  <c r="K384" i="6"/>
  <c r="K400" i="6"/>
  <c r="K416" i="6"/>
  <c r="J93" i="4"/>
  <c r="J117" i="4"/>
  <c r="J141" i="4"/>
  <c r="J151" i="4"/>
  <c r="J238" i="4"/>
  <c r="J349" i="4"/>
  <c r="J373" i="4"/>
  <c r="J397" i="4"/>
  <c r="J407" i="4"/>
  <c r="K268" i="6"/>
  <c r="K284" i="6"/>
  <c r="K300" i="6"/>
  <c r="K316" i="6"/>
  <c r="K332" i="6"/>
  <c r="K348" i="6"/>
  <c r="K364" i="6"/>
  <c r="K380" i="6"/>
  <c r="K396" i="6"/>
  <c r="K412" i="6"/>
  <c r="K426" i="6"/>
  <c r="K266" i="6"/>
  <c r="K282" i="6"/>
  <c r="K298" i="6"/>
  <c r="K314" i="6"/>
  <c r="K330" i="6"/>
  <c r="K346" i="6"/>
  <c r="K362" i="6"/>
  <c r="K378" i="6"/>
  <c r="K394" i="6"/>
  <c r="K410" i="6"/>
  <c r="K494" i="6"/>
  <c r="K424" i="6"/>
  <c r="K438" i="6"/>
  <c r="K452" i="6"/>
  <c r="K434" i="6"/>
  <c r="K558" i="6"/>
  <c r="J101" i="4"/>
  <c r="J133" i="4"/>
  <c r="J165" i="4"/>
  <c r="J197" i="4"/>
  <c r="J229" i="4"/>
  <c r="J261" i="4"/>
  <c r="J293" i="4"/>
  <c r="J325" i="4"/>
  <c r="J357" i="4"/>
  <c r="J389" i="4"/>
  <c r="J421" i="4"/>
  <c r="J453" i="4"/>
  <c r="J485" i="4"/>
  <c r="K428" i="6"/>
  <c r="K442" i="6"/>
  <c r="K489" i="6"/>
  <c r="K522" i="6"/>
  <c r="K545" i="6"/>
  <c r="K617" i="6"/>
  <c r="K650" i="6"/>
  <c r="K490" i="6"/>
  <c r="K513" i="6"/>
  <c r="K585" i="6"/>
  <c r="K618" i="6"/>
  <c r="K641" i="6"/>
  <c r="K553" i="6"/>
  <c r="K586" i="6"/>
  <c r="K609" i="6"/>
  <c r="K521" i="6"/>
  <c r="K554" i="6"/>
  <c r="K577" i="6"/>
  <c r="K649" i="6"/>
  <c r="K430" i="6"/>
  <c r="K446" i="6"/>
  <c r="K498" i="6"/>
  <c r="K514" i="6"/>
  <c r="K530" i="6"/>
  <c r="K546" i="6"/>
  <c r="K562" i="6"/>
  <c r="K578" i="6"/>
  <c r="K594" i="6"/>
  <c r="K610" i="6"/>
  <c r="K626" i="6"/>
  <c r="K642" i="6"/>
  <c r="K658" i="6"/>
  <c r="K738" i="6"/>
  <c r="K770" i="6"/>
  <c r="K834" i="6"/>
  <c r="K857" i="6"/>
  <c r="K681" i="6"/>
  <c r="K697" i="6"/>
  <c r="K713" i="6"/>
  <c r="K729" i="6"/>
  <c r="K745" i="6"/>
  <c r="K761" i="6"/>
  <c r="K777" i="6"/>
  <c r="K793" i="6"/>
  <c r="K809" i="6"/>
  <c r="K825" i="6"/>
  <c r="K841" i="6"/>
  <c r="K897" i="6"/>
  <c r="K849" i="6"/>
  <c r="K873" i="6"/>
  <c r="K905" i="6"/>
  <c r="K673" i="6"/>
  <c r="K689" i="6"/>
  <c r="K705" i="6"/>
  <c r="K721" i="6"/>
  <c r="K737" i="6"/>
  <c r="K753" i="6"/>
  <c r="K769" i="6"/>
  <c r="K785" i="6"/>
  <c r="K801" i="6"/>
  <c r="K817" i="6"/>
  <c r="K833" i="6"/>
  <c r="AG56" i="4" l="1"/>
  <c r="AL84" i="4"/>
  <c r="AH71" i="4"/>
  <c r="V47" i="4"/>
  <c r="AA46" i="4"/>
  <c r="AF64" i="4"/>
  <c r="AJ76" i="4"/>
  <c r="Z51" i="4"/>
  <c r="AA82" i="4"/>
  <c r="V67" i="4"/>
  <c r="W84" i="4"/>
  <c r="V71" i="4"/>
  <c r="S79" i="4"/>
  <c r="Y82" i="4"/>
  <c r="AD47" i="4"/>
  <c r="AI55" i="4"/>
  <c r="S75" i="4"/>
  <c r="AL59" i="4"/>
  <c r="AJ70" i="4"/>
  <c r="AA57" i="4"/>
  <c r="AH65" i="4"/>
  <c r="R83" i="4"/>
  <c r="AF84" i="4"/>
  <c r="AL63" i="4"/>
  <c r="AB71" i="4"/>
  <c r="AI79" i="4"/>
  <c r="AE58" i="4"/>
  <c r="S58" i="4"/>
  <c r="AC50" i="4"/>
  <c r="AA68" i="4"/>
  <c r="Z55" i="4"/>
  <c r="X56" i="4"/>
  <c r="AH75" i="4"/>
  <c r="V65" i="4"/>
  <c r="W67" i="4"/>
  <c r="Y71" i="4"/>
  <c r="T54" i="4"/>
  <c r="T47" i="4"/>
  <c r="V82" i="4"/>
  <c r="AB59" i="4"/>
  <c r="AC84" i="4"/>
  <c r="S59" i="4"/>
  <c r="AE49" i="4"/>
  <c r="AG78" i="4"/>
  <c r="AF82" i="4"/>
  <c r="T55" i="4"/>
  <c r="AE71" i="4"/>
  <c r="AJ58" i="4"/>
  <c r="AB68" i="4"/>
  <c r="Q71" i="4"/>
  <c r="Z83" i="4"/>
  <c r="AA75" i="4"/>
  <c r="AI57" i="4"/>
  <c r="Y45" i="4"/>
  <c r="AB60" i="4"/>
  <c r="AD80" i="4"/>
  <c r="AA71" i="4"/>
  <c r="AA69" i="4"/>
  <c r="S57" i="4"/>
  <c r="AL46" i="4"/>
  <c r="X78" i="4"/>
  <c r="AB79" i="4"/>
  <c r="AB82" i="4"/>
  <c r="V61" i="4"/>
  <c r="AA67" i="4"/>
  <c r="Z59" i="4"/>
  <c r="AA47" i="4"/>
  <c r="AI51" i="4"/>
  <c r="AF67" i="4"/>
  <c r="Y52" i="4"/>
  <c r="S54" i="4"/>
  <c r="S50" i="4"/>
  <c r="AJ55" i="4"/>
  <c r="Q45" i="4"/>
  <c r="AE72" i="4"/>
  <c r="AF58" i="4"/>
  <c r="T68" i="4"/>
  <c r="AD49" i="4"/>
  <c r="U46" i="4"/>
  <c r="AP46" i="4" s="1"/>
  <c r="Z71" i="4"/>
  <c r="AJ54" i="4"/>
  <c r="S55" i="4"/>
  <c r="AJ57" i="4"/>
  <c r="R69" i="4"/>
  <c r="AJ60" i="4"/>
  <c r="T56" i="4"/>
  <c r="W78" i="4"/>
  <c r="W81" i="4"/>
  <c r="AL75" i="4"/>
  <c r="AC59" i="4"/>
  <c r="T75" i="4"/>
  <c r="AD53" i="4"/>
  <c r="W51" i="4"/>
  <c r="AI67" i="4"/>
  <c r="T60" i="4"/>
  <c r="AA74" i="4"/>
  <c r="AA70" i="4"/>
  <c r="W61" i="4"/>
  <c r="AE76" i="4"/>
  <c r="AE73" i="4"/>
  <c r="AE67" i="4"/>
  <c r="W55" i="4"/>
  <c r="W73" i="4"/>
  <c r="AA51" i="4"/>
  <c r="AI72" i="4"/>
  <c r="S78" i="4"/>
  <c r="AB70" i="4"/>
  <c r="U71" i="4"/>
  <c r="AP71" i="4" s="1"/>
  <c r="X84" i="4"/>
  <c r="W47" i="4"/>
  <c r="AD59" i="4"/>
  <c r="AE77" i="4"/>
  <c r="S60" i="4"/>
  <c r="T78" i="4"/>
  <c r="AD74" i="4"/>
  <c r="R74" i="4"/>
  <c r="Z47" i="4"/>
  <c r="AG59" i="4"/>
  <c r="W71" i="4"/>
  <c r="AE51" i="4"/>
  <c r="AC79" i="4"/>
  <c r="AH57" i="4"/>
  <c r="T76" i="4"/>
  <c r="AC63" i="4"/>
  <c r="AE80" i="4"/>
  <c r="AJ80" i="4"/>
  <c r="Y50" i="4"/>
  <c r="AF57" i="4"/>
  <c r="AL82" i="4"/>
  <c r="AJ73" i="4"/>
  <c r="AK59" i="4"/>
  <c r="AE82" i="4"/>
  <c r="T45" i="4"/>
  <c r="X69" i="4"/>
  <c r="T65" i="4"/>
  <c r="X71" i="4"/>
  <c r="AO71" i="4" s="1"/>
  <c r="S53" i="4"/>
  <c r="AI59" i="4"/>
  <c r="AE70" i="4"/>
  <c r="AL67" i="4"/>
  <c r="AE68" i="4"/>
  <c r="X45" i="4"/>
  <c r="Y72" i="4"/>
  <c r="U72" i="4"/>
  <c r="AH66" i="4"/>
  <c r="U67" i="4"/>
  <c r="AP67" i="4" s="1"/>
  <c r="Q82" i="4"/>
  <c r="AK81" i="4"/>
  <c r="T80" i="4"/>
  <c r="AA66" i="4"/>
  <c r="W80" i="4"/>
  <c r="AJ83" i="4"/>
  <c r="AI65" i="4"/>
  <c r="T83" i="4"/>
  <c r="V50" i="4"/>
  <c r="AG50" i="4"/>
  <c r="Q59" i="4"/>
  <c r="AF73" i="4"/>
  <c r="AH54" i="4"/>
  <c r="AK70" i="4"/>
  <c r="Y70" i="4"/>
  <c r="Z82" i="4"/>
  <c r="T46" i="4"/>
  <c r="S77" i="4"/>
  <c r="R46" i="4"/>
  <c r="AF77" i="4"/>
  <c r="AI52" i="4"/>
  <c r="AH48" i="4"/>
  <c r="AD48" i="4"/>
  <c r="AA80" i="4"/>
  <c r="U54" i="4"/>
  <c r="AP54" i="4" s="1"/>
  <c r="S72" i="4"/>
  <c r="S70" i="4"/>
  <c r="AE74" i="4"/>
  <c r="AI66" i="4"/>
  <c r="T70" i="4"/>
  <c r="T49" i="4"/>
  <c r="AA77" i="4"/>
  <c r="S65" i="4"/>
  <c r="X61" i="4"/>
  <c r="AE83" i="4"/>
  <c r="X80" i="4"/>
  <c r="W70" i="4"/>
  <c r="AK58" i="4"/>
  <c r="Y58" i="4"/>
  <c r="AL81" i="4"/>
  <c r="S46" i="4"/>
  <c r="S66" i="4"/>
  <c r="T82" i="4"/>
  <c r="AK67" i="4"/>
  <c r="T57" i="4"/>
  <c r="S81" i="4"/>
  <c r="AA49" i="4"/>
  <c r="X53" i="4"/>
  <c r="AB45" i="4"/>
  <c r="R84" i="4"/>
  <c r="Q75" i="4"/>
  <c r="T73" i="4"/>
  <c r="V74" i="4"/>
  <c r="AG74" i="4"/>
  <c r="W62" i="4"/>
  <c r="X63" i="4"/>
  <c r="AL54" i="4"/>
  <c r="Z54" i="4"/>
  <c r="AK50" i="4"/>
  <c r="AA79" i="4"/>
  <c r="AI82" i="4"/>
  <c r="Q47" i="4"/>
  <c r="R51" i="4"/>
  <c r="AF81" i="4"/>
  <c r="V83" i="4"/>
  <c r="AF61" i="4"/>
  <c r="AF49" i="4"/>
  <c r="AA72" i="4"/>
  <c r="AD62" i="4"/>
  <c r="R62" i="4"/>
  <c r="U51" i="4"/>
  <c r="AP51" i="4" s="1"/>
  <c r="AF71" i="4"/>
  <c r="AF55" i="4"/>
  <c r="AB81" i="4"/>
  <c r="AI49" i="4"/>
  <c r="AH81" i="4"/>
  <c r="AJ56" i="4"/>
  <c r="Q58" i="4"/>
  <c r="AL70" i="4"/>
  <c r="Z70" i="4"/>
  <c r="AC66" i="4"/>
  <c r="Q66" i="4"/>
  <c r="AL52" i="4"/>
  <c r="AJ77" i="4"/>
  <c r="AJ61" i="4"/>
  <c r="T53" i="4"/>
  <c r="AA61" i="4"/>
  <c r="AC56" i="4"/>
  <c r="AL48" i="4"/>
  <c r="W74" i="4"/>
  <c r="AB77" i="4"/>
  <c r="AB69" i="4"/>
  <c r="AB61" i="4"/>
  <c r="AJ49" i="4"/>
  <c r="Y79" i="4"/>
  <c r="AA73" i="4"/>
  <c r="S61" i="4"/>
  <c r="AI53" i="4"/>
  <c r="X57" i="4"/>
  <c r="Z76" i="4"/>
  <c r="V76" i="4"/>
  <c r="W68" i="4"/>
  <c r="AD66" i="4"/>
  <c r="Y68" i="4"/>
  <c r="U68" i="4"/>
  <c r="AP68" i="4" s="1"/>
  <c r="AL62" i="4"/>
  <c r="Z62" i="4"/>
  <c r="V84" i="4"/>
  <c r="Q67" i="4"/>
  <c r="AK75" i="4"/>
  <c r="AD82" i="4"/>
  <c r="X83" i="4"/>
  <c r="T77" i="4"/>
  <c r="T69" i="4"/>
  <c r="AB49" i="4"/>
  <c r="S73" i="4"/>
  <c r="AA53" i="4"/>
  <c r="AG83" i="4"/>
  <c r="AD83" i="4"/>
  <c r="AL58" i="4"/>
  <c r="Z58" i="4"/>
  <c r="AC70" i="4"/>
  <c r="Q70" i="4"/>
  <c r="AL66" i="4"/>
  <c r="Z66" i="4"/>
  <c r="AG68" i="4"/>
  <c r="AC68" i="4"/>
  <c r="AH62" i="4"/>
  <c r="AG47" i="4"/>
  <c r="U75" i="4"/>
  <c r="AP75" i="4" s="1"/>
  <c r="AG71" i="4"/>
  <c r="U59" i="4"/>
  <c r="AP59" i="4" s="1"/>
  <c r="Y59" i="4"/>
  <c r="AB65" i="4"/>
  <c r="AI69" i="4"/>
  <c r="R55" i="4"/>
  <c r="AG55" i="4"/>
  <c r="AB47" i="4"/>
  <c r="Y47" i="4"/>
  <c r="AH55" i="4"/>
  <c r="Q79" i="4"/>
  <c r="AJ45" i="4"/>
  <c r="AJ71" i="4"/>
  <c r="AC55" i="4"/>
  <c r="R47" i="4"/>
  <c r="AK47" i="4"/>
  <c r="Y67" i="4"/>
  <c r="AG75" i="4"/>
  <c r="Q63" i="4"/>
  <c r="AL64" i="4"/>
  <c r="U45" i="4"/>
  <c r="AP45" i="4" s="1"/>
  <c r="AH60" i="4"/>
  <c r="AD60" i="4"/>
  <c r="R56" i="4"/>
  <c r="AK56" i="4"/>
  <c r="U52" i="4"/>
  <c r="AP52" i="4" s="1"/>
  <c r="AI78" i="4"/>
  <c r="V58" i="4"/>
  <c r="AG58" i="4"/>
  <c r="AL50" i="4"/>
  <c r="Z50" i="4"/>
  <c r="AH74" i="4"/>
  <c r="AG72" i="4"/>
  <c r="AC72" i="4"/>
  <c r="AK68" i="4"/>
  <c r="AK71" i="4"/>
  <c r="AB53" i="4"/>
  <c r="V79" i="4"/>
  <c r="X73" i="4"/>
  <c r="AC45" i="4"/>
  <c r="AL60" i="4"/>
  <c r="Z56" i="4"/>
  <c r="V56" i="4"/>
  <c r="S80" i="4"/>
  <c r="Q76" i="4"/>
  <c r="AC47" i="4"/>
  <c r="Y75" i="4"/>
  <c r="AF65" i="4"/>
  <c r="Q64" i="4"/>
  <c r="AH56" i="4"/>
  <c r="AD56" i="4"/>
  <c r="AE78" i="4"/>
  <c r="S62" i="4"/>
  <c r="AB46" i="4"/>
  <c r="R79" i="4"/>
  <c r="Y63" i="4"/>
  <c r="AJ51" i="4"/>
  <c r="AF59" i="4"/>
  <c r="AF51" i="4"/>
  <c r="S69" i="4"/>
  <c r="AI61" i="4"/>
  <c r="X77" i="4"/>
  <c r="AF53" i="4"/>
  <c r="Y64" i="4"/>
  <c r="U64" i="4"/>
  <c r="AP64" i="4" s="1"/>
  <c r="Q60" i="4"/>
  <c r="AE66" i="4"/>
  <c r="U78" i="4"/>
  <c r="AP78" i="4" s="1"/>
  <c r="Q78" i="4"/>
  <c r="W76" i="4"/>
  <c r="V54" i="4"/>
  <c r="AG54" i="4"/>
  <c r="AH72" i="4"/>
  <c r="AD72" i="4"/>
  <c r="AG82" i="4"/>
  <c r="AC82" i="4"/>
  <c r="R75" i="4"/>
  <c r="U47" i="4"/>
  <c r="AP47" i="4" s="1"/>
  <c r="AK63" i="4"/>
  <c r="Y51" i="4"/>
  <c r="AC46" i="4"/>
  <c r="AJ65" i="4"/>
  <c r="X59" i="4"/>
  <c r="X51" i="4"/>
  <c r="AF69" i="4"/>
  <c r="W50" i="4"/>
  <c r="R48" i="4"/>
  <c r="AK48" i="4"/>
  <c r="AC78" i="4"/>
  <c r="Y78" i="4"/>
  <c r="S74" i="4"/>
  <c r="Q50" i="4"/>
  <c r="AK74" i="4"/>
  <c r="Y74" i="4"/>
  <c r="R76" i="4"/>
  <c r="AK76" i="4"/>
  <c r="AH51" i="4"/>
  <c r="AC75" i="4"/>
  <c r="AH47" i="4"/>
  <c r="AH84" i="4"/>
  <c r="AC81" i="4"/>
  <c r="AF75" i="4"/>
  <c r="AF47" i="4"/>
  <c r="Y81" i="4"/>
  <c r="AB83" i="4"/>
  <c r="AH64" i="4"/>
  <c r="AD64" i="4"/>
  <c r="AL45" i="4"/>
  <c r="Q61" i="4"/>
  <c r="Z60" i="4"/>
  <c r="V60" i="4"/>
  <c r="U56" i="4"/>
  <c r="AH52" i="4"/>
  <c r="V52" i="4"/>
  <c r="AC48" i="4"/>
  <c r="Y84" i="4"/>
  <c r="R80" i="4"/>
  <c r="Y77" i="4"/>
  <c r="AG65" i="4"/>
  <c r="AD78" i="4"/>
  <c r="Z78" i="4"/>
  <c r="AH58" i="4"/>
  <c r="AK54" i="4"/>
  <c r="Y54" i="4"/>
  <c r="AH50" i="4"/>
  <c r="U77" i="4"/>
  <c r="AI54" i="4"/>
  <c r="AF76" i="4"/>
  <c r="Q49" i="4"/>
  <c r="AP72" i="4"/>
  <c r="T66" i="4"/>
  <c r="W56" i="4"/>
  <c r="S64" i="4"/>
  <c r="S56" i="4"/>
  <c r="S48" i="4"/>
  <c r="Q65" i="4"/>
  <c r="T81" i="4"/>
  <c r="AI77" i="4"/>
  <c r="AA65" i="4"/>
  <c r="AH46" i="4"/>
  <c r="AP79" i="4"/>
  <c r="S83" i="4"/>
  <c r="X82" i="4"/>
  <c r="AI45" i="4"/>
  <c r="AC53" i="4"/>
  <c r="AD52" i="4"/>
  <c r="AF80" i="4"/>
  <c r="AB80" i="4"/>
  <c r="AC69" i="4"/>
  <c r="S76" i="4"/>
  <c r="U53" i="4"/>
  <c r="X75" i="4"/>
  <c r="AJ78" i="4"/>
  <c r="AB66" i="4"/>
  <c r="AE56" i="4"/>
  <c r="AB73" i="4"/>
  <c r="X67" i="4"/>
  <c r="T61" i="4"/>
  <c r="Z46" i="4"/>
  <c r="AB84" i="4"/>
  <c r="AD79" i="4"/>
  <c r="AL79" i="4"/>
  <c r="U81" i="4"/>
  <c r="AG69" i="4"/>
  <c r="Z48" i="4"/>
  <c r="V48" i="4"/>
  <c r="AP82" i="4"/>
  <c r="AK80" i="4"/>
  <c r="Y53" i="4"/>
  <c r="AP58" i="4"/>
  <c r="AD54" i="4"/>
  <c r="R54" i="4"/>
  <c r="AP50" i="4"/>
  <c r="T74" i="4"/>
  <c r="AL74" i="4"/>
  <c r="Z74" i="4"/>
  <c r="AC65" i="4"/>
  <c r="Y76" i="4"/>
  <c r="U76" i="4"/>
  <c r="U73" i="4"/>
  <c r="V70" i="4"/>
  <c r="AG70" i="4"/>
  <c r="AA64" i="4"/>
  <c r="AE54" i="4"/>
  <c r="W45" i="4"/>
  <c r="AK77" i="4"/>
  <c r="R72" i="4"/>
  <c r="AK72" i="4"/>
  <c r="AJ66" i="4"/>
  <c r="AJ53" i="4"/>
  <c r="AK73" i="4"/>
  <c r="R68" i="4"/>
  <c r="S68" i="4"/>
  <c r="AA54" i="4"/>
  <c r="AI64" i="4"/>
  <c r="AE48" i="4"/>
  <c r="X49" i="4"/>
  <c r="Y49" i="4"/>
  <c r="W83" i="4"/>
  <c r="AG73" i="4"/>
  <c r="U61" i="4"/>
  <c r="AJ52" i="4"/>
  <c r="AI81" i="4"/>
  <c r="AC73" i="4"/>
  <c r="AB74" i="4"/>
  <c r="AE64" i="4"/>
  <c r="AI50" i="4"/>
  <c r="AG76" i="4"/>
  <c r="AC76" i="4"/>
  <c r="AD70" i="4"/>
  <c r="R70" i="4"/>
  <c r="Q73" i="4"/>
  <c r="Z72" i="4"/>
  <c r="V72" i="4"/>
  <c r="U66" i="4"/>
  <c r="AF66" i="4"/>
  <c r="W64" i="4"/>
  <c r="W52" i="4"/>
  <c r="Q83" i="4"/>
  <c r="Q69" i="4"/>
  <c r="Z68" i="4"/>
  <c r="V68" i="4"/>
  <c r="X62" i="4"/>
  <c r="AG53" i="4"/>
  <c r="U57" i="4"/>
  <c r="AE60" i="4"/>
  <c r="AF83" i="4"/>
  <c r="AC49" i="4"/>
  <c r="U80" i="4"/>
  <c r="X74" i="4"/>
  <c r="U49" i="4"/>
  <c r="AD81" i="4"/>
  <c r="AC61" i="4"/>
  <c r="Q53" i="4"/>
  <c r="AK49" i="4"/>
  <c r="AC80" i="4"/>
  <c r="AH68" i="4"/>
  <c r="AD68" i="4"/>
  <c r="U62" i="4"/>
  <c r="AF62" i="4"/>
  <c r="W60" i="4"/>
  <c r="W54" i="4"/>
  <c r="AE52" i="4"/>
  <c r="X65" i="4"/>
  <c r="U83" i="4"/>
  <c r="AG64" i="4"/>
  <c r="AC64" i="4"/>
  <c r="R45" i="4"/>
  <c r="AK45" i="4"/>
  <c r="AC77" i="4"/>
  <c r="Y60" i="4"/>
  <c r="U60" i="4"/>
  <c r="AL56" i="4"/>
  <c r="AC52" i="4"/>
  <c r="AI48" i="4"/>
  <c r="Q80" i="4"/>
  <c r="AI80" i="4"/>
  <c r="AK61" i="4"/>
  <c r="AG61" i="4"/>
  <c r="AA45" i="4"/>
  <c r="U74" i="4"/>
  <c r="AI60" i="4"/>
  <c r="AA48" i="4"/>
  <c r="Q77" i="4"/>
  <c r="AH70" i="4"/>
  <c r="T84" i="4"/>
  <c r="T72" i="4"/>
  <c r="AL72" i="4"/>
  <c r="AK66" i="4"/>
  <c r="Y66" i="4"/>
  <c r="Y61" i="4"/>
  <c r="W48" i="4"/>
  <c r="AF78" i="4"/>
  <c r="X68" i="4"/>
  <c r="AL68" i="4"/>
  <c r="AC62" i="4"/>
  <c r="Q62" i="4"/>
  <c r="AJ69" i="4"/>
  <c r="AF63" i="4"/>
  <c r="AB57" i="4"/>
  <c r="AH79" i="4"/>
  <c r="AI73" i="4"/>
  <c r="S49" i="4"/>
  <c r="R81" i="4"/>
  <c r="AL83" i="4"/>
  <c r="AC83" i="4"/>
  <c r="R64" i="4"/>
  <c r="AK64" i="4"/>
  <c r="Z45" i="4"/>
  <c r="V45" i="4"/>
  <c r="AG60" i="4"/>
  <c r="AC60" i="4"/>
  <c r="AI56" i="4"/>
  <c r="R52" i="4"/>
  <c r="AK52" i="4"/>
  <c r="AJ48" i="4"/>
  <c r="X47" i="4"/>
  <c r="V80" i="4"/>
  <c r="Z80" i="4"/>
  <c r="AE45" i="4"/>
  <c r="AL78" i="4"/>
  <c r="AH78" i="4"/>
  <c r="Y73" i="4"/>
  <c r="AD58" i="4"/>
  <c r="R58" i="4"/>
  <c r="AD50" i="4"/>
  <c r="R50" i="4"/>
  <c r="AC74" i="4"/>
  <c r="Q74" i="4"/>
  <c r="AI58" i="4"/>
  <c r="AH76" i="4"/>
  <c r="AD76" i="4"/>
  <c r="X70" i="4"/>
  <c r="AE50" i="4"/>
  <c r="Y83" i="4"/>
  <c r="AF72" i="4"/>
  <c r="AB72" i="4"/>
  <c r="V66" i="4"/>
  <c r="AG66" i="4"/>
  <c r="AA60" i="4"/>
  <c r="X46" i="4"/>
  <c r="AG77" i="4"/>
  <c r="AF68" i="4"/>
  <c r="AK62" i="4"/>
  <c r="Y62" i="4"/>
  <c r="AA58" i="4"/>
  <c r="AA50" i="4"/>
  <c r="AP84" i="4"/>
  <c r="AK83" i="4"/>
  <c r="AK69" i="4"/>
  <c r="Z64" i="4"/>
  <c r="V64" i="4"/>
  <c r="AH45" i="4"/>
  <c r="AD45" i="4"/>
  <c r="AK65" i="4"/>
  <c r="R60" i="4"/>
  <c r="AK60" i="4"/>
  <c r="X55" i="4"/>
  <c r="Z52" i="4"/>
  <c r="U48" i="4"/>
  <c r="AF46" i="4"/>
  <c r="AJ84" i="4"/>
  <c r="Y57" i="4"/>
  <c r="V78" i="4"/>
  <c r="R78" i="4"/>
  <c r="Q54" i="4"/>
  <c r="AH83" i="4"/>
  <c r="Y69" i="4"/>
  <c r="AA56" i="4"/>
  <c r="X76" i="4"/>
  <c r="AL76" i="4"/>
  <c r="U70" i="4"/>
  <c r="AF70" i="4"/>
  <c r="Q57" i="4"/>
  <c r="Z81" i="4"/>
  <c r="Q72" i="4"/>
  <c r="AJ72" i="4"/>
  <c r="U69" i="4"/>
  <c r="R66" i="4"/>
  <c r="AK57" i="4"/>
  <c r="S45" i="4"/>
  <c r="Q68" i="4"/>
  <c r="U65" i="4"/>
  <c r="V62" i="4"/>
  <c r="AG62" i="4"/>
  <c r="AG57" i="4"/>
  <c r="AG49" i="4"/>
  <c r="AL80" i="4"/>
  <c r="AI74" i="4"/>
  <c r="AO63" i="4" l="1"/>
  <c r="AN59" i="4"/>
  <c r="AN67" i="4"/>
  <c r="AO53" i="4"/>
  <c r="AN84" i="4"/>
  <c r="AO67" i="4"/>
  <c r="AN71" i="4"/>
  <c r="AN51" i="4"/>
  <c r="AO82" i="4"/>
  <c r="AO61" i="4"/>
  <c r="AO50" i="4"/>
  <c r="AO77" i="4"/>
  <c r="AO79" i="4"/>
  <c r="AO51" i="4"/>
  <c r="AO69" i="4"/>
  <c r="AO59" i="4"/>
  <c r="AO84" i="4"/>
  <c r="AO83" i="4"/>
  <c r="AN52" i="4"/>
  <c r="AN46" i="4"/>
  <c r="AN45" i="4"/>
  <c r="AO78" i="4"/>
  <c r="AN47" i="4"/>
  <c r="AO54" i="4"/>
  <c r="AN79" i="4"/>
  <c r="AO49" i="4"/>
  <c r="AO75" i="4"/>
  <c r="AN55" i="4"/>
  <c r="AO73" i="4"/>
  <c r="AO46" i="4"/>
  <c r="AO76" i="4"/>
  <c r="AN50" i="4"/>
  <c r="AN63" i="4"/>
  <c r="AO65" i="4"/>
  <c r="AO74" i="4"/>
  <c r="AO81" i="4"/>
  <c r="AO56" i="4"/>
  <c r="AO57" i="4"/>
  <c r="AO55" i="4"/>
  <c r="AN58" i="4"/>
  <c r="AO66" i="4"/>
  <c r="AN82" i="4"/>
  <c r="AP65" i="4"/>
  <c r="AN65" i="4"/>
  <c r="AP74" i="4"/>
  <c r="AN74" i="4"/>
  <c r="AN60" i="4"/>
  <c r="AP60" i="4"/>
  <c r="AN66" i="4"/>
  <c r="AP66" i="4"/>
  <c r="AP62" i="4"/>
  <c r="AN62" i="4"/>
  <c r="AO68" i="4"/>
  <c r="AO72" i="4"/>
  <c r="AP81" i="4"/>
  <c r="AN81" i="4"/>
  <c r="AO52" i="4"/>
  <c r="AO70" i="4"/>
  <c r="AN54" i="4"/>
  <c r="AO58" i="4"/>
  <c r="AP61" i="4"/>
  <c r="AN61" i="4"/>
  <c r="AN73" i="4"/>
  <c r="AP73" i="4"/>
  <c r="AP77" i="4"/>
  <c r="AN77" i="4"/>
  <c r="AP56" i="4"/>
  <c r="AN56" i="4"/>
  <c r="AN83" i="4"/>
  <c r="AP83" i="4"/>
  <c r="AP49" i="4"/>
  <c r="AN49" i="4"/>
  <c r="AP48" i="4"/>
  <c r="AN48" i="4"/>
  <c r="AO64" i="4"/>
  <c r="AN78" i="4"/>
  <c r="AN76" i="4"/>
  <c r="AP76" i="4"/>
  <c r="AO60" i="4"/>
  <c r="AN69" i="4"/>
  <c r="AP69" i="4"/>
  <c r="AN70" i="4"/>
  <c r="AP70" i="4"/>
  <c r="AO80" i="4"/>
  <c r="AO45" i="4"/>
  <c r="AN64" i="4"/>
  <c r="AP57" i="4"/>
  <c r="AN57" i="4"/>
  <c r="AN53" i="4"/>
  <c r="AP53" i="4"/>
  <c r="AN72" i="4"/>
  <c r="AN75" i="4"/>
  <c r="AO48" i="4"/>
  <c r="AO47" i="4"/>
  <c r="AN80" i="4"/>
  <c r="AP80" i="4"/>
  <c r="AO62" i="4"/>
  <c r="AN68" i="4"/>
</calcChain>
</file>

<file path=xl/sharedStrings.xml><?xml version="1.0" encoding="utf-8"?>
<sst xmlns="http://schemas.openxmlformats.org/spreadsheetml/2006/main" count="46506" uniqueCount="79">
  <si>
    <t>Year</t>
  </si>
  <si>
    <t>Market</t>
  </si>
  <si>
    <t>Region</t>
  </si>
  <si>
    <t>Australia-New Zealand</t>
  </si>
  <si>
    <t>APAC</t>
  </si>
  <si>
    <t>China</t>
  </si>
  <si>
    <t>Hong Kong</t>
  </si>
  <si>
    <t>India</t>
  </si>
  <si>
    <t>Indonesia</t>
  </si>
  <si>
    <t>Japan</t>
  </si>
  <si>
    <t>Macau</t>
  </si>
  <si>
    <t>Malaysia</t>
  </si>
  <si>
    <t>Singapore</t>
  </si>
  <si>
    <t>South Korea</t>
  </si>
  <si>
    <t>Taiwan</t>
  </si>
  <si>
    <t>Thailand</t>
  </si>
  <si>
    <t>Bulgaria</t>
  </si>
  <si>
    <t>Eastern Europe</t>
  </si>
  <si>
    <t>Czech Republic</t>
  </si>
  <si>
    <t>Greece</t>
  </si>
  <si>
    <t>Hungary</t>
  </si>
  <si>
    <t>Poland</t>
  </si>
  <si>
    <t>Rest of Eastern Europe</t>
  </si>
  <si>
    <t>Romania</t>
  </si>
  <si>
    <t>Russia</t>
  </si>
  <si>
    <t>Ukraine</t>
  </si>
  <si>
    <t>France</t>
  </si>
  <si>
    <t>Europe</t>
  </si>
  <si>
    <t>Germany</t>
  </si>
  <si>
    <t>Italy</t>
  </si>
  <si>
    <t>Rest of Europe</t>
  </si>
  <si>
    <t>Scandinavia</t>
  </si>
  <si>
    <t>Spain</t>
  </si>
  <si>
    <t>U.K.</t>
  </si>
  <si>
    <t>Argentina</t>
  </si>
  <si>
    <t>LATAM</t>
  </si>
  <si>
    <t>Brazil</t>
  </si>
  <si>
    <t>Chile</t>
  </si>
  <si>
    <t>Colombia</t>
  </si>
  <si>
    <t>Mexico</t>
  </si>
  <si>
    <t>Egypt</t>
  </si>
  <si>
    <t>Middle East</t>
  </si>
  <si>
    <t>Qatar</t>
  </si>
  <si>
    <t>Rest of Middle East</t>
  </si>
  <si>
    <t>Saudi Arabia</t>
  </si>
  <si>
    <t>U.A.E.</t>
  </si>
  <si>
    <t>Canada</t>
  </si>
  <si>
    <t>North America</t>
  </si>
  <si>
    <t>U.S.</t>
  </si>
  <si>
    <t>SUM of Total Market Gross Bookings</t>
  </si>
  <si>
    <t>Grand Total</t>
  </si>
  <si>
    <t>CAGR</t>
  </si>
  <si>
    <t>Multiple</t>
  </si>
  <si>
    <t>Countries GDP</t>
  </si>
  <si>
    <t>GDP as % of 2009</t>
  </si>
  <si>
    <t>GDP Growth YoY</t>
  </si>
  <si>
    <r>
      <rPr>
        <sz val="11"/>
        <color rgb="FF666666"/>
        <rFont val="Open Sans"/>
      </rPr>
      <t>Source:</t>
    </r>
    <r>
      <rPr>
        <sz val="11"/>
        <color rgb="FFB7B7B7"/>
        <rFont val="Open Sans"/>
      </rPr>
      <t xml:space="preserve">
</t>
    </r>
    <r>
      <rPr>
        <sz val="11"/>
        <color rgb="FF999999"/>
        <rFont val="Open Sans"/>
      </rPr>
      <t>1.</t>
    </r>
    <r>
      <rPr>
        <sz val="11"/>
        <rFont val="Open Sans"/>
      </rPr>
      <t xml:space="preserve"> </t>
    </r>
    <r>
      <rPr>
        <u/>
        <sz val="11"/>
        <color rgb="FF1155CC"/>
        <rFont val="Open Sans"/>
      </rPr>
      <t>World Bank</t>
    </r>
    <r>
      <rPr>
        <sz val="11"/>
        <rFont val="Open Sans"/>
      </rPr>
      <t xml:space="preserve">.  </t>
    </r>
    <r>
      <rPr>
        <sz val="11"/>
        <color rgb="FF999999"/>
        <rFont val="Open Sans"/>
      </rPr>
      <t>Some data points are obtained through mapping and aggregation(e.g. Australia-New Zealand). Taiwan's data is not included in the World Bank dataset.</t>
    </r>
    <r>
      <rPr>
        <sz val="11"/>
        <rFont val="Open Sans"/>
      </rPr>
      <t xml:space="preserve">
</t>
    </r>
    <r>
      <rPr>
        <sz val="11"/>
        <color rgb="FF999999"/>
        <rFont val="Open Sans"/>
      </rPr>
      <t>2.</t>
    </r>
    <r>
      <rPr>
        <sz val="11"/>
        <rFont val="Open Sans"/>
      </rPr>
      <t xml:space="preserve"> </t>
    </r>
    <r>
      <rPr>
        <u/>
        <sz val="11"/>
        <color rgb="FF1155CC"/>
        <rFont val="Open Sans"/>
      </rPr>
      <t>International Monetary Fund</t>
    </r>
    <r>
      <rPr>
        <sz val="11"/>
        <rFont val="Open Sans"/>
      </rPr>
      <t xml:space="preserve">. </t>
    </r>
    <r>
      <rPr>
        <sz val="11"/>
        <color rgb="FF999999"/>
        <rFont val="Open Sans"/>
      </rPr>
      <t>The GDP data for Taiwan is sourced from this database.</t>
    </r>
    <r>
      <rPr>
        <sz val="11"/>
        <rFont val="Open Sans"/>
      </rPr>
      <t xml:space="preserve">
</t>
    </r>
  </si>
  <si>
    <t>Data Level</t>
  </si>
  <si>
    <t>Channel Type</t>
  </si>
  <si>
    <t>Breakdown</t>
  </si>
  <si>
    <t>Total Market Gross Bookings</t>
  </si>
  <si>
    <t>First 'ExchangeRatesV4'[Currency]</t>
  </si>
  <si>
    <t>Countries</t>
  </si>
  <si>
    <t>Total</t>
  </si>
  <si>
    <t>2011-2019</t>
  </si>
  <si>
    <t>2010/2009</t>
  </si>
  <si>
    <t>Country</t>
  </si>
  <si>
    <t>Offline</t>
  </si>
  <si>
    <t>U.S. Dollars (US$)</t>
  </si>
  <si>
    <t>Online</t>
  </si>
  <si>
    <t>Online Supplier-Direct</t>
  </si>
  <si>
    <t>OTA</t>
  </si>
  <si>
    <t>Central</t>
  </si>
  <si>
    <t>Central Reservation</t>
  </si>
  <si>
    <t>Travel Agency/TMC</t>
  </si>
  <si>
    <t>Online %</t>
  </si>
  <si>
    <t>Gross Bookings</t>
  </si>
  <si>
    <t>Online Bookings</t>
  </si>
  <si>
    <t>Online Penetration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</si>
</sst>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%"/>
    <numFmt numFmtId="166" formatCode="###0"/>
    <numFmt numFmtId="167" formatCode="[&lt;999950]0,,&quot;M&quot;;[&lt;999950000]0,,&quot;M&quot;;0,,,&quot;B&quot;"/>
    <numFmt numFmtId="168" formatCode="#,##0.0\x_);\(#,##0.0\x\);&quot;-&quot;_)"/>
    <numFmt numFmtId="169" formatCode="[&lt;999950]0.0,,&quot;M&quot;;[&lt;999950000]0.0,,&quot;M&quot;;0.0,,,&quot;B&quot;"/>
  </numFmts>
  <fonts count="22" x14ac:knownFonts="1">
    <font>
      <sz val="11"/>
      <color theme="1"/>
      <name val="Calibri"/>
      <scheme val="minor"/>
    </font>
    <font>
      <b/>
      <sz val="11"/>
      <color theme="1"/>
      <name val="Open Sans"/>
    </font>
    <font>
      <sz val="11"/>
      <color theme="1"/>
      <name val="Open Sans"/>
    </font>
    <font>
      <sz val="11"/>
      <color theme="1"/>
      <name val="Open Sans"/>
    </font>
    <font>
      <sz val="11"/>
      <color rgb="FF000000"/>
      <name val="Open Sans"/>
    </font>
    <font>
      <sz val="11"/>
      <color rgb="FF4A86E8"/>
      <name val="Open Sans"/>
    </font>
    <font>
      <sz val="12"/>
      <color rgb="FF000000"/>
      <name val="Open Sans"/>
    </font>
    <font>
      <u/>
      <sz val="11"/>
      <color rgb="FF0000FF"/>
      <name val="Open Sans"/>
    </font>
    <font>
      <sz val="10"/>
      <color theme="1"/>
      <name val="Open Sans"/>
    </font>
    <font>
      <b/>
      <sz val="10"/>
      <color theme="1"/>
      <name val="Open Sans"/>
    </font>
    <font>
      <sz val="10"/>
      <color rgb="FF4A86E8"/>
      <name val="Open Sans"/>
    </font>
    <font>
      <sz val="10"/>
      <color rgb="FF000000"/>
      <name val="Open Sans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4A86E8"/>
      <name val="Calibri"/>
      <family val="2"/>
      <scheme val="minor"/>
    </font>
    <font>
      <sz val="11"/>
      <color rgb="FF666666"/>
      <name val="Open Sans"/>
    </font>
    <font>
      <sz val="11"/>
      <color rgb="FFB7B7B7"/>
      <name val="Open Sans"/>
    </font>
    <font>
      <sz val="11"/>
      <color rgb="FF999999"/>
      <name val="Open Sans"/>
    </font>
    <font>
      <sz val="11"/>
      <name val="Open Sans"/>
    </font>
    <font>
      <u/>
      <sz val="11"/>
      <color rgb="FF1155CC"/>
      <name val="Open Sans"/>
    </font>
    <font>
      <sz val="12"/>
      <color rgb="FF000000"/>
      <name val="Aptos Narrow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</fills>
  <borders count="18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1" xfId="0" applyFont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3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165" fontId="3" fillId="0" borderId="1" xfId="0" applyNumberFormat="1" applyFont="1" applyBorder="1"/>
    <xf numFmtId="0" fontId="3" fillId="0" borderId="1" xfId="0" applyFont="1" applyBorder="1"/>
    <xf numFmtId="0" fontId="3" fillId="0" borderId="0" xfId="0" applyFont="1"/>
    <xf numFmtId="167" fontId="3" fillId="0" borderId="0" xfId="0" applyNumberFormat="1" applyFont="1" applyAlignment="1">
      <alignment horizontal="center"/>
    </xf>
    <xf numFmtId="0" fontId="1" fillId="0" borderId="0" xfId="0" applyFont="1"/>
    <xf numFmtId="165" fontId="3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/>
    <xf numFmtId="0" fontId="1" fillId="0" borderId="3" xfId="0" applyFont="1" applyBorder="1" applyAlignment="1">
      <alignment horizontal="center" vertical="center"/>
    </xf>
    <xf numFmtId="0" fontId="3" fillId="0" borderId="3" xfId="0" applyFont="1" applyBorder="1"/>
    <xf numFmtId="169" fontId="4" fillId="0" borderId="0" xfId="0" applyNumberFormat="1" applyFont="1" applyAlignment="1">
      <alignment horizontal="center"/>
    </xf>
    <xf numFmtId="0" fontId="3" fillId="0" borderId="4" xfId="0" applyFont="1" applyBorder="1"/>
    <xf numFmtId="165" fontId="5" fillId="0" borderId="1" xfId="0" applyNumberFormat="1" applyFont="1" applyBorder="1" applyAlignment="1">
      <alignment horizontal="center"/>
    </xf>
    <xf numFmtId="165" fontId="6" fillId="0" borderId="0" xfId="0" applyNumberFormat="1" applyFont="1" applyAlignment="1">
      <alignment horizontal="center"/>
    </xf>
    <xf numFmtId="10" fontId="3" fillId="0" borderId="0" xfId="0" applyNumberFormat="1" applyFont="1"/>
    <xf numFmtId="169" fontId="4" fillId="2" borderId="0" xfId="0" applyNumberFormat="1" applyFont="1" applyFill="1" applyAlignment="1">
      <alignment horizontal="center"/>
    </xf>
    <xf numFmtId="0" fontId="3" fillId="0" borderId="5" xfId="0" applyFont="1" applyBorder="1"/>
    <xf numFmtId="0" fontId="7" fillId="0" borderId="1" xfId="0" applyFont="1" applyBorder="1"/>
    <xf numFmtId="166" fontId="8" fillId="3" borderId="2" xfId="0" applyNumberFormat="1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3" fontId="8" fillId="3" borderId="2" xfId="0" applyNumberFormat="1" applyFont="1" applyFill="1" applyBorder="1" applyAlignment="1">
      <alignment horizontal="center" vertical="center" wrapText="1"/>
    </xf>
    <xf numFmtId="0" fontId="8" fillId="0" borderId="1" xfId="0" applyFont="1" applyBorder="1"/>
    <xf numFmtId="0" fontId="9" fillId="0" borderId="1" xfId="0" applyFont="1" applyBorder="1" applyAlignment="1">
      <alignment horizontal="center" vertical="center"/>
    </xf>
    <xf numFmtId="166" fontId="10" fillId="2" borderId="1" xfId="0" applyNumberFormat="1" applyFont="1" applyFill="1" applyBorder="1" applyAlignment="1">
      <alignment horizontal="right" vertical="center"/>
    </xf>
    <xf numFmtId="0" fontId="10" fillId="2" borderId="1" xfId="0" applyFont="1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right" vertical="center"/>
    </xf>
    <xf numFmtId="0" fontId="10" fillId="2" borderId="4" xfId="0" applyFont="1" applyFill="1" applyBorder="1" applyAlignment="1">
      <alignment vertical="center"/>
    </xf>
    <xf numFmtId="0" fontId="8" fillId="0" borderId="4" xfId="0" applyFont="1" applyBorder="1"/>
    <xf numFmtId="169" fontId="10" fillId="0" borderId="1" xfId="0" applyNumberFormat="1" applyFont="1" applyBorder="1" applyAlignment="1">
      <alignment horizontal="center" vertical="center"/>
    </xf>
    <xf numFmtId="169" fontId="8" fillId="0" borderId="1" xfId="0" applyNumberFormat="1" applyFont="1" applyBorder="1" applyAlignment="1">
      <alignment horizontal="center" vertical="center"/>
    </xf>
    <xf numFmtId="166" fontId="10" fillId="4" borderId="1" xfId="0" applyNumberFormat="1" applyFont="1" applyFill="1" applyBorder="1" applyAlignment="1">
      <alignment horizontal="right" vertical="center"/>
    </xf>
    <xf numFmtId="0" fontId="10" fillId="4" borderId="1" xfId="0" applyFont="1" applyFill="1" applyBorder="1" applyAlignment="1">
      <alignment vertical="center"/>
    </xf>
    <xf numFmtId="3" fontId="10" fillId="4" borderId="1" xfId="0" applyNumberFormat="1" applyFont="1" applyFill="1" applyBorder="1" applyAlignment="1">
      <alignment horizontal="right" vertical="center"/>
    </xf>
    <xf numFmtId="0" fontId="10" fillId="4" borderId="4" xfId="0" applyFont="1" applyFill="1" applyBorder="1" applyAlignment="1">
      <alignment vertical="center"/>
    </xf>
    <xf numFmtId="0" fontId="8" fillId="0" borderId="1" xfId="0" applyFont="1" applyBorder="1" applyAlignment="1">
      <alignment horizontal="left"/>
    </xf>
    <xf numFmtId="10" fontId="8" fillId="0" borderId="1" xfId="0" applyNumberFormat="1" applyFont="1" applyBorder="1"/>
    <xf numFmtId="165" fontId="10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9" fillId="0" borderId="1" xfId="0" applyFont="1" applyBorder="1"/>
    <xf numFmtId="165" fontId="9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vertical="center"/>
    </xf>
    <xf numFmtId="166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vertical="center"/>
    </xf>
    <xf numFmtId="3" fontId="8" fillId="2" borderId="1" xfId="0" applyNumberFormat="1" applyFont="1" applyFill="1" applyBorder="1" applyAlignment="1">
      <alignment horizontal="right" vertical="center"/>
    </xf>
    <xf numFmtId="0" fontId="11" fillId="2" borderId="4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6" fontId="8" fillId="4" borderId="1" xfId="0" applyNumberFormat="1" applyFont="1" applyFill="1" applyBorder="1" applyAlignment="1">
      <alignment horizontal="right" vertical="center"/>
    </xf>
    <xf numFmtId="0" fontId="8" fillId="4" borderId="1" xfId="0" applyFont="1" applyFill="1" applyBorder="1" applyAlignment="1">
      <alignment vertical="center"/>
    </xf>
    <xf numFmtId="3" fontId="8" fillId="4" borderId="1" xfId="0" applyNumberFormat="1" applyFont="1" applyFill="1" applyBorder="1" applyAlignment="1">
      <alignment horizontal="right" vertical="center"/>
    </xf>
    <xf numFmtId="0" fontId="11" fillId="4" borderId="4" xfId="0" applyFont="1" applyFill="1" applyBorder="1" applyAlignment="1">
      <alignment vertical="center"/>
    </xf>
    <xf numFmtId="0" fontId="11" fillId="2" borderId="0" xfId="0" applyFont="1" applyFill="1" applyAlignment="1">
      <alignment vertical="center"/>
    </xf>
    <xf numFmtId="0" fontId="8" fillId="0" borderId="0" xfId="0" applyFont="1"/>
    <xf numFmtId="166" fontId="12" fillId="0" borderId="6" xfId="0" applyNumberFormat="1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3" fontId="12" fillId="0" borderId="6" xfId="0" applyNumberFormat="1" applyFont="1" applyBorder="1" applyAlignment="1">
      <alignment horizontal="center"/>
    </xf>
    <xf numFmtId="166" fontId="12" fillId="0" borderId="0" xfId="0" applyNumberFormat="1" applyFont="1" applyAlignment="1">
      <alignment horizontal="right"/>
    </xf>
    <xf numFmtId="0" fontId="12" fillId="0" borderId="0" xfId="0" applyFont="1"/>
    <xf numFmtId="3" fontId="12" fillId="0" borderId="0" xfId="0" applyNumberFormat="1" applyFont="1" applyAlignment="1">
      <alignment horizontal="right"/>
    </xf>
    <xf numFmtId="165" fontId="13" fillId="0" borderId="0" xfId="0" applyNumberFormat="1" applyFont="1"/>
    <xf numFmtId="166" fontId="9" fillId="3" borderId="2" xfId="0" applyNumberFormat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3" fontId="9" fillId="3" borderId="2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66" fontId="9" fillId="2" borderId="2" xfId="0" applyNumberFormat="1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4" fontId="10" fillId="2" borderId="1" xfId="0" applyNumberFormat="1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166" fontId="8" fillId="2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4" fontId="10" fillId="4" borderId="1" xfId="0" applyNumberFormat="1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166" fontId="8" fillId="4" borderId="0" xfId="0" applyNumberFormat="1" applyFont="1" applyFill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166" fontId="12" fillId="4" borderId="0" xfId="0" applyNumberFormat="1" applyFont="1" applyFill="1" applyAlignment="1">
      <alignment horizontal="right"/>
    </xf>
    <xf numFmtId="0" fontId="12" fillId="4" borderId="0" xfId="0" applyFont="1" applyFill="1"/>
    <xf numFmtId="3" fontId="12" fillId="4" borderId="0" xfId="0" applyNumberFormat="1" applyFont="1" applyFill="1" applyAlignment="1">
      <alignment horizontal="right"/>
    </xf>
    <xf numFmtId="166" fontId="12" fillId="2" borderId="0" xfId="0" applyNumberFormat="1" applyFont="1" applyFill="1" applyAlignment="1">
      <alignment horizontal="right"/>
    </xf>
    <xf numFmtId="0" fontId="12" fillId="2" borderId="0" xfId="0" applyFont="1" applyFill="1"/>
    <xf numFmtId="3" fontId="12" fillId="2" borderId="0" xfId="0" applyNumberFormat="1" applyFont="1" applyFill="1" applyAlignment="1">
      <alignment horizontal="right"/>
    </xf>
    <xf numFmtId="0" fontId="14" fillId="0" borderId="0" xfId="0" applyFont="1"/>
    <xf numFmtId="0" fontId="0" fillId="0" borderId="7" xfId="0" pivotButton="1" applyBorder="1"/>
    <xf numFmtId="0" fontId="0" fillId="0" borderId="8" xfId="0" applyBorder="1"/>
    <xf numFmtId="0" fontId="0" fillId="0" borderId="9" xfId="0" applyBorder="1"/>
    <xf numFmtId="166" fontId="0" fillId="0" borderId="7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7" xfId="0" applyBorder="1"/>
    <xf numFmtId="0" fontId="0" fillId="0" borderId="12" xfId="0" applyBorder="1"/>
    <xf numFmtId="0" fontId="0" fillId="0" borderId="14" xfId="0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0" xfId="0" applyNumberFormat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20" fillId="0" borderId="0" xfId="0" applyFont="1"/>
    <xf numFmtId="3" fontId="20" fillId="0" borderId="0" xfId="0" applyNumberFormat="1" applyFont="1"/>
    <xf numFmtId="0" fontId="21" fillId="0" borderId="17" xfId="0" applyFont="1" applyBorder="1" applyAlignment="1">
      <alignment horizontal="center" vertical="top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763.515904050924" refreshedVersion="8" recordCount="2309" xr:uid="{00000000-000A-0000-FFFF-FFFF00000000}">
  <cacheSource type="worksheet">
    <worksheetSource ref="A1:H2310" sheet="Raw PhocalPoint Data"/>
  </cacheSource>
  <cacheFields count="8">
    <cacheField name="Year" numFmtId="166">
      <sharedItems containsSemiMixedTypes="0" containsString="0" containsNumber="1" containsInteger="1" minValue="2009" maxValue="2027" count="19"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</sharedItems>
    </cacheField>
    <cacheField name="Data Level" numFmtId="0">
      <sharedItems/>
    </cacheField>
    <cacheField name="Region" numFmtId="0">
      <sharedItems count="6">
        <s v="APAC"/>
        <s v="Eastern Europe"/>
        <s v="Europe"/>
        <s v="LATAM"/>
        <s v="Middle East"/>
        <s v="North America"/>
      </sharedItems>
    </cacheField>
    <cacheField name="Market" numFmtId="0">
      <sharedItems/>
    </cacheField>
    <cacheField name="Channel Type" numFmtId="0">
      <sharedItems/>
    </cacheField>
    <cacheField name="Breakdown" numFmtId="0">
      <sharedItems/>
    </cacheField>
    <cacheField name="Total Market Gross Bookings" numFmtId="3">
      <sharedItems containsSemiMixedTypes="0" containsString="0" containsNumber="1" containsInteger="1" minValue="0" maxValue="245027904788"/>
    </cacheField>
    <cacheField name="First 'ExchangeRatesV4'[Currency]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9">
  <r>
    <x v="0"/>
    <s v="Country"/>
    <x v="0"/>
    <s v="Australia-New Zealand"/>
    <s v="Offline"/>
    <s v="Offline"/>
    <n v="15523531464"/>
    <s v="U.S. Dollars (US$)"/>
  </r>
  <r>
    <x v="0"/>
    <s v="Country"/>
    <x v="0"/>
    <s v="Australia-New Zealand"/>
    <s v="Online"/>
    <s v="OTA"/>
    <n v="1271681938"/>
    <s v="U.S. Dollars (US$)"/>
  </r>
  <r>
    <x v="0"/>
    <s v="Country"/>
    <x v="0"/>
    <s v="Australia-New Zealand"/>
    <s v="Online"/>
    <s v="Online Supplier-Direct"/>
    <n v="6040014782"/>
    <s v="U.S. Dollars (US$)"/>
  </r>
  <r>
    <x v="0"/>
    <s v="Country"/>
    <x v="0"/>
    <s v="China"/>
    <s v="Offline"/>
    <s v="Offline"/>
    <n v="57900895821"/>
    <s v="U.S. Dollars (US$)"/>
  </r>
  <r>
    <x v="0"/>
    <s v="Country"/>
    <x v="0"/>
    <s v="China"/>
    <s v="Online"/>
    <s v="OTA"/>
    <n v="1880368349"/>
    <s v="U.S. Dollars (US$)"/>
  </r>
  <r>
    <x v="0"/>
    <s v="Country"/>
    <x v="0"/>
    <s v="China"/>
    <s v="Online"/>
    <s v="Online Supplier-Direct"/>
    <n v="2020688248"/>
    <s v="U.S. Dollars (US$)"/>
  </r>
  <r>
    <x v="0"/>
    <s v="Country"/>
    <x v="0"/>
    <s v="Hong Kong"/>
    <s v="Offline"/>
    <s v="Offline"/>
    <n v="8587607904"/>
    <s v="U.S. Dollars (US$)"/>
  </r>
  <r>
    <x v="0"/>
    <s v="Country"/>
    <x v="0"/>
    <s v="Hong Kong"/>
    <s v="Online"/>
    <s v="OTA"/>
    <n v="144080723"/>
    <s v="U.S. Dollars (US$)"/>
  </r>
  <r>
    <x v="0"/>
    <s v="Country"/>
    <x v="0"/>
    <s v="Hong Kong"/>
    <s v="Online"/>
    <s v="Online Supplier-Direct"/>
    <n v="388480252"/>
    <s v="U.S. Dollars (US$)"/>
  </r>
  <r>
    <x v="0"/>
    <s v="Country"/>
    <x v="0"/>
    <s v="India"/>
    <s v="Offline"/>
    <s v="Offline"/>
    <n v="13723773716"/>
    <s v="U.S. Dollars (US$)"/>
  </r>
  <r>
    <x v="0"/>
    <s v="Country"/>
    <x v="0"/>
    <s v="India"/>
    <s v="Online"/>
    <s v="OTA"/>
    <n v="1139031923"/>
    <s v="U.S. Dollars (US$)"/>
  </r>
  <r>
    <x v="0"/>
    <s v="Country"/>
    <x v="0"/>
    <s v="India"/>
    <s v="Online"/>
    <s v="Online Supplier-Direct"/>
    <n v="2354023606"/>
    <s v="U.S. Dollars (US$)"/>
  </r>
  <r>
    <x v="0"/>
    <s v="Country"/>
    <x v="0"/>
    <s v="Indonesia"/>
    <s v="Offline"/>
    <s v="Offline"/>
    <n v="4823372874"/>
    <s v="U.S. Dollars (US$)"/>
  </r>
  <r>
    <x v="0"/>
    <s v="Country"/>
    <x v="0"/>
    <s v="Indonesia"/>
    <s v="Online"/>
    <s v="OTA"/>
    <n v="29593562"/>
    <s v="U.S. Dollars (US$)"/>
  </r>
  <r>
    <x v="0"/>
    <s v="Country"/>
    <x v="0"/>
    <s v="Indonesia"/>
    <s v="Online"/>
    <s v="Online Supplier-Direct"/>
    <n v="120618054"/>
    <s v="U.S. Dollars (US$)"/>
  </r>
  <r>
    <x v="0"/>
    <s v="Country"/>
    <x v="0"/>
    <s v="Japan"/>
    <s v="Offline"/>
    <s v="Offline"/>
    <n v="66451204207"/>
    <s v="U.S. Dollars (US$)"/>
  </r>
  <r>
    <x v="0"/>
    <s v="Country"/>
    <x v="0"/>
    <s v="Japan"/>
    <s v="Online"/>
    <s v="OTA"/>
    <n v="6842752515"/>
    <s v="U.S. Dollars (US$)"/>
  </r>
  <r>
    <x v="0"/>
    <s v="Country"/>
    <x v="0"/>
    <s v="Japan"/>
    <s v="Online"/>
    <s v="Online Supplier-Direct"/>
    <n v="13630457013"/>
    <s v="U.S. Dollars (US$)"/>
  </r>
  <r>
    <x v="0"/>
    <s v="Country"/>
    <x v="0"/>
    <s v="Macau"/>
    <s v="Offline"/>
    <s v="Offline"/>
    <n v="551150065"/>
    <s v="U.S. Dollars (US$)"/>
  </r>
  <r>
    <x v="0"/>
    <s v="Country"/>
    <x v="0"/>
    <s v="Macau"/>
    <s v="Online"/>
    <s v="OTA"/>
    <n v="7132863"/>
    <s v="U.S. Dollars (US$)"/>
  </r>
  <r>
    <x v="0"/>
    <s v="Country"/>
    <x v="0"/>
    <s v="Macau"/>
    <s v="Online"/>
    <s v="Online Supplier-Direct"/>
    <n v="5835979"/>
    <s v="U.S. Dollars (US$)"/>
  </r>
  <r>
    <x v="0"/>
    <s v="Country"/>
    <x v="0"/>
    <s v="Malaysia"/>
    <s v="Offline"/>
    <s v="Offline"/>
    <n v="4043255582"/>
    <s v="U.S. Dollars (US$)"/>
  </r>
  <r>
    <x v="0"/>
    <s v="Country"/>
    <x v="0"/>
    <s v="Malaysia"/>
    <s v="Online"/>
    <s v="OTA"/>
    <n v="78708676"/>
    <s v="U.S. Dollars (US$)"/>
  </r>
  <r>
    <x v="0"/>
    <s v="Country"/>
    <x v="0"/>
    <s v="Malaysia"/>
    <s v="Online"/>
    <s v="Online Supplier-Direct"/>
    <n v="1256243379"/>
    <s v="U.S. Dollars (US$)"/>
  </r>
  <r>
    <x v="0"/>
    <s v="Country"/>
    <x v="0"/>
    <s v="Singapore"/>
    <s v="Offline"/>
    <s v="Offline"/>
    <n v="5183334817"/>
    <s v="U.S. Dollars (US$)"/>
  </r>
  <r>
    <x v="0"/>
    <s v="Country"/>
    <x v="0"/>
    <s v="Singapore"/>
    <s v="Online"/>
    <s v="OTA"/>
    <n v="231785047"/>
    <s v="U.S. Dollars (US$)"/>
  </r>
  <r>
    <x v="0"/>
    <s v="Country"/>
    <x v="0"/>
    <s v="Singapore"/>
    <s v="Online"/>
    <s v="Online Supplier-Direct"/>
    <n v="1329120007"/>
    <s v="U.S. Dollars (US$)"/>
  </r>
  <r>
    <x v="0"/>
    <s v="Country"/>
    <x v="0"/>
    <s v="South Korea"/>
    <s v="Offline"/>
    <s v="Offline"/>
    <n v="8827228902"/>
    <s v="U.S. Dollars (US$)"/>
  </r>
  <r>
    <x v="0"/>
    <s v="Country"/>
    <x v="0"/>
    <s v="South Korea"/>
    <s v="Online"/>
    <s v="OTA"/>
    <n v="81632740"/>
    <s v="U.S. Dollars (US$)"/>
  </r>
  <r>
    <x v="0"/>
    <s v="Country"/>
    <x v="0"/>
    <s v="South Korea"/>
    <s v="Online"/>
    <s v="Online Supplier-Direct"/>
    <n v="1108985340"/>
    <s v="U.S. Dollars (US$)"/>
  </r>
  <r>
    <x v="0"/>
    <s v="Country"/>
    <x v="0"/>
    <s v="Taiwan"/>
    <s v="Offline"/>
    <s v="Offline"/>
    <n v="4251468513"/>
    <s v="U.S. Dollars (US$)"/>
  </r>
  <r>
    <x v="0"/>
    <s v="Country"/>
    <x v="0"/>
    <s v="Taiwan"/>
    <s v="Online"/>
    <s v="OTA"/>
    <n v="87442155"/>
    <s v="U.S. Dollars (US$)"/>
  </r>
  <r>
    <x v="0"/>
    <s v="Country"/>
    <x v="0"/>
    <s v="Taiwan"/>
    <s v="Online"/>
    <s v="Online Supplier-Direct"/>
    <n v="352036615"/>
    <s v="U.S. Dollars (US$)"/>
  </r>
  <r>
    <x v="0"/>
    <s v="Country"/>
    <x v="0"/>
    <s v="Thailand"/>
    <s v="Offline"/>
    <s v="Offline"/>
    <n v="8214837771"/>
    <s v="U.S. Dollars (US$)"/>
  </r>
  <r>
    <x v="0"/>
    <s v="Country"/>
    <x v="0"/>
    <s v="Thailand"/>
    <s v="Online"/>
    <s v="OTA"/>
    <n v="499440837"/>
    <s v="U.S. Dollars (US$)"/>
  </r>
  <r>
    <x v="0"/>
    <s v="Country"/>
    <x v="0"/>
    <s v="Thailand"/>
    <s v="Online"/>
    <s v="Online Supplier-Direct"/>
    <n v="740830751"/>
    <s v="U.S. Dollars (US$)"/>
  </r>
  <r>
    <x v="0"/>
    <s v="Country"/>
    <x v="1"/>
    <s v="Bulgaria"/>
    <s v="Offline"/>
    <s v="Offline"/>
    <n v="1318340039"/>
    <s v="U.S. Dollars (US$)"/>
  </r>
  <r>
    <x v="0"/>
    <s v="Country"/>
    <x v="1"/>
    <s v="Bulgaria"/>
    <s v="Online"/>
    <s v="OTA"/>
    <n v="16479153"/>
    <s v="U.S. Dollars (US$)"/>
  </r>
  <r>
    <x v="0"/>
    <s v="Country"/>
    <x v="1"/>
    <s v="Bulgaria"/>
    <s v="Online"/>
    <s v="Online Supplier-Direct"/>
    <n v="83036315"/>
    <s v="U.S. Dollars (US$)"/>
  </r>
  <r>
    <x v="0"/>
    <s v="Country"/>
    <x v="1"/>
    <s v="Czech Republic"/>
    <s v="Offline"/>
    <s v="Offline"/>
    <n v="2673363667"/>
    <s v="U.S. Dollars (US$)"/>
  </r>
  <r>
    <x v="0"/>
    <s v="Country"/>
    <x v="1"/>
    <s v="Czech Republic"/>
    <s v="Online"/>
    <s v="OTA"/>
    <n v="255177175"/>
    <s v="U.S. Dollars (US$)"/>
  </r>
  <r>
    <x v="0"/>
    <s v="Country"/>
    <x v="1"/>
    <s v="Czech Republic"/>
    <s v="Online"/>
    <s v="Online Supplier-Direct"/>
    <n v="230152966"/>
    <s v="U.S. Dollars (US$)"/>
  </r>
  <r>
    <x v="0"/>
    <s v="Country"/>
    <x v="1"/>
    <s v="Greece"/>
    <s v="Offline"/>
    <s v="Offline"/>
    <n v="8206450097"/>
    <s v="U.S. Dollars (US$)"/>
  </r>
  <r>
    <x v="0"/>
    <s v="Country"/>
    <x v="1"/>
    <s v="Greece"/>
    <s v="Online"/>
    <s v="OTA"/>
    <n v="542673970"/>
    <s v="U.S. Dollars (US$)"/>
  </r>
  <r>
    <x v="0"/>
    <s v="Country"/>
    <x v="1"/>
    <s v="Greece"/>
    <s v="Online"/>
    <s v="Online Supplier-Direct"/>
    <n v="1525351218"/>
    <s v="U.S. Dollars (US$)"/>
  </r>
  <r>
    <x v="0"/>
    <s v="Country"/>
    <x v="1"/>
    <s v="Hungary"/>
    <s v="Offline"/>
    <s v="Offline"/>
    <n v="2074578067"/>
    <s v="U.S. Dollars (US$)"/>
  </r>
  <r>
    <x v="0"/>
    <s v="Country"/>
    <x v="1"/>
    <s v="Hungary"/>
    <s v="Online"/>
    <s v="OTA"/>
    <n v="90986868"/>
    <s v="U.S. Dollars (US$)"/>
  </r>
  <r>
    <x v="0"/>
    <s v="Country"/>
    <x v="1"/>
    <s v="Hungary"/>
    <s v="Online"/>
    <s v="Online Supplier-Direct"/>
    <n v="375889448"/>
    <s v="U.S. Dollars (US$)"/>
  </r>
  <r>
    <x v="0"/>
    <s v="Country"/>
    <x v="1"/>
    <s v="Poland"/>
    <s v="Offline"/>
    <s v="Offline"/>
    <n v="3219642997"/>
    <s v="U.S. Dollars (US$)"/>
  </r>
  <r>
    <x v="0"/>
    <s v="Country"/>
    <x v="1"/>
    <s v="Poland"/>
    <s v="Online"/>
    <s v="OTA"/>
    <n v="199532460"/>
    <s v="U.S. Dollars (US$)"/>
  </r>
  <r>
    <x v="0"/>
    <s v="Country"/>
    <x v="1"/>
    <s v="Poland"/>
    <s v="Online"/>
    <s v="Online Supplier-Direct"/>
    <n v="417975397"/>
    <s v="U.S. Dollars (US$)"/>
  </r>
  <r>
    <x v="0"/>
    <s v="Country"/>
    <x v="1"/>
    <s v="Rest of Eastern Europe"/>
    <s v="Offline"/>
    <s v="Offline"/>
    <n v="2617742255"/>
    <s v="U.S. Dollars (US$)"/>
  </r>
  <r>
    <x v="0"/>
    <s v="Country"/>
    <x v="1"/>
    <s v="Rest of Eastern Europe"/>
    <s v="Online"/>
    <s v="OTA"/>
    <n v="106769916"/>
    <s v="U.S. Dollars (US$)"/>
  </r>
  <r>
    <x v="0"/>
    <s v="Country"/>
    <x v="1"/>
    <s v="Rest of Eastern Europe"/>
    <s v="Online"/>
    <s v="Online Supplier-Direct"/>
    <n v="163500529"/>
    <s v="U.S. Dollars (US$)"/>
  </r>
  <r>
    <x v="0"/>
    <s v="Country"/>
    <x v="1"/>
    <s v="Romania"/>
    <s v="Offline"/>
    <s v="Offline"/>
    <n v="2892406340"/>
    <s v="U.S. Dollars (US$)"/>
  </r>
  <r>
    <x v="0"/>
    <s v="Country"/>
    <x v="1"/>
    <s v="Romania"/>
    <s v="Online"/>
    <s v="OTA"/>
    <n v="104133968"/>
    <s v="U.S. Dollars (US$)"/>
  </r>
  <r>
    <x v="0"/>
    <s v="Country"/>
    <x v="1"/>
    <s v="Romania"/>
    <s v="Online"/>
    <s v="Online Supplier-Direct"/>
    <n v="267769211"/>
    <s v="U.S. Dollars (US$)"/>
  </r>
  <r>
    <x v="0"/>
    <s v="Country"/>
    <x v="1"/>
    <s v="Russia"/>
    <s v="Offline"/>
    <s v="Offline"/>
    <n v="33061705266"/>
    <s v="U.S. Dollars (US$)"/>
  </r>
  <r>
    <x v="0"/>
    <s v="Country"/>
    <x v="1"/>
    <s v="Russia"/>
    <s v="Online"/>
    <s v="OTA"/>
    <n v="940718050"/>
    <s v="U.S. Dollars (US$)"/>
  </r>
  <r>
    <x v="0"/>
    <s v="Country"/>
    <x v="1"/>
    <s v="Russia"/>
    <s v="Online"/>
    <s v="Online Supplier-Direct"/>
    <n v="1068104044"/>
    <s v="U.S. Dollars (US$)"/>
  </r>
  <r>
    <x v="0"/>
    <s v="Country"/>
    <x v="1"/>
    <s v="Ukraine"/>
    <s v="Offline"/>
    <s v="Offline"/>
    <n v="3032952674"/>
    <s v="U.S. Dollars (US$)"/>
  </r>
  <r>
    <x v="0"/>
    <s v="Country"/>
    <x v="1"/>
    <s v="Ukraine"/>
    <s v="Online"/>
    <s v="OTA"/>
    <n v="150483939"/>
    <s v="U.S. Dollars (US$)"/>
  </r>
  <r>
    <x v="0"/>
    <s v="Country"/>
    <x v="1"/>
    <s v="Ukraine"/>
    <s v="Online"/>
    <s v="Online Supplier-Direct"/>
    <n v="277598378"/>
    <s v="U.S. Dollars (US$)"/>
  </r>
  <r>
    <x v="0"/>
    <s v="Country"/>
    <x v="2"/>
    <s v="France"/>
    <s v="Offline"/>
    <s v="Offline"/>
    <n v="37047452784"/>
    <s v="U.S. Dollars (US$)"/>
  </r>
  <r>
    <x v="0"/>
    <s v="Country"/>
    <x v="2"/>
    <s v="France"/>
    <s v="Online"/>
    <s v="OTA"/>
    <n v="5950585961"/>
    <s v="U.S. Dollars (US$)"/>
  </r>
  <r>
    <x v="0"/>
    <s v="Country"/>
    <x v="2"/>
    <s v="France"/>
    <s v="Online"/>
    <s v="Online Supplier-Direct"/>
    <n v="9161747143"/>
    <s v="U.S. Dollars (US$)"/>
  </r>
  <r>
    <x v="0"/>
    <s v="Country"/>
    <x v="2"/>
    <s v="Germany"/>
    <s v="Offline"/>
    <s v="Offline"/>
    <n v="47332425946"/>
    <s v="U.S. Dollars (US$)"/>
  </r>
  <r>
    <x v="0"/>
    <s v="Country"/>
    <x v="2"/>
    <s v="Germany"/>
    <s v="Online"/>
    <s v="OTA"/>
    <n v="8788064229"/>
    <s v="U.S. Dollars (US$)"/>
  </r>
  <r>
    <x v="0"/>
    <s v="Country"/>
    <x v="2"/>
    <s v="Germany"/>
    <s v="Online"/>
    <s v="Online Supplier-Direct"/>
    <n v="9710275743"/>
    <s v="U.S. Dollars (US$)"/>
  </r>
  <r>
    <x v="0"/>
    <s v="Country"/>
    <x v="2"/>
    <s v="Italy"/>
    <s v="Offline"/>
    <s v="Offline"/>
    <n v="20336313177"/>
    <s v="U.S. Dollars (US$)"/>
  </r>
  <r>
    <x v="0"/>
    <s v="Country"/>
    <x v="2"/>
    <s v="Italy"/>
    <s v="Online"/>
    <s v="OTA"/>
    <n v="2840276222"/>
    <s v="U.S. Dollars (US$)"/>
  </r>
  <r>
    <x v="0"/>
    <s v="Country"/>
    <x v="2"/>
    <s v="Italy"/>
    <s v="Online"/>
    <s v="Online Supplier-Direct"/>
    <n v="2388825001"/>
    <s v="U.S. Dollars (US$)"/>
  </r>
  <r>
    <x v="0"/>
    <s v="Country"/>
    <x v="2"/>
    <s v="Rest of Europe"/>
    <s v="Offline"/>
    <s v="Offline"/>
    <n v="42849570680"/>
    <s v="U.S. Dollars (US$)"/>
  </r>
  <r>
    <x v="0"/>
    <s v="Country"/>
    <x v="2"/>
    <s v="Rest of Europe"/>
    <s v="Online"/>
    <s v="OTA"/>
    <n v="4928058049"/>
    <s v="U.S. Dollars (US$)"/>
  </r>
  <r>
    <x v="0"/>
    <s v="Country"/>
    <x v="2"/>
    <s v="Rest of Europe"/>
    <s v="Online"/>
    <s v="Online Supplier-Direct"/>
    <n v="8912073087"/>
    <s v="U.S. Dollars (US$)"/>
  </r>
  <r>
    <x v="0"/>
    <s v="Country"/>
    <x v="2"/>
    <s v="Scandinavia"/>
    <s v="Offline"/>
    <s v="Offline"/>
    <n v="11180800986"/>
    <s v="U.S. Dollars (US$)"/>
  </r>
  <r>
    <x v="0"/>
    <s v="Country"/>
    <x v="2"/>
    <s v="Scandinavia"/>
    <s v="Online"/>
    <s v="OTA"/>
    <n v="2033952989"/>
    <s v="U.S. Dollars (US$)"/>
  </r>
  <r>
    <x v="0"/>
    <s v="Country"/>
    <x v="2"/>
    <s v="Scandinavia"/>
    <s v="Online"/>
    <s v="Online Supplier-Direct"/>
    <n v="4312834251"/>
    <s v="U.S. Dollars (US$)"/>
  </r>
  <r>
    <x v="0"/>
    <s v="Country"/>
    <x v="2"/>
    <s v="Spain"/>
    <s v="Offline"/>
    <s v="Offline"/>
    <n v="20965610600"/>
    <s v="U.S. Dollars (US$)"/>
  </r>
  <r>
    <x v="0"/>
    <s v="Country"/>
    <x v="2"/>
    <s v="Spain"/>
    <s v="Online"/>
    <s v="OTA"/>
    <n v="3037106955"/>
    <s v="U.S. Dollars (US$)"/>
  </r>
  <r>
    <x v="0"/>
    <s v="Country"/>
    <x v="2"/>
    <s v="Spain"/>
    <s v="Online"/>
    <s v="Online Supplier-Direct"/>
    <n v="2475379888"/>
    <s v="U.S. Dollars (US$)"/>
  </r>
  <r>
    <x v="0"/>
    <s v="Country"/>
    <x v="2"/>
    <s v="U.K."/>
    <s v="Offline"/>
    <s v="Offline"/>
    <n v="36328368743"/>
    <s v="U.S. Dollars (US$)"/>
  </r>
  <r>
    <x v="0"/>
    <s v="Country"/>
    <x v="2"/>
    <s v="U.K."/>
    <s v="Online"/>
    <s v="OTA"/>
    <n v="4724615720"/>
    <s v="U.S. Dollars (US$)"/>
  </r>
  <r>
    <x v="0"/>
    <s v="Country"/>
    <x v="2"/>
    <s v="U.K."/>
    <s v="Online"/>
    <s v="Online Supplier-Direct"/>
    <n v="13347828573"/>
    <s v="U.S. Dollars (US$)"/>
  </r>
  <r>
    <x v="0"/>
    <s v="Country"/>
    <x v="3"/>
    <s v="Argentina"/>
    <s v="Offline"/>
    <s v="Offline"/>
    <n v="8722804665"/>
    <s v="U.S. Dollars (US$)"/>
  </r>
  <r>
    <x v="0"/>
    <s v="Country"/>
    <x v="3"/>
    <s v="Argentina"/>
    <s v="Online"/>
    <s v="OTA"/>
    <n v="222158033"/>
    <s v="U.S. Dollars (US$)"/>
  </r>
  <r>
    <x v="0"/>
    <s v="Country"/>
    <x v="3"/>
    <s v="Argentina"/>
    <s v="Online"/>
    <s v="Online Supplier-Direct"/>
    <n v="189793912"/>
    <s v="U.S. Dollars (US$)"/>
  </r>
  <r>
    <x v="0"/>
    <s v="Country"/>
    <x v="3"/>
    <s v="Brazil"/>
    <s v="Offline"/>
    <s v="Offline"/>
    <n v="36370375145"/>
    <s v="U.S. Dollars (US$)"/>
  </r>
  <r>
    <x v="0"/>
    <s v="Country"/>
    <x v="3"/>
    <s v="Brazil"/>
    <s v="Online"/>
    <s v="OTA"/>
    <n v="2672182149"/>
    <s v="U.S. Dollars (US$)"/>
  </r>
  <r>
    <x v="0"/>
    <s v="Country"/>
    <x v="3"/>
    <s v="Brazil"/>
    <s v="Online"/>
    <s v="Online Supplier-Direct"/>
    <n v="1453038547"/>
    <s v="U.S. Dollars (US$)"/>
  </r>
  <r>
    <x v="0"/>
    <s v="Country"/>
    <x v="3"/>
    <s v="Chile"/>
    <s v="Offline"/>
    <s v="Offline"/>
    <n v="3799612189"/>
    <s v="U.S. Dollars (US$)"/>
  </r>
  <r>
    <x v="0"/>
    <s v="Country"/>
    <x v="3"/>
    <s v="Chile"/>
    <s v="Online"/>
    <s v="OTA"/>
    <n v="170962110"/>
    <s v="U.S. Dollars (US$)"/>
  </r>
  <r>
    <x v="0"/>
    <s v="Country"/>
    <x v="3"/>
    <s v="Chile"/>
    <s v="Online"/>
    <s v="Online Supplier-Direct"/>
    <n v="605279954"/>
    <s v="U.S. Dollars (US$)"/>
  </r>
  <r>
    <x v="0"/>
    <s v="Country"/>
    <x v="3"/>
    <s v="Colombia"/>
    <s v="Offline"/>
    <s v="Offline"/>
    <n v="7771717172"/>
    <s v="U.S. Dollars (US$)"/>
  </r>
  <r>
    <x v="0"/>
    <s v="Country"/>
    <x v="3"/>
    <s v="Colombia"/>
    <s v="Online"/>
    <s v="OTA"/>
    <n v="318925850"/>
    <s v="U.S. Dollars (US$)"/>
  </r>
  <r>
    <x v="0"/>
    <s v="Country"/>
    <x v="3"/>
    <s v="Colombia"/>
    <s v="Online"/>
    <s v="Online Supplier-Direct"/>
    <n v="235747266"/>
    <s v="U.S. Dollars (US$)"/>
  </r>
  <r>
    <x v="0"/>
    <s v="Country"/>
    <x v="3"/>
    <s v="Mexico"/>
    <s v="Offline"/>
    <s v="Offline"/>
    <n v="16166245047"/>
    <s v="U.S. Dollars (US$)"/>
  </r>
  <r>
    <x v="0"/>
    <s v="Country"/>
    <x v="3"/>
    <s v="Mexico"/>
    <s v="Online"/>
    <s v="OTA"/>
    <n v="1807976480"/>
    <s v="U.S. Dollars (US$)"/>
  </r>
  <r>
    <x v="0"/>
    <s v="Country"/>
    <x v="3"/>
    <s v="Mexico"/>
    <s v="Online"/>
    <s v="Online Supplier-Direct"/>
    <n v="875788096"/>
    <s v="U.S. Dollars (US$)"/>
  </r>
  <r>
    <x v="0"/>
    <s v="Country"/>
    <x v="4"/>
    <s v="Egypt"/>
    <s v="Offline"/>
    <s v="Offline"/>
    <n v="7642316996"/>
    <s v="U.S. Dollars (US$)"/>
  </r>
  <r>
    <x v="0"/>
    <s v="Country"/>
    <x v="4"/>
    <s v="Egypt"/>
    <s v="Online"/>
    <s v="OTA"/>
    <n v="270192799"/>
    <s v="U.S. Dollars (US$)"/>
  </r>
  <r>
    <x v="0"/>
    <s v="Country"/>
    <x v="4"/>
    <s v="Egypt"/>
    <s v="Online"/>
    <s v="Online Supplier-Direct"/>
    <n v="179908877"/>
    <s v="U.S. Dollars (US$)"/>
  </r>
  <r>
    <x v="0"/>
    <s v="Country"/>
    <x v="4"/>
    <s v="Qatar"/>
    <s v="Offline"/>
    <s v="Offline"/>
    <n v="4351585468"/>
    <s v="U.S. Dollars (US$)"/>
  </r>
  <r>
    <x v="0"/>
    <s v="Country"/>
    <x v="4"/>
    <s v="Qatar"/>
    <s v="Online"/>
    <s v="OTA"/>
    <n v="377865407"/>
    <s v="U.S. Dollars (US$)"/>
  </r>
  <r>
    <x v="0"/>
    <s v="Country"/>
    <x v="4"/>
    <s v="Qatar"/>
    <s v="Online"/>
    <s v="Online Supplier-Direct"/>
    <n v="419363036"/>
    <s v="U.S. Dollars (US$)"/>
  </r>
  <r>
    <x v="0"/>
    <s v="Country"/>
    <x v="4"/>
    <s v="Rest of Middle East"/>
    <s v="Offline"/>
    <s v="Offline"/>
    <n v="7053814042"/>
    <s v="U.S. Dollars (US$)"/>
  </r>
  <r>
    <x v="0"/>
    <s v="Country"/>
    <x v="4"/>
    <s v="Rest of Middle East"/>
    <s v="Online"/>
    <s v="OTA"/>
    <n v="272777661"/>
    <s v="U.S. Dollars (US$)"/>
  </r>
  <r>
    <x v="0"/>
    <s v="Country"/>
    <x v="4"/>
    <s v="Rest of Middle East"/>
    <s v="Online"/>
    <s v="Online Supplier-Direct"/>
    <n v="303049083"/>
    <s v="U.S. Dollars (US$)"/>
  </r>
  <r>
    <x v="0"/>
    <s v="Country"/>
    <x v="4"/>
    <s v="Saudi Arabia"/>
    <s v="Offline"/>
    <s v="Offline"/>
    <n v="8209436344"/>
    <s v="U.S. Dollars (US$)"/>
  </r>
  <r>
    <x v="0"/>
    <s v="Country"/>
    <x v="4"/>
    <s v="Saudi Arabia"/>
    <s v="Online"/>
    <s v="OTA"/>
    <n v="641659396"/>
    <s v="U.S. Dollars (US$)"/>
  </r>
  <r>
    <x v="0"/>
    <s v="Country"/>
    <x v="4"/>
    <s v="Saudi Arabia"/>
    <s v="Online"/>
    <s v="Online Supplier-Direct"/>
    <n v="355223529"/>
    <s v="U.S. Dollars (US$)"/>
  </r>
  <r>
    <x v="0"/>
    <s v="Country"/>
    <x v="4"/>
    <s v="U.A.E."/>
    <s v="Offline"/>
    <s v="Offline"/>
    <n v="17979546687"/>
    <s v="U.S. Dollars (US$)"/>
  </r>
  <r>
    <x v="0"/>
    <s v="Country"/>
    <x v="4"/>
    <s v="U.A.E."/>
    <s v="Online"/>
    <s v="OTA"/>
    <n v="1561065892"/>
    <s v="U.S. Dollars (US$)"/>
  </r>
  <r>
    <x v="0"/>
    <s v="Country"/>
    <x v="4"/>
    <s v="U.A.E."/>
    <s v="Online"/>
    <s v="Online Supplier-Direct"/>
    <n v="1483070491"/>
    <s v="U.S. Dollars (US$)"/>
  </r>
  <r>
    <x v="0"/>
    <s v="Country"/>
    <x v="5"/>
    <s v="Canada"/>
    <s v="Offline"/>
    <s v="Offline"/>
    <n v="14890662743"/>
    <s v="U.S. Dollars (US$)"/>
  </r>
  <r>
    <x v="0"/>
    <s v="Country"/>
    <x v="5"/>
    <s v="Canada"/>
    <s v="Online"/>
    <s v="OTA"/>
    <n v="2363526657"/>
    <s v="U.S. Dollars (US$)"/>
  </r>
  <r>
    <x v="0"/>
    <s v="Country"/>
    <x v="5"/>
    <s v="Canada"/>
    <s v="Online"/>
    <s v="Online Supplier-Direct"/>
    <n v="6024044595"/>
    <s v="U.S. Dollars (US$)"/>
  </r>
  <r>
    <x v="0"/>
    <s v="Country"/>
    <x v="5"/>
    <s v="U.S."/>
    <s v="Central"/>
    <s v="Central Reservation"/>
    <n v="71508614324"/>
    <s v="U.S. Dollars (US$)"/>
  </r>
  <r>
    <x v="0"/>
    <s v="Country"/>
    <x v="5"/>
    <s v="U.S."/>
    <s v="Offline"/>
    <s v="Travel Agency/TMC"/>
    <n v="70691252594"/>
    <s v="U.S. Dollars (US$)"/>
  </r>
  <r>
    <x v="0"/>
    <s v="Country"/>
    <x v="5"/>
    <s v="U.S."/>
    <s v="Online"/>
    <s v="OTA"/>
    <n v="35569224768"/>
    <s v="U.S. Dollars (US$)"/>
  </r>
  <r>
    <x v="0"/>
    <s v="Country"/>
    <x v="5"/>
    <s v="U.S."/>
    <s v="Online"/>
    <s v="Online Supplier-Direct"/>
    <n v="54210351788"/>
    <s v="U.S. Dollars (US$)"/>
  </r>
  <r>
    <x v="1"/>
    <s v="Country"/>
    <x v="0"/>
    <s v="Australia-New Zealand"/>
    <s v="Offline"/>
    <s v="Offline"/>
    <n v="18737447258"/>
    <s v="U.S. Dollars (US$)"/>
  </r>
  <r>
    <x v="1"/>
    <s v="Country"/>
    <x v="0"/>
    <s v="Australia-New Zealand"/>
    <s v="Online"/>
    <s v="OTA"/>
    <n v="1667698213"/>
    <s v="U.S. Dollars (US$)"/>
  </r>
  <r>
    <x v="1"/>
    <s v="Country"/>
    <x v="0"/>
    <s v="Australia-New Zealand"/>
    <s v="Online"/>
    <s v="Online Supplier-Direct"/>
    <n v="7417407614"/>
    <s v="U.S. Dollars (US$)"/>
  </r>
  <r>
    <x v="1"/>
    <s v="Country"/>
    <x v="0"/>
    <s v="China"/>
    <s v="Offline"/>
    <s v="Offline"/>
    <n v="69695817334"/>
    <s v="U.S. Dollars (US$)"/>
  </r>
  <r>
    <x v="1"/>
    <s v="Country"/>
    <x v="0"/>
    <s v="China"/>
    <s v="Online"/>
    <s v="OTA"/>
    <n v="3407773909"/>
    <s v="U.S. Dollars (US$)"/>
  </r>
  <r>
    <x v="1"/>
    <s v="Country"/>
    <x v="0"/>
    <s v="China"/>
    <s v="Online"/>
    <s v="Online Supplier-Direct"/>
    <n v="3365560518"/>
    <s v="U.S. Dollars (US$)"/>
  </r>
  <r>
    <x v="1"/>
    <s v="Country"/>
    <x v="0"/>
    <s v="Hong Kong"/>
    <s v="Offline"/>
    <s v="Offline"/>
    <n v="10527783022"/>
    <s v="U.S. Dollars (US$)"/>
  </r>
  <r>
    <x v="1"/>
    <s v="Country"/>
    <x v="0"/>
    <s v="Hong Kong"/>
    <s v="Online"/>
    <s v="OTA"/>
    <n v="175131028"/>
    <s v="U.S. Dollars (US$)"/>
  </r>
  <r>
    <x v="1"/>
    <s v="Country"/>
    <x v="0"/>
    <s v="Hong Kong"/>
    <s v="Online"/>
    <s v="Online Supplier-Direct"/>
    <n v="536951215"/>
    <s v="U.S. Dollars (US$)"/>
  </r>
  <r>
    <x v="1"/>
    <s v="Country"/>
    <x v="0"/>
    <s v="India"/>
    <s v="Offline"/>
    <s v="Offline"/>
    <n v="15596271079"/>
    <s v="U.S. Dollars (US$)"/>
  </r>
  <r>
    <x v="1"/>
    <s v="Country"/>
    <x v="0"/>
    <s v="India"/>
    <s v="Online"/>
    <s v="OTA"/>
    <n v="1699023105"/>
    <s v="U.S. Dollars (US$)"/>
  </r>
  <r>
    <x v="1"/>
    <s v="Country"/>
    <x v="0"/>
    <s v="India"/>
    <s v="Online"/>
    <s v="Online Supplier-Direct"/>
    <n v="3269612753"/>
    <s v="U.S. Dollars (US$)"/>
  </r>
  <r>
    <x v="1"/>
    <s v="Country"/>
    <x v="0"/>
    <s v="Indonesia"/>
    <s v="Offline"/>
    <s v="Offline"/>
    <n v="7083527198"/>
    <s v="U.S. Dollars (US$)"/>
  </r>
  <r>
    <x v="1"/>
    <s v="Country"/>
    <x v="0"/>
    <s v="Indonesia"/>
    <s v="Online"/>
    <s v="OTA"/>
    <n v="56985078"/>
    <s v="U.S. Dollars (US$)"/>
  </r>
  <r>
    <x v="1"/>
    <s v="Country"/>
    <x v="0"/>
    <s v="Indonesia"/>
    <s v="Online"/>
    <s v="Online Supplier-Direct"/>
    <n v="217806904"/>
    <s v="U.S. Dollars (US$)"/>
  </r>
  <r>
    <x v="1"/>
    <s v="Country"/>
    <x v="0"/>
    <s v="Japan"/>
    <s v="Offline"/>
    <s v="Offline"/>
    <n v="73869676139"/>
    <s v="U.S. Dollars (US$)"/>
  </r>
  <r>
    <x v="1"/>
    <s v="Country"/>
    <x v="0"/>
    <s v="Japan"/>
    <s v="Online"/>
    <s v="OTA"/>
    <n v="8572683879"/>
    <s v="U.S. Dollars (US$)"/>
  </r>
  <r>
    <x v="1"/>
    <s v="Country"/>
    <x v="0"/>
    <s v="Japan"/>
    <s v="Online"/>
    <s v="Online Supplier-Direct"/>
    <n v="16059068492"/>
    <s v="U.S. Dollars (US$)"/>
  </r>
  <r>
    <x v="1"/>
    <s v="Country"/>
    <x v="0"/>
    <s v="Macau"/>
    <s v="Offline"/>
    <s v="Offline"/>
    <n v="617475868"/>
    <s v="U.S. Dollars (US$)"/>
  </r>
  <r>
    <x v="1"/>
    <s v="Country"/>
    <x v="0"/>
    <s v="Macau"/>
    <s v="Online"/>
    <s v="OTA"/>
    <n v="10682081"/>
    <s v="U.S. Dollars (US$)"/>
  </r>
  <r>
    <x v="1"/>
    <s v="Country"/>
    <x v="0"/>
    <s v="Macau"/>
    <s v="Online"/>
    <s v="Online Supplier-Direct"/>
    <n v="7121387"/>
    <s v="U.S. Dollars (US$)"/>
  </r>
  <r>
    <x v="1"/>
    <s v="Country"/>
    <x v="0"/>
    <s v="Malaysia"/>
    <s v="Offline"/>
    <s v="Offline"/>
    <n v="5023264499"/>
    <s v="U.S. Dollars (US$)"/>
  </r>
  <r>
    <x v="1"/>
    <s v="Country"/>
    <x v="0"/>
    <s v="Malaysia"/>
    <s v="Online"/>
    <s v="OTA"/>
    <n v="166823580"/>
    <s v="U.S. Dollars (US$)"/>
  </r>
  <r>
    <x v="1"/>
    <s v="Country"/>
    <x v="0"/>
    <s v="Malaysia"/>
    <s v="Online"/>
    <s v="Online Supplier-Direct"/>
    <n v="1823757346"/>
    <s v="U.S. Dollars (US$)"/>
  </r>
  <r>
    <x v="1"/>
    <s v="Country"/>
    <x v="0"/>
    <s v="Singapore"/>
    <s v="Offline"/>
    <s v="Offline"/>
    <n v="6689543699"/>
    <s v="U.S. Dollars (US$)"/>
  </r>
  <r>
    <x v="1"/>
    <s v="Country"/>
    <x v="0"/>
    <s v="Singapore"/>
    <s v="Online"/>
    <s v="OTA"/>
    <n v="364559008"/>
    <s v="U.S. Dollars (US$)"/>
  </r>
  <r>
    <x v="1"/>
    <s v="Country"/>
    <x v="0"/>
    <s v="Singapore"/>
    <s v="Online"/>
    <s v="Online Supplier-Direct"/>
    <n v="1860866366"/>
    <s v="U.S. Dollars (US$)"/>
  </r>
  <r>
    <x v="1"/>
    <s v="Country"/>
    <x v="0"/>
    <s v="South Korea"/>
    <s v="Offline"/>
    <s v="Offline"/>
    <n v="11086683907"/>
    <s v="U.S. Dollars (US$)"/>
  </r>
  <r>
    <x v="1"/>
    <s v="Country"/>
    <x v="0"/>
    <s v="South Korea"/>
    <s v="Online"/>
    <s v="OTA"/>
    <n v="162793700"/>
    <s v="U.S. Dollars (US$)"/>
  </r>
  <r>
    <x v="1"/>
    <s v="Country"/>
    <x v="0"/>
    <s v="South Korea"/>
    <s v="Online"/>
    <s v="Online Supplier-Direct"/>
    <n v="1504382509"/>
    <s v="U.S. Dollars (US$)"/>
  </r>
  <r>
    <x v="1"/>
    <s v="Country"/>
    <x v="0"/>
    <s v="Taiwan"/>
    <s v="Offline"/>
    <s v="Offline"/>
    <n v="5436968346"/>
    <s v="U.S. Dollars (US$)"/>
  </r>
  <r>
    <x v="1"/>
    <s v="Country"/>
    <x v="0"/>
    <s v="Taiwan"/>
    <s v="Online"/>
    <s v="OTA"/>
    <n v="139610352"/>
    <s v="U.S. Dollars (US$)"/>
  </r>
  <r>
    <x v="1"/>
    <s v="Country"/>
    <x v="0"/>
    <s v="Taiwan"/>
    <s v="Online"/>
    <s v="Online Supplier-Direct"/>
    <n v="502693209"/>
    <s v="U.S. Dollars (US$)"/>
  </r>
  <r>
    <x v="1"/>
    <s v="Country"/>
    <x v="0"/>
    <s v="Thailand"/>
    <s v="Offline"/>
    <s v="Offline"/>
    <n v="8480522588"/>
    <s v="U.S. Dollars (US$)"/>
  </r>
  <r>
    <x v="1"/>
    <s v="Country"/>
    <x v="0"/>
    <s v="Thailand"/>
    <s v="Online"/>
    <s v="OTA"/>
    <n v="691485466"/>
    <s v="U.S. Dollars (US$)"/>
  </r>
  <r>
    <x v="1"/>
    <s v="Country"/>
    <x v="0"/>
    <s v="Thailand"/>
    <s v="Online"/>
    <s v="Online Supplier-Direct"/>
    <n v="939270477"/>
    <s v="U.S. Dollars (US$)"/>
  </r>
  <r>
    <x v="1"/>
    <s v="Country"/>
    <x v="1"/>
    <s v="Bulgaria"/>
    <s v="Offline"/>
    <s v="Offline"/>
    <n v="1227998788"/>
    <s v="U.S. Dollars (US$)"/>
  </r>
  <r>
    <x v="1"/>
    <s v="Country"/>
    <x v="1"/>
    <s v="Bulgaria"/>
    <s v="Online"/>
    <s v="OTA"/>
    <n v="31620237"/>
    <s v="U.S. Dollars (US$)"/>
  </r>
  <r>
    <x v="1"/>
    <s v="Country"/>
    <x v="1"/>
    <s v="Bulgaria"/>
    <s v="Online"/>
    <s v="Online Supplier-Direct"/>
    <n v="119173464"/>
    <s v="U.S. Dollars (US$)"/>
  </r>
  <r>
    <x v="1"/>
    <s v="Country"/>
    <x v="1"/>
    <s v="Czech Republic"/>
    <s v="Offline"/>
    <s v="Offline"/>
    <n v="2460444226"/>
    <s v="U.S. Dollars (US$)"/>
  </r>
  <r>
    <x v="1"/>
    <s v="Country"/>
    <x v="1"/>
    <s v="Czech Republic"/>
    <s v="Online"/>
    <s v="OTA"/>
    <n v="324042071"/>
    <s v="U.S. Dollars (US$)"/>
  </r>
  <r>
    <x v="1"/>
    <s v="Country"/>
    <x v="1"/>
    <s v="Czech Republic"/>
    <s v="Online"/>
    <s v="Online Supplier-Direct"/>
    <n v="293314828"/>
    <s v="U.S. Dollars (US$)"/>
  </r>
  <r>
    <x v="1"/>
    <s v="Country"/>
    <x v="1"/>
    <s v="Greece"/>
    <s v="Offline"/>
    <s v="Offline"/>
    <n v="7856930286"/>
    <s v="U.S. Dollars (US$)"/>
  </r>
  <r>
    <x v="1"/>
    <s v="Country"/>
    <x v="1"/>
    <s v="Greece"/>
    <s v="Online"/>
    <s v="OTA"/>
    <n v="610517373"/>
    <s v="U.S. Dollars (US$)"/>
  </r>
  <r>
    <x v="1"/>
    <s v="Country"/>
    <x v="1"/>
    <s v="Greece"/>
    <s v="Online"/>
    <s v="Online Supplier-Direct"/>
    <n v="1537555628"/>
    <s v="U.S. Dollars (US$)"/>
  </r>
  <r>
    <x v="1"/>
    <s v="Country"/>
    <x v="1"/>
    <s v="Hungary"/>
    <s v="Offline"/>
    <s v="Offline"/>
    <n v="2047706721"/>
    <s v="U.S. Dollars (US$)"/>
  </r>
  <r>
    <x v="1"/>
    <s v="Country"/>
    <x v="1"/>
    <s v="Hungary"/>
    <s v="Online"/>
    <s v="OTA"/>
    <n v="124636931"/>
    <s v="U.S. Dollars (US$)"/>
  </r>
  <r>
    <x v="1"/>
    <s v="Country"/>
    <x v="1"/>
    <s v="Hungary"/>
    <s v="Online"/>
    <s v="Online Supplier-Direct"/>
    <n v="453824158"/>
    <s v="U.S. Dollars (US$)"/>
  </r>
  <r>
    <x v="1"/>
    <s v="Country"/>
    <x v="1"/>
    <s v="Poland"/>
    <s v="Offline"/>
    <s v="Offline"/>
    <n v="3563694822"/>
    <s v="U.S. Dollars (US$)"/>
  </r>
  <r>
    <x v="1"/>
    <s v="Country"/>
    <x v="1"/>
    <s v="Poland"/>
    <s v="Online"/>
    <s v="OTA"/>
    <n v="257363770"/>
    <s v="U.S. Dollars (US$)"/>
  </r>
  <r>
    <x v="1"/>
    <s v="Country"/>
    <x v="1"/>
    <s v="Poland"/>
    <s v="Online"/>
    <s v="Online Supplier-Direct"/>
    <n v="562542374"/>
    <s v="U.S. Dollars (US$)"/>
  </r>
  <r>
    <x v="1"/>
    <s v="Country"/>
    <x v="1"/>
    <s v="Rest of Eastern Europe"/>
    <s v="Offline"/>
    <s v="Offline"/>
    <n v="2557622593"/>
    <s v="U.S. Dollars (US$)"/>
  </r>
  <r>
    <x v="1"/>
    <s v="Country"/>
    <x v="1"/>
    <s v="Rest of Eastern Europe"/>
    <s v="Online"/>
    <s v="OTA"/>
    <n v="165637527"/>
    <s v="U.S. Dollars (US$)"/>
  </r>
  <r>
    <x v="1"/>
    <s v="Country"/>
    <x v="1"/>
    <s v="Rest of Eastern Europe"/>
    <s v="Online"/>
    <s v="Online Supplier-Direct"/>
    <n v="211425645"/>
    <s v="U.S. Dollars (US$)"/>
  </r>
  <r>
    <x v="1"/>
    <s v="Country"/>
    <x v="1"/>
    <s v="Romania"/>
    <s v="Offline"/>
    <s v="Offline"/>
    <n v="2923169734"/>
    <s v="U.S. Dollars (US$)"/>
  </r>
  <r>
    <x v="1"/>
    <s v="Country"/>
    <x v="1"/>
    <s v="Romania"/>
    <s v="Online"/>
    <s v="OTA"/>
    <n v="147715536"/>
    <s v="U.S. Dollars (US$)"/>
  </r>
  <r>
    <x v="1"/>
    <s v="Country"/>
    <x v="1"/>
    <s v="Romania"/>
    <s v="Online"/>
    <s v="Online Supplier-Direct"/>
    <n v="341911857"/>
    <s v="U.S. Dollars (US$)"/>
  </r>
  <r>
    <x v="1"/>
    <s v="Country"/>
    <x v="1"/>
    <s v="Russia"/>
    <s v="Offline"/>
    <s v="Offline"/>
    <n v="36946881806"/>
    <s v="U.S. Dollars (US$)"/>
  </r>
  <r>
    <x v="1"/>
    <s v="Country"/>
    <x v="1"/>
    <s v="Russia"/>
    <s v="Online"/>
    <s v="OTA"/>
    <n v="1543939532"/>
    <s v="U.S. Dollars (US$)"/>
  </r>
  <r>
    <x v="1"/>
    <s v="Country"/>
    <x v="1"/>
    <s v="Russia"/>
    <s v="Online"/>
    <s v="Online Supplier-Direct"/>
    <n v="1883048606"/>
    <s v="U.S. Dollars (US$)"/>
  </r>
  <r>
    <x v="1"/>
    <s v="Country"/>
    <x v="1"/>
    <s v="Ukraine"/>
    <s v="Offline"/>
    <s v="Offline"/>
    <n v="3188267735"/>
    <s v="U.S. Dollars (US$)"/>
  </r>
  <r>
    <x v="1"/>
    <s v="Country"/>
    <x v="1"/>
    <s v="Ukraine"/>
    <s v="Online"/>
    <s v="OTA"/>
    <n v="220605094"/>
    <s v="U.S. Dollars (US$)"/>
  </r>
  <r>
    <x v="1"/>
    <s v="Country"/>
    <x v="1"/>
    <s v="Ukraine"/>
    <s v="Online"/>
    <s v="Online Supplier-Direct"/>
    <n v="334949925"/>
    <s v="U.S. Dollars (US$)"/>
  </r>
  <r>
    <x v="1"/>
    <s v="Country"/>
    <x v="2"/>
    <s v="France"/>
    <s v="Offline"/>
    <s v="Offline"/>
    <n v="35412326588"/>
    <s v="U.S. Dollars (US$)"/>
  </r>
  <r>
    <x v="1"/>
    <s v="Country"/>
    <x v="2"/>
    <s v="France"/>
    <s v="Online"/>
    <s v="OTA"/>
    <n v="6135502759"/>
    <s v="U.S. Dollars (US$)"/>
  </r>
  <r>
    <x v="1"/>
    <s v="Country"/>
    <x v="2"/>
    <s v="France"/>
    <s v="Online"/>
    <s v="Online Supplier-Direct"/>
    <n v="10339979375"/>
    <s v="U.S. Dollars (US$)"/>
  </r>
  <r>
    <x v="1"/>
    <s v="Country"/>
    <x v="2"/>
    <s v="Germany"/>
    <s v="Offline"/>
    <s v="Offline"/>
    <n v="46374265997"/>
    <s v="U.S. Dollars (US$)"/>
  </r>
  <r>
    <x v="1"/>
    <s v="Country"/>
    <x v="2"/>
    <s v="Germany"/>
    <s v="Online"/>
    <s v="OTA"/>
    <n v="9212441144"/>
    <s v="U.S. Dollars (US$)"/>
  </r>
  <r>
    <x v="1"/>
    <s v="Country"/>
    <x v="2"/>
    <s v="Germany"/>
    <s v="Online"/>
    <s v="Online Supplier-Direct"/>
    <n v="10708608717"/>
    <s v="U.S. Dollars (US$)"/>
  </r>
  <r>
    <x v="1"/>
    <s v="Country"/>
    <x v="2"/>
    <s v="Italy"/>
    <s v="Offline"/>
    <s v="Offline"/>
    <n v="19447573551"/>
    <s v="U.S. Dollars (US$)"/>
  </r>
  <r>
    <x v="1"/>
    <s v="Country"/>
    <x v="2"/>
    <s v="Italy"/>
    <s v="Online"/>
    <s v="OTA"/>
    <n v="3181491005"/>
    <s v="U.S. Dollars (US$)"/>
  </r>
  <r>
    <x v="1"/>
    <s v="Country"/>
    <x v="2"/>
    <s v="Italy"/>
    <s v="Online"/>
    <s v="Online Supplier-Direct"/>
    <n v="2739381555"/>
    <s v="U.S. Dollars (US$)"/>
  </r>
  <r>
    <x v="1"/>
    <s v="Country"/>
    <x v="2"/>
    <s v="Rest of Europe"/>
    <s v="Offline"/>
    <s v="Offline"/>
    <n v="40026341293"/>
    <s v="U.S. Dollars (US$)"/>
  </r>
  <r>
    <x v="1"/>
    <s v="Country"/>
    <x v="2"/>
    <s v="Rest of Europe"/>
    <s v="Online"/>
    <s v="OTA"/>
    <n v="5134768729"/>
    <s v="U.S. Dollars (US$)"/>
  </r>
  <r>
    <x v="1"/>
    <s v="Country"/>
    <x v="2"/>
    <s v="Rest of Europe"/>
    <s v="Online"/>
    <s v="Online Supplier-Direct"/>
    <n v="9167428019"/>
    <s v="U.S. Dollars (US$)"/>
  </r>
  <r>
    <x v="1"/>
    <s v="Country"/>
    <x v="2"/>
    <s v="Scandinavia"/>
    <s v="Offline"/>
    <s v="Offline"/>
    <n v="10691865773"/>
    <s v="U.S. Dollars (US$)"/>
  </r>
  <r>
    <x v="1"/>
    <s v="Country"/>
    <x v="2"/>
    <s v="Scandinavia"/>
    <s v="Online"/>
    <s v="OTA"/>
    <n v="2186054383"/>
    <s v="U.S. Dollars (US$)"/>
  </r>
  <r>
    <x v="1"/>
    <s v="Country"/>
    <x v="2"/>
    <s v="Scandinavia"/>
    <s v="Online"/>
    <s v="Online Supplier-Direct"/>
    <n v="4762986136"/>
    <s v="U.S. Dollars (US$)"/>
  </r>
  <r>
    <x v="1"/>
    <s v="Country"/>
    <x v="2"/>
    <s v="Spain"/>
    <s v="Offline"/>
    <s v="Offline"/>
    <n v="19779559586"/>
    <s v="U.S. Dollars (US$)"/>
  </r>
  <r>
    <x v="1"/>
    <s v="Country"/>
    <x v="2"/>
    <s v="Spain"/>
    <s v="Online"/>
    <s v="OTA"/>
    <n v="3754768293"/>
    <s v="U.S. Dollars (US$)"/>
  </r>
  <r>
    <x v="1"/>
    <s v="Country"/>
    <x v="2"/>
    <s v="Spain"/>
    <s v="Online"/>
    <s v="Online Supplier-Direct"/>
    <n v="2774385566"/>
    <s v="U.S. Dollars (US$)"/>
  </r>
  <r>
    <x v="1"/>
    <s v="Country"/>
    <x v="2"/>
    <s v="U.K."/>
    <s v="Offline"/>
    <s v="Offline"/>
    <n v="36128371211"/>
    <s v="U.S. Dollars (US$)"/>
  </r>
  <r>
    <x v="1"/>
    <s v="Country"/>
    <x v="2"/>
    <s v="U.K."/>
    <s v="Online"/>
    <s v="OTA"/>
    <n v="5538920736"/>
    <s v="U.S. Dollars (US$)"/>
  </r>
  <r>
    <x v="1"/>
    <s v="Country"/>
    <x v="2"/>
    <s v="U.K."/>
    <s v="Online"/>
    <s v="Online Supplier-Direct"/>
    <n v="14580896780"/>
    <s v="U.S. Dollars (US$)"/>
  </r>
  <r>
    <x v="1"/>
    <s v="Country"/>
    <x v="3"/>
    <s v="Argentina"/>
    <s v="Offline"/>
    <s v="Offline"/>
    <n v="8902994517"/>
    <s v="U.S. Dollars (US$)"/>
  </r>
  <r>
    <x v="1"/>
    <s v="Country"/>
    <x v="3"/>
    <s v="Argentina"/>
    <s v="Online"/>
    <s v="OTA"/>
    <n v="343290774"/>
    <s v="U.S. Dollars (US$)"/>
  </r>
  <r>
    <x v="1"/>
    <s v="Country"/>
    <x v="3"/>
    <s v="Argentina"/>
    <s v="Online"/>
    <s v="Online Supplier-Direct"/>
    <n v="283161776"/>
    <s v="U.S. Dollars (US$)"/>
  </r>
  <r>
    <x v="1"/>
    <s v="Country"/>
    <x v="3"/>
    <s v="Brazil"/>
    <s v="Offline"/>
    <s v="Offline"/>
    <n v="36381376893"/>
    <s v="U.S. Dollars (US$)"/>
  </r>
  <r>
    <x v="1"/>
    <s v="Country"/>
    <x v="3"/>
    <s v="Brazil"/>
    <s v="Online"/>
    <s v="OTA"/>
    <n v="3551632264"/>
    <s v="U.S. Dollars (US$)"/>
  </r>
  <r>
    <x v="1"/>
    <s v="Country"/>
    <x v="3"/>
    <s v="Brazil"/>
    <s v="Online"/>
    <s v="Online Supplier-Direct"/>
    <n v="1698245736"/>
    <s v="U.S. Dollars (US$)"/>
  </r>
  <r>
    <x v="1"/>
    <s v="Country"/>
    <x v="3"/>
    <s v="Chile"/>
    <s v="Offline"/>
    <s v="Offline"/>
    <n v="3885552614"/>
    <s v="U.S. Dollars (US$)"/>
  </r>
  <r>
    <x v="1"/>
    <s v="Country"/>
    <x v="3"/>
    <s v="Chile"/>
    <s v="Online"/>
    <s v="OTA"/>
    <n v="276741957"/>
    <s v="U.S. Dollars (US$)"/>
  </r>
  <r>
    <x v="1"/>
    <s v="Country"/>
    <x v="3"/>
    <s v="Chile"/>
    <s v="Online"/>
    <s v="Online Supplier-Direct"/>
    <n v="669491411"/>
    <s v="U.S. Dollars (US$)"/>
  </r>
  <r>
    <x v="1"/>
    <s v="Country"/>
    <x v="3"/>
    <s v="Colombia"/>
    <s v="Offline"/>
    <s v="Offline"/>
    <n v="8251034761"/>
    <s v="U.S. Dollars (US$)"/>
  </r>
  <r>
    <x v="1"/>
    <s v="Country"/>
    <x v="3"/>
    <s v="Colombia"/>
    <s v="Online"/>
    <s v="OTA"/>
    <n v="545397506"/>
    <s v="U.S. Dollars (US$)"/>
  </r>
  <r>
    <x v="1"/>
    <s v="Country"/>
    <x v="3"/>
    <s v="Colombia"/>
    <s v="Online"/>
    <s v="Online Supplier-Direct"/>
    <n v="437251035"/>
    <s v="U.S. Dollars (US$)"/>
  </r>
  <r>
    <x v="1"/>
    <s v="Country"/>
    <x v="3"/>
    <s v="Mexico"/>
    <s v="Offline"/>
    <s v="Offline"/>
    <n v="18178414303"/>
    <s v="U.S. Dollars (US$)"/>
  </r>
  <r>
    <x v="1"/>
    <s v="Country"/>
    <x v="3"/>
    <s v="Mexico"/>
    <s v="Online"/>
    <s v="OTA"/>
    <n v="2249232805"/>
    <s v="U.S. Dollars (US$)"/>
  </r>
  <r>
    <x v="1"/>
    <s v="Country"/>
    <x v="3"/>
    <s v="Mexico"/>
    <s v="Online"/>
    <s v="Online Supplier-Direct"/>
    <n v="1267043873"/>
    <s v="U.S. Dollars (US$)"/>
  </r>
  <r>
    <x v="1"/>
    <s v="Country"/>
    <x v="4"/>
    <s v="Egypt"/>
    <s v="Offline"/>
    <s v="Offline"/>
    <n v="7808305519"/>
    <s v="U.S. Dollars (US$)"/>
  </r>
  <r>
    <x v="1"/>
    <s v="Country"/>
    <x v="4"/>
    <s v="Egypt"/>
    <s v="Online"/>
    <s v="OTA"/>
    <n v="333825164"/>
    <s v="U.S. Dollars (US$)"/>
  </r>
  <r>
    <x v="1"/>
    <s v="Country"/>
    <x v="4"/>
    <s v="Egypt"/>
    <s v="Online"/>
    <s v="Online Supplier-Direct"/>
    <n v="256551398"/>
    <s v="U.S. Dollars (US$)"/>
  </r>
  <r>
    <x v="1"/>
    <s v="Country"/>
    <x v="4"/>
    <s v="Qatar"/>
    <s v="Offline"/>
    <s v="Offline"/>
    <n v="4519936718"/>
    <s v="U.S. Dollars (US$)"/>
  </r>
  <r>
    <x v="1"/>
    <s v="Country"/>
    <x v="4"/>
    <s v="Qatar"/>
    <s v="Online"/>
    <s v="OTA"/>
    <n v="379931276"/>
    <s v="U.S. Dollars (US$)"/>
  </r>
  <r>
    <x v="1"/>
    <s v="Country"/>
    <x v="4"/>
    <s v="Qatar"/>
    <s v="Online"/>
    <s v="Online Supplier-Direct"/>
    <n v="500010078"/>
    <s v="U.S. Dollars (US$)"/>
  </r>
  <r>
    <x v="1"/>
    <s v="Country"/>
    <x v="4"/>
    <s v="Rest of Middle East"/>
    <s v="Offline"/>
    <s v="Offline"/>
    <n v="7092207949"/>
    <s v="U.S. Dollars (US$)"/>
  </r>
  <r>
    <x v="1"/>
    <s v="Country"/>
    <x v="4"/>
    <s v="Rest of Middle East"/>
    <s v="Online"/>
    <s v="OTA"/>
    <n v="394181842"/>
    <s v="U.S. Dollars (US$)"/>
  </r>
  <r>
    <x v="1"/>
    <s v="Country"/>
    <x v="4"/>
    <s v="Rest of Middle East"/>
    <s v="Online"/>
    <s v="Online Supplier-Direct"/>
    <n v="376106394"/>
    <s v="U.S. Dollars (US$)"/>
  </r>
  <r>
    <x v="1"/>
    <s v="Country"/>
    <x v="4"/>
    <s v="Saudi Arabia"/>
    <s v="Offline"/>
    <s v="Offline"/>
    <n v="8400272164"/>
    <s v="U.S. Dollars (US$)"/>
  </r>
  <r>
    <x v="1"/>
    <s v="Country"/>
    <x v="4"/>
    <s v="Saudi Arabia"/>
    <s v="Online"/>
    <s v="OTA"/>
    <n v="690684189"/>
    <s v="U.S. Dollars (US$)"/>
  </r>
  <r>
    <x v="1"/>
    <s v="Country"/>
    <x v="4"/>
    <s v="Saudi Arabia"/>
    <s v="Online"/>
    <s v="Online Supplier-Direct"/>
    <n v="488095794"/>
    <s v="U.S. Dollars (US$)"/>
  </r>
  <r>
    <x v="1"/>
    <s v="Country"/>
    <x v="4"/>
    <s v="U.A.E."/>
    <s v="Offline"/>
    <s v="Offline"/>
    <n v="18982464995"/>
    <s v="U.S. Dollars (US$)"/>
  </r>
  <r>
    <x v="1"/>
    <s v="Country"/>
    <x v="4"/>
    <s v="U.A.E."/>
    <s v="Online"/>
    <s v="OTA"/>
    <n v="1873603193"/>
    <s v="U.S. Dollars (US$)"/>
  </r>
  <r>
    <x v="1"/>
    <s v="Country"/>
    <x v="4"/>
    <s v="U.A.E."/>
    <s v="Online"/>
    <s v="Online Supplier-Direct"/>
    <n v="2191097795"/>
    <s v="U.S. Dollars (US$)"/>
  </r>
  <r>
    <x v="1"/>
    <s v="Country"/>
    <x v="5"/>
    <s v="Canada"/>
    <s v="Offline"/>
    <s v="Offline"/>
    <n v="18007820739"/>
    <s v="U.S. Dollars (US$)"/>
  </r>
  <r>
    <x v="1"/>
    <s v="Country"/>
    <x v="5"/>
    <s v="Canada"/>
    <s v="Online"/>
    <s v="OTA"/>
    <n v="2959193996"/>
    <s v="U.S. Dollars (US$)"/>
  </r>
  <r>
    <x v="1"/>
    <s v="Country"/>
    <x v="5"/>
    <s v="Canada"/>
    <s v="Online"/>
    <s v="Online Supplier-Direct"/>
    <n v="7249438832"/>
    <s v="U.S. Dollars (US$)"/>
  </r>
  <r>
    <x v="1"/>
    <s v="Country"/>
    <x v="5"/>
    <s v="U.S."/>
    <s v="Central"/>
    <s v="Central Reservation"/>
    <n v="75134356391"/>
    <s v="U.S. Dollars (US$)"/>
  </r>
  <r>
    <x v="1"/>
    <s v="Country"/>
    <x v="5"/>
    <s v="U.S."/>
    <s v="Offline"/>
    <s v="Travel Agency/TMC"/>
    <n v="79571855811"/>
    <s v="U.S. Dollars (US$)"/>
  </r>
  <r>
    <x v="1"/>
    <s v="Country"/>
    <x v="5"/>
    <s v="U.S."/>
    <s v="Online"/>
    <s v="OTA"/>
    <n v="39475235412"/>
    <s v="U.S. Dollars (US$)"/>
  </r>
  <r>
    <x v="1"/>
    <s v="Country"/>
    <x v="5"/>
    <s v="U.S."/>
    <s v="Online"/>
    <s v="Online Supplier-Direct"/>
    <n v="60524135029"/>
    <s v="U.S. Dollars (US$)"/>
  </r>
  <r>
    <x v="2"/>
    <s v="Country"/>
    <x v="0"/>
    <s v="Australia-New Zealand"/>
    <s v="Offline"/>
    <s v="Offline"/>
    <n v="22366346924"/>
    <s v="U.S. Dollars (US$)"/>
  </r>
  <r>
    <x v="2"/>
    <s v="Country"/>
    <x v="0"/>
    <s v="Australia-New Zealand"/>
    <s v="Online"/>
    <s v="OTA"/>
    <n v="2277478998"/>
    <s v="U.S. Dollars (US$)"/>
  </r>
  <r>
    <x v="2"/>
    <s v="Country"/>
    <x v="0"/>
    <s v="Australia-New Zealand"/>
    <s v="Online"/>
    <s v="Online Supplier-Direct"/>
    <n v="9063946259"/>
    <s v="U.S. Dollars (US$)"/>
  </r>
  <r>
    <x v="2"/>
    <s v="Country"/>
    <x v="0"/>
    <s v="China"/>
    <s v="Offline"/>
    <s v="Offline"/>
    <n v="81210000567"/>
    <s v="U.S. Dollars (US$)"/>
  </r>
  <r>
    <x v="2"/>
    <s v="Country"/>
    <x v="0"/>
    <s v="China"/>
    <s v="Online"/>
    <s v="OTA"/>
    <n v="5222680650"/>
    <s v="U.S. Dollars (US$)"/>
  </r>
  <r>
    <x v="2"/>
    <s v="Country"/>
    <x v="0"/>
    <s v="China"/>
    <s v="Online"/>
    <s v="Online Supplier-Direct"/>
    <n v="4906485454"/>
    <s v="U.S. Dollars (US$)"/>
  </r>
  <r>
    <x v="2"/>
    <s v="Country"/>
    <x v="0"/>
    <s v="Hong Kong"/>
    <s v="Offline"/>
    <s v="Offline"/>
    <n v="12180633013"/>
    <s v="U.S. Dollars (US$)"/>
  </r>
  <r>
    <x v="2"/>
    <s v="Country"/>
    <x v="0"/>
    <s v="Hong Kong"/>
    <s v="Online"/>
    <s v="OTA"/>
    <n v="221705046"/>
    <s v="U.S. Dollars (US$)"/>
  </r>
  <r>
    <x v="2"/>
    <s v="Country"/>
    <x v="0"/>
    <s v="Hong Kong"/>
    <s v="Online"/>
    <s v="Online Supplier-Direct"/>
    <n v="702064759"/>
    <s v="U.S. Dollars (US$)"/>
  </r>
  <r>
    <x v="2"/>
    <s v="Country"/>
    <x v="0"/>
    <s v="India"/>
    <s v="Offline"/>
    <s v="Offline"/>
    <n v="16304676226"/>
    <s v="U.S. Dollars (US$)"/>
  </r>
  <r>
    <x v="2"/>
    <s v="Country"/>
    <x v="0"/>
    <s v="India"/>
    <s v="Online"/>
    <s v="OTA"/>
    <n v="2348195969"/>
    <s v="U.S. Dollars (US$)"/>
  </r>
  <r>
    <x v="2"/>
    <s v="Country"/>
    <x v="0"/>
    <s v="India"/>
    <s v="Online"/>
    <s v="Online Supplier-Direct"/>
    <n v="3784515991"/>
    <s v="U.S. Dollars (US$)"/>
  </r>
  <r>
    <x v="2"/>
    <s v="Country"/>
    <x v="0"/>
    <s v="Indonesia"/>
    <s v="Offline"/>
    <s v="Offline"/>
    <n v="9374836917"/>
    <s v="U.S. Dollars (US$)"/>
  </r>
  <r>
    <x v="2"/>
    <s v="Country"/>
    <x v="0"/>
    <s v="Indonesia"/>
    <s v="Online"/>
    <s v="OTA"/>
    <n v="101716833"/>
    <s v="U.S. Dollars (US$)"/>
  </r>
  <r>
    <x v="2"/>
    <s v="Country"/>
    <x v="0"/>
    <s v="Indonesia"/>
    <s v="Online"/>
    <s v="Online Supplier-Direct"/>
    <n v="368242887"/>
    <s v="U.S. Dollars (US$)"/>
  </r>
  <r>
    <x v="2"/>
    <s v="Country"/>
    <x v="0"/>
    <s v="Japan"/>
    <s v="Offline"/>
    <s v="Offline"/>
    <n v="76177898925"/>
    <s v="U.S. Dollars (US$)"/>
  </r>
  <r>
    <x v="2"/>
    <s v="Country"/>
    <x v="0"/>
    <s v="Japan"/>
    <s v="Online"/>
    <s v="OTA"/>
    <n v="9994370519"/>
    <s v="U.S. Dollars (US$)"/>
  </r>
  <r>
    <x v="2"/>
    <s v="Country"/>
    <x v="0"/>
    <s v="Japan"/>
    <s v="Online"/>
    <s v="Online Supplier-Direct"/>
    <n v="18628014255"/>
    <s v="U.S. Dollars (US$)"/>
  </r>
  <r>
    <x v="2"/>
    <s v="Country"/>
    <x v="0"/>
    <s v="Macau"/>
    <s v="Offline"/>
    <s v="Offline"/>
    <n v="751315571"/>
    <s v="U.S. Dollars (US$)"/>
  </r>
  <r>
    <x v="2"/>
    <s v="Country"/>
    <x v="0"/>
    <s v="Macau"/>
    <s v="Online"/>
    <s v="OTA"/>
    <n v="16077037"/>
    <s v="U.S. Dollars (US$)"/>
  </r>
  <r>
    <x v="2"/>
    <s v="Country"/>
    <x v="0"/>
    <s v="Macau"/>
    <s v="Online"/>
    <s v="Online Supplier-Direct"/>
    <n v="8656866"/>
    <s v="U.S. Dollars (US$)"/>
  </r>
  <r>
    <x v="2"/>
    <s v="Country"/>
    <x v="0"/>
    <s v="Malaysia"/>
    <s v="Offline"/>
    <s v="Offline"/>
    <n v="6002049351"/>
    <s v="U.S. Dollars (US$)"/>
  </r>
  <r>
    <x v="2"/>
    <s v="Country"/>
    <x v="0"/>
    <s v="Malaysia"/>
    <s v="Online"/>
    <s v="OTA"/>
    <n v="314493585"/>
    <s v="U.S. Dollars (US$)"/>
  </r>
  <r>
    <x v="2"/>
    <s v="Country"/>
    <x v="0"/>
    <s v="Malaysia"/>
    <s v="Online"/>
    <s v="Online Supplier-Direct"/>
    <n v="2160808120"/>
    <s v="U.S. Dollars (US$)"/>
  </r>
  <r>
    <x v="2"/>
    <s v="Country"/>
    <x v="0"/>
    <s v="Singapore"/>
    <s v="Offline"/>
    <s v="Offline"/>
    <n v="7219185203"/>
    <s v="U.S. Dollars (US$)"/>
  </r>
  <r>
    <x v="2"/>
    <s v="Country"/>
    <x v="0"/>
    <s v="Singapore"/>
    <s v="Online"/>
    <s v="OTA"/>
    <n v="498631836"/>
    <s v="U.S. Dollars (US$)"/>
  </r>
  <r>
    <x v="2"/>
    <s v="Country"/>
    <x v="0"/>
    <s v="Singapore"/>
    <s v="Online"/>
    <s v="Online Supplier-Direct"/>
    <n v="2042973865"/>
    <s v="U.S. Dollars (US$)"/>
  </r>
  <r>
    <x v="2"/>
    <s v="Country"/>
    <x v="0"/>
    <s v="South Korea"/>
    <s v="Offline"/>
    <s v="Offline"/>
    <n v="12022895752"/>
    <s v="U.S. Dollars (US$)"/>
  </r>
  <r>
    <x v="2"/>
    <s v="Country"/>
    <x v="0"/>
    <s v="South Korea"/>
    <s v="Online"/>
    <s v="OTA"/>
    <n v="312731325"/>
    <s v="U.S. Dollars (US$)"/>
  </r>
  <r>
    <x v="2"/>
    <s v="Country"/>
    <x v="0"/>
    <s v="South Korea"/>
    <s v="Online"/>
    <s v="Online Supplier-Direct"/>
    <n v="2078398653"/>
    <s v="U.S. Dollars (US$)"/>
  </r>
  <r>
    <x v="2"/>
    <s v="Country"/>
    <x v="0"/>
    <s v="Taiwan"/>
    <s v="Offline"/>
    <s v="Offline"/>
    <n v="6244067530"/>
    <s v="U.S. Dollars (US$)"/>
  </r>
  <r>
    <x v="2"/>
    <s v="Country"/>
    <x v="0"/>
    <s v="Taiwan"/>
    <s v="Online"/>
    <s v="OTA"/>
    <n v="186793512"/>
    <s v="U.S. Dollars (US$)"/>
  </r>
  <r>
    <x v="2"/>
    <s v="Country"/>
    <x v="0"/>
    <s v="Taiwan"/>
    <s v="Online"/>
    <s v="Online Supplier-Direct"/>
    <n v="633438747"/>
    <s v="U.S. Dollars (US$)"/>
  </r>
  <r>
    <x v="2"/>
    <s v="Country"/>
    <x v="0"/>
    <s v="Thailand"/>
    <s v="Offline"/>
    <s v="Offline"/>
    <n v="9242916750"/>
    <s v="U.S. Dollars (US$)"/>
  </r>
  <r>
    <x v="2"/>
    <s v="Country"/>
    <x v="0"/>
    <s v="Thailand"/>
    <s v="Online"/>
    <s v="OTA"/>
    <n v="1007437445"/>
    <s v="U.S. Dollars (US$)"/>
  </r>
  <r>
    <x v="2"/>
    <s v="Country"/>
    <x v="0"/>
    <s v="Thailand"/>
    <s v="Online"/>
    <s v="Online Supplier-Direct"/>
    <n v="1160096471"/>
    <s v="U.S. Dollars (US$)"/>
  </r>
  <r>
    <x v="2"/>
    <s v="Country"/>
    <x v="1"/>
    <s v="Bulgaria"/>
    <s v="Offline"/>
    <s v="Offline"/>
    <n v="1231256707"/>
    <s v="U.S. Dollars (US$)"/>
  </r>
  <r>
    <x v="2"/>
    <s v="Country"/>
    <x v="1"/>
    <s v="Bulgaria"/>
    <s v="Online"/>
    <s v="OTA"/>
    <n v="42290736"/>
    <s v="U.S. Dollars (US$)"/>
  </r>
  <r>
    <x v="2"/>
    <s v="Country"/>
    <x v="1"/>
    <s v="Bulgaria"/>
    <s v="Online"/>
    <s v="Online Supplier-Direct"/>
    <n v="153708839"/>
    <s v="U.S. Dollars (US$)"/>
  </r>
  <r>
    <x v="2"/>
    <s v="Country"/>
    <x v="1"/>
    <s v="Czech Republic"/>
    <s v="Offline"/>
    <s v="Offline"/>
    <n v="2588306272"/>
    <s v="U.S. Dollars (US$)"/>
  </r>
  <r>
    <x v="2"/>
    <s v="Country"/>
    <x v="1"/>
    <s v="Czech Republic"/>
    <s v="Online"/>
    <s v="OTA"/>
    <n v="392496806"/>
    <s v="U.S. Dollars (US$)"/>
  </r>
  <r>
    <x v="2"/>
    <s v="Country"/>
    <x v="1"/>
    <s v="Czech Republic"/>
    <s v="Online"/>
    <s v="Online Supplier-Direct"/>
    <n v="376617310"/>
    <s v="U.S. Dollars (US$)"/>
  </r>
  <r>
    <x v="2"/>
    <s v="Country"/>
    <x v="1"/>
    <s v="Greece"/>
    <s v="Offline"/>
    <s v="Offline"/>
    <n v="7969200929"/>
    <s v="U.S. Dollars (US$)"/>
  </r>
  <r>
    <x v="2"/>
    <s v="Country"/>
    <x v="1"/>
    <s v="Greece"/>
    <s v="Online"/>
    <s v="OTA"/>
    <n v="685234482"/>
    <s v="U.S. Dollars (US$)"/>
  </r>
  <r>
    <x v="2"/>
    <s v="Country"/>
    <x v="1"/>
    <s v="Greece"/>
    <s v="Online"/>
    <s v="Online Supplier-Direct"/>
    <n v="1595792301"/>
    <s v="U.S. Dollars (US$)"/>
  </r>
  <r>
    <x v="2"/>
    <s v="Country"/>
    <x v="1"/>
    <s v="Hungary"/>
    <s v="Offline"/>
    <s v="Offline"/>
    <n v="2151796775"/>
    <s v="U.S. Dollars (US$)"/>
  </r>
  <r>
    <x v="2"/>
    <s v="Country"/>
    <x v="1"/>
    <s v="Hungary"/>
    <s v="Online"/>
    <s v="OTA"/>
    <n v="155120360"/>
    <s v="U.S. Dollars (US$)"/>
  </r>
  <r>
    <x v="2"/>
    <s v="Country"/>
    <x v="1"/>
    <s v="Hungary"/>
    <s v="Online"/>
    <s v="Online Supplier-Direct"/>
    <n v="491274815"/>
    <s v="U.S. Dollars (US$)"/>
  </r>
  <r>
    <x v="2"/>
    <s v="Country"/>
    <x v="1"/>
    <s v="Poland"/>
    <s v="Offline"/>
    <s v="Offline"/>
    <n v="3771496837"/>
    <s v="U.S. Dollars (US$)"/>
  </r>
  <r>
    <x v="2"/>
    <s v="Country"/>
    <x v="1"/>
    <s v="Poland"/>
    <s v="Online"/>
    <s v="OTA"/>
    <n v="337308461"/>
    <s v="U.S. Dollars (US$)"/>
  </r>
  <r>
    <x v="2"/>
    <s v="Country"/>
    <x v="1"/>
    <s v="Poland"/>
    <s v="Online"/>
    <s v="Online Supplier-Direct"/>
    <n v="690362402"/>
    <s v="U.S. Dollars (US$)"/>
  </r>
  <r>
    <x v="2"/>
    <s v="Country"/>
    <x v="1"/>
    <s v="Rest of Eastern Europe"/>
    <s v="Offline"/>
    <s v="Offline"/>
    <n v="3743175626"/>
    <s v="U.S. Dollars (US$)"/>
  </r>
  <r>
    <x v="2"/>
    <s v="Country"/>
    <x v="1"/>
    <s v="Rest of Eastern Europe"/>
    <s v="Online"/>
    <s v="OTA"/>
    <n v="266272004"/>
    <s v="U.S. Dollars (US$)"/>
  </r>
  <r>
    <x v="2"/>
    <s v="Country"/>
    <x v="1"/>
    <s v="Rest of Eastern Europe"/>
    <s v="Online"/>
    <s v="Online Supplier-Direct"/>
    <n v="241511771"/>
    <s v="U.S. Dollars (US$)"/>
  </r>
  <r>
    <x v="2"/>
    <s v="Country"/>
    <x v="1"/>
    <s v="Romania"/>
    <s v="Offline"/>
    <s v="Offline"/>
    <n v="2918318367"/>
    <s v="U.S. Dollars (US$)"/>
  </r>
  <r>
    <x v="2"/>
    <s v="Country"/>
    <x v="1"/>
    <s v="Romania"/>
    <s v="Online"/>
    <s v="OTA"/>
    <n v="180672667"/>
    <s v="U.S. Dollars (US$)"/>
  </r>
  <r>
    <x v="2"/>
    <s v="Country"/>
    <x v="1"/>
    <s v="Romania"/>
    <s v="Online"/>
    <s v="Online Supplier-Direct"/>
    <n v="387293736"/>
    <s v="U.S. Dollars (US$)"/>
  </r>
  <r>
    <x v="2"/>
    <s v="Country"/>
    <x v="1"/>
    <s v="Russia"/>
    <s v="Offline"/>
    <s v="Offline"/>
    <n v="37221698924"/>
    <s v="U.S. Dollars (US$)"/>
  </r>
  <r>
    <x v="2"/>
    <s v="Country"/>
    <x v="1"/>
    <s v="Russia"/>
    <s v="Online"/>
    <s v="OTA"/>
    <n v="2478489221"/>
    <s v="U.S. Dollars (US$)"/>
  </r>
  <r>
    <x v="2"/>
    <s v="Country"/>
    <x v="1"/>
    <s v="Russia"/>
    <s v="Online"/>
    <s v="Online Supplier-Direct"/>
    <n v="2716178874"/>
    <s v="U.S. Dollars (US$)"/>
  </r>
  <r>
    <x v="2"/>
    <s v="Country"/>
    <x v="1"/>
    <s v="Ukraine"/>
    <s v="Offline"/>
    <s v="Offline"/>
    <n v="3674508223"/>
    <s v="U.S. Dollars (US$)"/>
  </r>
  <r>
    <x v="2"/>
    <s v="Country"/>
    <x v="1"/>
    <s v="Ukraine"/>
    <s v="Online"/>
    <s v="OTA"/>
    <n v="303076038"/>
    <s v="U.S. Dollars (US$)"/>
  </r>
  <r>
    <x v="2"/>
    <s v="Country"/>
    <x v="1"/>
    <s v="Ukraine"/>
    <s v="Online"/>
    <s v="Online Supplier-Direct"/>
    <n v="455777414"/>
    <s v="U.S. Dollars (US$)"/>
  </r>
  <r>
    <x v="2"/>
    <s v="Country"/>
    <x v="2"/>
    <s v="France"/>
    <s v="Offline"/>
    <s v="Offline"/>
    <n v="35964377812"/>
    <s v="U.S. Dollars (US$)"/>
  </r>
  <r>
    <x v="2"/>
    <s v="Country"/>
    <x v="2"/>
    <s v="France"/>
    <s v="Online"/>
    <s v="OTA"/>
    <n v="6423961304"/>
    <s v="U.S. Dollars (US$)"/>
  </r>
  <r>
    <x v="2"/>
    <s v="Country"/>
    <x v="2"/>
    <s v="France"/>
    <s v="Online"/>
    <s v="Online Supplier-Direct"/>
    <n v="12135340866"/>
    <s v="U.S. Dollars (US$)"/>
  </r>
  <r>
    <x v="2"/>
    <s v="Country"/>
    <x v="2"/>
    <s v="Germany"/>
    <s v="Offline"/>
    <s v="Offline"/>
    <n v="50536379834"/>
    <s v="U.S. Dollars (US$)"/>
  </r>
  <r>
    <x v="2"/>
    <s v="Country"/>
    <x v="2"/>
    <s v="Germany"/>
    <s v="Online"/>
    <s v="OTA"/>
    <n v="11008510305"/>
    <s v="U.S. Dollars (US$)"/>
  </r>
  <r>
    <x v="2"/>
    <s v="Country"/>
    <x v="2"/>
    <s v="Germany"/>
    <s v="Online"/>
    <s v="Online Supplier-Direct"/>
    <n v="14309644382"/>
    <s v="U.S. Dollars (US$)"/>
  </r>
  <r>
    <x v="2"/>
    <s v="Country"/>
    <x v="2"/>
    <s v="Italy"/>
    <s v="Offline"/>
    <s v="Offline"/>
    <n v="21007915738"/>
    <s v="U.S. Dollars (US$)"/>
  </r>
  <r>
    <x v="2"/>
    <s v="Country"/>
    <x v="2"/>
    <s v="Italy"/>
    <s v="Online"/>
    <s v="OTA"/>
    <n v="4024709589"/>
    <s v="U.S. Dollars (US$)"/>
  </r>
  <r>
    <x v="2"/>
    <s v="Country"/>
    <x v="2"/>
    <s v="Italy"/>
    <s v="Online"/>
    <s v="Online Supplier-Direct"/>
    <n v="3515415632"/>
    <s v="U.S. Dollars (US$)"/>
  </r>
  <r>
    <x v="2"/>
    <s v="Country"/>
    <x v="2"/>
    <s v="Rest of Europe"/>
    <s v="Offline"/>
    <s v="Offline"/>
    <n v="41191428037"/>
    <s v="U.S. Dollars (US$)"/>
  </r>
  <r>
    <x v="2"/>
    <s v="Country"/>
    <x v="2"/>
    <s v="Rest of Europe"/>
    <s v="Online"/>
    <s v="OTA"/>
    <n v="6137481642"/>
    <s v="U.S. Dollars (US$)"/>
  </r>
  <r>
    <x v="2"/>
    <s v="Country"/>
    <x v="2"/>
    <s v="Rest of Europe"/>
    <s v="Online"/>
    <s v="Online Supplier-Direct"/>
    <n v="11468457106"/>
    <s v="U.S. Dollars (US$)"/>
  </r>
  <r>
    <x v="2"/>
    <s v="Country"/>
    <x v="2"/>
    <s v="Scandinavia"/>
    <s v="Offline"/>
    <s v="Offline"/>
    <n v="10144771623"/>
    <s v="U.S. Dollars (US$)"/>
  </r>
  <r>
    <x v="2"/>
    <s v="Country"/>
    <x v="2"/>
    <s v="Scandinavia"/>
    <s v="Online"/>
    <s v="OTA"/>
    <n v="2703183491"/>
    <s v="U.S. Dollars (US$)"/>
  </r>
  <r>
    <x v="2"/>
    <s v="Country"/>
    <x v="2"/>
    <s v="Scandinavia"/>
    <s v="Online"/>
    <s v="Online Supplier-Direct"/>
    <n v="6804535434"/>
    <s v="U.S. Dollars (US$)"/>
  </r>
  <r>
    <x v="2"/>
    <s v="Country"/>
    <x v="2"/>
    <s v="Spain"/>
    <s v="Offline"/>
    <s v="Offline"/>
    <n v="19933474057"/>
    <s v="U.S. Dollars (US$)"/>
  </r>
  <r>
    <x v="2"/>
    <s v="Country"/>
    <x v="2"/>
    <s v="Spain"/>
    <s v="Online"/>
    <s v="OTA"/>
    <n v="4768328181"/>
    <s v="U.S. Dollars (US$)"/>
  </r>
  <r>
    <x v="2"/>
    <s v="Country"/>
    <x v="2"/>
    <s v="Spain"/>
    <s v="Online"/>
    <s v="Online Supplier-Direct"/>
    <n v="3321353028"/>
    <s v="U.S. Dollars (US$)"/>
  </r>
  <r>
    <x v="2"/>
    <s v="Country"/>
    <x v="2"/>
    <s v="U.K."/>
    <s v="Offline"/>
    <s v="Offline"/>
    <n v="27752167029"/>
    <s v="U.S. Dollars (US$)"/>
  </r>
  <r>
    <x v="2"/>
    <s v="Country"/>
    <x v="2"/>
    <s v="U.K."/>
    <s v="Online"/>
    <s v="OTA"/>
    <n v="6862077974"/>
    <s v="U.S. Dollars (US$)"/>
  </r>
  <r>
    <x v="2"/>
    <s v="Country"/>
    <x v="2"/>
    <s v="U.K."/>
    <s v="Online"/>
    <s v="Online Supplier-Direct"/>
    <n v="20661212513"/>
    <s v="U.S. Dollars (US$)"/>
  </r>
  <r>
    <x v="2"/>
    <s v="Country"/>
    <x v="3"/>
    <s v="Argentina"/>
    <s v="Offline"/>
    <s v="Offline"/>
    <n v="8904912568"/>
    <s v="U.S. Dollars (US$)"/>
  </r>
  <r>
    <x v="2"/>
    <s v="Country"/>
    <x v="3"/>
    <s v="Argentina"/>
    <s v="Online"/>
    <s v="OTA"/>
    <n v="499185960"/>
    <s v="U.S. Dollars (US$)"/>
  </r>
  <r>
    <x v="2"/>
    <s v="Country"/>
    <x v="3"/>
    <s v="Argentina"/>
    <s v="Online"/>
    <s v="Online Supplier-Direct"/>
    <n v="393684937"/>
    <s v="U.S. Dollars (US$)"/>
  </r>
  <r>
    <x v="2"/>
    <s v="Country"/>
    <x v="3"/>
    <s v="Brazil"/>
    <s v="Offline"/>
    <s v="Offline"/>
    <n v="35617875698"/>
    <s v="U.S. Dollars (US$)"/>
  </r>
  <r>
    <x v="2"/>
    <s v="Country"/>
    <x v="3"/>
    <s v="Brazil"/>
    <s v="Online"/>
    <s v="OTA"/>
    <n v="4636790379"/>
    <s v="U.S. Dollars (US$)"/>
  </r>
  <r>
    <x v="2"/>
    <s v="Country"/>
    <x v="3"/>
    <s v="Brazil"/>
    <s v="Online"/>
    <s v="Online Supplier-Direct"/>
    <n v="1977130802"/>
    <s v="U.S. Dollars (US$)"/>
  </r>
  <r>
    <x v="2"/>
    <s v="Country"/>
    <x v="3"/>
    <s v="Chile"/>
    <s v="Offline"/>
    <s v="Offline"/>
    <n v="3932225749"/>
    <s v="U.S. Dollars (US$)"/>
  </r>
  <r>
    <x v="2"/>
    <s v="Country"/>
    <x v="3"/>
    <s v="Chile"/>
    <s v="Online"/>
    <s v="OTA"/>
    <n v="396453918"/>
    <s v="U.S. Dollars (US$)"/>
  </r>
  <r>
    <x v="2"/>
    <s v="Country"/>
    <x v="3"/>
    <s v="Chile"/>
    <s v="Online"/>
    <s v="Online Supplier-Direct"/>
    <n v="739024752"/>
    <s v="U.S. Dollars (US$)"/>
  </r>
  <r>
    <x v="2"/>
    <s v="Country"/>
    <x v="3"/>
    <s v="Colombia"/>
    <s v="Offline"/>
    <s v="Offline"/>
    <n v="8373958686"/>
    <s v="U.S. Dollars (US$)"/>
  </r>
  <r>
    <x v="2"/>
    <s v="Country"/>
    <x v="3"/>
    <s v="Colombia"/>
    <s v="Online"/>
    <s v="OTA"/>
    <n v="783783896"/>
    <s v="U.S. Dollars (US$)"/>
  </r>
  <r>
    <x v="2"/>
    <s v="Country"/>
    <x v="3"/>
    <s v="Colombia"/>
    <s v="Online"/>
    <s v="Online Supplier-Direct"/>
    <n v="651940152"/>
    <s v="U.S. Dollars (US$)"/>
  </r>
  <r>
    <x v="2"/>
    <s v="Country"/>
    <x v="3"/>
    <s v="Mexico"/>
    <s v="Offline"/>
    <s v="Offline"/>
    <n v="17779907338"/>
    <s v="U.S. Dollars (US$)"/>
  </r>
  <r>
    <x v="2"/>
    <s v="Country"/>
    <x v="3"/>
    <s v="Mexico"/>
    <s v="Online"/>
    <s v="OTA"/>
    <n v="2767342480"/>
    <s v="U.S. Dollars (US$)"/>
  </r>
  <r>
    <x v="2"/>
    <s v="Country"/>
    <x v="3"/>
    <s v="Mexico"/>
    <s v="Online"/>
    <s v="Online Supplier-Direct"/>
    <n v="1472486038"/>
    <s v="U.S. Dollars (US$)"/>
  </r>
  <r>
    <x v="2"/>
    <s v="Country"/>
    <x v="4"/>
    <s v="Egypt"/>
    <s v="Offline"/>
    <s v="Offline"/>
    <n v="5817666121"/>
    <s v="U.S. Dollars (US$)"/>
  </r>
  <r>
    <x v="2"/>
    <s v="Country"/>
    <x v="4"/>
    <s v="Egypt"/>
    <s v="Online"/>
    <s v="OTA"/>
    <n v="262927050"/>
    <s v="U.S. Dollars (US$)"/>
  </r>
  <r>
    <x v="2"/>
    <s v="Country"/>
    <x v="4"/>
    <s v="Egypt"/>
    <s v="Online"/>
    <s v="Online Supplier-Direct"/>
    <n v="232353495"/>
    <s v="U.S. Dollars (US$)"/>
  </r>
  <r>
    <x v="2"/>
    <s v="Country"/>
    <x v="4"/>
    <s v="Qatar"/>
    <s v="Offline"/>
    <s v="Offline"/>
    <n v="5492586540"/>
    <s v="U.S. Dollars (US$)"/>
  </r>
  <r>
    <x v="2"/>
    <s v="Country"/>
    <x v="4"/>
    <s v="Qatar"/>
    <s v="Online"/>
    <s v="OTA"/>
    <n v="464030722"/>
    <s v="U.S. Dollars (US$)"/>
  </r>
  <r>
    <x v="2"/>
    <s v="Country"/>
    <x v="4"/>
    <s v="Qatar"/>
    <s v="Online"/>
    <s v="Online Supplier-Direct"/>
    <n v="685959441"/>
    <s v="U.S. Dollars (US$)"/>
  </r>
  <r>
    <x v="2"/>
    <s v="Country"/>
    <x v="4"/>
    <s v="Rest of Middle East"/>
    <s v="Offline"/>
    <s v="Offline"/>
    <n v="6899632532"/>
    <s v="U.S. Dollars (US$)"/>
  </r>
  <r>
    <x v="2"/>
    <s v="Country"/>
    <x v="4"/>
    <s v="Rest of Middle East"/>
    <s v="Online"/>
    <s v="OTA"/>
    <n v="436190883"/>
    <s v="U.S. Dollars (US$)"/>
  </r>
  <r>
    <x v="2"/>
    <s v="Country"/>
    <x v="4"/>
    <s v="Rest of Middle East"/>
    <s v="Online"/>
    <s v="Online Supplier-Direct"/>
    <n v="488561810"/>
    <s v="U.S. Dollars (US$)"/>
  </r>
  <r>
    <x v="2"/>
    <s v="Country"/>
    <x v="4"/>
    <s v="Saudi Arabia"/>
    <s v="Offline"/>
    <s v="Offline"/>
    <n v="8283814364"/>
    <s v="U.S. Dollars (US$)"/>
  </r>
  <r>
    <x v="2"/>
    <s v="Country"/>
    <x v="4"/>
    <s v="Saudi Arabia"/>
    <s v="Online"/>
    <s v="OTA"/>
    <n v="792176611"/>
    <s v="U.S. Dollars (US$)"/>
  </r>
  <r>
    <x v="2"/>
    <s v="Country"/>
    <x v="4"/>
    <s v="Saudi Arabia"/>
    <s v="Online"/>
    <s v="Online Supplier-Direct"/>
    <n v="592002270"/>
    <s v="U.S. Dollars (US$)"/>
  </r>
  <r>
    <x v="2"/>
    <s v="Country"/>
    <x v="4"/>
    <s v="U.A.E."/>
    <s v="Offline"/>
    <s v="Offline"/>
    <n v="20855350280"/>
    <s v="U.S. Dollars (US$)"/>
  </r>
  <r>
    <x v="2"/>
    <s v="Country"/>
    <x v="4"/>
    <s v="U.A.E."/>
    <s v="Online"/>
    <s v="OTA"/>
    <n v="2202828645"/>
    <s v="U.S. Dollars (US$)"/>
  </r>
  <r>
    <x v="2"/>
    <s v="Country"/>
    <x v="4"/>
    <s v="U.A.E."/>
    <s v="Online"/>
    <s v="Online Supplier-Direct"/>
    <n v="2957335569"/>
    <s v="U.S. Dollars (US$)"/>
  </r>
  <r>
    <x v="2"/>
    <s v="Country"/>
    <x v="5"/>
    <s v="Canada"/>
    <s v="Offline"/>
    <s v="Offline"/>
    <n v="21276656031"/>
    <s v="U.S. Dollars (US$)"/>
  </r>
  <r>
    <x v="2"/>
    <s v="Country"/>
    <x v="5"/>
    <s v="Canada"/>
    <s v="Online"/>
    <s v="OTA"/>
    <n v="3473627739"/>
    <s v="U.S. Dollars (US$)"/>
  </r>
  <r>
    <x v="2"/>
    <s v="Country"/>
    <x v="5"/>
    <s v="Canada"/>
    <s v="Online"/>
    <s v="Online Supplier-Direct"/>
    <n v="8519411566"/>
    <s v="U.S. Dollars (US$)"/>
  </r>
  <r>
    <x v="2"/>
    <s v="Country"/>
    <x v="5"/>
    <s v="U.S."/>
    <s v="Central"/>
    <s v="Central Reservation"/>
    <n v="80354494244"/>
    <s v="U.S. Dollars (US$)"/>
  </r>
  <r>
    <x v="2"/>
    <s v="Country"/>
    <x v="5"/>
    <s v="U.S."/>
    <s v="Offline"/>
    <s v="Travel Agency/TMC"/>
    <n v="87577196761"/>
    <s v="U.S. Dollars (US$)"/>
  </r>
  <r>
    <x v="2"/>
    <s v="Country"/>
    <x v="5"/>
    <s v="U.S."/>
    <s v="Online"/>
    <s v="OTA"/>
    <n v="40352794300"/>
    <s v="U.S. Dollars (US$)"/>
  </r>
  <r>
    <x v="2"/>
    <s v="Country"/>
    <x v="5"/>
    <s v="U.S."/>
    <s v="Online"/>
    <s v="Online Supplier-Direct"/>
    <n v="71347634853"/>
    <s v="U.S. Dollars (US$)"/>
  </r>
  <r>
    <x v="3"/>
    <s v="Country"/>
    <x v="0"/>
    <s v="Australia-New Zealand"/>
    <s v="Offline"/>
    <s v="Offline"/>
    <n v="22595873742"/>
    <s v="U.S. Dollars (US$)"/>
  </r>
  <r>
    <x v="3"/>
    <s v="Country"/>
    <x v="0"/>
    <s v="Australia-New Zealand"/>
    <s v="Online"/>
    <s v="OTA"/>
    <n v="2889682468"/>
    <s v="U.S. Dollars (US$)"/>
  </r>
  <r>
    <x v="3"/>
    <s v="Country"/>
    <x v="0"/>
    <s v="Australia-New Zealand"/>
    <s v="Online"/>
    <s v="Online Supplier-Direct"/>
    <n v="9412593961"/>
    <s v="U.S. Dollars (US$)"/>
  </r>
  <r>
    <x v="3"/>
    <s v="Country"/>
    <x v="0"/>
    <s v="China"/>
    <s v="Offline"/>
    <s v="Offline"/>
    <n v="93602618112"/>
    <s v="U.S. Dollars (US$)"/>
  </r>
  <r>
    <x v="3"/>
    <s v="Country"/>
    <x v="0"/>
    <s v="China"/>
    <s v="Online"/>
    <s v="OTA"/>
    <n v="7590458432"/>
    <s v="U.S. Dollars (US$)"/>
  </r>
  <r>
    <x v="3"/>
    <s v="Country"/>
    <x v="0"/>
    <s v="China"/>
    <s v="Online"/>
    <s v="Online Supplier-Direct"/>
    <n v="6731243887"/>
    <s v="U.S. Dollars (US$)"/>
  </r>
  <r>
    <x v="3"/>
    <s v="Country"/>
    <x v="0"/>
    <s v="Hong Kong"/>
    <s v="Offline"/>
    <s v="Offline"/>
    <n v="12457882294"/>
    <s v="U.S. Dollars (US$)"/>
  </r>
  <r>
    <x v="3"/>
    <s v="Country"/>
    <x v="0"/>
    <s v="Hong Kong"/>
    <s v="Online"/>
    <s v="OTA"/>
    <n v="362091696"/>
    <s v="U.S. Dollars (US$)"/>
  </r>
  <r>
    <x v="3"/>
    <s v="Country"/>
    <x v="0"/>
    <s v="Hong Kong"/>
    <s v="Online"/>
    <s v="Online Supplier-Direct"/>
    <n v="883639439"/>
    <s v="U.S. Dollars (US$)"/>
  </r>
  <r>
    <x v="3"/>
    <s v="Country"/>
    <x v="0"/>
    <s v="India"/>
    <s v="Offline"/>
    <s v="Offline"/>
    <n v="16445966960"/>
    <s v="U.S. Dollars (US$)"/>
  </r>
  <r>
    <x v="3"/>
    <s v="Country"/>
    <x v="0"/>
    <s v="India"/>
    <s v="Online"/>
    <s v="OTA"/>
    <n v="2250564953"/>
    <s v="U.S. Dollars (US$)"/>
  </r>
  <r>
    <x v="3"/>
    <s v="Country"/>
    <x v="0"/>
    <s v="India"/>
    <s v="Online"/>
    <s v="Online Supplier-Direct"/>
    <n v="3698330746"/>
    <s v="U.S. Dollars (US$)"/>
  </r>
  <r>
    <x v="3"/>
    <s v="Country"/>
    <x v="0"/>
    <s v="Indonesia"/>
    <s v="Offline"/>
    <s v="Offline"/>
    <n v="9925204142"/>
    <s v="U.S. Dollars (US$)"/>
  </r>
  <r>
    <x v="3"/>
    <s v="Country"/>
    <x v="0"/>
    <s v="Indonesia"/>
    <s v="Online"/>
    <s v="OTA"/>
    <n v="170861491"/>
    <s v="U.S. Dollars (US$)"/>
  </r>
  <r>
    <x v="3"/>
    <s v="Country"/>
    <x v="0"/>
    <s v="Indonesia"/>
    <s v="Online"/>
    <s v="Online Supplier-Direct"/>
    <n v="613603630"/>
    <s v="U.S. Dollars (US$)"/>
  </r>
  <r>
    <x v="3"/>
    <s v="Country"/>
    <x v="0"/>
    <s v="Japan"/>
    <s v="Offline"/>
    <s v="Offline"/>
    <n v="73165912352"/>
    <s v="U.S. Dollars (US$)"/>
  </r>
  <r>
    <x v="3"/>
    <s v="Country"/>
    <x v="0"/>
    <s v="Japan"/>
    <s v="Online"/>
    <s v="OTA"/>
    <n v="12383915282"/>
    <s v="U.S. Dollars (US$)"/>
  </r>
  <r>
    <x v="3"/>
    <s v="Country"/>
    <x v="0"/>
    <s v="Japan"/>
    <s v="Online"/>
    <s v="Online Supplier-Direct"/>
    <n v="20043997748"/>
    <s v="U.S. Dollars (US$)"/>
  </r>
  <r>
    <x v="3"/>
    <s v="Country"/>
    <x v="0"/>
    <s v="Macau"/>
    <s v="Offline"/>
    <s v="Offline"/>
    <n v="781650543"/>
    <s v="U.S. Dollars (US$)"/>
  </r>
  <r>
    <x v="3"/>
    <s v="Country"/>
    <x v="0"/>
    <s v="Macau"/>
    <s v="Online"/>
    <s v="OTA"/>
    <n v="28797652"/>
    <s v="U.S. Dollars (US$)"/>
  </r>
  <r>
    <x v="3"/>
    <s v="Country"/>
    <x v="0"/>
    <s v="Macau"/>
    <s v="Online"/>
    <s v="Online Supplier-Direct"/>
    <n v="12341851"/>
    <s v="U.S. Dollars (US$)"/>
  </r>
  <r>
    <x v="3"/>
    <s v="Country"/>
    <x v="0"/>
    <s v="Malaysia"/>
    <s v="Offline"/>
    <s v="Offline"/>
    <n v="6227992734"/>
    <s v="U.S. Dollars (US$)"/>
  </r>
  <r>
    <x v="3"/>
    <s v="Country"/>
    <x v="0"/>
    <s v="Malaysia"/>
    <s v="Online"/>
    <s v="OTA"/>
    <n v="513218844"/>
    <s v="U.S. Dollars (US$)"/>
  </r>
  <r>
    <x v="3"/>
    <s v="Country"/>
    <x v="0"/>
    <s v="Malaysia"/>
    <s v="Online"/>
    <s v="Online Supplier-Direct"/>
    <n v="2276217599"/>
    <s v="U.S. Dollars (US$)"/>
  </r>
  <r>
    <x v="3"/>
    <s v="Country"/>
    <x v="0"/>
    <s v="Singapore"/>
    <s v="Offline"/>
    <s v="Offline"/>
    <n v="7620382907"/>
    <s v="U.S. Dollars (US$)"/>
  </r>
  <r>
    <x v="3"/>
    <s v="Country"/>
    <x v="0"/>
    <s v="Singapore"/>
    <s v="Online"/>
    <s v="OTA"/>
    <n v="679769575"/>
    <s v="U.S. Dollars (US$)"/>
  </r>
  <r>
    <x v="3"/>
    <s v="Country"/>
    <x v="0"/>
    <s v="Singapore"/>
    <s v="Online"/>
    <s v="Online Supplier-Direct"/>
    <n v="2281185543"/>
    <s v="U.S. Dollars (US$)"/>
  </r>
  <r>
    <x v="3"/>
    <s v="Country"/>
    <x v="0"/>
    <s v="South Korea"/>
    <s v="Offline"/>
    <s v="Offline"/>
    <n v="11692094967"/>
    <s v="U.S. Dollars (US$)"/>
  </r>
  <r>
    <x v="3"/>
    <s v="Country"/>
    <x v="0"/>
    <s v="South Korea"/>
    <s v="Online"/>
    <s v="OTA"/>
    <n v="644095563"/>
    <s v="U.S. Dollars (US$)"/>
  </r>
  <r>
    <x v="3"/>
    <s v="Country"/>
    <x v="0"/>
    <s v="South Korea"/>
    <s v="Online"/>
    <s v="Online Supplier-Direct"/>
    <n v="2794701539"/>
    <s v="U.S. Dollars (US$)"/>
  </r>
  <r>
    <x v="3"/>
    <s v="Country"/>
    <x v="0"/>
    <s v="Taiwan"/>
    <s v="Offline"/>
    <s v="Offline"/>
    <n v="7612864586"/>
    <s v="U.S. Dollars (US$)"/>
  </r>
  <r>
    <x v="3"/>
    <s v="Country"/>
    <x v="0"/>
    <s v="Taiwan"/>
    <s v="Online"/>
    <s v="OTA"/>
    <n v="250236532"/>
    <s v="U.S. Dollars (US$)"/>
  </r>
  <r>
    <x v="3"/>
    <s v="Country"/>
    <x v="0"/>
    <s v="Taiwan"/>
    <s v="Online"/>
    <s v="Online Supplier-Direct"/>
    <n v="894443792"/>
    <s v="U.S. Dollars (US$)"/>
  </r>
  <r>
    <x v="3"/>
    <s v="Country"/>
    <x v="0"/>
    <s v="Thailand"/>
    <s v="Offline"/>
    <s v="Offline"/>
    <n v="8974570559"/>
    <s v="U.S. Dollars (US$)"/>
  </r>
  <r>
    <x v="3"/>
    <s v="Country"/>
    <x v="0"/>
    <s v="Thailand"/>
    <s v="Online"/>
    <s v="OTA"/>
    <n v="1214902644"/>
    <s v="U.S. Dollars (US$)"/>
  </r>
  <r>
    <x v="3"/>
    <s v="Country"/>
    <x v="0"/>
    <s v="Thailand"/>
    <s v="Online"/>
    <s v="Online Supplier-Direct"/>
    <n v="1245852480"/>
    <s v="U.S. Dollars (US$)"/>
  </r>
  <r>
    <x v="3"/>
    <s v="Country"/>
    <x v="1"/>
    <s v="Bulgaria"/>
    <s v="Offline"/>
    <s v="Offline"/>
    <n v="1261518555"/>
    <s v="U.S. Dollars (US$)"/>
  </r>
  <r>
    <x v="3"/>
    <s v="Country"/>
    <x v="1"/>
    <s v="Bulgaria"/>
    <s v="Online"/>
    <s v="OTA"/>
    <n v="54004599"/>
    <s v="U.S. Dollars (US$)"/>
  </r>
  <r>
    <x v="3"/>
    <s v="Country"/>
    <x v="1"/>
    <s v="Bulgaria"/>
    <s v="Online"/>
    <s v="Online Supplier-Direct"/>
    <n v="195828481"/>
    <s v="U.S. Dollars (US$)"/>
  </r>
  <r>
    <x v="3"/>
    <s v="Country"/>
    <x v="1"/>
    <s v="Czech Republic"/>
    <s v="Offline"/>
    <s v="Offline"/>
    <n v="2566064689"/>
    <s v="U.S. Dollars (US$)"/>
  </r>
  <r>
    <x v="3"/>
    <s v="Country"/>
    <x v="1"/>
    <s v="Czech Republic"/>
    <s v="Online"/>
    <s v="OTA"/>
    <n v="425690640"/>
    <s v="U.S. Dollars (US$)"/>
  </r>
  <r>
    <x v="3"/>
    <s v="Country"/>
    <x v="1"/>
    <s v="Czech Republic"/>
    <s v="Online"/>
    <s v="Online Supplier-Direct"/>
    <n v="427766437"/>
    <s v="U.S. Dollars (US$)"/>
  </r>
  <r>
    <x v="3"/>
    <s v="Country"/>
    <x v="1"/>
    <s v="Greece"/>
    <s v="Offline"/>
    <s v="Offline"/>
    <n v="7571196438"/>
    <s v="U.S. Dollars (US$)"/>
  </r>
  <r>
    <x v="3"/>
    <s v="Country"/>
    <x v="1"/>
    <s v="Greece"/>
    <s v="Online"/>
    <s v="OTA"/>
    <n v="828218647"/>
    <s v="U.S. Dollars (US$)"/>
  </r>
  <r>
    <x v="3"/>
    <s v="Country"/>
    <x v="1"/>
    <s v="Greece"/>
    <s v="Online"/>
    <s v="Online Supplier-Direct"/>
    <n v="1583921687"/>
    <s v="U.S. Dollars (US$)"/>
  </r>
  <r>
    <x v="3"/>
    <s v="Country"/>
    <x v="1"/>
    <s v="Hungary"/>
    <s v="Offline"/>
    <s v="Offline"/>
    <n v="1678712243"/>
    <s v="U.S. Dollars (US$)"/>
  </r>
  <r>
    <x v="3"/>
    <s v="Country"/>
    <x v="1"/>
    <s v="Hungary"/>
    <s v="Online"/>
    <s v="OTA"/>
    <n v="122244779"/>
    <s v="U.S. Dollars (US$)"/>
  </r>
  <r>
    <x v="3"/>
    <s v="Country"/>
    <x v="1"/>
    <s v="Hungary"/>
    <s v="Online"/>
    <s v="Online Supplier-Direct"/>
    <n v="529090863"/>
    <s v="U.S. Dollars (US$)"/>
  </r>
  <r>
    <x v="3"/>
    <s v="Country"/>
    <x v="1"/>
    <s v="Poland"/>
    <s v="Offline"/>
    <s v="Offline"/>
    <n v="4016230853"/>
    <s v="U.S. Dollars (US$)"/>
  </r>
  <r>
    <x v="3"/>
    <s v="Country"/>
    <x v="1"/>
    <s v="Poland"/>
    <s v="Online"/>
    <s v="OTA"/>
    <n v="379203910"/>
    <s v="U.S. Dollars (US$)"/>
  </r>
  <r>
    <x v="3"/>
    <s v="Country"/>
    <x v="1"/>
    <s v="Poland"/>
    <s v="Online"/>
    <s v="Online Supplier-Direct"/>
    <n v="838432148"/>
    <s v="U.S. Dollars (US$)"/>
  </r>
  <r>
    <x v="3"/>
    <s v="Country"/>
    <x v="1"/>
    <s v="Rest of Eastern Europe"/>
    <s v="Offline"/>
    <s v="Offline"/>
    <n v="1867963412"/>
    <s v="U.S. Dollars (US$)"/>
  </r>
  <r>
    <x v="3"/>
    <s v="Country"/>
    <x v="1"/>
    <s v="Rest of Eastern Europe"/>
    <s v="Online"/>
    <s v="OTA"/>
    <n v="123824506"/>
    <s v="U.S. Dollars (US$)"/>
  </r>
  <r>
    <x v="3"/>
    <s v="Country"/>
    <x v="1"/>
    <s v="Rest of Eastern Europe"/>
    <s v="Online"/>
    <s v="Online Supplier-Direct"/>
    <n v="176398901"/>
    <s v="U.S. Dollars (US$)"/>
  </r>
  <r>
    <x v="3"/>
    <s v="Country"/>
    <x v="1"/>
    <s v="Romania"/>
    <s v="Offline"/>
    <s v="Offline"/>
    <n v="2580282491"/>
    <s v="U.S. Dollars (US$)"/>
  </r>
  <r>
    <x v="3"/>
    <s v="Country"/>
    <x v="1"/>
    <s v="Romania"/>
    <s v="Online"/>
    <s v="OTA"/>
    <n v="197531068"/>
    <s v="U.S. Dollars (US$)"/>
  </r>
  <r>
    <x v="3"/>
    <s v="Country"/>
    <x v="1"/>
    <s v="Romania"/>
    <s v="Online"/>
    <s v="Online Supplier-Direct"/>
    <n v="462944826"/>
    <s v="U.S. Dollars (US$)"/>
  </r>
  <r>
    <x v="3"/>
    <s v="Country"/>
    <x v="1"/>
    <s v="Russia"/>
    <s v="Offline"/>
    <s v="Offline"/>
    <n v="36132509683"/>
    <s v="U.S. Dollars (US$)"/>
  </r>
  <r>
    <x v="3"/>
    <s v="Country"/>
    <x v="1"/>
    <s v="Russia"/>
    <s v="Online"/>
    <s v="OTA"/>
    <n v="3626411078"/>
    <s v="U.S. Dollars (US$)"/>
  </r>
  <r>
    <x v="3"/>
    <s v="Country"/>
    <x v="1"/>
    <s v="Russia"/>
    <s v="Online"/>
    <s v="Online Supplier-Direct"/>
    <n v="3978287461"/>
    <s v="U.S. Dollars (US$)"/>
  </r>
  <r>
    <x v="3"/>
    <s v="Country"/>
    <x v="1"/>
    <s v="Ukraine"/>
    <s v="Offline"/>
    <s v="Offline"/>
    <n v="3421264653"/>
    <s v="U.S. Dollars (US$)"/>
  </r>
  <r>
    <x v="3"/>
    <s v="Country"/>
    <x v="1"/>
    <s v="Ukraine"/>
    <s v="Online"/>
    <s v="OTA"/>
    <n v="309220127"/>
    <s v="U.S. Dollars (US$)"/>
  </r>
  <r>
    <x v="3"/>
    <s v="Country"/>
    <x v="1"/>
    <s v="Ukraine"/>
    <s v="Online"/>
    <s v="Online Supplier-Direct"/>
    <n v="544642223"/>
    <s v="U.S. Dollars (US$)"/>
  </r>
  <r>
    <x v="3"/>
    <s v="Country"/>
    <x v="2"/>
    <s v="France"/>
    <s v="Offline"/>
    <s v="Offline"/>
    <n v="33882546866"/>
    <s v="U.S. Dollars (US$)"/>
  </r>
  <r>
    <x v="3"/>
    <s v="Country"/>
    <x v="2"/>
    <s v="France"/>
    <s v="Online"/>
    <s v="OTA"/>
    <n v="6612497060"/>
    <s v="U.S. Dollars (US$)"/>
  </r>
  <r>
    <x v="3"/>
    <s v="Country"/>
    <x v="2"/>
    <s v="France"/>
    <s v="Online"/>
    <s v="Online Supplier-Direct"/>
    <n v="12411746866"/>
    <s v="U.S. Dollars (US$)"/>
  </r>
  <r>
    <x v="3"/>
    <s v="Country"/>
    <x v="2"/>
    <s v="Germany"/>
    <s v="Offline"/>
    <s v="Offline"/>
    <n v="49644013581"/>
    <s v="U.S. Dollars (US$)"/>
  </r>
  <r>
    <x v="3"/>
    <s v="Country"/>
    <x v="2"/>
    <s v="Germany"/>
    <s v="Online"/>
    <s v="OTA"/>
    <n v="11130608325"/>
    <s v="U.S. Dollars (US$)"/>
  </r>
  <r>
    <x v="3"/>
    <s v="Country"/>
    <x v="2"/>
    <s v="Germany"/>
    <s v="Online"/>
    <s v="Online Supplier-Direct"/>
    <n v="14140526939"/>
    <s v="U.S. Dollars (US$)"/>
  </r>
  <r>
    <x v="3"/>
    <s v="Country"/>
    <x v="2"/>
    <s v="Italy"/>
    <s v="Offline"/>
    <s v="Offline"/>
    <n v="19241595808"/>
    <s v="U.S. Dollars (US$)"/>
  </r>
  <r>
    <x v="3"/>
    <s v="Country"/>
    <x v="2"/>
    <s v="Italy"/>
    <s v="Online"/>
    <s v="OTA"/>
    <n v="4227806046"/>
    <s v="U.S. Dollars (US$)"/>
  </r>
  <r>
    <x v="3"/>
    <s v="Country"/>
    <x v="2"/>
    <s v="Italy"/>
    <s v="Online"/>
    <s v="Online Supplier-Direct"/>
    <n v="3316832723"/>
    <s v="U.S. Dollars (US$)"/>
  </r>
  <r>
    <x v="3"/>
    <s v="Country"/>
    <x v="2"/>
    <s v="Rest of Europe"/>
    <s v="Offline"/>
    <s v="Offline"/>
    <n v="37284845893"/>
    <s v="U.S. Dollars (US$)"/>
  </r>
  <r>
    <x v="3"/>
    <s v="Country"/>
    <x v="2"/>
    <s v="Rest of Europe"/>
    <s v="Online"/>
    <s v="OTA"/>
    <n v="6768014052"/>
    <s v="U.S. Dollars (US$)"/>
  </r>
  <r>
    <x v="3"/>
    <s v="Country"/>
    <x v="2"/>
    <s v="Rest of Europe"/>
    <s v="Online"/>
    <s v="Online Supplier-Direct"/>
    <n v="12103221995"/>
    <s v="U.S. Dollars (US$)"/>
  </r>
  <r>
    <x v="3"/>
    <s v="Country"/>
    <x v="2"/>
    <s v="Scandinavia"/>
    <s v="Offline"/>
    <s v="Offline"/>
    <n v="9745063678"/>
    <s v="U.S. Dollars (US$)"/>
  </r>
  <r>
    <x v="3"/>
    <s v="Country"/>
    <x v="2"/>
    <s v="Scandinavia"/>
    <s v="Online"/>
    <s v="OTA"/>
    <n v="3025031370"/>
    <s v="U.S. Dollars (US$)"/>
  </r>
  <r>
    <x v="3"/>
    <s v="Country"/>
    <x v="2"/>
    <s v="Scandinavia"/>
    <s v="Online"/>
    <s v="Online Supplier-Direct"/>
    <n v="7049358598"/>
    <s v="U.S. Dollars (US$)"/>
  </r>
  <r>
    <x v="3"/>
    <s v="Country"/>
    <x v="2"/>
    <s v="Spain"/>
    <s v="Offline"/>
    <s v="Offline"/>
    <n v="17341589307"/>
    <s v="U.S. Dollars (US$)"/>
  </r>
  <r>
    <x v="3"/>
    <s v="Country"/>
    <x v="2"/>
    <s v="Spain"/>
    <s v="Online"/>
    <s v="OTA"/>
    <n v="5122495863"/>
    <s v="U.S. Dollars (US$)"/>
  </r>
  <r>
    <x v="3"/>
    <s v="Country"/>
    <x v="2"/>
    <s v="Spain"/>
    <s v="Online"/>
    <s v="Online Supplier-Direct"/>
    <n v="3607012832"/>
    <s v="U.S. Dollars (US$)"/>
  </r>
  <r>
    <x v="3"/>
    <s v="Country"/>
    <x v="2"/>
    <s v="U.K."/>
    <s v="Offline"/>
    <s v="Offline"/>
    <n v="32851806903"/>
    <s v="U.S. Dollars (US$)"/>
  </r>
  <r>
    <x v="3"/>
    <s v="Country"/>
    <x v="2"/>
    <s v="U.K."/>
    <s v="Online"/>
    <s v="OTA"/>
    <n v="8152747299"/>
    <s v="U.S. Dollars (US$)"/>
  </r>
  <r>
    <x v="3"/>
    <s v="Country"/>
    <x v="2"/>
    <s v="U.K."/>
    <s v="Online"/>
    <s v="Online Supplier-Direct"/>
    <n v="22280713728"/>
    <s v="U.S. Dollars (US$)"/>
  </r>
  <r>
    <x v="3"/>
    <s v="Country"/>
    <x v="3"/>
    <s v="Argentina"/>
    <s v="Offline"/>
    <s v="Offline"/>
    <n v="8444768912"/>
    <s v="U.S. Dollars (US$)"/>
  </r>
  <r>
    <x v="3"/>
    <s v="Country"/>
    <x v="3"/>
    <s v="Argentina"/>
    <s v="Online"/>
    <s v="OTA"/>
    <n v="646260671"/>
    <s v="U.S. Dollars (US$)"/>
  </r>
  <r>
    <x v="3"/>
    <s v="Country"/>
    <x v="3"/>
    <s v="Argentina"/>
    <s v="Online"/>
    <s v="Online Supplier-Direct"/>
    <n v="498320534"/>
    <s v="U.S. Dollars (US$)"/>
  </r>
  <r>
    <x v="3"/>
    <s v="Country"/>
    <x v="3"/>
    <s v="Brazil"/>
    <s v="Offline"/>
    <s v="Offline"/>
    <n v="32777350154"/>
    <s v="U.S. Dollars (US$)"/>
  </r>
  <r>
    <x v="3"/>
    <s v="Country"/>
    <x v="3"/>
    <s v="Brazil"/>
    <s v="Online"/>
    <s v="OTA"/>
    <n v="5708969492"/>
    <s v="U.S. Dollars (US$)"/>
  </r>
  <r>
    <x v="3"/>
    <s v="Country"/>
    <x v="3"/>
    <s v="Brazil"/>
    <s v="Online"/>
    <s v="Online Supplier-Direct"/>
    <n v="2363596033"/>
    <s v="U.S. Dollars (US$)"/>
  </r>
  <r>
    <x v="3"/>
    <s v="Country"/>
    <x v="3"/>
    <s v="Chile"/>
    <s v="Offline"/>
    <s v="Offline"/>
    <n v="3871910968"/>
    <s v="U.S. Dollars (US$)"/>
  </r>
  <r>
    <x v="3"/>
    <s v="Country"/>
    <x v="3"/>
    <s v="Chile"/>
    <s v="Online"/>
    <s v="OTA"/>
    <n v="494325136"/>
    <s v="U.S. Dollars (US$)"/>
  </r>
  <r>
    <x v="3"/>
    <s v="Country"/>
    <x v="3"/>
    <s v="Chile"/>
    <s v="Online"/>
    <s v="Online Supplier-Direct"/>
    <n v="762098815"/>
    <s v="U.S. Dollars (US$)"/>
  </r>
  <r>
    <x v="3"/>
    <s v="Country"/>
    <x v="3"/>
    <s v="Colombia"/>
    <s v="Offline"/>
    <s v="Offline"/>
    <n v="8577090600"/>
    <s v="U.S. Dollars (US$)"/>
  </r>
  <r>
    <x v="3"/>
    <s v="Country"/>
    <x v="3"/>
    <s v="Colombia"/>
    <s v="Online"/>
    <s v="OTA"/>
    <n v="1029480385"/>
    <s v="U.S. Dollars (US$)"/>
  </r>
  <r>
    <x v="3"/>
    <s v="Country"/>
    <x v="3"/>
    <s v="Colombia"/>
    <s v="Online"/>
    <s v="Online Supplier-Direct"/>
    <n v="885768318"/>
    <s v="U.S. Dollars (US$)"/>
  </r>
  <r>
    <x v="3"/>
    <s v="Country"/>
    <x v="3"/>
    <s v="Mexico"/>
    <s v="Offline"/>
    <s v="Offline"/>
    <n v="18400149893"/>
    <s v="U.S. Dollars (US$)"/>
  </r>
  <r>
    <x v="3"/>
    <s v="Country"/>
    <x v="3"/>
    <s v="Mexico"/>
    <s v="Online"/>
    <s v="OTA"/>
    <n v="3149013915"/>
    <s v="U.S. Dollars (US$)"/>
  </r>
  <r>
    <x v="3"/>
    <s v="Country"/>
    <x v="3"/>
    <s v="Mexico"/>
    <s v="Online"/>
    <s v="Online Supplier-Direct"/>
    <n v="1944873781"/>
    <s v="U.S. Dollars (US$)"/>
  </r>
  <r>
    <x v="3"/>
    <s v="Country"/>
    <x v="4"/>
    <s v="Egypt"/>
    <s v="Offline"/>
    <s v="Offline"/>
    <n v="6586796933"/>
    <s v="U.S. Dollars (US$)"/>
  </r>
  <r>
    <x v="3"/>
    <s v="Country"/>
    <x v="4"/>
    <s v="Egypt"/>
    <s v="Online"/>
    <s v="OTA"/>
    <n v="337360848"/>
    <s v="U.S. Dollars (US$)"/>
  </r>
  <r>
    <x v="3"/>
    <s v="Country"/>
    <x v="4"/>
    <s v="Egypt"/>
    <s v="Online"/>
    <s v="Online Supplier-Direct"/>
    <n v="290692579"/>
    <s v="U.S. Dollars (US$)"/>
  </r>
  <r>
    <x v="3"/>
    <s v="Country"/>
    <x v="4"/>
    <s v="Qatar"/>
    <s v="Offline"/>
    <s v="Offline"/>
    <n v="6001269771"/>
    <s v="U.S. Dollars (US$)"/>
  </r>
  <r>
    <x v="3"/>
    <s v="Country"/>
    <x v="4"/>
    <s v="Qatar"/>
    <s v="Online"/>
    <s v="OTA"/>
    <n v="530407220"/>
    <s v="U.S. Dollars (US$)"/>
  </r>
  <r>
    <x v="3"/>
    <s v="Country"/>
    <x v="4"/>
    <s v="Qatar"/>
    <s v="Online"/>
    <s v="Online Supplier-Direct"/>
    <n v="836811556"/>
    <s v="U.S. Dollars (US$)"/>
  </r>
  <r>
    <x v="3"/>
    <s v="Country"/>
    <x v="4"/>
    <s v="Rest of Middle East"/>
    <s v="Offline"/>
    <s v="Offline"/>
    <n v="6879815028"/>
    <s v="U.S. Dollars (US$)"/>
  </r>
  <r>
    <x v="3"/>
    <s v="Country"/>
    <x v="4"/>
    <s v="Rest of Middle East"/>
    <s v="Online"/>
    <s v="OTA"/>
    <n v="520834364"/>
    <s v="U.S. Dollars (US$)"/>
  </r>
  <r>
    <x v="3"/>
    <s v="Country"/>
    <x v="4"/>
    <s v="Rest of Middle East"/>
    <s v="Online"/>
    <s v="Online Supplier-Direct"/>
    <n v="605336701"/>
    <s v="U.S. Dollars (US$)"/>
  </r>
  <r>
    <x v="3"/>
    <s v="Country"/>
    <x v="4"/>
    <s v="Saudi Arabia"/>
    <s v="Offline"/>
    <s v="Offline"/>
    <n v="8263853936"/>
    <s v="U.S. Dollars (US$)"/>
  </r>
  <r>
    <x v="3"/>
    <s v="Country"/>
    <x v="4"/>
    <s v="Saudi Arabia"/>
    <s v="Online"/>
    <s v="OTA"/>
    <n v="917668753"/>
    <s v="U.S. Dollars (US$)"/>
  </r>
  <r>
    <x v="3"/>
    <s v="Country"/>
    <x v="4"/>
    <s v="Saudi Arabia"/>
    <s v="Online"/>
    <s v="Online Supplier-Direct"/>
    <n v="704466528"/>
    <s v="U.S. Dollars (US$)"/>
  </r>
  <r>
    <x v="3"/>
    <s v="Country"/>
    <x v="4"/>
    <s v="U.A.E."/>
    <s v="Offline"/>
    <s v="Offline"/>
    <n v="22584624660"/>
    <s v="U.S. Dollars (US$)"/>
  </r>
  <r>
    <x v="3"/>
    <s v="Country"/>
    <x v="4"/>
    <s v="U.A.E."/>
    <s v="Online"/>
    <s v="OTA"/>
    <n v="2608785311"/>
    <s v="U.S. Dollars (US$)"/>
  </r>
  <r>
    <x v="3"/>
    <s v="Country"/>
    <x v="4"/>
    <s v="U.A.E."/>
    <s v="Online"/>
    <s v="Online Supplier-Direct"/>
    <n v="3872437458"/>
    <s v="U.S. Dollars (US$)"/>
  </r>
  <r>
    <x v="3"/>
    <s v="Country"/>
    <x v="5"/>
    <s v="Canada"/>
    <s v="Offline"/>
    <s v="Offline"/>
    <n v="23674119053"/>
    <s v="U.S. Dollars (US$)"/>
  </r>
  <r>
    <x v="3"/>
    <s v="Country"/>
    <x v="5"/>
    <s v="Canada"/>
    <s v="Online"/>
    <s v="OTA"/>
    <n v="3817845834"/>
    <s v="U.S. Dollars (US$)"/>
  </r>
  <r>
    <x v="3"/>
    <s v="Country"/>
    <x v="5"/>
    <s v="Canada"/>
    <s v="Online"/>
    <s v="Online Supplier-Direct"/>
    <n v="9272761224"/>
    <s v="U.S. Dollars (US$)"/>
  </r>
  <r>
    <x v="3"/>
    <s v="Country"/>
    <x v="5"/>
    <s v="U.S."/>
    <s v="Central"/>
    <s v="Central Reservation"/>
    <n v="82876423588"/>
    <s v="U.S. Dollars (US$)"/>
  </r>
  <r>
    <x v="3"/>
    <s v="Country"/>
    <x v="5"/>
    <s v="U.S."/>
    <s v="Offline"/>
    <s v="Travel Agency/TMC"/>
    <n v="89003462330"/>
    <s v="U.S. Dollars (US$)"/>
  </r>
  <r>
    <x v="3"/>
    <s v="Country"/>
    <x v="5"/>
    <s v="U.S."/>
    <s v="Online"/>
    <s v="OTA"/>
    <n v="43041933125"/>
    <s v="U.S. Dollars (US$)"/>
  </r>
  <r>
    <x v="3"/>
    <s v="Country"/>
    <x v="5"/>
    <s v="U.S."/>
    <s v="Online"/>
    <s v="Online Supplier-Direct"/>
    <n v="78003232480"/>
    <s v="U.S. Dollars (US$)"/>
  </r>
  <r>
    <x v="4"/>
    <s v="Country"/>
    <x v="0"/>
    <s v="Australia-New Zealand"/>
    <s v="Offline"/>
    <s v="Offline"/>
    <n v="20452840081"/>
    <s v="U.S. Dollars (US$)"/>
  </r>
  <r>
    <x v="4"/>
    <s v="Country"/>
    <x v="0"/>
    <s v="Australia-New Zealand"/>
    <s v="Online"/>
    <s v="OTA"/>
    <n v="2725010087"/>
    <s v="U.S. Dollars (US$)"/>
  </r>
  <r>
    <x v="4"/>
    <s v="Country"/>
    <x v="0"/>
    <s v="Australia-New Zealand"/>
    <s v="Online"/>
    <s v="Online Supplier-Direct"/>
    <n v="9324868453"/>
    <s v="U.S. Dollars (US$)"/>
  </r>
  <r>
    <x v="4"/>
    <s v="Country"/>
    <x v="0"/>
    <s v="China"/>
    <s v="Offline"/>
    <s v="Offline"/>
    <n v="98004247565"/>
    <s v="U.S. Dollars (US$)"/>
  </r>
  <r>
    <x v="4"/>
    <s v="Country"/>
    <x v="0"/>
    <s v="China"/>
    <s v="Online"/>
    <s v="OTA"/>
    <n v="10629977817"/>
    <s v="U.S. Dollars (US$)"/>
  </r>
  <r>
    <x v="4"/>
    <s v="Country"/>
    <x v="0"/>
    <s v="China"/>
    <s v="Online"/>
    <s v="Online Supplier-Direct"/>
    <n v="8908649555"/>
    <s v="U.S. Dollars (US$)"/>
  </r>
  <r>
    <x v="4"/>
    <s v="Country"/>
    <x v="0"/>
    <s v="Hong Kong"/>
    <s v="Offline"/>
    <s v="Offline"/>
    <n v="11730744076"/>
    <s v="U.S. Dollars (US$)"/>
  </r>
  <r>
    <x v="4"/>
    <s v="Country"/>
    <x v="0"/>
    <s v="Hong Kong"/>
    <s v="Online"/>
    <s v="OTA"/>
    <n v="385653255"/>
    <s v="U.S. Dollars (US$)"/>
  </r>
  <r>
    <x v="4"/>
    <s v="Country"/>
    <x v="0"/>
    <s v="Hong Kong"/>
    <s v="Online"/>
    <s v="Online Supplier-Direct"/>
    <n v="919502951"/>
    <s v="U.S. Dollars (US$)"/>
  </r>
  <r>
    <x v="4"/>
    <s v="Country"/>
    <x v="0"/>
    <s v="India"/>
    <s v="Offline"/>
    <s v="Offline"/>
    <n v="15758031733"/>
    <s v="U.S. Dollars (US$)"/>
  </r>
  <r>
    <x v="4"/>
    <s v="Country"/>
    <x v="0"/>
    <s v="India"/>
    <s v="Online"/>
    <s v="OTA"/>
    <n v="2438044139"/>
    <s v="U.S. Dollars (US$)"/>
  </r>
  <r>
    <x v="4"/>
    <s v="Country"/>
    <x v="0"/>
    <s v="India"/>
    <s v="Online"/>
    <s v="Online Supplier-Direct"/>
    <n v="3998517508"/>
    <s v="U.S. Dollars (US$)"/>
  </r>
  <r>
    <x v="4"/>
    <s v="Country"/>
    <x v="0"/>
    <s v="Indonesia"/>
    <s v="Offline"/>
    <s v="Offline"/>
    <n v="10585442290"/>
    <s v="U.S. Dollars (US$)"/>
  </r>
  <r>
    <x v="4"/>
    <s v="Country"/>
    <x v="0"/>
    <s v="Indonesia"/>
    <s v="Online"/>
    <s v="OTA"/>
    <n v="273845133"/>
    <s v="U.S. Dollars (US$)"/>
  </r>
  <r>
    <x v="4"/>
    <s v="Country"/>
    <x v="0"/>
    <s v="Indonesia"/>
    <s v="Online"/>
    <s v="Online Supplier-Direct"/>
    <n v="745311994"/>
    <s v="U.S. Dollars (US$)"/>
  </r>
  <r>
    <x v="4"/>
    <s v="Country"/>
    <x v="0"/>
    <s v="Japan"/>
    <s v="Offline"/>
    <s v="Offline"/>
    <n v="62422190391"/>
    <s v="U.S. Dollars (US$)"/>
  </r>
  <r>
    <x v="4"/>
    <s v="Country"/>
    <x v="0"/>
    <s v="Japan"/>
    <s v="Online"/>
    <s v="OTA"/>
    <n v="12159491815"/>
    <s v="U.S. Dollars (US$)"/>
  </r>
  <r>
    <x v="4"/>
    <s v="Country"/>
    <x v="0"/>
    <s v="Japan"/>
    <s v="Online"/>
    <s v="Online Supplier-Direct"/>
    <n v="18718600006"/>
    <s v="U.S. Dollars (US$)"/>
  </r>
  <r>
    <x v="4"/>
    <s v="Country"/>
    <x v="0"/>
    <s v="Macau"/>
    <s v="Offline"/>
    <s v="Offline"/>
    <n v="1297402265"/>
    <s v="U.S. Dollars (US$)"/>
  </r>
  <r>
    <x v="4"/>
    <s v="Country"/>
    <x v="0"/>
    <s v="Macau"/>
    <s v="Online"/>
    <s v="OTA"/>
    <n v="73018219"/>
    <s v="U.S. Dollars (US$)"/>
  </r>
  <r>
    <x v="4"/>
    <s v="Country"/>
    <x v="0"/>
    <s v="Macau"/>
    <s v="Online"/>
    <s v="Online Supplier-Direct"/>
    <n v="28395974"/>
    <s v="U.S. Dollars (US$)"/>
  </r>
  <r>
    <x v="4"/>
    <s v="Country"/>
    <x v="0"/>
    <s v="Malaysia"/>
    <s v="Offline"/>
    <s v="Offline"/>
    <n v="6562055060"/>
    <s v="U.S. Dollars (US$)"/>
  </r>
  <r>
    <x v="4"/>
    <s v="Country"/>
    <x v="0"/>
    <s v="Malaysia"/>
    <s v="Online"/>
    <s v="OTA"/>
    <n v="744497165"/>
    <s v="U.S. Dollars (US$)"/>
  </r>
  <r>
    <x v="4"/>
    <s v="Country"/>
    <x v="0"/>
    <s v="Malaysia"/>
    <s v="Online"/>
    <s v="Online Supplier-Direct"/>
    <n v="2690633642"/>
    <s v="U.S. Dollars (US$)"/>
  </r>
  <r>
    <x v="4"/>
    <s v="Country"/>
    <x v="0"/>
    <s v="Singapore"/>
    <s v="Offline"/>
    <s v="Offline"/>
    <n v="7365826317"/>
    <s v="U.S. Dollars (US$)"/>
  </r>
  <r>
    <x v="4"/>
    <s v="Country"/>
    <x v="0"/>
    <s v="Singapore"/>
    <s v="Online"/>
    <s v="OTA"/>
    <n v="801898308"/>
    <s v="U.S. Dollars (US$)"/>
  </r>
  <r>
    <x v="4"/>
    <s v="Country"/>
    <x v="0"/>
    <s v="Singapore"/>
    <s v="Online"/>
    <s v="Online Supplier-Direct"/>
    <n v="2337557765"/>
    <s v="U.S. Dollars (US$)"/>
  </r>
  <r>
    <x v="4"/>
    <s v="Country"/>
    <x v="0"/>
    <s v="South Korea"/>
    <s v="Offline"/>
    <s v="Offline"/>
    <n v="11406465886"/>
    <s v="U.S. Dollars (US$)"/>
  </r>
  <r>
    <x v="4"/>
    <s v="Country"/>
    <x v="0"/>
    <s v="South Korea"/>
    <s v="Online"/>
    <s v="OTA"/>
    <n v="780174079"/>
    <s v="U.S. Dollars (US$)"/>
  </r>
  <r>
    <x v="4"/>
    <s v="Country"/>
    <x v="0"/>
    <s v="South Korea"/>
    <s v="Online"/>
    <s v="Online Supplier-Direct"/>
    <n v="2605770471"/>
    <s v="U.S. Dollars (US$)"/>
  </r>
  <r>
    <x v="4"/>
    <s v="Country"/>
    <x v="0"/>
    <s v="Taiwan"/>
    <s v="Offline"/>
    <s v="Offline"/>
    <n v="8014876340"/>
    <s v="U.S. Dollars (US$)"/>
  </r>
  <r>
    <x v="4"/>
    <s v="Country"/>
    <x v="0"/>
    <s v="Taiwan"/>
    <s v="Online"/>
    <s v="OTA"/>
    <n v="332560683"/>
    <s v="U.S. Dollars (US$)"/>
  </r>
  <r>
    <x v="4"/>
    <s v="Country"/>
    <x v="0"/>
    <s v="Taiwan"/>
    <s v="Online"/>
    <s v="Online Supplier-Direct"/>
    <n v="846513573"/>
    <s v="U.S. Dollars (US$)"/>
  </r>
  <r>
    <x v="4"/>
    <s v="Country"/>
    <x v="0"/>
    <s v="Thailand"/>
    <s v="Offline"/>
    <s v="Offline"/>
    <n v="9606310231"/>
    <s v="U.S. Dollars (US$)"/>
  </r>
  <r>
    <x v="4"/>
    <s v="Country"/>
    <x v="0"/>
    <s v="Thailand"/>
    <s v="Online"/>
    <s v="OTA"/>
    <n v="1616852798"/>
    <s v="U.S. Dollars (US$)"/>
  </r>
  <r>
    <x v="4"/>
    <s v="Country"/>
    <x v="0"/>
    <s v="Thailand"/>
    <s v="Online"/>
    <s v="Online Supplier-Direct"/>
    <n v="1458609491"/>
    <s v="U.S. Dollars (US$)"/>
  </r>
  <r>
    <x v="4"/>
    <s v="Country"/>
    <x v="1"/>
    <s v="Bulgaria"/>
    <s v="Offline"/>
    <s v="Offline"/>
    <n v="1172186992"/>
    <s v="U.S. Dollars (US$)"/>
  </r>
  <r>
    <x v="4"/>
    <s v="Country"/>
    <x v="1"/>
    <s v="Bulgaria"/>
    <s v="Online"/>
    <s v="OTA"/>
    <n v="68521957"/>
    <s v="U.S. Dollars (US$)"/>
  </r>
  <r>
    <x v="4"/>
    <s v="Country"/>
    <x v="1"/>
    <s v="Bulgaria"/>
    <s v="Online"/>
    <s v="Online Supplier-Direct"/>
    <n v="240558374"/>
    <s v="U.S. Dollars (US$)"/>
  </r>
  <r>
    <x v="4"/>
    <s v="Country"/>
    <x v="1"/>
    <s v="Czech Republic"/>
    <s v="Offline"/>
    <s v="Offline"/>
    <n v="2209987438"/>
    <s v="U.S. Dollars (US$)"/>
  </r>
  <r>
    <x v="4"/>
    <s v="Country"/>
    <x v="1"/>
    <s v="Czech Republic"/>
    <s v="Online"/>
    <s v="OTA"/>
    <n v="434515464"/>
    <s v="U.S. Dollars (US$)"/>
  </r>
  <r>
    <x v="4"/>
    <s v="Country"/>
    <x v="1"/>
    <s v="Czech Republic"/>
    <s v="Online"/>
    <s v="Online Supplier-Direct"/>
    <n v="450199647"/>
    <s v="U.S. Dollars (US$)"/>
  </r>
  <r>
    <x v="4"/>
    <s v="Country"/>
    <x v="1"/>
    <s v="Greece"/>
    <s v="Offline"/>
    <s v="Offline"/>
    <n v="6705275063"/>
    <s v="U.S. Dollars (US$)"/>
  </r>
  <r>
    <x v="4"/>
    <s v="Country"/>
    <x v="1"/>
    <s v="Greece"/>
    <s v="Online"/>
    <s v="OTA"/>
    <n v="777600085"/>
    <s v="U.S. Dollars (US$)"/>
  </r>
  <r>
    <x v="4"/>
    <s v="Country"/>
    <x v="1"/>
    <s v="Greece"/>
    <s v="Online"/>
    <s v="Online Supplier-Direct"/>
    <n v="1535015921"/>
    <s v="U.S. Dollars (US$)"/>
  </r>
  <r>
    <x v="4"/>
    <s v="Country"/>
    <x v="1"/>
    <s v="Hungary"/>
    <s v="Offline"/>
    <s v="Offline"/>
    <n v="1533987442"/>
    <s v="U.S. Dollars (US$)"/>
  </r>
  <r>
    <x v="4"/>
    <s v="Country"/>
    <x v="1"/>
    <s v="Hungary"/>
    <s v="Online"/>
    <s v="OTA"/>
    <n v="137994362"/>
    <s v="U.S. Dollars (US$)"/>
  </r>
  <r>
    <x v="4"/>
    <s v="Country"/>
    <x v="1"/>
    <s v="Hungary"/>
    <s v="Online"/>
    <s v="Online Supplier-Direct"/>
    <n v="586972482"/>
    <s v="U.S. Dollars (US$)"/>
  </r>
  <r>
    <x v="4"/>
    <s v="Country"/>
    <x v="1"/>
    <s v="Poland"/>
    <s v="Offline"/>
    <s v="Offline"/>
    <n v="3973104974"/>
    <s v="U.S. Dollars (US$)"/>
  </r>
  <r>
    <x v="4"/>
    <s v="Country"/>
    <x v="1"/>
    <s v="Poland"/>
    <s v="Online"/>
    <s v="OTA"/>
    <n v="564550422"/>
    <s v="U.S. Dollars (US$)"/>
  </r>
  <r>
    <x v="4"/>
    <s v="Country"/>
    <x v="1"/>
    <s v="Poland"/>
    <s v="Online"/>
    <s v="Online Supplier-Direct"/>
    <n v="734499846"/>
    <s v="U.S. Dollars (US$)"/>
  </r>
  <r>
    <x v="4"/>
    <s v="Country"/>
    <x v="1"/>
    <s v="Rest of Eastern Europe"/>
    <s v="Offline"/>
    <s v="Offline"/>
    <n v="1711206221"/>
    <s v="U.S. Dollars (US$)"/>
  </r>
  <r>
    <x v="4"/>
    <s v="Country"/>
    <x v="1"/>
    <s v="Rest of Eastern Europe"/>
    <s v="Online"/>
    <s v="OTA"/>
    <n v="161022604"/>
    <s v="U.S. Dollars (US$)"/>
  </r>
  <r>
    <x v="4"/>
    <s v="Country"/>
    <x v="1"/>
    <s v="Rest of Eastern Europe"/>
    <s v="Online"/>
    <s v="Online Supplier-Direct"/>
    <n v="177561531"/>
    <s v="U.S. Dollars (US$)"/>
  </r>
  <r>
    <x v="4"/>
    <s v="Country"/>
    <x v="1"/>
    <s v="Romania"/>
    <s v="Offline"/>
    <s v="Offline"/>
    <n v="2404759300"/>
    <s v="U.S. Dollars (US$)"/>
  </r>
  <r>
    <x v="4"/>
    <s v="Country"/>
    <x v="1"/>
    <s v="Romania"/>
    <s v="Online"/>
    <s v="OTA"/>
    <n v="227335981"/>
    <s v="U.S. Dollars (US$)"/>
  </r>
  <r>
    <x v="4"/>
    <s v="Country"/>
    <x v="1"/>
    <s v="Romania"/>
    <s v="Online"/>
    <s v="Online Supplier-Direct"/>
    <n v="516563964"/>
    <s v="U.S. Dollars (US$)"/>
  </r>
  <r>
    <x v="4"/>
    <s v="Country"/>
    <x v="1"/>
    <s v="Russia"/>
    <s v="Offline"/>
    <s v="Offline"/>
    <n v="34417207067"/>
    <s v="U.S. Dollars (US$)"/>
  </r>
  <r>
    <x v="4"/>
    <s v="Country"/>
    <x v="1"/>
    <s v="Russia"/>
    <s v="Online"/>
    <s v="OTA"/>
    <n v="5279748050"/>
    <s v="U.S. Dollars (US$)"/>
  </r>
  <r>
    <x v="4"/>
    <s v="Country"/>
    <x v="1"/>
    <s v="Russia"/>
    <s v="Online"/>
    <s v="Online Supplier-Direct"/>
    <n v="5409912109"/>
    <s v="U.S. Dollars (US$)"/>
  </r>
  <r>
    <x v="4"/>
    <s v="Country"/>
    <x v="1"/>
    <s v="Ukraine"/>
    <s v="Offline"/>
    <s v="Offline"/>
    <n v="3812708033"/>
    <s v="U.S. Dollars (US$)"/>
  </r>
  <r>
    <x v="4"/>
    <s v="Country"/>
    <x v="1"/>
    <s v="Ukraine"/>
    <s v="Online"/>
    <s v="OTA"/>
    <n v="360986042"/>
    <s v="U.S. Dollars (US$)"/>
  </r>
  <r>
    <x v="4"/>
    <s v="Country"/>
    <x v="1"/>
    <s v="Ukraine"/>
    <s v="Online"/>
    <s v="Online Supplier-Direct"/>
    <n v="477347369"/>
    <s v="U.S. Dollars (US$)"/>
  </r>
  <r>
    <x v="4"/>
    <s v="Country"/>
    <x v="2"/>
    <s v="France"/>
    <s v="Offline"/>
    <s v="Offline"/>
    <n v="35300842948"/>
    <s v="U.S. Dollars (US$)"/>
  </r>
  <r>
    <x v="4"/>
    <s v="Country"/>
    <x v="2"/>
    <s v="France"/>
    <s v="Online"/>
    <s v="OTA"/>
    <n v="7068656652"/>
    <s v="U.S. Dollars (US$)"/>
  </r>
  <r>
    <x v="4"/>
    <s v="Country"/>
    <x v="2"/>
    <s v="France"/>
    <s v="Online"/>
    <s v="Online Supplier-Direct"/>
    <n v="13605027873"/>
    <s v="U.S. Dollars (US$)"/>
  </r>
  <r>
    <x v="4"/>
    <s v="Country"/>
    <x v="2"/>
    <s v="Germany"/>
    <s v="Offline"/>
    <s v="Offline"/>
    <n v="50305961024"/>
    <s v="U.S. Dollars (US$)"/>
  </r>
  <r>
    <x v="4"/>
    <s v="Country"/>
    <x v="2"/>
    <s v="Germany"/>
    <s v="Online"/>
    <s v="OTA"/>
    <n v="11613457006"/>
    <s v="U.S. Dollars (US$)"/>
  </r>
  <r>
    <x v="4"/>
    <s v="Country"/>
    <x v="2"/>
    <s v="Germany"/>
    <s v="Online"/>
    <s v="Online Supplier-Direct"/>
    <n v="15705494780"/>
    <s v="U.S. Dollars (US$)"/>
  </r>
  <r>
    <x v="4"/>
    <s v="Country"/>
    <x v="2"/>
    <s v="Italy"/>
    <s v="Offline"/>
    <s v="Offline"/>
    <n v="18836662341"/>
    <s v="U.S. Dollars (US$)"/>
  </r>
  <r>
    <x v="4"/>
    <s v="Country"/>
    <x v="2"/>
    <s v="Italy"/>
    <s v="Online"/>
    <s v="OTA"/>
    <n v="4671079025"/>
    <s v="U.S. Dollars (US$)"/>
  </r>
  <r>
    <x v="4"/>
    <s v="Country"/>
    <x v="2"/>
    <s v="Italy"/>
    <s v="Online"/>
    <s v="Online Supplier-Direct"/>
    <n v="3529784324"/>
    <s v="U.S. Dollars (US$)"/>
  </r>
  <r>
    <x v="4"/>
    <s v="Country"/>
    <x v="2"/>
    <s v="Rest of Europe"/>
    <s v="Offline"/>
    <s v="Offline"/>
    <n v="39050474564"/>
    <s v="U.S. Dollars (US$)"/>
  </r>
  <r>
    <x v="4"/>
    <s v="Country"/>
    <x v="2"/>
    <s v="Rest of Europe"/>
    <s v="Online"/>
    <s v="OTA"/>
    <n v="7647736848"/>
    <s v="U.S. Dollars (US$)"/>
  </r>
  <r>
    <x v="4"/>
    <s v="Country"/>
    <x v="2"/>
    <s v="Rest of Europe"/>
    <s v="Online"/>
    <s v="Online Supplier-Direct"/>
    <n v="13999209707"/>
    <s v="U.S. Dollars (US$)"/>
  </r>
  <r>
    <x v="4"/>
    <s v="Country"/>
    <x v="2"/>
    <s v="Scandinavia"/>
    <s v="Offline"/>
    <s v="Offline"/>
    <n v="9856397752"/>
    <s v="U.S. Dollars (US$)"/>
  </r>
  <r>
    <x v="4"/>
    <s v="Country"/>
    <x v="2"/>
    <s v="Scandinavia"/>
    <s v="Online"/>
    <s v="OTA"/>
    <n v="3299450883"/>
    <s v="U.S. Dollars (US$)"/>
  </r>
  <r>
    <x v="4"/>
    <s v="Country"/>
    <x v="2"/>
    <s v="Scandinavia"/>
    <s v="Online"/>
    <s v="Online Supplier-Direct"/>
    <n v="7563024260"/>
    <s v="U.S. Dollars (US$)"/>
  </r>
  <r>
    <x v="4"/>
    <s v="Country"/>
    <x v="2"/>
    <s v="Spain"/>
    <s v="Offline"/>
    <s v="Offline"/>
    <n v="16772162171"/>
    <s v="U.S. Dollars (US$)"/>
  </r>
  <r>
    <x v="4"/>
    <s v="Country"/>
    <x v="2"/>
    <s v="Spain"/>
    <s v="Online"/>
    <s v="OTA"/>
    <n v="5779371798"/>
    <s v="U.S. Dollars (US$)"/>
  </r>
  <r>
    <x v="4"/>
    <s v="Country"/>
    <x v="2"/>
    <s v="Spain"/>
    <s v="Online"/>
    <s v="Online Supplier-Direct"/>
    <n v="4502453871"/>
    <s v="U.S. Dollars (US$)"/>
  </r>
  <r>
    <x v="4"/>
    <s v="Country"/>
    <x v="2"/>
    <s v="U.K."/>
    <s v="Offline"/>
    <s v="Offline"/>
    <n v="33766530443"/>
    <s v="U.S. Dollars (US$)"/>
  </r>
  <r>
    <x v="4"/>
    <s v="Country"/>
    <x v="2"/>
    <s v="U.K."/>
    <s v="Online"/>
    <s v="OTA"/>
    <n v="9278259362"/>
    <s v="U.S. Dollars (US$)"/>
  </r>
  <r>
    <x v="4"/>
    <s v="Country"/>
    <x v="2"/>
    <s v="U.K."/>
    <s v="Online"/>
    <s v="Online Supplier-Direct"/>
    <n v="23595900274"/>
    <s v="U.S. Dollars (US$)"/>
  </r>
  <r>
    <x v="4"/>
    <s v="Country"/>
    <x v="3"/>
    <s v="Argentina"/>
    <s v="Offline"/>
    <s v="Offline"/>
    <n v="7156268041"/>
    <s v="U.S. Dollars (US$)"/>
  </r>
  <r>
    <x v="4"/>
    <s v="Country"/>
    <x v="3"/>
    <s v="Argentina"/>
    <s v="Online"/>
    <s v="OTA"/>
    <n v="796644432"/>
    <s v="U.S. Dollars (US$)"/>
  </r>
  <r>
    <x v="4"/>
    <s v="Country"/>
    <x v="3"/>
    <s v="Argentina"/>
    <s v="Online"/>
    <s v="Online Supplier-Direct"/>
    <n v="594045833"/>
    <s v="U.S. Dollars (US$)"/>
  </r>
  <r>
    <x v="4"/>
    <s v="Country"/>
    <x v="3"/>
    <s v="Brazil"/>
    <s v="Offline"/>
    <s v="Offline"/>
    <n v="27689692858"/>
    <s v="U.S. Dollars (US$)"/>
  </r>
  <r>
    <x v="4"/>
    <s v="Country"/>
    <x v="3"/>
    <s v="Brazil"/>
    <s v="Online"/>
    <s v="OTA"/>
    <n v="5800346988"/>
    <s v="U.S. Dollars (US$)"/>
  </r>
  <r>
    <x v="4"/>
    <s v="Country"/>
    <x v="3"/>
    <s v="Brazil"/>
    <s v="Online"/>
    <s v="Online Supplier-Direct"/>
    <n v="2494846939"/>
    <s v="U.S. Dollars (US$)"/>
  </r>
  <r>
    <x v="4"/>
    <s v="Country"/>
    <x v="3"/>
    <s v="Chile"/>
    <s v="Offline"/>
    <s v="Offline"/>
    <n v="3830078210"/>
    <s v="U.S. Dollars (US$)"/>
  </r>
  <r>
    <x v="4"/>
    <s v="Country"/>
    <x v="3"/>
    <s v="Chile"/>
    <s v="Online"/>
    <s v="OTA"/>
    <n v="626371553"/>
    <s v="U.S. Dollars (US$)"/>
  </r>
  <r>
    <x v="4"/>
    <s v="Country"/>
    <x v="3"/>
    <s v="Chile"/>
    <s v="Online"/>
    <s v="Online Supplier-Direct"/>
    <n v="842985803"/>
    <s v="U.S. Dollars (US$)"/>
  </r>
  <r>
    <x v="4"/>
    <s v="Country"/>
    <x v="3"/>
    <s v="Colombia"/>
    <s v="Offline"/>
    <s v="Offline"/>
    <n v="8229403506"/>
    <s v="U.S. Dollars (US$)"/>
  </r>
  <r>
    <x v="4"/>
    <s v="Country"/>
    <x v="3"/>
    <s v="Colombia"/>
    <s v="Online"/>
    <s v="OTA"/>
    <n v="1228089125"/>
    <s v="U.S. Dollars (US$)"/>
  </r>
  <r>
    <x v="4"/>
    <s v="Country"/>
    <x v="3"/>
    <s v="Colombia"/>
    <s v="Online"/>
    <s v="Online Supplier-Direct"/>
    <n v="1090507369"/>
    <s v="U.S. Dollars (US$)"/>
  </r>
  <r>
    <x v="4"/>
    <s v="Country"/>
    <x v="3"/>
    <s v="Mexico"/>
    <s v="Offline"/>
    <s v="Offline"/>
    <n v="19615860000"/>
    <s v="U.S. Dollars (US$)"/>
  </r>
  <r>
    <x v="4"/>
    <s v="Country"/>
    <x v="3"/>
    <s v="Mexico"/>
    <s v="Online"/>
    <s v="OTA"/>
    <n v="3770255200"/>
    <s v="U.S. Dollars (US$)"/>
  </r>
  <r>
    <x v="4"/>
    <s v="Country"/>
    <x v="3"/>
    <s v="Mexico"/>
    <s v="Online"/>
    <s v="Online Supplier-Direct"/>
    <n v="2532884800"/>
    <s v="U.S. Dollars (US$)"/>
  </r>
  <r>
    <x v="4"/>
    <s v="Country"/>
    <x v="4"/>
    <s v="Egypt"/>
    <s v="Offline"/>
    <s v="Offline"/>
    <n v="6747014269"/>
    <s v="U.S. Dollars (US$)"/>
  </r>
  <r>
    <x v="4"/>
    <s v="Country"/>
    <x v="4"/>
    <s v="Egypt"/>
    <s v="Online"/>
    <s v="OTA"/>
    <n v="403766941"/>
    <s v="U.S. Dollars (US$)"/>
  </r>
  <r>
    <x v="4"/>
    <s v="Country"/>
    <x v="4"/>
    <s v="Egypt"/>
    <s v="Online"/>
    <s v="Online Supplier-Direct"/>
    <n v="298542756"/>
    <s v="U.S. Dollars (US$)"/>
  </r>
  <r>
    <x v="4"/>
    <s v="Country"/>
    <x v="4"/>
    <s v="Qatar"/>
    <s v="Offline"/>
    <s v="Offline"/>
    <n v="6482565884"/>
    <s v="U.S. Dollars (US$)"/>
  </r>
  <r>
    <x v="4"/>
    <s v="Country"/>
    <x v="4"/>
    <s v="Qatar"/>
    <s v="Online"/>
    <s v="OTA"/>
    <n v="600941484"/>
    <s v="U.S. Dollars (US$)"/>
  </r>
  <r>
    <x v="4"/>
    <s v="Country"/>
    <x v="4"/>
    <s v="Qatar"/>
    <s v="Online"/>
    <s v="Online Supplier-Direct"/>
    <n v="1008810881"/>
    <s v="U.S. Dollars (US$)"/>
  </r>
  <r>
    <x v="4"/>
    <s v="Country"/>
    <x v="4"/>
    <s v="Rest of Middle East"/>
    <s v="Offline"/>
    <s v="Offline"/>
    <n v="6531897314"/>
    <s v="U.S. Dollars (US$)"/>
  </r>
  <r>
    <x v="4"/>
    <s v="Country"/>
    <x v="4"/>
    <s v="Rest of Middle East"/>
    <s v="Online"/>
    <s v="OTA"/>
    <n v="672117687"/>
    <s v="U.S. Dollars (US$)"/>
  </r>
  <r>
    <x v="4"/>
    <s v="Country"/>
    <x v="4"/>
    <s v="Rest of Middle East"/>
    <s v="Online"/>
    <s v="Online Supplier-Direct"/>
    <n v="712996199"/>
    <s v="U.S. Dollars (US$)"/>
  </r>
  <r>
    <x v="4"/>
    <s v="Country"/>
    <x v="4"/>
    <s v="Saudi Arabia"/>
    <s v="Offline"/>
    <s v="Offline"/>
    <n v="8275544135"/>
    <s v="U.S. Dollars (US$)"/>
  </r>
  <r>
    <x v="4"/>
    <s v="Country"/>
    <x v="4"/>
    <s v="Saudi Arabia"/>
    <s v="Online"/>
    <s v="OTA"/>
    <n v="1090791351"/>
    <s v="U.S. Dollars (US$)"/>
  </r>
  <r>
    <x v="4"/>
    <s v="Country"/>
    <x v="4"/>
    <s v="Saudi Arabia"/>
    <s v="Online"/>
    <s v="Online Supplier-Direct"/>
    <n v="817661325"/>
    <s v="U.S. Dollars (US$)"/>
  </r>
  <r>
    <x v="4"/>
    <s v="Country"/>
    <x v="4"/>
    <s v="U.A.E."/>
    <s v="Offline"/>
    <s v="Offline"/>
    <n v="24298335754"/>
    <s v="U.S. Dollars (US$)"/>
  </r>
  <r>
    <x v="4"/>
    <s v="Country"/>
    <x v="4"/>
    <s v="U.A.E."/>
    <s v="Online"/>
    <s v="OTA"/>
    <n v="3068832557"/>
    <s v="U.S. Dollars (US$)"/>
  </r>
  <r>
    <x v="4"/>
    <s v="Country"/>
    <x v="4"/>
    <s v="U.A.E."/>
    <s v="Online"/>
    <s v="Online Supplier-Direct"/>
    <n v="4932015194"/>
    <s v="U.S. Dollars (US$)"/>
  </r>
  <r>
    <x v="4"/>
    <s v="Country"/>
    <x v="5"/>
    <s v="Canada"/>
    <s v="Offline"/>
    <s v="Offline"/>
    <n v="22601867569"/>
    <s v="U.S. Dollars (US$)"/>
  </r>
  <r>
    <x v="4"/>
    <s v="Country"/>
    <x v="5"/>
    <s v="Canada"/>
    <s v="Online"/>
    <s v="OTA"/>
    <n v="4192372837"/>
    <s v="U.S. Dollars (US$)"/>
  </r>
  <r>
    <x v="4"/>
    <s v="Country"/>
    <x v="5"/>
    <s v="Canada"/>
    <s v="Online"/>
    <s v="Online Supplier-Direct"/>
    <n v="9174603537"/>
    <s v="U.S. Dollars (US$)"/>
  </r>
  <r>
    <x v="4"/>
    <s v="Country"/>
    <x v="5"/>
    <s v="U.S."/>
    <s v="Central"/>
    <s v="Central Reservation"/>
    <n v="85026052616"/>
    <s v="U.S. Dollars (US$)"/>
  </r>
  <r>
    <x v="4"/>
    <s v="Country"/>
    <x v="5"/>
    <s v="U.S."/>
    <s v="Offline"/>
    <s v="Travel Agency/TMC"/>
    <n v="90248313650"/>
    <s v="U.S. Dollars (US$)"/>
  </r>
  <r>
    <x v="4"/>
    <s v="Country"/>
    <x v="5"/>
    <s v="U.S."/>
    <s v="Online"/>
    <s v="OTA"/>
    <n v="48681000004"/>
    <s v="U.S. Dollars (US$)"/>
  </r>
  <r>
    <x v="4"/>
    <s v="Country"/>
    <x v="5"/>
    <s v="U.S."/>
    <s v="Online"/>
    <s v="Online Supplier-Direct"/>
    <n v="83750794801"/>
    <s v="U.S. Dollars (US$)"/>
  </r>
  <r>
    <x v="5"/>
    <s v="Country"/>
    <x v="0"/>
    <s v="Australia-New Zealand"/>
    <s v="Offline"/>
    <s v="Offline"/>
    <n v="19449053548"/>
    <s v="U.S. Dollars (US$)"/>
  </r>
  <r>
    <x v="5"/>
    <s v="Country"/>
    <x v="0"/>
    <s v="Australia-New Zealand"/>
    <s v="Online"/>
    <s v="OTA"/>
    <n v="2895191205"/>
    <s v="U.S. Dollars (US$)"/>
  </r>
  <r>
    <x v="5"/>
    <s v="Country"/>
    <x v="0"/>
    <s v="Australia-New Zealand"/>
    <s v="Online"/>
    <s v="Online Supplier-Direct"/>
    <n v="8967282187"/>
    <s v="U.S. Dollars (US$)"/>
  </r>
  <r>
    <x v="5"/>
    <s v="Country"/>
    <x v="0"/>
    <s v="China"/>
    <s v="Offline"/>
    <s v="Offline"/>
    <n v="99797715006"/>
    <s v="U.S. Dollars (US$)"/>
  </r>
  <r>
    <x v="5"/>
    <s v="Country"/>
    <x v="0"/>
    <s v="China"/>
    <s v="Online"/>
    <s v="OTA"/>
    <n v="16191785274"/>
    <s v="U.S. Dollars (US$)"/>
  </r>
  <r>
    <x v="5"/>
    <s v="Country"/>
    <x v="0"/>
    <s v="China"/>
    <s v="Online"/>
    <s v="Online Supplier-Direct"/>
    <n v="14222985474"/>
    <s v="U.S. Dollars (US$)"/>
  </r>
  <r>
    <x v="5"/>
    <s v="Country"/>
    <x v="0"/>
    <s v="Hong Kong"/>
    <s v="Offline"/>
    <s v="Offline"/>
    <n v="12146783594"/>
    <s v="U.S. Dollars (US$)"/>
  </r>
  <r>
    <x v="5"/>
    <s v="Country"/>
    <x v="0"/>
    <s v="Hong Kong"/>
    <s v="Online"/>
    <s v="OTA"/>
    <n v="457763517"/>
    <s v="U.S. Dollars (US$)"/>
  </r>
  <r>
    <x v="5"/>
    <s v="Country"/>
    <x v="0"/>
    <s v="Hong Kong"/>
    <s v="Online"/>
    <s v="Online Supplier-Direct"/>
    <n v="1020532557"/>
    <s v="U.S. Dollars (US$)"/>
  </r>
  <r>
    <x v="5"/>
    <s v="Country"/>
    <x v="0"/>
    <s v="India"/>
    <s v="Offline"/>
    <s v="Offline"/>
    <n v="16726568981"/>
    <s v="U.S. Dollars (US$)"/>
  </r>
  <r>
    <x v="5"/>
    <s v="Country"/>
    <x v="0"/>
    <s v="India"/>
    <s v="Online"/>
    <s v="OTA"/>
    <n v="3071257949"/>
    <s v="U.S. Dollars (US$)"/>
  </r>
  <r>
    <x v="5"/>
    <s v="Country"/>
    <x v="0"/>
    <s v="India"/>
    <s v="Online"/>
    <s v="Online Supplier-Direct"/>
    <n v="4718353572"/>
    <s v="U.S. Dollars (US$)"/>
  </r>
  <r>
    <x v="5"/>
    <s v="Country"/>
    <x v="0"/>
    <s v="Indonesia"/>
    <s v="Offline"/>
    <s v="Offline"/>
    <n v="10679803334"/>
    <s v="U.S. Dollars (US$)"/>
  </r>
  <r>
    <x v="5"/>
    <s v="Country"/>
    <x v="0"/>
    <s v="Indonesia"/>
    <s v="Online"/>
    <s v="OTA"/>
    <n v="448114681"/>
    <s v="U.S. Dollars (US$)"/>
  </r>
  <r>
    <x v="5"/>
    <s v="Country"/>
    <x v="0"/>
    <s v="Indonesia"/>
    <s v="Online"/>
    <s v="Online Supplier-Direct"/>
    <n v="846896517"/>
    <s v="U.S. Dollars (US$)"/>
  </r>
  <r>
    <x v="5"/>
    <s v="Country"/>
    <x v="0"/>
    <s v="Japan"/>
    <s v="Offline"/>
    <s v="Offline"/>
    <n v="60432678891"/>
    <s v="U.S. Dollars (US$)"/>
  </r>
  <r>
    <x v="5"/>
    <s v="Country"/>
    <x v="0"/>
    <s v="Japan"/>
    <s v="Online"/>
    <s v="OTA"/>
    <n v="13004063672"/>
    <s v="U.S. Dollars (US$)"/>
  </r>
  <r>
    <x v="5"/>
    <s v="Country"/>
    <x v="0"/>
    <s v="Japan"/>
    <s v="Online"/>
    <s v="Online Supplier-Direct"/>
    <n v="19383584370"/>
    <s v="U.S. Dollars (US$)"/>
  </r>
  <r>
    <x v="5"/>
    <s v="Country"/>
    <x v="0"/>
    <s v="Macau"/>
    <s v="Offline"/>
    <s v="Offline"/>
    <n v="1559269046"/>
    <s v="U.S. Dollars (US$)"/>
  </r>
  <r>
    <x v="5"/>
    <s v="Country"/>
    <x v="0"/>
    <s v="Macau"/>
    <s v="Online"/>
    <s v="OTA"/>
    <n v="115660067"/>
    <s v="U.S. Dollars (US$)"/>
  </r>
  <r>
    <x v="5"/>
    <s v="Country"/>
    <x v="0"/>
    <s v="Macau"/>
    <s v="Online"/>
    <s v="Online Supplier-Direct"/>
    <n v="38553356"/>
    <s v="U.S. Dollars (US$)"/>
  </r>
  <r>
    <x v="5"/>
    <s v="Country"/>
    <x v="0"/>
    <s v="Malaysia"/>
    <s v="Offline"/>
    <s v="Offline"/>
    <n v="6478892292"/>
    <s v="U.S. Dollars (US$)"/>
  </r>
  <r>
    <x v="5"/>
    <s v="Country"/>
    <x v="0"/>
    <s v="Malaysia"/>
    <s v="Online"/>
    <s v="OTA"/>
    <n v="909468748"/>
    <s v="U.S. Dollars (US$)"/>
  </r>
  <r>
    <x v="5"/>
    <s v="Country"/>
    <x v="0"/>
    <s v="Malaysia"/>
    <s v="Online"/>
    <s v="Online Supplier-Direct"/>
    <n v="2608715202"/>
    <s v="U.S. Dollars (US$)"/>
  </r>
  <r>
    <x v="5"/>
    <s v="Country"/>
    <x v="0"/>
    <s v="Singapore"/>
    <s v="Offline"/>
    <s v="Offline"/>
    <n v="7413725091"/>
    <s v="U.S. Dollars (US$)"/>
  </r>
  <r>
    <x v="5"/>
    <s v="Country"/>
    <x v="0"/>
    <s v="Singapore"/>
    <s v="Online"/>
    <s v="OTA"/>
    <n v="954813817"/>
    <s v="U.S. Dollars (US$)"/>
  </r>
  <r>
    <x v="5"/>
    <s v="Country"/>
    <x v="0"/>
    <s v="Singapore"/>
    <s v="Online"/>
    <s v="Online Supplier-Direct"/>
    <n v="2476266432"/>
    <s v="U.S. Dollars (US$)"/>
  </r>
  <r>
    <x v="5"/>
    <s v="Country"/>
    <x v="0"/>
    <s v="South Korea"/>
    <s v="Offline"/>
    <s v="Offline"/>
    <n v="11465539276"/>
    <s v="U.S. Dollars (US$)"/>
  </r>
  <r>
    <x v="5"/>
    <s v="Country"/>
    <x v="0"/>
    <s v="South Korea"/>
    <s v="Online"/>
    <s v="OTA"/>
    <n v="986294146"/>
    <s v="U.S. Dollars (US$)"/>
  </r>
  <r>
    <x v="5"/>
    <s v="Country"/>
    <x v="0"/>
    <s v="South Korea"/>
    <s v="Online"/>
    <s v="Online Supplier-Direct"/>
    <n v="3120627337"/>
    <s v="U.S. Dollars (US$)"/>
  </r>
  <r>
    <x v="5"/>
    <s v="Country"/>
    <x v="0"/>
    <s v="Taiwan"/>
    <s v="Offline"/>
    <s v="Offline"/>
    <n v="8191778237"/>
    <s v="U.S. Dollars (US$)"/>
  </r>
  <r>
    <x v="5"/>
    <s v="Country"/>
    <x v="0"/>
    <s v="Taiwan"/>
    <s v="Online"/>
    <s v="OTA"/>
    <n v="420276624"/>
    <s v="U.S. Dollars (US$)"/>
  </r>
  <r>
    <x v="5"/>
    <s v="Country"/>
    <x v="0"/>
    <s v="Taiwan"/>
    <s v="Online"/>
    <s v="Online Supplier-Direct"/>
    <n v="960967535"/>
    <s v="U.S. Dollars (US$)"/>
  </r>
  <r>
    <x v="5"/>
    <s v="Country"/>
    <x v="0"/>
    <s v="Thailand"/>
    <s v="Offline"/>
    <s v="Offline"/>
    <n v="8664425422"/>
    <s v="U.S. Dollars (US$)"/>
  </r>
  <r>
    <x v="5"/>
    <s v="Country"/>
    <x v="0"/>
    <s v="Thailand"/>
    <s v="Online"/>
    <s v="OTA"/>
    <n v="1614990782"/>
    <s v="U.S. Dollars (US$)"/>
  </r>
  <r>
    <x v="5"/>
    <s v="Country"/>
    <x v="0"/>
    <s v="Thailand"/>
    <s v="Online"/>
    <s v="Online Supplier-Direct"/>
    <n v="1532532283"/>
    <s v="U.S. Dollars (US$)"/>
  </r>
  <r>
    <x v="5"/>
    <s v="Country"/>
    <x v="1"/>
    <s v="Bulgaria"/>
    <s v="Offline"/>
    <s v="Offline"/>
    <n v="1104869266"/>
    <s v="U.S. Dollars (US$)"/>
  </r>
  <r>
    <x v="5"/>
    <s v="Country"/>
    <x v="1"/>
    <s v="Bulgaria"/>
    <s v="Online"/>
    <s v="OTA"/>
    <n v="126178399"/>
    <s v="U.S. Dollars (US$)"/>
  </r>
  <r>
    <x v="5"/>
    <s v="Country"/>
    <x v="1"/>
    <s v="Bulgaria"/>
    <s v="Online"/>
    <s v="Online Supplier-Direct"/>
    <n v="173163427"/>
    <s v="U.S. Dollars (US$)"/>
  </r>
  <r>
    <x v="5"/>
    <s v="Country"/>
    <x v="1"/>
    <s v="Czech Republic"/>
    <s v="Offline"/>
    <s v="Offline"/>
    <n v="2226511222"/>
    <s v="U.S. Dollars (US$)"/>
  </r>
  <r>
    <x v="5"/>
    <s v="Country"/>
    <x v="1"/>
    <s v="Czech Republic"/>
    <s v="Online"/>
    <s v="OTA"/>
    <n v="423717462"/>
    <s v="U.S. Dollars (US$)"/>
  </r>
  <r>
    <x v="5"/>
    <s v="Country"/>
    <x v="1"/>
    <s v="Czech Republic"/>
    <s v="Online"/>
    <s v="Online Supplier-Direct"/>
    <n v="504259957"/>
    <s v="U.S. Dollars (US$)"/>
  </r>
  <r>
    <x v="5"/>
    <s v="Country"/>
    <x v="1"/>
    <s v="Greece"/>
    <s v="Offline"/>
    <s v="Offline"/>
    <n v="5460845633"/>
    <s v="U.S. Dollars (US$)"/>
  </r>
  <r>
    <x v="5"/>
    <s v="Country"/>
    <x v="1"/>
    <s v="Greece"/>
    <s v="Online"/>
    <s v="OTA"/>
    <n v="900065864"/>
    <s v="U.S. Dollars (US$)"/>
  </r>
  <r>
    <x v="5"/>
    <s v="Country"/>
    <x v="1"/>
    <s v="Greece"/>
    <s v="Online"/>
    <s v="Online Supplier-Direct"/>
    <n v="382446520"/>
    <s v="U.S. Dollars (US$)"/>
  </r>
  <r>
    <x v="5"/>
    <s v="Country"/>
    <x v="1"/>
    <s v="Hungary"/>
    <s v="Offline"/>
    <s v="Offline"/>
    <n v="1550687163"/>
    <s v="U.S. Dollars (US$)"/>
  </r>
  <r>
    <x v="5"/>
    <s v="Country"/>
    <x v="1"/>
    <s v="Hungary"/>
    <s v="Online"/>
    <s v="OTA"/>
    <n v="161880192"/>
    <s v="U.S. Dollars (US$)"/>
  </r>
  <r>
    <x v="5"/>
    <s v="Country"/>
    <x v="1"/>
    <s v="Hungary"/>
    <s v="Online"/>
    <s v="Online Supplier-Direct"/>
    <n v="622538524"/>
    <s v="U.S. Dollars (US$)"/>
  </r>
  <r>
    <x v="5"/>
    <s v="Country"/>
    <x v="1"/>
    <s v="Poland"/>
    <s v="Offline"/>
    <s v="Offline"/>
    <n v="3984924787"/>
    <s v="U.S. Dollars (US$)"/>
  </r>
  <r>
    <x v="5"/>
    <s v="Country"/>
    <x v="1"/>
    <s v="Poland"/>
    <s v="Online"/>
    <s v="OTA"/>
    <n v="774767272"/>
    <s v="U.S. Dollars (US$)"/>
  </r>
  <r>
    <x v="5"/>
    <s v="Country"/>
    <x v="1"/>
    <s v="Poland"/>
    <s v="Online"/>
    <s v="Online Supplier-Direct"/>
    <n v="910755372"/>
    <s v="U.S. Dollars (US$)"/>
  </r>
  <r>
    <x v="5"/>
    <s v="Country"/>
    <x v="1"/>
    <s v="Rest of Eastern Europe"/>
    <s v="Offline"/>
    <s v="Offline"/>
    <n v="1693608361"/>
    <s v="U.S. Dollars (US$)"/>
  </r>
  <r>
    <x v="5"/>
    <s v="Country"/>
    <x v="1"/>
    <s v="Rest of Eastern Europe"/>
    <s v="Online"/>
    <s v="OTA"/>
    <n v="209260023"/>
    <s v="U.S. Dollars (US$)"/>
  </r>
  <r>
    <x v="5"/>
    <s v="Country"/>
    <x v="1"/>
    <s v="Rest of Eastern Europe"/>
    <s v="Online"/>
    <s v="Online Supplier-Direct"/>
    <n v="195279071"/>
    <s v="U.S. Dollars (US$)"/>
  </r>
  <r>
    <x v="5"/>
    <s v="Country"/>
    <x v="1"/>
    <s v="Romania"/>
    <s v="Offline"/>
    <s v="Offline"/>
    <n v="1998182074"/>
    <s v="U.S. Dollars (US$)"/>
  </r>
  <r>
    <x v="5"/>
    <s v="Country"/>
    <x v="1"/>
    <s v="Romania"/>
    <s v="Online"/>
    <s v="OTA"/>
    <n v="325563982"/>
    <s v="U.S. Dollars (US$)"/>
  </r>
  <r>
    <x v="5"/>
    <s v="Country"/>
    <x v="1"/>
    <s v="Romania"/>
    <s v="Online"/>
    <s v="Online Supplier-Direct"/>
    <n v="475747714"/>
    <s v="U.S. Dollars (US$)"/>
  </r>
  <r>
    <x v="5"/>
    <s v="Country"/>
    <x v="1"/>
    <s v="Russia"/>
    <s v="Offline"/>
    <s v="Offline"/>
    <n v="19917300119"/>
    <s v="U.S. Dollars (US$)"/>
  </r>
  <r>
    <x v="5"/>
    <s v="Country"/>
    <x v="1"/>
    <s v="Russia"/>
    <s v="Online"/>
    <s v="OTA"/>
    <n v="3518432767"/>
    <s v="U.S. Dollars (US$)"/>
  </r>
  <r>
    <x v="5"/>
    <s v="Country"/>
    <x v="1"/>
    <s v="Russia"/>
    <s v="Online"/>
    <s v="Online Supplier-Direct"/>
    <n v="2932206282"/>
    <s v="U.S. Dollars (US$)"/>
  </r>
  <r>
    <x v="5"/>
    <s v="Country"/>
    <x v="1"/>
    <s v="Ukraine"/>
    <s v="Offline"/>
    <s v="Offline"/>
    <n v="2829227526"/>
    <s v="U.S. Dollars (US$)"/>
  </r>
  <r>
    <x v="5"/>
    <s v="Country"/>
    <x v="1"/>
    <s v="Ukraine"/>
    <s v="Online"/>
    <s v="OTA"/>
    <n v="326059741"/>
    <s v="U.S. Dollars (US$)"/>
  </r>
  <r>
    <x v="5"/>
    <s v="Country"/>
    <x v="1"/>
    <s v="Ukraine"/>
    <s v="Online"/>
    <s v="Online Supplier-Direct"/>
    <n v="268299864"/>
    <s v="U.S. Dollars (US$)"/>
  </r>
  <r>
    <x v="5"/>
    <s v="Country"/>
    <x v="2"/>
    <s v="France"/>
    <s v="Offline"/>
    <s v="Offline"/>
    <n v="35789177289"/>
    <s v="U.S. Dollars (US$)"/>
  </r>
  <r>
    <x v="5"/>
    <s v="Country"/>
    <x v="2"/>
    <s v="France"/>
    <s v="Online"/>
    <s v="OTA"/>
    <n v="6626497837"/>
    <s v="U.S. Dollars (US$)"/>
  </r>
  <r>
    <x v="5"/>
    <s v="Country"/>
    <x v="2"/>
    <s v="France"/>
    <s v="Online"/>
    <s v="Online Supplier-Direct"/>
    <n v="14317534846"/>
    <s v="U.S. Dollars (US$)"/>
  </r>
  <r>
    <x v="5"/>
    <s v="Country"/>
    <x v="2"/>
    <s v="Germany"/>
    <s v="Offline"/>
    <s v="Offline"/>
    <n v="48198643985"/>
    <s v="U.S. Dollars (US$)"/>
  </r>
  <r>
    <x v="5"/>
    <s v="Country"/>
    <x v="2"/>
    <s v="Germany"/>
    <s v="Online"/>
    <s v="OTA"/>
    <n v="11957055865"/>
    <s v="U.S. Dollars (US$)"/>
  </r>
  <r>
    <x v="5"/>
    <s v="Country"/>
    <x v="2"/>
    <s v="Germany"/>
    <s v="Online"/>
    <s v="Online Supplier-Direct"/>
    <n v="16814171182"/>
    <s v="U.S. Dollars (US$)"/>
  </r>
  <r>
    <x v="5"/>
    <s v="Country"/>
    <x v="2"/>
    <s v="Italy"/>
    <s v="Offline"/>
    <s v="Offline"/>
    <n v="18614624140"/>
    <s v="U.S. Dollars (US$)"/>
  </r>
  <r>
    <x v="5"/>
    <s v="Country"/>
    <x v="2"/>
    <s v="Italy"/>
    <s v="Online"/>
    <s v="OTA"/>
    <n v="4966310380"/>
    <s v="U.S. Dollars (US$)"/>
  </r>
  <r>
    <x v="5"/>
    <s v="Country"/>
    <x v="2"/>
    <s v="Italy"/>
    <s v="Online"/>
    <s v="Online Supplier-Direct"/>
    <n v="3920869946"/>
    <s v="U.S. Dollars (US$)"/>
  </r>
  <r>
    <x v="5"/>
    <s v="Country"/>
    <x v="2"/>
    <s v="Rest of Europe"/>
    <s v="Offline"/>
    <s v="Offline"/>
    <n v="38666647373"/>
    <s v="U.S. Dollars (US$)"/>
  </r>
  <r>
    <x v="5"/>
    <s v="Country"/>
    <x v="2"/>
    <s v="Rest of Europe"/>
    <s v="Online"/>
    <s v="OTA"/>
    <n v="8334937282"/>
    <s v="U.S. Dollars (US$)"/>
  </r>
  <r>
    <x v="5"/>
    <s v="Country"/>
    <x v="2"/>
    <s v="Rest of Europe"/>
    <s v="Online"/>
    <s v="Online Supplier-Direct"/>
    <n v="14571711959"/>
    <s v="U.S. Dollars (US$)"/>
  </r>
  <r>
    <x v="5"/>
    <s v="Country"/>
    <x v="2"/>
    <s v="Scandinavia"/>
    <s v="Offline"/>
    <s v="Offline"/>
    <n v="9290253564"/>
    <s v="U.S. Dollars (US$)"/>
  </r>
  <r>
    <x v="5"/>
    <s v="Country"/>
    <x v="2"/>
    <s v="Scandinavia"/>
    <s v="Online"/>
    <s v="OTA"/>
    <n v="3310504694"/>
    <s v="U.S. Dollars (US$)"/>
  </r>
  <r>
    <x v="5"/>
    <s v="Country"/>
    <x v="2"/>
    <s v="Scandinavia"/>
    <s v="Online"/>
    <s v="Online Supplier-Direct"/>
    <n v="7441013337"/>
    <s v="U.S. Dollars (US$)"/>
  </r>
  <r>
    <x v="5"/>
    <s v="Country"/>
    <x v="2"/>
    <s v="Spain"/>
    <s v="Offline"/>
    <s v="Offline"/>
    <n v="16995565278"/>
    <s v="U.S. Dollars (US$)"/>
  </r>
  <r>
    <x v="5"/>
    <s v="Country"/>
    <x v="2"/>
    <s v="Spain"/>
    <s v="Online"/>
    <s v="OTA"/>
    <n v="6106252639"/>
    <s v="U.S. Dollars (US$)"/>
  </r>
  <r>
    <x v="5"/>
    <s v="Country"/>
    <x v="2"/>
    <s v="Spain"/>
    <s v="Online"/>
    <s v="Online Supplier-Direct"/>
    <n v="5229040423"/>
    <s v="U.S. Dollars (US$)"/>
  </r>
  <r>
    <x v="5"/>
    <s v="Country"/>
    <x v="2"/>
    <s v="U.K."/>
    <s v="Offline"/>
    <s v="Offline"/>
    <n v="33408446057"/>
    <s v="U.S. Dollars (US$)"/>
  </r>
  <r>
    <x v="5"/>
    <s v="Country"/>
    <x v="2"/>
    <s v="U.K."/>
    <s v="Online"/>
    <s v="OTA"/>
    <n v="11490562881"/>
    <s v="U.S. Dollars (US$)"/>
  </r>
  <r>
    <x v="5"/>
    <s v="Country"/>
    <x v="2"/>
    <s v="U.K."/>
    <s v="Online"/>
    <s v="Online Supplier-Direct"/>
    <n v="27490232574"/>
    <s v="U.S. Dollars (US$)"/>
  </r>
  <r>
    <x v="5"/>
    <s v="Country"/>
    <x v="3"/>
    <s v="Argentina"/>
    <s v="Offline"/>
    <s v="Offline"/>
    <n v="4915273237"/>
    <s v="U.S. Dollars (US$)"/>
  </r>
  <r>
    <x v="5"/>
    <s v="Country"/>
    <x v="3"/>
    <s v="Argentina"/>
    <s v="Online"/>
    <s v="OTA"/>
    <n v="682874162"/>
    <s v="U.S. Dollars (US$)"/>
  </r>
  <r>
    <x v="5"/>
    <s v="Country"/>
    <x v="3"/>
    <s v="Argentina"/>
    <s v="Online"/>
    <s v="Online Supplier-Direct"/>
    <n v="511774377"/>
    <s v="U.S. Dollars (US$)"/>
  </r>
  <r>
    <x v="5"/>
    <s v="Country"/>
    <x v="3"/>
    <s v="Brazil"/>
    <s v="Offline"/>
    <s v="Offline"/>
    <n v="20710608843"/>
    <s v="U.S. Dollars (US$)"/>
  </r>
  <r>
    <x v="5"/>
    <s v="Country"/>
    <x v="3"/>
    <s v="Brazil"/>
    <s v="Online"/>
    <s v="OTA"/>
    <n v="5050009062"/>
    <s v="U.S. Dollars (US$)"/>
  </r>
  <r>
    <x v="5"/>
    <s v="Country"/>
    <x v="3"/>
    <s v="Brazil"/>
    <s v="Online"/>
    <s v="Online Supplier-Direct"/>
    <n v="2256491458"/>
    <s v="U.S. Dollars (US$)"/>
  </r>
  <r>
    <x v="5"/>
    <s v="Country"/>
    <x v="3"/>
    <s v="Chile"/>
    <s v="Offline"/>
    <s v="Offline"/>
    <n v="3422745420"/>
    <s v="U.S. Dollars (US$)"/>
  </r>
  <r>
    <x v="5"/>
    <s v="Country"/>
    <x v="3"/>
    <s v="Chile"/>
    <s v="Online"/>
    <s v="OTA"/>
    <n v="666806373"/>
    <s v="U.S. Dollars (US$)"/>
  </r>
  <r>
    <x v="5"/>
    <s v="Country"/>
    <x v="3"/>
    <s v="Chile"/>
    <s v="Online"/>
    <s v="Online Supplier-Direct"/>
    <n v="776240963"/>
    <s v="U.S. Dollars (US$)"/>
  </r>
  <r>
    <x v="5"/>
    <s v="Country"/>
    <x v="3"/>
    <s v="Colombia"/>
    <s v="Offline"/>
    <s v="Offline"/>
    <n v="7659786029"/>
    <s v="U.S. Dollars (US$)"/>
  </r>
  <r>
    <x v="5"/>
    <s v="Country"/>
    <x v="3"/>
    <s v="Colombia"/>
    <s v="Online"/>
    <s v="OTA"/>
    <n v="1394319587"/>
    <s v="U.S. Dollars (US$)"/>
  </r>
  <r>
    <x v="5"/>
    <s v="Country"/>
    <x v="3"/>
    <s v="Colombia"/>
    <s v="Online"/>
    <s v="Online Supplier-Direct"/>
    <n v="1269936829"/>
    <s v="U.S. Dollars (US$)"/>
  </r>
  <r>
    <x v="5"/>
    <s v="Country"/>
    <x v="3"/>
    <s v="Mexico"/>
    <s v="Offline"/>
    <s v="Offline"/>
    <n v="19627254589"/>
    <s v="U.S. Dollars (US$)"/>
  </r>
  <r>
    <x v="5"/>
    <s v="Country"/>
    <x v="3"/>
    <s v="Mexico"/>
    <s v="Online"/>
    <s v="OTA"/>
    <n v="4306262611"/>
    <s v="U.S. Dollars (US$)"/>
  </r>
  <r>
    <x v="5"/>
    <s v="Country"/>
    <x v="3"/>
    <s v="Mexico"/>
    <s v="Online"/>
    <s v="Online Supplier-Direct"/>
    <n v="2976138507"/>
    <s v="U.S. Dollars (US$)"/>
  </r>
  <r>
    <x v="5"/>
    <s v="Country"/>
    <x v="4"/>
    <s v="Egypt"/>
    <s v="Offline"/>
    <s v="Offline"/>
    <n v="6871306020"/>
    <s v="U.S. Dollars (US$)"/>
  </r>
  <r>
    <x v="5"/>
    <s v="Country"/>
    <x v="4"/>
    <s v="Egypt"/>
    <s v="Online"/>
    <s v="OTA"/>
    <n v="476392405"/>
    <s v="U.S. Dollars (US$)"/>
  </r>
  <r>
    <x v="5"/>
    <s v="Country"/>
    <x v="4"/>
    <s v="Egypt"/>
    <s v="Online"/>
    <s v="Online Supplier-Direct"/>
    <n v="340524510"/>
    <s v="U.S. Dollars (US$)"/>
  </r>
  <r>
    <x v="5"/>
    <s v="Country"/>
    <x v="4"/>
    <s v="Qatar"/>
    <s v="Offline"/>
    <s v="Offline"/>
    <n v="7056355678"/>
    <s v="U.S. Dollars (US$)"/>
  </r>
  <r>
    <x v="5"/>
    <s v="Country"/>
    <x v="4"/>
    <s v="Qatar"/>
    <s v="Online"/>
    <s v="OTA"/>
    <n v="706181151"/>
    <s v="U.S. Dollars (US$)"/>
  </r>
  <r>
    <x v="5"/>
    <s v="Country"/>
    <x v="4"/>
    <s v="Qatar"/>
    <s v="Online"/>
    <s v="Online Supplier-Direct"/>
    <n v="1238394129"/>
    <s v="U.S. Dollars (US$)"/>
  </r>
  <r>
    <x v="5"/>
    <s v="Country"/>
    <x v="4"/>
    <s v="Rest of Middle East"/>
    <s v="Offline"/>
    <s v="Offline"/>
    <n v="6697794918"/>
    <s v="U.S. Dollars (US$)"/>
  </r>
  <r>
    <x v="5"/>
    <s v="Country"/>
    <x v="4"/>
    <s v="Rest of Middle East"/>
    <s v="Online"/>
    <s v="OTA"/>
    <n v="875278290"/>
    <s v="U.S. Dollars (US$)"/>
  </r>
  <r>
    <x v="5"/>
    <s v="Country"/>
    <x v="4"/>
    <s v="Rest of Middle East"/>
    <s v="Online"/>
    <s v="Online Supplier-Direct"/>
    <n v="792926237"/>
    <s v="U.S. Dollars (US$)"/>
  </r>
  <r>
    <x v="5"/>
    <s v="Country"/>
    <x v="4"/>
    <s v="Saudi Arabia"/>
    <s v="Offline"/>
    <s v="Offline"/>
    <n v="8678254699"/>
    <s v="U.S. Dollars (US$)"/>
  </r>
  <r>
    <x v="5"/>
    <s v="Country"/>
    <x v="4"/>
    <s v="Saudi Arabia"/>
    <s v="Online"/>
    <s v="OTA"/>
    <n v="1255349113"/>
    <s v="U.S. Dollars (US$)"/>
  </r>
  <r>
    <x v="5"/>
    <s v="Country"/>
    <x v="4"/>
    <s v="Saudi Arabia"/>
    <s v="Online"/>
    <s v="Online Supplier-Direct"/>
    <n v="1062113955"/>
    <s v="U.S. Dollars (US$)"/>
  </r>
  <r>
    <x v="5"/>
    <s v="Country"/>
    <x v="4"/>
    <s v="U.A.E."/>
    <s v="Offline"/>
    <s v="Offline"/>
    <n v="25316330137"/>
    <s v="U.S. Dollars (US$)"/>
  </r>
  <r>
    <x v="5"/>
    <s v="Country"/>
    <x v="4"/>
    <s v="U.A.E."/>
    <s v="Online"/>
    <s v="OTA"/>
    <n v="3617463407"/>
    <s v="U.S. Dollars (US$)"/>
  </r>
  <r>
    <x v="5"/>
    <s v="Country"/>
    <x v="4"/>
    <s v="U.A.E."/>
    <s v="Online"/>
    <s v="Online Supplier-Direct"/>
    <n v="6161896125"/>
    <s v="U.S. Dollars (US$)"/>
  </r>
  <r>
    <x v="5"/>
    <s v="Country"/>
    <x v="5"/>
    <s v="Canada"/>
    <s v="Offline"/>
    <s v="Offline"/>
    <n v="21561223654"/>
    <s v="U.S. Dollars (US$)"/>
  </r>
  <r>
    <x v="5"/>
    <s v="Country"/>
    <x v="5"/>
    <s v="Canada"/>
    <s v="Online"/>
    <s v="OTA"/>
    <n v="4403582238"/>
    <s v="U.S. Dollars (US$)"/>
  </r>
  <r>
    <x v="5"/>
    <s v="Country"/>
    <x v="5"/>
    <s v="Canada"/>
    <s v="Online"/>
    <s v="Online Supplier-Direct"/>
    <n v="9049191076"/>
    <s v="U.S. Dollars (US$)"/>
  </r>
  <r>
    <x v="5"/>
    <s v="Country"/>
    <x v="5"/>
    <s v="U.S."/>
    <s v="Central"/>
    <s v="Central Reservation"/>
    <n v="91026355335"/>
    <s v="U.S. Dollars (US$)"/>
  </r>
  <r>
    <x v="5"/>
    <s v="Country"/>
    <x v="5"/>
    <s v="U.S."/>
    <s v="Offline"/>
    <s v="Travel Agency/TMC"/>
    <n v="92089086297"/>
    <s v="U.S. Dollars (US$)"/>
  </r>
  <r>
    <x v="5"/>
    <s v="Country"/>
    <x v="5"/>
    <s v="U.S."/>
    <s v="Online"/>
    <s v="OTA"/>
    <n v="52476999998"/>
    <s v="U.S. Dollars (US$)"/>
  </r>
  <r>
    <x v="5"/>
    <s v="Country"/>
    <x v="5"/>
    <s v="U.S."/>
    <s v="Online"/>
    <s v="Online Supplier-Direct"/>
    <n v="88188137272"/>
    <s v="U.S. Dollars (US$)"/>
  </r>
  <r>
    <x v="6"/>
    <s v="Country"/>
    <x v="0"/>
    <s v="Australia-New Zealand"/>
    <s v="Offline"/>
    <s v="Offline"/>
    <n v="17183187390"/>
    <s v="U.S. Dollars (US$)"/>
  </r>
  <r>
    <x v="6"/>
    <s v="Country"/>
    <x v="0"/>
    <s v="Australia-New Zealand"/>
    <s v="Online"/>
    <s v="OTA"/>
    <n v="2863569611"/>
    <s v="U.S. Dollars (US$)"/>
  </r>
  <r>
    <x v="6"/>
    <s v="Country"/>
    <x v="0"/>
    <s v="Australia-New Zealand"/>
    <s v="Online"/>
    <s v="Online Supplier-Direct"/>
    <n v="8273844823"/>
    <s v="U.S. Dollars (US$)"/>
  </r>
  <r>
    <x v="6"/>
    <s v="Country"/>
    <x v="0"/>
    <s v="China"/>
    <s v="Offline"/>
    <s v="Offline"/>
    <n v="97178238811"/>
    <s v="U.S. Dollars (US$)"/>
  </r>
  <r>
    <x v="6"/>
    <s v="Country"/>
    <x v="0"/>
    <s v="China"/>
    <s v="Online"/>
    <s v="OTA"/>
    <n v="21456665657"/>
    <s v="U.S. Dollars (US$)"/>
  </r>
  <r>
    <x v="6"/>
    <s v="Country"/>
    <x v="0"/>
    <s v="China"/>
    <s v="Online"/>
    <s v="Online Supplier-Direct"/>
    <n v="20373594370"/>
    <s v="U.S. Dollars (US$)"/>
  </r>
  <r>
    <x v="6"/>
    <s v="Country"/>
    <x v="0"/>
    <s v="Hong Kong"/>
    <s v="Offline"/>
    <s v="Offline"/>
    <n v="11390599937"/>
    <s v="U.S. Dollars (US$)"/>
  </r>
  <r>
    <x v="6"/>
    <s v="Country"/>
    <x v="0"/>
    <s v="Hong Kong"/>
    <s v="Online"/>
    <s v="OTA"/>
    <n v="522568998"/>
    <s v="U.S. Dollars (US$)"/>
  </r>
  <r>
    <x v="6"/>
    <s v="Country"/>
    <x v="0"/>
    <s v="Hong Kong"/>
    <s v="Online"/>
    <s v="Online Supplier-Direct"/>
    <n v="1057010025"/>
    <s v="U.S. Dollars (US$)"/>
  </r>
  <r>
    <x v="6"/>
    <s v="Country"/>
    <x v="0"/>
    <s v="India"/>
    <s v="Offline"/>
    <s v="Offline"/>
    <n v="16491623810"/>
    <s v="U.S. Dollars (US$)"/>
  </r>
  <r>
    <x v="6"/>
    <s v="Country"/>
    <x v="0"/>
    <s v="India"/>
    <s v="Online"/>
    <s v="OTA"/>
    <n v="3570559711"/>
    <s v="U.S. Dollars (US$)"/>
  </r>
  <r>
    <x v="6"/>
    <s v="Country"/>
    <x v="0"/>
    <s v="India"/>
    <s v="Online"/>
    <s v="Online Supplier-Direct"/>
    <n v="5034344485"/>
    <s v="U.S. Dollars (US$)"/>
  </r>
  <r>
    <x v="6"/>
    <s v="Country"/>
    <x v="0"/>
    <s v="Indonesia"/>
    <s v="Offline"/>
    <s v="Offline"/>
    <n v="9562653943"/>
    <s v="U.S. Dollars (US$)"/>
  </r>
  <r>
    <x v="6"/>
    <s v="Country"/>
    <x v="0"/>
    <s v="Indonesia"/>
    <s v="Online"/>
    <s v="OTA"/>
    <n v="626232373"/>
    <s v="U.S. Dollars (US$)"/>
  </r>
  <r>
    <x v="6"/>
    <s v="Country"/>
    <x v="0"/>
    <s v="Indonesia"/>
    <s v="Online"/>
    <s v="Online Supplier-Direct"/>
    <n v="982107281"/>
    <s v="U.S. Dollars (US$)"/>
  </r>
  <r>
    <x v="6"/>
    <s v="Country"/>
    <x v="0"/>
    <s v="Japan"/>
    <s v="Offline"/>
    <s v="Offline"/>
    <n v="54393868662"/>
    <s v="U.S. Dollars (US$)"/>
  </r>
  <r>
    <x v="6"/>
    <s v="Country"/>
    <x v="0"/>
    <s v="Japan"/>
    <s v="Online"/>
    <s v="OTA"/>
    <n v="12707850965"/>
    <s v="U.S. Dollars (US$)"/>
  </r>
  <r>
    <x v="6"/>
    <s v="Country"/>
    <x v="0"/>
    <s v="Japan"/>
    <s v="Online"/>
    <s v="Online Supplier-Direct"/>
    <n v="18481637963"/>
    <s v="U.S. Dollars (US$)"/>
  </r>
  <r>
    <x v="6"/>
    <s v="Country"/>
    <x v="0"/>
    <s v="Macau"/>
    <s v="Offline"/>
    <s v="Offline"/>
    <n v="1462134167"/>
    <s v="U.S. Dollars (US$)"/>
  </r>
  <r>
    <x v="6"/>
    <s v="Country"/>
    <x v="0"/>
    <s v="Macau"/>
    <s v="Online"/>
    <s v="OTA"/>
    <n v="153524088"/>
    <s v="U.S. Dollars (US$)"/>
  </r>
  <r>
    <x v="6"/>
    <s v="Country"/>
    <x v="0"/>
    <s v="Macau"/>
    <s v="Online"/>
    <s v="Online Supplier-Direct"/>
    <n v="45857844"/>
    <s v="U.S. Dollars (US$)"/>
  </r>
  <r>
    <x v="6"/>
    <s v="Country"/>
    <x v="0"/>
    <s v="Malaysia"/>
    <s v="Offline"/>
    <s v="Offline"/>
    <n v="5502878947"/>
    <s v="U.S. Dollars (US$)"/>
  </r>
  <r>
    <x v="6"/>
    <s v="Country"/>
    <x v="0"/>
    <s v="Malaysia"/>
    <s v="Online"/>
    <s v="OTA"/>
    <n v="941733654"/>
    <s v="U.S. Dollars (US$)"/>
  </r>
  <r>
    <x v="6"/>
    <s v="Country"/>
    <x v="0"/>
    <s v="Malaysia"/>
    <s v="Online"/>
    <s v="Online Supplier-Direct"/>
    <n v="2145199550"/>
    <s v="U.S. Dollars (US$)"/>
  </r>
  <r>
    <x v="6"/>
    <s v="Country"/>
    <x v="0"/>
    <s v="Singapore"/>
    <s v="Offline"/>
    <s v="Offline"/>
    <n v="6471000863"/>
    <s v="U.S. Dollars (US$)"/>
  </r>
  <r>
    <x v="6"/>
    <s v="Country"/>
    <x v="0"/>
    <s v="Singapore"/>
    <s v="Online"/>
    <s v="OTA"/>
    <n v="966460692"/>
    <s v="U.S. Dollars (US$)"/>
  </r>
  <r>
    <x v="6"/>
    <s v="Country"/>
    <x v="0"/>
    <s v="Singapore"/>
    <s v="Online"/>
    <s v="Online Supplier-Direct"/>
    <n v="2431704919"/>
    <s v="U.S. Dollars (US$)"/>
  </r>
  <r>
    <x v="6"/>
    <s v="Country"/>
    <x v="0"/>
    <s v="South Korea"/>
    <s v="Offline"/>
    <s v="Offline"/>
    <n v="9853245082"/>
    <s v="U.S. Dollars (US$)"/>
  </r>
  <r>
    <x v="6"/>
    <s v="Country"/>
    <x v="0"/>
    <s v="South Korea"/>
    <s v="Online"/>
    <s v="OTA"/>
    <n v="1027436261"/>
    <s v="U.S. Dollars (US$)"/>
  </r>
  <r>
    <x v="6"/>
    <s v="Country"/>
    <x v="0"/>
    <s v="South Korea"/>
    <s v="Online"/>
    <s v="Online Supplier-Direct"/>
    <n v="3344233163"/>
    <s v="U.S. Dollars (US$)"/>
  </r>
  <r>
    <x v="6"/>
    <s v="Country"/>
    <x v="0"/>
    <s v="Taiwan"/>
    <s v="Offline"/>
    <s v="Offline"/>
    <n v="7689330776"/>
    <s v="U.S. Dollars (US$)"/>
  </r>
  <r>
    <x v="6"/>
    <s v="Country"/>
    <x v="0"/>
    <s v="Taiwan"/>
    <s v="Online"/>
    <s v="OTA"/>
    <n v="474778966"/>
    <s v="U.S. Dollars (US$)"/>
  </r>
  <r>
    <x v="6"/>
    <s v="Country"/>
    <x v="0"/>
    <s v="Taiwan"/>
    <s v="Online"/>
    <s v="Online Supplier-Direct"/>
    <n v="1011593056"/>
    <s v="U.S. Dollars (US$)"/>
  </r>
  <r>
    <x v="6"/>
    <s v="Country"/>
    <x v="0"/>
    <s v="Thailand"/>
    <s v="Offline"/>
    <s v="Offline"/>
    <n v="8705562030"/>
    <s v="U.S. Dollars (US$)"/>
  </r>
  <r>
    <x v="6"/>
    <s v="Country"/>
    <x v="0"/>
    <s v="Thailand"/>
    <s v="Online"/>
    <s v="OTA"/>
    <n v="1971018739"/>
    <s v="U.S. Dollars (US$)"/>
  </r>
  <r>
    <x v="6"/>
    <s v="Country"/>
    <x v="0"/>
    <s v="Thailand"/>
    <s v="Online"/>
    <s v="Online Supplier-Direct"/>
    <n v="1637201372"/>
    <s v="U.S. Dollars (US$)"/>
  </r>
  <r>
    <x v="6"/>
    <s v="Country"/>
    <x v="1"/>
    <s v="Bulgaria"/>
    <s v="Offline"/>
    <s v="Offline"/>
    <n v="879370853"/>
    <s v="U.S. Dollars (US$)"/>
  </r>
  <r>
    <x v="6"/>
    <s v="Country"/>
    <x v="1"/>
    <s v="Bulgaria"/>
    <s v="Online"/>
    <s v="OTA"/>
    <n v="137387414"/>
    <s v="U.S. Dollars (US$)"/>
  </r>
  <r>
    <x v="6"/>
    <s v="Country"/>
    <x v="1"/>
    <s v="Bulgaria"/>
    <s v="Online"/>
    <s v="Online Supplier-Direct"/>
    <n v="169726998"/>
    <s v="U.S. Dollars (US$)"/>
  </r>
  <r>
    <x v="6"/>
    <s v="Country"/>
    <x v="1"/>
    <s v="Czech Republic"/>
    <s v="Offline"/>
    <s v="Offline"/>
    <n v="1989639225"/>
    <s v="U.S. Dollars (US$)"/>
  </r>
  <r>
    <x v="6"/>
    <s v="Country"/>
    <x v="1"/>
    <s v="Czech Republic"/>
    <s v="Online"/>
    <s v="OTA"/>
    <n v="405636067"/>
    <s v="U.S. Dollars (US$)"/>
  </r>
  <r>
    <x v="6"/>
    <s v="Country"/>
    <x v="1"/>
    <s v="Czech Republic"/>
    <s v="Online"/>
    <s v="Online Supplier-Direct"/>
    <n v="472146987"/>
    <s v="U.S. Dollars (US$)"/>
  </r>
  <r>
    <x v="6"/>
    <s v="Country"/>
    <x v="1"/>
    <s v="Greece"/>
    <s v="Offline"/>
    <s v="Offline"/>
    <n v="5155473313"/>
    <s v="U.S. Dollars (US$)"/>
  </r>
  <r>
    <x v="6"/>
    <s v="Country"/>
    <x v="1"/>
    <s v="Greece"/>
    <s v="Online"/>
    <s v="OTA"/>
    <n v="891755709"/>
    <s v="U.S. Dollars (US$)"/>
  </r>
  <r>
    <x v="6"/>
    <s v="Country"/>
    <x v="1"/>
    <s v="Greece"/>
    <s v="Online"/>
    <s v="Online Supplier-Direct"/>
    <n v="403743492"/>
    <s v="U.S. Dollars (US$)"/>
  </r>
  <r>
    <x v="6"/>
    <s v="Country"/>
    <x v="1"/>
    <s v="Hungary"/>
    <s v="Offline"/>
    <s v="Offline"/>
    <n v="1305306687"/>
    <s v="U.S. Dollars (US$)"/>
  </r>
  <r>
    <x v="6"/>
    <s v="Country"/>
    <x v="1"/>
    <s v="Hungary"/>
    <s v="Online"/>
    <s v="OTA"/>
    <n v="193182035"/>
    <s v="U.S. Dollars (US$)"/>
  </r>
  <r>
    <x v="6"/>
    <s v="Country"/>
    <x v="1"/>
    <s v="Hungary"/>
    <s v="Online"/>
    <s v="Online Supplier-Direct"/>
    <n v="639118255"/>
    <s v="U.S. Dollars (US$)"/>
  </r>
  <r>
    <x v="6"/>
    <s v="Country"/>
    <x v="1"/>
    <s v="Poland"/>
    <s v="Offline"/>
    <s v="Offline"/>
    <n v="3369478150"/>
    <s v="U.S. Dollars (US$)"/>
  </r>
  <r>
    <x v="6"/>
    <s v="Country"/>
    <x v="1"/>
    <s v="Poland"/>
    <s v="Online"/>
    <s v="OTA"/>
    <n v="797386485"/>
    <s v="U.S. Dollars (US$)"/>
  </r>
  <r>
    <x v="6"/>
    <s v="Country"/>
    <x v="1"/>
    <s v="Poland"/>
    <s v="Online"/>
    <s v="Online Supplier-Direct"/>
    <n v="915330464"/>
    <s v="U.S. Dollars (US$)"/>
  </r>
  <r>
    <x v="6"/>
    <s v="Country"/>
    <x v="1"/>
    <s v="Rest of Eastern Europe"/>
    <s v="Offline"/>
    <s v="Offline"/>
    <n v="1143441696"/>
    <s v="U.S. Dollars (US$)"/>
  </r>
  <r>
    <x v="6"/>
    <s v="Country"/>
    <x v="1"/>
    <s v="Rest of Eastern Europe"/>
    <s v="Online"/>
    <s v="OTA"/>
    <n v="284132222"/>
    <s v="U.S. Dollars (US$)"/>
  </r>
  <r>
    <x v="6"/>
    <s v="Country"/>
    <x v="1"/>
    <s v="Rest of Eastern Europe"/>
    <s v="Online"/>
    <s v="Online Supplier-Direct"/>
    <n v="337318159"/>
    <s v="U.S. Dollars (US$)"/>
  </r>
  <r>
    <x v="6"/>
    <s v="Country"/>
    <x v="1"/>
    <s v="Romania"/>
    <s v="Offline"/>
    <s v="Offline"/>
    <n v="1823068664"/>
    <s v="U.S. Dollars (US$)"/>
  </r>
  <r>
    <x v="6"/>
    <s v="Country"/>
    <x v="1"/>
    <s v="Romania"/>
    <s v="Online"/>
    <s v="OTA"/>
    <n v="356001340"/>
    <s v="U.S. Dollars (US$)"/>
  </r>
  <r>
    <x v="6"/>
    <s v="Country"/>
    <x v="1"/>
    <s v="Romania"/>
    <s v="Online"/>
    <s v="Online Supplier-Direct"/>
    <n v="488790784"/>
    <s v="U.S. Dollars (US$)"/>
  </r>
  <r>
    <x v="6"/>
    <s v="Country"/>
    <x v="1"/>
    <s v="Russia"/>
    <s v="Offline"/>
    <s v="Offline"/>
    <n v="17889576749"/>
    <s v="U.S. Dollars (US$)"/>
  </r>
  <r>
    <x v="6"/>
    <s v="Country"/>
    <x v="1"/>
    <s v="Russia"/>
    <s v="Online"/>
    <s v="OTA"/>
    <n v="3695940484"/>
    <s v="U.S. Dollars (US$)"/>
  </r>
  <r>
    <x v="6"/>
    <s v="Country"/>
    <x v="1"/>
    <s v="Russia"/>
    <s v="Online"/>
    <s v="Online Supplier-Direct"/>
    <n v="3622015953"/>
    <s v="U.S. Dollars (US$)"/>
  </r>
  <r>
    <x v="6"/>
    <s v="Country"/>
    <x v="1"/>
    <s v="Ukraine"/>
    <s v="Offline"/>
    <s v="Offline"/>
    <n v="1799455755"/>
    <s v="U.S. Dollars (US$)"/>
  </r>
  <r>
    <x v="6"/>
    <s v="Country"/>
    <x v="1"/>
    <s v="Ukraine"/>
    <s v="Online"/>
    <s v="OTA"/>
    <n v="256182500"/>
    <s v="U.S. Dollars (US$)"/>
  </r>
  <r>
    <x v="6"/>
    <s v="Country"/>
    <x v="1"/>
    <s v="Ukraine"/>
    <s v="Online"/>
    <s v="Online Supplier-Direct"/>
    <n v="215010658"/>
    <s v="U.S. Dollars (US$)"/>
  </r>
  <r>
    <x v="6"/>
    <s v="Country"/>
    <x v="2"/>
    <s v="France"/>
    <s v="Offline"/>
    <s v="Offline"/>
    <n v="29331964303"/>
    <s v="U.S. Dollars (US$)"/>
  </r>
  <r>
    <x v="6"/>
    <s v="Country"/>
    <x v="2"/>
    <s v="France"/>
    <s v="Online"/>
    <s v="OTA"/>
    <n v="5710000516"/>
    <s v="U.S. Dollars (US$)"/>
  </r>
  <r>
    <x v="6"/>
    <s v="Country"/>
    <x v="2"/>
    <s v="France"/>
    <s v="Online"/>
    <s v="Online Supplier-Direct"/>
    <n v="13049285727"/>
    <s v="U.S. Dollars (US$)"/>
  </r>
  <r>
    <x v="6"/>
    <s v="Country"/>
    <x v="2"/>
    <s v="Germany"/>
    <s v="Offline"/>
    <s v="Offline"/>
    <n v="41759717220"/>
    <s v="U.S. Dollars (US$)"/>
  </r>
  <r>
    <x v="6"/>
    <s v="Country"/>
    <x v="2"/>
    <s v="Germany"/>
    <s v="Online"/>
    <s v="OTA"/>
    <n v="10750438197"/>
    <s v="U.S. Dollars (US$)"/>
  </r>
  <r>
    <x v="6"/>
    <s v="Country"/>
    <x v="2"/>
    <s v="Germany"/>
    <s v="Online"/>
    <s v="Online Supplier-Direct"/>
    <n v="15439356896"/>
    <s v="U.S. Dollars (US$)"/>
  </r>
  <r>
    <x v="6"/>
    <s v="Country"/>
    <x v="2"/>
    <s v="Italy"/>
    <s v="Offline"/>
    <s v="Offline"/>
    <n v="16012875352"/>
    <s v="U.S. Dollars (US$)"/>
  </r>
  <r>
    <x v="6"/>
    <s v="Country"/>
    <x v="2"/>
    <s v="Italy"/>
    <s v="Online"/>
    <s v="OTA"/>
    <n v="4579181440"/>
    <s v="U.S. Dollars (US$)"/>
  </r>
  <r>
    <x v="6"/>
    <s v="Country"/>
    <x v="2"/>
    <s v="Italy"/>
    <s v="Online"/>
    <s v="Online Supplier-Direct"/>
    <n v="3676898678"/>
    <s v="U.S. Dollars (US$)"/>
  </r>
  <r>
    <x v="6"/>
    <s v="Country"/>
    <x v="2"/>
    <s v="Rest of Europe"/>
    <s v="Offline"/>
    <s v="Offline"/>
    <n v="33152605367"/>
    <s v="U.S. Dollars (US$)"/>
  </r>
  <r>
    <x v="6"/>
    <s v="Country"/>
    <x v="2"/>
    <s v="Rest of Europe"/>
    <s v="Online"/>
    <s v="OTA"/>
    <n v="7674948328"/>
    <s v="U.S. Dollars (US$)"/>
  </r>
  <r>
    <x v="6"/>
    <s v="Country"/>
    <x v="2"/>
    <s v="Rest of Europe"/>
    <s v="Online"/>
    <s v="Online Supplier-Direct"/>
    <n v="13746612077"/>
    <s v="U.S. Dollars (US$)"/>
  </r>
  <r>
    <x v="6"/>
    <s v="Country"/>
    <x v="2"/>
    <s v="Scandinavia"/>
    <s v="Offline"/>
    <s v="Offline"/>
    <n v="7414884941"/>
    <s v="U.S. Dollars (US$)"/>
  </r>
  <r>
    <x v="6"/>
    <s v="Country"/>
    <x v="2"/>
    <s v="Scandinavia"/>
    <s v="Online"/>
    <s v="OTA"/>
    <n v="2997091766"/>
    <s v="U.S. Dollars (US$)"/>
  </r>
  <r>
    <x v="6"/>
    <s v="Country"/>
    <x v="2"/>
    <s v="Scandinavia"/>
    <s v="Online"/>
    <s v="Online Supplier-Direct"/>
    <n v="6764646473"/>
    <s v="U.S. Dollars (US$)"/>
  </r>
  <r>
    <x v="6"/>
    <s v="Country"/>
    <x v="2"/>
    <s v="Spain"/>
    <s v="Offline"/>
    <s v="Offline"/>
    <n v="14493224127"/>
    <s v="U.S. Dollars (US$)"/>
  </r>
  <r>
    <x v="6"/>
    <s v="Country"/>
    <x v="2"/>
    <s v="Spain"/>
    <s v="Online"/>
    <s v="OTA"/>
    <n v="5402649870"/>
    <s v="U.S. Dollars (US$)"/>
  </r>
  <r>
    <x v="6"/>
    <s v="Country"/>
    <x v="2"/>
    <s v="Spain"/>
    <s v="Online"/>
    <s v="Online Supplier-Direct"/>
    <n v="4971584273"/>
    <s v="U.S. Dollars (US$)"/>
  </r>
  <r>
    <x v="6"/>
    <s v="Country"/>
    <x v="2"/>
    <s v="U.K."/>
    <s v="Offline"/>
    <s v="Offline"/>
    <n v="29698434280"/>
    <s v="U.S. Dollars (US$)"/>
  </r>
  <r>
    <x v="6"/>
    <s v="Country"/>
    <x v="2"/>
    <s v="U.K."/>
    <s v="Online"/>
    <s v="OTA"/>
    <n v="11108885307"/>
    <s v="U.S. Dollars (US$)"/>
  </r>
  <r>
    <x v="6"/>
    <s v="Country"/>
    <x v="2"/>
    <s v="U.K."/>
    <s v="Online"/>
    <s v="Online Supplier-Direct"/>
    <n v="27219441815"/>
    <s v="U.S. Dollars (US$)"/>
  </r>
  <r>
    <x v="6"/>
    <s v="Country"/>
    <x v="3"/>
    <s v="Argentina"/>
    <s v="Offline"/>
    <s v="Offline"/>
    <n v="4355421814"/>
    <s v="U.S. Dollars (US$)"/>
  </r>
  <r>
    <x v="6"/>
    <s v="Country"/>
    <x v="3"/>
    <s v="Argentina"/>
    <s v="Online"/>
    <s v="OTA"/>
    <n v="665177502"/>
    <s v="U.S. Dollars (US$)"/>
  </r>
  <r>
    <x v="6"/>
    <s v="Country"/>
    <x v="3"/>
    <s v="Argentina"/>
    <s v="Online"/>
    <s v="Online Supplier-Direct"/>
    <n v="514875948"/>
    <s v="U.S. Dollars (US$)"/>
  </r>
  <r>
    <x v="6"/>
    <s v="Country"/>
    <x v="3"/>
    <s v="Brazil"/>
    <s v="Offline"/>
    <s v="Offline"/>
    <n v="12869000706"/>
    <s v="U.S. Dollars (US$)"/>
  </r>
  <r>
    <x v="6"/>
    <s v="Country"/>
    <x v="3"/>
    <s v="Brazil"/>
    <s v="Online"/>
    <s v="OTA"/>
    <n v="3786042694"/>
    <s v="U.S. Dollars (US$)"/>
  </r>
  <r>
    <x v="6"/>
    <s v="Country"/>
    <x v="3"/>
    <s v="Brazil"/>
    <s v="Online"/>
    <s v="Online Supplier-Direct"/>
    <n v="1876571917"/>
    <s v="U.S. Dollars (US$)"/>
  </r>
  <r>
    <x v="6"/>
    <s v="Country"/>
    <x v="3"/>
    <s v="Chile"/>
    <s v="Offline"/>
    <s v="Offline"/>
    <n v="3102313993"/>
    <s v="U.S. Dollars (US$)"/>
  </r>
  <r>
    <x v="6"/>
    <s v="Country"/>
    <x v="3"/>
    <s v="Chile"/>
    <s v="Online"/>
    <s v="OTA"/>
    <n v="671528495"/>
    <s v="U.S. Dollars (US$)"/>
  </r>
  <r>
    <x v="6"/>
    <s v="Country"/>
    <x v="3"/>
    <s v="Chile"/>
    <s v="Online"/>
    <s v="Online Supplier-Direct"/>
    <n v="724171085"/>
    <s v="U.S. Dollars (US$)"/>
  </r>
  <r>
    <x v="6"/>
    <s v="Country"/>
    <x v="3"/>
    <s v="Colombia"/>
    <s v="Offline"/>
    <s v="Offline"/>
    <n v="5617304251"/>
    <s v="U.S. Dollars (US$)"/>
  </r>
  <r>
    <x v="6"/>
    <s v="Country"/>
    <x v="3"/>
    <s v="Colombia"/>
    <s v="Online"/>
    <s v="OTA"/>
    <n v="1117175591"/>
    <s v="U.S. Dollars (US$)"/>
  </r>
  <r>
    <x v="6"/>
    <s v="Country"/>
    <x v="3"/>
    <s v="Colombia"/>
    <s v="Online"/>
    <s v="Online Supplier-Direct"/>
    <n v="1057349620"/>
    <s v="U.S. Dollars (US$)"/>
  </r>
  <r>
    <x v="6"/>
    <s v="Country"/>
    <x v="3"/>
    <s v="Mexico"/>
    <s v="Offline"/>
    <s v="Offline"/>
    <n v="16857300699"/>
    <s v="U.S. Dollars (US$)"/>
  </r>
  <r>
    <x v="6"/>
    <s v="Country"/>
    <x v="3"/>
    <s v="Mexico"/>
    <s v="Online"/>
    <s v="OTA"/>
    <n v="4031204310"/>
    <s v="U.S. Dollars (US$)"/>
  </r>
  <r>
    <x v="6"/>
    <s v="Country"/>
    <x v="3"/>
    <s v="Mexico"/>
    <s v="Online"/>
    <s v="Online Supplier-Direct"/>
    <n v="2974194221"/>
    <s v="U.S. Dollars (US$)"/>
  </r>
  <r>
    <x v="6"/>
    <s v="Country"/>
    <x v="4"/>
    <s v="Egypt"/>
    <s v="Offline"/>
    <s v="Offline"/>
    <n v="5676706359"/>
    <s v="U.S. Dollars (US$)"/>
  </r>
  <r>
    <x v="6"/>
    <s v="Country"/>
    <x v="4"/>
    <s v="Egypt"/>
    <s v="Online"/>
    <s v="OTA"/>
    <n v="430892561"/>
    <s v="U.S. Dollars (US$)"/>
  </r>
  <r>
    <x v="6"/>
    <s v="Country"/>
    <x v="4"/>
    <s v="Egypt"/>
    <s v="Online"/>
    <s v="Online Supplier-Direct"/>
    <n v="323733575"/>
    <s v="U.S. Dollars (US$)"/>
  </r>
  <r>
    <x v="6"/>
    <s v="Country"/>
    <x v="4"/>
    <s v="Qatar"/>
    <s v="Offline"/>
    <s v="Offline"/>
    <n v="7239648807"/>
    <s v="U.S. Dollars (US$)"/>
  </r>
  <r>
    <x v="6"/>
    <s v="Country"/>
    <x v="4"/>
    <s v="Qatar"/>
    <s v="Online"/>
    <s v="OTA"/>
    <n v="754954498"/>
    <s v="U.S. Dollars (US$)"/>
  </r>
  <r>
    <x v="6"/>
    <s v="Country"/>
    <x v="4"/>
    <s v="Qatar"/>
    <s v="Online"/>
    <s v="Online Supplier-Direct"/>
    <n v="1421613926"/>
    <s v="U.S. Dollars (US$)"/>
  </r>
  <r>
    <x v="6"/>
    <s v="Country"/>
    <x v="4"/>
    <s v="Rest of Middle East"/>
    <s v="Offline"/>
    <s v="Offline"/>
    <n v="6712491526"/>
    <s v="U.S. Dollars (US$)"/>
  </r>
  <r>
    <x v="6"/>
    <s v="Country"/>
    <x v="4"/>
    <s v="Rest of Middle East"/>
    <s v="Online"/>
    <s v="OTA"/>
    <n v="1002977964"/>
    <s v="U.S. Dollars (US$)"/>
  </r>
  <r>
    <x v="6"/>
    <s v="Country"/>
    <x v="4"/>
    <s v="Rest of Middle East"/>
    <s v="Online"/>
    <s v="Online Supplier-Direct"/>
    <n v="902838322"/>
    <s v="U.S. Dollars (US$)"/>
  </r>
  <r>
    <x v="6"/>
    <s v="Country"/>
    <x v="4"/>
    <s v="Saudi Arabia"/>
    <s v="Offline"/>
    <s v="Offline"/>
    <n v="8978612678"/>
    <s v="U.S. Dollars (US$)"/>
  </r>
  <r>
    <x v="6"/>
    <s v="Country"/>
    <x v="4"/>
    <s v="Saudi Arabia"/>
    <s v="Online"/>
    <s v="OTA"/>
    <n v="1424331719"/>
    <s v="U.S. Dollars (US$)"/>
  </r>
  <r>
    <x v="6"/>
    <s v="Country"/>
    <x v="4"/>
    <s v="Saudi Arabia"/>
    <s v="Online"/>
    <s v="Online Supplier-Direct"/>
    <n v="1310712003"/>
    <s v="U.S. Dollars (US$)"/>
  </r>
  <r>
    <x v="6"/>
    <s v="Country"/>
    <x v="4"/>
    <s v="U.A.E."/>
    <s v="Offline"/>
    <s v="Offline"/>
    <n v="24618139354"/>
    <s v="U.S. Dollars (US$)"/>
  </r>
  <r>
    <x v="6"/>
    <s v="Country"/>
    <x v="4"/>
    <s v="U.A.E."/>
    <s v="Online"/>
    <s v="OTA"/>
    <n v="3797320382"/>
    <s v="U.S. Dollars (US$)"/>
  </r>
  <r>
    <x v="6"/>
    <s v="Country"/>
    <x v="4"/>
    <s v="U.A.E."/>
    <s v="Online"/>
    <s v="Online Supplier-Direct"/>
    <n v="6612901279"/>
    <s v="U.S. Dollars (US$)"/>
  </r>
  <r>
    <x v="6"/>
    <s v="Country"/>
    <x v="5"/>
    <s v="Canada"/>
    <s v="Offline"/>
    <s v="Offline"/>
    <n v="18888699353"/>
    <s v="U.S. Dollars (US$)"/>
  </r>
  <r>
    <x v="6"/>
    <s v="Country"/>
    <x v="5"/>
    <s v="Canada"/>
    <s v="Online"/>
    <s v="OTA"/>
    <n v="3884471014"/>
    <s v="U.S. Dollars (US$)"/>
  </r>
  <r>
    <x v="6"/>
    <s v="Country"/>
    <x v="5"/>
    <s v="Canada"/>
    <s v="Online"/>
    <s v="Online Supplier-Direct"/>
    <n v="7769616240"/>
    <s v="U.S. Dollars (US$)"/>
  </r>
  <r>
    <x v="6"/>
    <s v="Country"/>
    <x v="5"/>
    <s v="U.S."/>
    <s v="Central"/>
    <s v="Central Reservation"/>
    <n v="92528058299"/>
    <s v="U.S. Dollars (US$)"/>
  </r>
  <r>
    <x v="6"/>
    <s v="Country"/>
    <x v="5"/>
    <s v="U.S."/>
    <s v="Offline"/>
    <s v="Travel Agency/TMC"/>
    <n v="92638916093"/>
    <s v="U.S. Dollars (US$)"/>
  </r>
  <r>
    <x v="6"/>
    <s v="Country"/>
    <x v="5"/>
    <s v="U.S."/>
    <s v="Online"/>
    <s v="OTA"/>
    <n v="56899999998"/>
    <s v="U.S. Dollars (US$)"/>
  </r>
  <r>
    <x v="6"/>
    <s v="Country"/>
    <x v="5"/>
    <s v="U.S."/>
    <s v="Online"/>
    <s v="Online Supplier-Direct"/>
    <n v="93362948881"/>
    <s v="U.S. Dollars (US$)"/>
  </r>
  <r>
    <x v="7"/>
    <s v="Country"/>
    <x v="0"/>
    <s v="Australia-New Zealand"/>
    <s v="Offline"/>
    <s v="Offline"/>
    <n v="21862282389"/>
    <s v="U.S. Dollars (US$)"/>
  </r>
  <r>
    <x v="7"/>
    <s v="Country"/>
    <x v="0"/>
    <s v="Australia-New Zealand"/>
    <s v="Online"/>
    <s v="OTA"/>
    <n v="4499547688"/>
    <s v="U.S. Dollars (US$)"/>
  </r>
  <r>
    <x v="7"/>
    <s v="Country"/>
    <x v="0"/>
    <s v="Australia-New Zealand"/>
    <s v="Online"/>
    <s v="Online Supplier-Direct"/>
    <n v="10447170939"/>
    <s v="U.S. Dollars (US$)"/>
  </r>
  <r>
    <x v="7"/>
    <s v="Country"/>
    <x v="0"/>
    <s v="China"/>
    <s v="Offline"/>
    <s v="Offline"/>
    <n v="87227100777"/>
    <s v="U.S. Dollars (US$)"/>
  </r>
  <r>
    <x v="7"/>
    <s v="Country"/>
    <x v="0"/>
    <s v="China"/>
    <s v="Online"/>
    <s v="OTA"/>
    <n v="26497337429"/>
    <s v="U.S. Dollars (US$)"/>
  </r>
  <r>
    <x v="7"/>
    <s v="Country"/>
    <x v="0"/>
    <s v="China"/>
    <s v="Online"/>
    <s v="Online Supplier-Direct"/>
    <n v="24731018481"/>
    <s v="U.S. Dollars (US$)"/>
  </r>
  <r>
    <x v="7"/>
    <s v="Country"/>
    <x v="0"/>
    <s v="Hong Kong"/>
    <s v="Offline"/>
    <s v="Offline"/>
    <n v="10366190520"/>
    <s v="U.S. Dollars (US$)"/>
  </r>
  <r>
    <x v="7"/>
    <s v="Country"/>
    <x v="0"/>
    <s v="Hong Kong"/>
    <s v="Online"/>
    <s v="OTA"/>
    <n v="651448530"/>
    <s v="U.S. Dollars (US$)"/>
  </r>
  <r>
    <x v="7"/>
    <s v="Country"/>
    <x v="0"/>
    <s v="Hong Kong"/>
    <s v="Online"/>
    <s v="Online Supplier-Direct"/>
    <n v="1070545273"/>
    <s v="U.S. Dollars (US$)"/>
  </r>
  <r>
    <x v="7"/>
    <s v="Country"/>
    <x v="0"/>
    <s v="India"/>
    <s v="Offline"/>
    <s v="Offline"/>
    <n v="17742879438"/>
    <s v="U.S. Dollars (US$)"/>
  </r>
  <r>
    <x v="7"/>
    <s v="Country"/>
    <x v="0"/>
    <s v="India"/>
    <s v="Online"/>
    <s v="OTA"/>
    <n v="4642652844"/>
    <s v="U.S. Dollars (US$)"/>
  </r>
  <r>
    <x v="7"/>
    <s v="Country"/>
    <x v="0"/>
    <s v="India"/>
    <s v="Online"/>
    <s v="Online Supplier-Direct"/>
    <n v="5634293098"/>
    <s v="U.S. Dollars (US$)"/>
  </r>
  <r>
    <x v="7"/>
    <s v="Country"/>
    <x v="0"/>
    <s v="Indonesia"/>
    <s v="Offline"/>
    <s v="Offline"/>
    <n v="9372223652"/>
    <s v="U.S. Dollars (US$)"/>
  </r>
  <r>
    <x v="7"/>
    <s v="Country"/>
    <x v="0"/>
    <s v="Indonesia"/>
    <s v="Online"/>
    <s v="OTA"/>
    <n v="1144392883"/>
    <s v="U.S. Dollars (US$)"/>
  </r>
  <r>
    <x v="7"/>
    <s v="Country"/>
    <x v="0"/>
    <s v="Indonesia"/>
    <s v="Online"/>
    <s v="Online Supplier-Direct"/>
    <n v="1161146278"/>
    <s v="U.S. Dollars (US$)"/>
  </r>
  <r>
    <x v="7"/>
    <s v="Country"/>
    <x v="0"/>
    <s v="Japan"/>
    <s v="Offline"/>
    <s v="Offline"/>
    <n v="59188556625"/>
    <s v="U.S. Dollars (US$)"/>
  </r>
  <r>
    <x v="7"/>
    <s v="Country"/>
    <x v="0"/>
    <s v="Japan"/>
    <s v="Online"/>
    <s v="OTA"/>
    <n v="14540121612"/>
    <s v="U.S. Dollars (US$)"/>
  </r>
  <r>
    <x v="7"/>
    <s v="Country"/>
    <x v="0"/>
    <s v="Japan"/>
    <s v="Online"/>
    <s v="Online Supplier-Direct"/>
    <n v="21853814111"/>
    <s v="U.S. Dollars (US$)"/>
  </r>
  <r>
    <x v="7"/>
    <s v="Country"/>
    <x v="0"/>
    <s v="Macau"/>
    <s v="Offline"/>
    <s v="Offline"/>
    <n v="1394996852"/>
    <s v="U.S. Dollars (US$)"/>
  </r>
  <r>
    <x v="7"/>
    <s v="Country"/>
    <x v="0"/>
    <s v="Macau"/>
    <s v="Online"/>
    <s v="OTA"/>
    <n v="194478973"/>
    <s v="U.S. Dollars (US$)"/>
  </r>
  <r>
    <x v="7"/>
    <s v="Country"/>
    <x v="0"/>
    <s v="Macau"/>
    <s v="Online"/>
    <s v="Online Supplier-Direct"/>
    <n v="51696942"/>
    <s v="U.S. Dollars (US$)"/>
  </r>
  <r>
    <x v="7"/>
    <s v="Country"/>
    <x v="0"/>
    <s v="Malaysia"/>
    <s v="Offline"/>
    <s v="Offline"/>
    <n v="5043268800"/>
    <s v="U.S. Dollars (US$)"/>
  </r>
  <r>
    <x v="7"/>
    <s v="Country"/>
    <x v="0"/>
    <s v="Malaysia"/>
    <s v="Online"/>
    <s v="OTA"/>
    <n v="1068780713"/>
    <s v="U.S. Dollars (US$)"/>
  </r>
  <r>
    <x v="7"/>
    <s v="Country"/>
    <x v="0"/>
    <s v="Malaysia"/>
    <s v="Online"/>
    <s v="Online Supplier-Direct"/>
    <n v="2302230662"/>
    <s v="U.S. Dollars (US$)"/>
  </r>
  <r>
    <x v="7"/>
    <s v="Country"/>
    <x v="0"/>
    <s v="Singapore"/>
    <s v="Offline"/>
    <s v="Offline"/>
    <n v="7064411050"/>
    <s v="U.S. Dollars (US$)"/>
  </r>
  <r>
    <x v="7"/>
    <s v="Country"/>
    <x v="0"/>
    <s v="Singapore"/>
    <s v="Online"/>
    <s v="OTA"/>
    <n v="1161651187"/>
    <s v="U.S. Dollars (US$)"/>
  </r>
  <r>
    <x v="7"/>
    <s v="Country"/>
    <x v="0"/>
    <s v="Singapore"/>
    <s v="Online"/>
    <s v="Online Supplier-Direct"/>
    <n v="3028301587"/>
    <s v="U.S. Dollars (US$)"/>
  </r>
  <r>
    <x v="7"/>
    <s v="Country"/>
    <x v="0"/>
    <s v="South Korea"/>
    <s v="Offline"/>
    <s v="Offline"/>
    <n v="9766619137"/>
    <s v="U.S. Dollars (US$)"/>
  </r>
  <r>
    <x v="7"/>
    <s v="Country"/>
    <x v="0"/>
    <s v="South Korea"/>
    <s v="Online"/>
    <s v="OTA"/>
    <n v="1233932535"/>
    <s v="U.S. Dollars (US$)"/>
  </r>
  <r>
    <x v="7"/>
    <s v="Country"/>
    <x v="0"/>
    <s v="South Korea"/>
    <s v="Online"/>
    <s v="Online Supplier-Direct"/>
    <n v="3800338302"/>
    <s v="U.S. Dollars (US$)"/>
  </r>
  <r>
    <x v="7"/>
    <s v="Country"/>
    <x v="0"/>
    <s v="Taiwan"/>
    <s v="Offline"/>
    <s v="Offline"/>
    <n v="7405957430"/>
    <s v="U.S. Dollars (US$)"/>
  </r>
  <r>
    <x v="7"/>
    <s v="Country"/>
    <x v="0"/>
    <s v="Taiwan"/>
    <s v="Online"/>
    <s v="OTA"/>
    <n v="555286040"/>
    <s v="U.S. Dollars (US$)"/>
  </r>
  <r>
    <x v="7"/>
    <s v="Country"/>
    <x v="0"/>
    <s v="Taiwan"/>
    <s v="Online"/>
    <s v="Online Supplier-Direct"/>
    <n v="1131823548"/>
    <s v="U.S. Dollars (US$)"/>
  </r>
  <r>
    <x v="7"/>
    <s v="Country"/>
    <x v="0"/>
    <s v="Thailand"/>
    <s v="Offline"/>
    <s v="Offline"/>
    <n v="8498553210"/>
    <s v="U.S. Dollars (US$)"/>
  </r>
  <r>
    <x v="7"/>
    <s v="Country"/>
    <x v="0"/>
    <s v="Thailand"/>
    <s v="Online"/>
    <s v="OTA"/>
    <n v="2241936017"/>
    <s v="U.S. Dollars (US$)"/>
  </r>
  <r>
    <x v="7"/>
    <s v="Country"/>
    <x v="0"/>
    <s v="Thailand"/>
    <s v="Online"/>
    <s v="Online Supplier-Direct"/>
    <n v="1694214602"/>
    <s v="U.S. Dollars (US$)"/>
  </r>
  <r>
    <x v="7"/>
    <s v="Country"/>
    <x v="1"/>
    <s v="Bulgaria"/>
    <s v="Offline"/>
    <s v="Offline"/>
    <n v="950530310"/>
    <s v="U.S. Dollars (US$)"/>
  </r>
  <r>
    <x v="7"/>
    <s v="Country"/>
    <x v="1"/>
    <s v="Bulgaria"/>
    <s v="Online"/>
    <s v="OTA"/>
    <n v="164875931"/>
    <s v="U.S. Dollars (US$)"/>
  </r>
  <r>
    <x v="7"/>
    <s v="Country"/>
    <x v="1"/>
    <s v="Bulgaria"/>
    <s v="Online"/>
    <s v="Online Supplier-Direct"/>
    <n v="203972087"/>
    <s v="U.S. Dollars (US$)"/>
  </r>
  <r>
    <x v="7"/>
    <s v="Country"/>
    <x v="1"/>
    <s v="Czech Republic"/>
    <s v="Offline"/>
    <s v="Offline"/>
    <n v="2045064715"/>
    <s v="U.S. Dollars (US$)"/>
  </r>
  <r>
    <x v="7"/>
    <s v="Country"/>
    <x v="1"/>
    <s v="Czech Republic"/>
    <s v="Online"/>
    <s v="OTA"/>
    <n v="478044658"/>
    <s v="U.S. Dollars (US$)"/>
  </r>
  <r>
    <x v="7"/>
    <s v="Country"/>
    <x v="1"/>
    <s v="Czech Republic"/>
    <s v="Online"/>
    <s v="Online Supplier-Direct"/>
    <n v="570957311"/>
    <s v="U.S. Dollars (US$)"/>
  </r>
  <r>
    <x v="7"/>
    <s v="Country"/>
    <x v="1"/>
    <s v="Greece"/>
    <s v="Offline"/>
    <s v="Offline"/>
    <n v="5400596004"/>
    <s v="U.S. Dollars (US$)"/>
  </r>
  <r>
    <x v="7"/>
    <s v="Country"/>
    <x v="1"/>
    <s v="Greece"/>
    <s v="Online"/>
    <s v="OTA"/>
    <n v="998405834"/>
    <s v="U.S. Dollars (US$)"/>
  </r>
  <r>
    <x v="7"/>
    <s v="Country"/>
    <x v="1"/>
    <s v="Greece"/>
    <s v="Online"/>
    <s v="Online Supplier-Direct"/>
    <n v="527475999"/>
    <s v="U.S. Dollars (US$)"/>
  </r>
  <r>
    <x v="7"/>
    <s v="Country"/>
    <x v="1"/>
    <s v="Hungary"/>
    <s v="Offline"/>
    <s v="Offline"/>
    <n v="1321195212"/>
    <s v="U.S. Dollars (US$)"/>
  </r>
  <r>
    <x v="7"/>
    <s v="Country"/>
    <x v="1"/>
    <s v="Hungary"/>
    <s v="Online"/>
    <s v="OTA"/>
    <n v="239512317"/>
    <s v="U.S. Dollars (US$)"/>
  </r>
  <r>
    <x v="7"/>
    <s v="Country"/>
    <x v="1"/>
    <s v="Hungary"/>
    <s v="Online"/>
    <s v="Online Supplier-Direct"/>
    <n v="765516919"/>
    <s v="U.S. Dollars (US$)"/>
  </r>
  <r>
    <x v="7"/>
    <s v="Country"/>
    <x v="1"/>
    <s v="Poland"/>
    <s v="Offline"/>
    <s v="Offline"/>
    <n v="3332663633"/>
    <s v="U.S. Dollars (US$)"/>
  </r>
  <r>
    <x v="7"/>
    <s v="Country"/>
    <x v="1"/>
    <s v="Poland"/>
    <s v="Online"/>
    <s v="OTA"/>
    <n v="949653922"/>
    <s v="U.S. Dollars (US$)"/>
  </r>
  <r>
    <x v="7"/>
    <s v="Country"/>
    <x v="1"/>
    <s v="Poland"/>
    <s v="Online"/>
    <s v="Online Supplier-Direct"/>
    <n v="878706278"/>
    <s v="U.S. Dollars (US$)"/>
  </r>
  <r>
    <x v="7"/>
    <s v="Country"/>
    <x v="1"/>
    <s v="Rest of Eastern Europe"/>
    <s v="Offline"/>
    <s v="Offline"/>
    <n v="1128857912"/>
    <s v="U.S. Dollars (US$)"/>
  </r>
  <r>
    <x v="7"/>
    <s v="Country"/>
    <x v="1"/>
    <s v="Rest of Eastern Europe"/>
    <s v="Online"/>
    <s v="OTA"/>
    <n v="332407444"/>
    <s v="U.S. Dollars (US$)"/>
  </r>
  <r>
    <x v="7"/>
    <s v="Country"/>
    <x v="1"/>
    <s v="Rest of Eastern Europe"/>
    <s v="Online"/>
    <s v="Online Supplier-Direct"/>
    <n v="410001824"/>
    <s v="U.S. Dollars (US$)"/>
  </r>
  <r>
    <x v="7"/>
    <s v="Country"/>
    <x v="1"/>
    <s v="Romania"/>
    <s v="Offline"/>
    <s v="Offline"/>
    <n v="1861060634"/>
    <s v="U.S. Dollars (US$)"/>
  </r>
  <r>
    <x v="7"/>
    <s v="Country"/>
    <x v="1"/>
    <s v="Romania"/>
    <s v="Online"/>
    <s v="OTA"/>
    <n v="424767712"/>
    <s v="U.S. Dollars (US$)"/>
  </r>
  <r>
    <x v="7"/>
    <s v="Country"/>
    <x v="1"/>
    <s v="Romania"/>
    <s v="Online"/>
    <s v="Online Supplier-Direct"/>
    <n v="569087818"/>
    <s v="U.S. Dollars (US$)"/>
  </r>
  <r>
    <x v="7"/>
    <s v="Country"/>
    <x v="1"/>
    <s v="Russia"/>
    <s v="Offline"/>
    <s v="Offline"/>
    <n v="17261896915"/>
    <s v="U.S. Dollars (US$)"/>
  </r>
  <r>
    <x v="7"/>
    <s v="Country"/>
    <x v="1"/>
    <s v="Russia"/>
    <s v="Online"/>
    <s v="OTA"/>
    <n v="4094949814"/>
    <s v="U.S. Dollars (US$)"/>
  </r>
  <r>
    <x v="7"/>
    <s v="Country"/>
    <x v="1"/>
    <s v="Russia"/>
    <s v="Online"/>
    <s v="Online Supplier-Direct"/>
    <n v="5116443014"/>
    <s v="U.S. Dollars (US$)"/>
  </r>
  <r>
    <x v="7"/>
    <s v="Country"/>
    <x v="1"/>
    <s v="Ukraine"/>
    <s v="Offline"/>
    <s v="Offline"/>
    <n v="1738137447"/>
    <s v="U.S. Dollars (US$)"/>
  </r>
  <r>
    <x v="7"/>
    <s v="Country"/>
    <x v="1"/>
    <s v="Ukraine"/>
    <s v="Online"/>
    <s v="OTA"/>
    <n v="279018426"/>
    <s v="U.S. Dollars (US$)"/>
  </r>
  <r>
    <x v="7"/>
    <s v="Country"/>
    <x v="1"/>
    <s v="Ukraine"/>
    <s v="Online"/>
    <s v="Online Supplier-Direct"/>
    <n v="243509374"/>
    <s v="U.S. Dollars (US$)"/>
  </r>
  <r>
    <x v="7"/>
    <s v="Country"/>
    <x v="2"/>
    <s v="France"/>
    <s v="Offline"/>
    <s v="Offline"/>
    <n v="28213121105"/>
    <s v="U.S. Dollars (US$)"/>
  </r>
  <r>
    <x v="7"/>
    <s v="Country"/>
    <x v="2"/>
    <s v="France"/>
    <s v="Online"/>
    <s v="OTA"/>
    <n v="5865542410"/>
    <s v="U.S. Dollars (US$)"/>
  </r>
  <r>
    <x v="7"/>
    <s v="Country"/>
    <x v="2"/>
    <s v="France"/>
    <s v="Online"/>
    <s v="Online Supplier-Direct"/>
    <n v="13834495537"/>
    <s v="U.S. Dollars (US$)"/>
  </r>
  <r>
    <x v="7"/>
    <s v="Country"/>
    <x v="2"/>
    <s v="Germany"/>
    <s v="Offline"/>
    <s v="Offline"/>
    <n v="40650152327"/>
    <s v="U.S. Dollars (US$)"/>
  </r>
  <r>
    <x v="7"/>
    <s v="Country"/>
    <x v="2"/>
    <s v="Germany"/>
    <s v="Online"/>
    <s v="OTA"/>
    <n v="10840911101"/>
    <s v="U.S. Dollars (US$)"/>
  </r>
  <r>
    <x v="7"/>
    <s v="Country"/>
    <x v="2"/>
    <s v="Germany"/>
    <s v="Online"/>
    <s v="Online Supplier-Direct"/>
    <n v="16299522296"/>
    <s v="U.S. Dollars (US$)"/>
  </r>
  <r>
    <x v="7"/>
    <s v="Country"/>
    <x v="2"/>
    <s v="Italy"/>
    <s v="Offline"/>
    <s v="Offline"/>
    <n v="15282170188"/>
    <s v="U.S. Dollars (US$)"/>
  </r>
  <r>
    <x v="7"/>
    <s v="Country"/>
    <x v="2"/>
    <s v="Italy"/>
    <s v="Online"/>
    <s v="OTA"/>
    <n v="4682928867"/>
    <s v="U.S. Dollars (US$)"/>
  </r>
  <r>
    <x v="7"/>
    <s v="Country"/>
    <x v="2"/>
    <s v="Italy"/>
    <s v="Online"/>
    <s v="Online Supplier-Direct"/>
    <n v="3904790138"/>
    <s v="U.S. Dollars (US$)"/>
  </r>
  <r>
    <x v="7"/>
    <s v="Country"/>
    <x v="2"/>
    <s v="Rest of Europe"/>
    <s v="Offline"/>
    <s v="Offline"/>
    <n v="32874882640"/>
    <s v="U.S. Dollars (US$)"/>
  </r>
  <r>
    <x v="7"/>
    <s v="Country"/>
    <x v="2"/>
    <s v="Rest of Europe"/>
    <s v="Online"/>
    <s v="OTA"/>
    <n v="8335959271"/>
    <s v="U.S. Dollars (US$)"/>
  </r>
  <r>
    <x v="7"/>
    <s v="Country"/>
    <x v="2"/>
    <s v="Rest of Europe"/>
    <s v="Online"/>
    <s v="Online Supplier-Direct"/>
    <n v="15674977907"/>
    <s v="U.S. Dollars (US$)"/>
  </r>
  <r>
    <x v="7"/>
    <s v="Country"/>
    <x v="2"/>
    <s v="Scandinavia"/>
    <s v="Offline"/>
    <s v="Offline"/>
    <n v="10098312379"/>
    <s v="U.S. Dollars (US$)"/>
  </r>
  <r>
    <x v="7"/>
    <s v="Country"/>
    <x v="2"/>
    <s v="Scandinavia"/>
    <s v="Online"/>
    <s v="OTA"/>
    <n v="4031554292"/>
    <s v="U.S. Dollars (US$)"/>
  </r>
  <r>
    <x v="7"/>
    <s v="Country"/>
    <x v="2"/>
    <s v="Scandinavia"/>
    <s v="Online"/>
    <s v="Online Supplier-Direct"/>
    <n v="7162766781"/>
    <s v="U.S. Dollars (US$)"/>
  </r>
  <r>
    <x v="7"/>
    <s v="Country"/>
    <x v="2"/>
    <s v="Spain"/>
    <s v="Offline"/>
    <s v="Offline"/>
    <n v="15470461443"/>
    <s v="U.S. Dollars (US$)"/>
  </r>
  <r>
    <x v="7"/>
    <s v="Country"/>
    <x v="2"/>
    <s v="Spain"/>
    <s v="Online"/>
    <s v="OTA"/>
    <n v="5944197468"/>
    <s v="U.S. Dollars (US$)"/>
  </r>
  <r>
    <x v="7"/>
    <s v="Country"/>
    <x v="2"/>
    <s v="Spain"/>
    <s v="Online"/>
    <s v="Online Supplier-Direct"/>
    <n v="5431643496"/>
    <s v="U.S. Dollars (US$)"/>
  </r>
  <r>
    <x v="7"/>
    <s v="Country"/>
    <x v="2"/>
    <s v="U.K."/>
    <s v="Offline"/>
    <s v="Offline"/>
    <n v="25753688863"/>
    <s v="U.S. Dollars (US$)"/>
  </r>
  <r>
    <x v="7"/>
    <s v="Country"/>
    <x v="2"/>
    <s v="U.K."/>
    <s v="Online"/>
    <s v="OTA"/>
    <n v="10340858824"/>
    <s v="U.S. Dollars (US$)"/>
  </r>
  <r>
    <x v="7"/>
    <s v="Country"/>
    <x v="2"/>
    <s v="U.K."/>
    <s v="Online"/>
    <s v="Online Supplier-Direct"/>
    <n v="25332061660"/>
    <s v="U.S. Dollars (US$)"/>
  </r>
  <r>
    <x v="7"/>
    <s v="Country"/>
    <x v="3"/>
    <s v="Argentina"/>
    <s v="Offline"/>
    <s v="Offline"/>
    <n v="3105416673"/>
    <s v="U.S. Dollars (US$)"/>
  </r>
  <r>
    <x v="7"/>
    <s v="Country"/>
    <x v="3"/>
    <s v="Argentina"/>
    <s v="Online"/>
    <s v="OTA"/>
    <n v="575617134"/>
    <s v="U.S. Dollars (US$)"/>
  </r>
  <r>
    <x v="7"/>
    <s v="Country"/>
    <x v="3"/>
    <s v="Argentina"/>
    <s v="Online"/>
    <s v="Online Supplier-Direct"/>
    <n v="435736190"/>
    <s v="U.S. Dollars (US$)"/>
  </r>
  <r>
    <x v="7"/>
    <s v="Country"/>
    <x v="3"/>
    <s v="Brazil"/>
    <s v="Offline"/>
    <s v="Offline"/>
    <n v="11383405061"/>
    <s v="U.S. Dollars (US$)"/>
  </r>
  <r>
    <x v="7"/>
    <s v="Country"/>
    <x v="3"/>
    <s v="Brazil"/>
    <s v="Online"/>
    <s v="OTA"/>
    <n v="3967964739"/>
    <s v="U.S. Dollars (US$)"/>
  </r>
  <r>
    <x v="7"/>
    <s v="Country"/>
    <x v="3"/>
    <s v="Brazil"/>
    <s v="Online"/>
    <s v="Online Supplier-Direct"/>
    <n v="2117480390"/>
    <s v="U.S. Dollars (US$)"/>
  </r>
  <r>
    <x v="7"/>
    <s v="Country"/>
    <x v="3"/>
    <s v="Chile"/>
    <s v="Offline"/>
    <s v="Offline"/>
    <n v="3114316678"/>
    <s v="U.S. Dollars (US$)"/>
  </r>
  <r>
    <x v="7"/>
    <s v="Country"/>
    <x v="3"/>
    <s v="Chile"/>
    <s v="Online"/>
    <s v="OTA"/>
    <n v="748510693"/>
    <s v="U.S. Dollars (US$)"/>
  </r>
  <r>
    <x v="7"/>
    <s v="Country"/>
    <x v="3"/>
    <s v="Chile"/>
    <s v="Online"/>
    <s v="Online Supplier-Direct"/>
    <n v="796114677"/>
    <s v="U.S. Dollars (US$)"/>
  </r>
  <r>
    <x v="7"/>
    <s v="Country"/>
    <x v="3"/>
    <s v="Colombia"/>
    <s v="Offline"/>
    <s v="Offline"/>
    <n v="5148422182"/>
    <s v="U.S. Dollars (US$)"/>
  </r>
  <r>
    <x v="7"/>
    <s v="Country"/>
    <x v="3"/>
    <s v="Colombia"/>
    <s v="Online"/>
    <s v="OTA"/>
    <n v="1166455616"/>
    <s v="U.S. Dollars (US$)"/>
  </r>
  <r>
    <x v="7"/>
    <s v="Country"/>
    <x v="3"/>
    <s v="Colombia"/>
    <s v="Online"/>
    <s v="Online Supplier-Direct"/>
    <n v="1145833748"/>
    <s v="U.S. Dollars (US$)"/>
  </r>
  <r>
    <x v="7"/>
    <s v="Country"/>
    <x v="3"/>
    <s v="Mexico"/>
    <s v="Offline"/>
    <s v="Offline"/>
    <n v="15045476412"/>
    <s v="U.S. Dollars (US$)"/>
  </r>
  <r>
    <x v="7"/>
    <s v="Country"/>
    <x v="3"/>
    <s v="Mexico"/>
    <s v="Online"/>
    <s v="OTA"/>
    <n v="3870514184"/>
    <s v="U.S. Dollars (US$)"/>
  </r>
  <r>
    <x v="7"/>
    <s v="Country"/>
    <x v="3"/>
    <s v="Mexico"/>
    <s v="Online"/>
    <s v="Online Supplier-Direct"/>
    <n v="2957675857"/>
    <s v="U.S. Dollars (US$)"/>
  </r>
  <r>
    <x v="7"/>
    <s v="Country"/>
    <x v="4"/>
    <s v="Egypt"/>
    <s v="Offline"/>
    <s v="Offline"/>
    <n v="4184077856"/>
    <s v="U.S. Dollars (US$)"/>
  </r>
  <r>
    <x v="7"/>
    <s v="Country"/>
    <x v="4"/>
    <s v="Egypt"/>
    <s v="Online"/>
    <s v="OTA"/>
    <n v="335481343"/>
    <s v="U.S. Dollars (US$)"/>
  </r>
  <r>
    <x v="7"/>
    <s v="Country"/>
    <x v="4"/>
    <s v="Egypt"/>
    <s v="Online"/>
    <s v="Online Supplier-Direct"/>
    <n v="233300352"/>
    <s v="U.S. Dollars (US$)"/>
  </r>
  <r>
    <x v="7"/>
    <s v="Country"/>
    <x v="4"/>
    <s v="Qatar"/>
    <s v="Offline"/>
    <s v="Offline"/>
    <n v="7752760431"/>
    <s v="U.S. Dollars (US$)"/>
  </r>
  <r>
    <x v="7"/>
    <s v="Country"/>
    <x v="4"/>
    <s v="Qatar"/>
    <s v="Online"/>
    <s v="OTA"/>
    <n v="844589703"/>
    <s v="U.S. Dollars (US$)"/>
  </r>
  <r>
    <x v="7"/>
    <s v="Country"/>
    <x v="4"/>
    <s v="Qatar"/>
    <s v="Online"/>
    <s v="Online Supplier-Direct"/>
    <n v="1695405537"/>
    <s v="U.S. Dollars (US$)"/>
  </r>
  <r>
    <x v="7"/>
    <s v="Country"/>
    <x v="4"/>
    <s v="Rest of Middle East"/>
    <s v="Offline"/>
    <s v="Offline"/>
    <n v="7827497763"/>
    <s v="U.S. Dollars (US$)"/>
  </r>
  <r>
    <x v="7"/>
    <s v="Country"/>
    <x v="4"/>
    <s v="Rest of Middle East"/>
    <s v="Online"/>
    <s v="OTA"/>
    <n v="1313722783"/>
    <s v="U.S. Dollars (US$)"/>
  </r>
  <r>
    <x v="7"/>
    <s v="Country"/>
    <x v="4"/>
    <s v="Rest of Middle East"/>
    <s v="Online"/>
    <s v="Online Supplier-Direct"/>
    <n v="1070948023"/>
    <s v="U.S. Dollars (US$)"/>
  </r>
  <r>
    <x v="7"/>
    <s v="Country"/>
    <x v="4"/>
    <s v="Saudi Arabia"/>
    <s v="Offline"/>
    <s v="Offline"/>
    <n v="9214405800"/>
    <s v="U.S. Dollars (US$)"/>
  </r>
  <r>
    <x v="7"/>
    <s v="Country"/>
    <x v="4"/>
    <s v="Saudi Arabia"/>
    <s v="Online"/>
    <s v="OTA"/>
    <n v="1597613340"/>
    <s v="U.S. Dollars (US$)"/>
  </r>
  <r>
    <x v="7"/>
    <s v="Country"/>
    <x v="4"/>
    <s v="Saudi Arabia"/>
    <s v="Online"/>
    <s v="Online Supplier-Direct"/>
    <n v="1591041691"/>
    <s v="U.S. Dollars (US$)"/>
  </r>
  <r>
    <x v="7"/>
    <s v="Country"/>
    <x v="4"/>
    <s v="U.A.E."/>
    <s v="Offline"/>
    <s v="Offline"/>
    <n v="23959668915"/>
    <s v="U.S. Dollars (US$)"/>
  </r>
  <r>
    <x v="7"/>
    <s v="Country"/>
    <x v="4"/>
    <s v="U.A.E."/>
    <s v="Online"/>
    <s v="OTA"/>
    <n v="3884646352"/>
    <s v="U.S. Dollars (US$)"/>
  </r>
  <r>
    <x v="7"/>
    <s v="Country"/>
    <x v="4"/>
    <s v="U.A.E."/>
    <s v="Online"/>
    <s v="Online Supplier-Direct"/>
    <n v="6987621574"/>
    <s v="U.S. Dollars (US$)"/>
  </r>
  <r>
    <x v="7"/>
    <s v="Country"/>
    <x v="5"/>
    <s v="Canada"/>
    <s v="Offline"/>
    <s v="Offline"/>
    <n v="19010857022"/>
    <s v="U.S. Dollars (US$)"/>
  </r>
  <r>
    <x v="7"/>
    <s v="Country"/>
    <x v="5"/>
    <s v="Canada"/>
    <s v="Online"/>
    <s v="OTA"/>
    <n v="4430286912"/>
    <s v="U.S. Dollars (US$)"/>
  </r>
  <r>
    <x v="7"/>
    <s v="Country"/>
    <x v="5"/>
    <s v="Canada"/>
    <s v="Online"/>
    <s v="Online Supplier-Direct"/>
    <n v="8060224822"/>
    <s v="U.S. Dollars (US$)"/>
  </r>
  <r>
    <x v="7"/>
    <s v="Country"/>
    <x v="5"/>
    <s v="U.S."/>
    <s v="Central"/>
    <s v="Central Reservation"/>
    <n v="88475235918"/>
    <s v="U.S. Dollars (US$)"/>
  </r>
  <r>
    <x v="7"/>
    <s v="Country"/>
    <x v="5"/>
    <s v="U.S."/>
    <s v="Offline"/>
    <s v="Travel Agency/TMC"/>
    <n v="95801091220"/>
    <s v="U.S. Dollars (US$)"/>
  </r>
  <r>
    <x v="7"/>
    <s v="Country"/>
    <x v="5"/>
    <s v="U.S."/>
    <s v="Online"/>
    <s v="OTA"/>
    <n v="62833999999"/>
    <s v="U.S. Dollars (US$)"/>
  </r>
  <r>
    <x v="7"/>
    <s v="Country"/>
    <x v="5"/>
    <s v="U.S."/>
    <s v="Online"/>
    <s v="Online Supplier-Direct"/>
    <n v="102438760777"/>
    <s v="U.S. Dollars (US$)"/>
  </r>
  <r>
    <x v="8"/>
    <s v="Country"/>
    <x v="0"/>
    <s v="Australia-New Zealand"/>
    <s v="Offline"/>
    <s v="Offline"/>
    <n v="19088813719"/>
    <s v="U.S. Dollars (US$)"/>
  </r>
  <r>
    <x v="8"/>
    <s v="Country"/>
    <x v="0"/>
    <s v="Australia-New Zealand"/>
    <s v="Online"/>
    <s v="OTA"/>
    <n v="4378754250"/>
    <s v="U.S. Dollars (US$)"/>
  </r>
  <r>
    <x v="8"/>
    <s v="Country"/>
    <x v="0"/>
    <s v="Australia-New Zealand"/>
    <s v="Online"/>
    <s v="Online Supplier-Direct"/>
    <n v="9294957547"/>
    <s v="U.S. Dollars (US$)"/>
  </r>
  <r>
    <x v="8"/>
    <s v="Country"/>
    <x v="0"/>
    <s v="China"/>
    <s v="Offline"/>
    <s v="Offline"/>
    <n v="83845995775"/>
    <s v="U.S. Dollars (US$)"/>
  </r>
  <r>
    <x v="8"/>
    <s v="Country"/>
    <x v="0"/>
    <s v="China"/>
    <s v="Online"/>
    <s v="OTA"/>
    <n v="35280328436"/>
    <s v="U.S. Dollars (US$)"/>
  </r>
  <r>
    <x v="8"/>
    <s v="Country"/>
    <x v="0"/>
    <s v="China"/>
    <s v="Online"/>
    <s v="Online Supplier-Direct"/>
    <n v="32009994253"/>
    <s v="U.S. Dollars (US$)"/>
  </r>
  <r>
    <x v="8"/>
    <s v="Country"/>
    <x v="0"/>
    <s v="Hong Kong"/>
    <s v="Offline"/>
    <s v="Offline"/>
    <n v="10208007936"/>
    <s v="U.S. Dollars (US$)"/>
  </r>
  <r>
    <x v="8"/>
    <s v="Country"/>
    <x v="0"/>
    <s v="Hong Kong"/>
    <s v="Online"/>
    <s v="OTA"/>
    <n v="846625220"/>
    <s v="U.S. Dollars (US$)"/>
  </r>
  <r>
    <x v="8"/>
    <s v="Country"/>
    <x v="0"/>
    <s v="Hong Kong"/>
    <s v="Online"/>
    <s v="Online Supplier-Direct"/>
    <n v="1180016041"/>
    <s v="U.S. Dollars (US$)"/>
  </r>
  <r>
    <x v="8"/>
    <s v="Country"/>
    <x v="0"/>
    <s v="India"/>
    <s v="Offline"/>
    <s v="Offline"/>
    <n v="18735709025"/>
    <s v="U.S. Dollars (US$)"/>
  </r>
  <r>
    <x v="8"/>
    <s v="Country"/>
    <x v="0"/>
    <s v="India"/>
    <s v="Online"/>
    <s v="OTA"/>
    <n v="5688625552"/>
    <s v="U.S. Dollars (US$)"/>
  </r>
  <r>
    <x v="8"/>
    <s v="Country"/>
    <x v="0"/>
    <s v="India"/>
    <s v="Online"/>
    <s v="Online Supplier-Direct"/>
    <n v="6729519398"/>
    <s v="U.S. Dollars (US$)"/>
  </r>
  <r>
    <x v="8"/>
    <s v="Country"/>
    <x v="0"/>
    <s v="Indonesia"/>
    <s v="Offline"/>
    <s v="Offline"/>
    <n v="9380687842"/>
    <s v="U.S. Dollars (US$)"/>
  </r>
  <r>
    <x v="8"/>
    <s v="Country"/>
    <x v="0"/>
    <s v="Indonesia"/>
    <s v="Online"/>
    <s v="OTA"/>
    <n v="1959753275"/>
    <s v="U.S. Dollars (US$)"/>
  </r>
  <r>
    <x v="8"/>
    <s v="Country"/>
    <x v="0"/>
    <s v="Indonesia"/>
    <s v="Online"/>
    <s v="Online Supplier-Direct"/>
    <n v="1464009797"/>
    <s v="U.S. Dollars (US$)"/>
  </r>
  <r>
    <x v="8"/>
    <s v="Country"/>
    <x v="0"/>
    <s v="Japan"/>
    <s v="Offline"/>
    <s v="Offline"/>
    <n v="57566795206"/>
    <s v="U.S. Dollars (US$)"/>
  </r>
  <r>
    <x v="8"/>
    <s v="Country"/>
    <x v="0"/>
    <s v="Japan"/>
    <s v="Online"/>
    <s v="OTA"/>
    <n v="15178636560"/>
    <s v="U.S. Dollars (US$)"/>
  </r>
  <r>
    <x v="8"/>
    <s v="Country"/>
    <x v="0"/>
    <s v="Japan"/>
    <s v="Online"/>
    <s v="Online Supplier-Direct"/>
    <n v="22965010237"/>
    <s v="U.S. Dollars (US$)"/>
  </r>
  <r>
    <x v="8"/>
    <s v="Country"/>
    <x v="0"/>
    <s v="Macau"/>
    <s v="Offline"/>
    <s v="Offline"/>
    <n v="1532749004"/>
    <s v="U.S. Dollars (US$)"/>
  </r>
  <r>
    <x v="8"/>
    <s v="Country"/>
    <x v="0"/>
    <s v="Macau"/>
    <s v="Online"/>
    <s v="OTA"/>
    <n v="263354147"/>
    <s v="U.S. Dollars (US$)"/>
  </r>
  <r>
    <x v="8"/>
    <s v="Country"/>
    <x v="0"/>
    <s v="Macau"/>
    <s v="Online"/>
    <s v="Online Supplier-Direct"/>
    <n v="61774430"/>
    <s v="U.S. Dollars (US$)"/>
  </r>
  <r>
    <x v="8"/>
    <s v="Country"/>
    <x v="0"/>
    <s v="Malaysia"/>
    <s v="Offline"/>
    <s v="Offline"/>
    <n v="5051418133"/>
    <s v="U.S. Dollars (US$)"/>
  </r>
  <r>
    <x v="8"/>
    <s v="Country"/>
    <x v="0"/>
    <s v="Malaysia"/>
    <s v="Online"/>
    <s v="OTA"/>
    <n v="1281353418"/>
    <s v="U.S. Dollars (US$)"/>
  </r>
  <r>
    <x v="8"/>
    <s v="Country"/>
    <x v="0"/>
    <s v="Malaysia"/>
    <s v="Online"/>
    <s v="Online Supplier-Direct"/>
    <n v="2815754265"/>
    <s v="U.S. Dollars (US$)"/>
  </r>
  <r>
    <x v="8"/>
    <s v="Country"/>
    <x v="0"/>
    <s v="Singapore"/>
    <s v="Offline"/>
    <s v="Offline"/>
    <n v="7069872206"/>
    <s v="U.S. Dollars (US$)"/>
  </r>
  <r>
    <x v="8"/>
    <s v="Country"/>
    <x v="0"/>
    <s v="Singapore"/>
    <s v="Online"/>
    <s v="OTA"/>
    <n v="1330235641"/>
    <s v="U.S. Dollars (US$)"/>
  </r>
  <r>
    <x v="8"/>
    <s v="Country"/>
    <x v="0"/>
    <s v="Singapore"/>
    <s v="Online"/>
    <s v="Online Supplier-Direct"/>
    <n v="3270380658"/>
    <s v="U.S. Dollars (US$)"/>
  </r>
  <r>
    <x v="8"/>
    <s v="Country"/>
    <x v="0"/>
    <s v="South Korea"/>
    <s v="Offline"/>
    <s v="Offline"/>
    <n v="9583131426"/>
    <s v="U.S. Dollars (US$)"/>
  </r>
  <r>
    <x v="8"/>
    <s v="Country"/>
    <x v="0"/>
    <s v="South Korea"/>
    <s v="Online"/>
    <s v="OTA"/>
    <n v="1446884584"/>
    <s v="U.S. Dollars (US$)"/>
  </r>
  <r>
    <x v="8"/>
    <s v="Country"/>
    <x v="0"/>
    <s v="South Korea"/>
    <s v="Online"/>
    <s v="Online Supplier-Direct"/>
    <n v="4112249100"/>
    <s v="U.S. Dollars (US$)"/>
  </r>
  <r>
    <x v="8"/>
    <s v="Country"/>
    <x v="0"/>
    <s v="Taiwan"/>
    <s v="Offline"/>
    <s v="Offline"/>
    <n v="7920871070"/>
    <s v="U.S. Dollars (US$)"/>
  </r>
  <r>
    <x v="8"/>
    <s v="Country"/>
    <x v="0"/>
    <s v="Taiwan"/>
    <s v="Online"/>
    <s v="OTA"/>
    <n v="705064303"/>
    <s v="U.S. Dollars (US$)"/>
  </r>
  <r>
    <x v="8"/>
    <s v="Country"/>
    <x v="0"/>
    <s v="Taiwan"/>
    <s v="Online"/>
    <s v="Online Supplier-Direct"/>
    <n v="1413118749"/>
    <s v="U.S. Dollars (US$)"/>
  </r>
  <r>
    <x v="8"/>
    <s v="Country"/>
    <x v="0"/>
    <s v="Thailand"/>
    <s v="Offline"/>
    <s v="Offline"/>
    <n v="9247195812"/>
    <s v="U.S. Dollars (US$)"/>
  </r>
  <r>
    <x v="8"/>
    <s v="Country"/>
    <x v="0"/>
    <s v="Thailand"/>
    <s v="Online"/>
    <s v="OTA"/>
    <n v="2726476734"/>
    <s v="U.S. Dollars (US$)"/>
  </r>
  <r>
    <x v="8"/>
    <s v="Country"/>
    <x v="0"/>
    <s v="Thailand"/>
    <s v="Online"/>
    <s v="Online Supplier-Direct"/>
    <n v="1962944550"/>
    <s v="U.S. Dollars (US$)"/>
  </r>
  <r>
    <x v="8"/>
    <s v="Country"/>
    <x v="1"/>
    <s v="Bulgaria"/>
    <s v="Offline"/>
    <s v="Offline"/>
    <n v="1037178995"/>
    <s v="U.S. Dollars (US$)"/>
  </r>
  <r>
    <x v="8"/>
    <s v="Country"/>
    <x v="1"/>
    <s v="Bulgaria"/>
    <s v="Online"/>
    <s v="OTA"/>
    <n v="226759497"/>
    <s v="U.S. Dollars (US$)"/>
  </r>
  <r>
    <x v="8"/>
    <s v="Country"/>
    <x v="1"/>
    <s v="Bulgaria"/>
    <s v="Online"/>
    <s v="Online Supplier-Direct"/>
    <n v="243203831"/>
    <s v="U.S. Dollars (US$)"/>
  </r>
  <r>
    <x v="8"/>
    <s v="Country"/>
    <x v="1"/>
    <s v="Czech Republic"/>
    <s v="Offline"/>
    <s v="Offline"/>
    <n v="1548369652"/>
    <s v="U.S. Dollars (US$)"/>
  </r>
  <r>
    <x v="8"/>
    <s v="Country"/>
    <x v="1"/>
    <s v="Czech Republic"/>
    <s v="Online"/>
    <s v="OTA"/>
    <n v="502707910"/>
    <s v="U.S. Dollars (US$)"/>
  </r>
  <r>
    <x v="8"/>
    <s v="Country"/>
    <x v="1"/>
    <s v="Czech Republic"/>
    <s v="Online"/>
    <s v="Online Supplier-Direct"/>
    <n v="802115972"/>
    <s v="U.S. Dollars (US$)"/>
  </r>
  <r>
    <x v="8"/>
    <s v="Country"/>
    <x v="1"/>
    <s v="Greece"/>
    <s v="Offline"/>
    <s v="Offline"/>
    <n v="3232162890"/>
    <s v="U.S. Dollars (US$)"/>
  </r>
  <r>
    <x v="8"/>
    <s v="Country"/>
    <x v="1"/>
    <s v="Greece"/>
    <s v="Online"/>
    <s v="OTA"/>
    <n v="680420970"/>
    <s v="U.S. Dollars (US$)"/>
  </r>
  <r>
    <x v="8"/>
    <s v="Country"/>
    <x v="1"/>
    <s v="Greece"/>
    <s v="Online"/>
    <s v="Online Supplier-Direct"/>
    <n v="579163278"/>
    <s v="U.S. Dollars (US$)"/>
  </r>
  <r>
    <x v="8"/>
    <s v="Country"/>
    <x v="1"/>
    <s v="Hungary"/>
    <s v="Offline"/>
    <s v="Offline"/>
    <n v="961881965"/>
    <s v="U.S. Dollars (US$)"/>
  </r>
  <r>
    <x v="8"/>
    <s v="Country"/>
    <x v="1"/>
    <s v="Hungary"/>
    <s v="Online"/>
    <s v="OTA"/>
    <n v="189406186"/>
    <s v="U.S. Dollars (US$)"/>
  </r>
  <r>
    <x v="8"/>
    <s v="Country"/>
    <x v="1"/>
    <s v="Hungary"/>
    <s v="Online"/>
    <s v="Online Supplier-Direct"/>
    <n v="860288819"/>
    <s v="U.S. Dollars (US$)"/>
  </r>
  <r>
    <x v="8"/>
    <s v="Country"/>
    <x v="1"/>
    <s v="Poland"/>
    <s v="Offline"/>
    <s v="Offline"/>
    <n v="2664335890"/>
    <s v="U.S. Dollars (US$)"/>
  </r>
  <r>
    <x v="8"/>
    <s v="Country"/>
    <x v="1"/>
    <s v="Poland"/>
    <s v="Online"/>
    <s v="OTA"/>
    <n v="699557302"/>
    <s v="U.S. Dollars (US$)"/>
  </r>
  <r>
    <x v="8"/>
    <s v="Country"/>
    <x v="1"/>
    <s v="Poland"/>
    <s v="Online"/>
    <s v="Online Supplier-Direct"/>
    <n v="984066889"/>
    <s v="U.S. Dollars (US$)"/>
  </r>
  <r>
    <x v="8"/>
    <s v="Country"/>
    <x v="1"/>
    <s v="Rest of Eastern Europe"/>
    <s v="Offline"/>
    <s v="Offline"/>
    <n v="1076643351"/>
    <s v="U.S. Dollars (US$)"/>
  </r>
  <r>
    <x v="8"/>
    <s v="Country"/>
    <x v="1"/>
    <s v="Rest of Eastern Europe"/>
    <s v="Online"/>
    <s v="OTA"/>
    <n v="317095716"/>
    <s v="U.S. Dollars (US$)"/>
  </r>
  <r>
    <x v="8"/>
    <s v="Country"/>
    <x v="1"/>
    <s v="Rest of Eastern Europe"/>
    <s v="Online"/>
    <s v="Online Supplier-Direct"/>
    <n v="506034490"/>
    <s v="U.S. Dollars (US$)"/>
  </r>
  <r>
    <x v="8"/>
    <s v="Country"/>
    <x v="1"/>
    <s v="Romania"/>
    <s v="Offline"/>
    <s v="Offline"/>
    <n v="1284782155"/>
    <s v="U.S. Dollars (US$)"/>
  </r>
  <r>
    <x v="8"/>
    <s v="Country"/>
    <x v="1"/>
    <s v="Romania"/>
    <s v="Online"/>
    <s v="OTA"/>
    <n v="323323837"/>
    <s v="U.S. Dollars (US$)"/>
  </r>
  <r>
    <x v="8"/>
    <s v="Country"/>
    <x v="1"/>
    <s v="Romania"/>
    <s v="Online"/>
    <s v="Online Supplier-Direct"/>
    <n v="618055139"/>
    <s v="U.S. Dollars (US$)"/>
  </r>
  <r>
    <x v="8"/>
    <s v="Country"/>
    <x v="1"/>
    <s v="Russia"/>
    <s v="Offline"/>
    <s v="Offline"/>
    <n v="22339041227"/>
    <s v="U.S. Dollars (US$)"/>
  </r>
  <r>
    <x v="8"/>
    <s v="Country"/>
    <x v="1"/>
    <s v="Russia"/>
    <s v="Online"/>
    <s v="OTA"/>
    <n v="4995247753"/>
    <s v="U.S. Dollars (US$)"/>
  </r>
  <r>
    <x v="8"/>
    <s v="Country"/>
    <x v="1"/>
    <s v="Russia"/>
    <s v="Online"/>
    <s v="Online Supplier-Direct"/>
    <n v="7338223055"/>
    <s v="U.S. Dollars (US$)"/>
  </r>
  <r>
    <x v="8"/>
    <s v="Country"/>
    <x v="1"/>
    <s v="Ukraine"/>
    <s v="Offline"/>
    <s v="Offline"/>
    <n v="1710307506"/>
    <s v="U.S. Dollars (US$)"/>
  </r>
  <r>
    <x v="8"/>
    <s v="Country"/>
    <x v="1"/>
    <s v="Ukraine"/>
    <s v="Online"/>
    <s v="OTA"/>
    <n v="279459127"/>
    <s v="U.S. Dollars (US$)"/>
  </r>
  <r>
    <x v="8"/>
    <s v="Country"/>
    <x v="1"/>
    <s v="Ukraine"/>
    <s v="Online"/>
    <s v="Online Supplier-Direct"/>
    <n v="317980471"/>
    <s v="U.S. Dollars (US$)"/>
  </r>
  <r>
    <x v="8"/>
    <s v="Country"/>
    <x v="2"/>
    <s v="France"/>
    <s v="Offline"/>
    <s v="Offline"/>
    <n v="29163833191"/>
    <s v="U.S. Dollars (US$)"/>
  </r>
  <r>
    <x v="8"/>
    <s v="Country"/>
    <x v="2"/>
    <s v="France"/>
    <s v="Online"/>
    <s v="OTA"/>
    <n v="6303499620"/>
    <s v="U.S. Dollars (US$)"/>
  </r>
  <r>
    <x v="8"/>
    <s v="Country"/>
    <x v="2"/>
    <s v="France"/>
    <s v="Online"/>
    <s v="Online Supplier-Direct"/>
    <n v="15782049816"/>
    <s v="U.S. Dollars (US$)"/>
  </r>
  <r>
    <x v="8"/>
    <s v="Country"/>
    <x v="2"/>
    <s v="Germany"/>
    <s v="Offline"/>
    <s v="Offline"/>
    <n v="41968759287"/>
    <s v="U.S. Dollars (US$)"/>
  </r>
  <r>
    <x v="8"/>
    <s v="Country"/>
    <x v="2"/>
    <s v="Germany"/>
    <s v="Online"/>
    <s v="OTA"/>
    <n v="11684353852"/>
    <s v="U.S. Dollars (US$)"/>
  </r>
  <r>
    <x v="8"/>
    <s v="Country"/>
    <x v="2"/>
    <s v="Germany"/>
    <s v="Online"/>
    <s v="Online Supplier-Direct"/>
    <n v="18563537565"/>
    <s v="U.S. Dollars (US$)"/>
  </r>
  <r>
    <x v="8"/>
    <s v="Country"/>
    <x v="2"/>
    <s v="Italy"/>
    <s v="Offline"/>
    <s v="Offline"/>
    <n v="16109598867"/>
    <s v="U.S. Dollars (US$)"/>
  </r>
  <r>
    <x v="8"/>
    <s v="Country"/>
    <x v="2"/>
    <s v="Italy"/>
    <s v="Online"/>
    <s v="OTA"/>
    <n v="5207859360"/>
    <s v="U.S. Dollars (US$)"/>
  </r>
  <r>
    <x v="8"/>
    <s v="Country"/>
    <x v="2"/>
    <s v="Italy"/>
    <s v="Online"/>
    <s v="Online Supplier-Direct"/>
    <n v="4480558934"/>
    <s v="U.S. Dollars (US$)"/>
  </r>
  <r>
    <x v="8"/>
    <s v="Country"/>
    <x v="2"/>
    <s v="Rest of Europe"/>
    <s v="Offline"/>
    <s v="Offline"/>
    <n v="35224296342"/>
    <s v="U.S. Dollars (US$)"/>
  </r>
  <r>
    <x v="8"/>
    <s v="Country"/>
    <x v="2"/>
    <s v="Rest of Europe"/>
    <s v="Online"/>
    <s v="OTA"/>
    <n v="9510340635"/>
    <s v="U.S. Dollars (US$)"/>
  </r>
  <r>
    <x v="8"/>
    <s v="Country"/>
    <x v="2"/>
    <s v="Rest of Europe"/>
    <s v="Online"/>
    <s v="Online Supplier-Direct"/>
    <n v="18348961493"/>
    <s v="U.S. Dollars (US$)"/>
  </r>
  <r>
    <x v="8"/>
    <s v="Country"/>
    <x v="2"/>
    <s v="Scandinavia"/>
    <s v="Offline"/>
    <s v="Offline"/>
    <n v="9599356568"/>
    <s v="U.S. Dollars (US$)"/>
  </r>
  <r>
    <x v="8"/>
    <s v="Country"/>
    <x v="2"/>
    <s v="Scandinavia"/>
    <s v="Online"/>
    <s v="OTA"/>
    <n v="4507548235"/>
    <s v="U.S. Dollars (US$)"/>
  </r>
  <r>
    <x v="8"/>
    <s v="Country"/>
    <x v="2"/>
    <s v="Scandinavia"/>
    <s v="Online"/>
    <s v="Online Supplier-Direct"/>
    <n v="9709178171"/>
    <s v="U.S. Dollars (US$)"/>
  </r>
  <r>
    <x v="8"/>
    <s v="Country"/>
    <x v="2"/>
    <s v="Spain"/>
    <s v="Offline"/>
    <s v="Offline"/>
    <n v="17088670286"/>
    <s v="U.S. Dollars (US$)"/>
  </r>
  <r>
    <x v="8"/>
    <s v="Country"/>
    <x v="2"/>
    <s v="Spain"/>
    <s v="Online"/>
    <s v="OTA"/>
    <n v="6622036798"/>
    <s v="U.S. Dollars (US$)"/>
  </r>
  <r>
    <x v="8"/>
    <s v="Country"/>
    <x v="2"/>
    <s v="Spain"/>
    <s v="Online"/>
    <s v="Online Supplier-Direct"/>
    <n v="6222799245"/>
    <s v="U.S. Dollars (US$)"/>
  </r>
  <r>
    <x v="8"/>
    <s v="Country"/>
    <x v="2"/>
    <s v="U.K."/>
    <s v="Offline"/>
    <s v="Offline"/>
    <n v="23894260473"/>
    <s v="U.S. Dollars (US$)"/>
  </r>
  <r>
    <x v="8"/>
    <s v="Country"/>
    <x v="2"/>
    <s v="U.K."/>
    <s v="Online"/>
    <s v="OTA"/>
    <n v="10662950256"/>
    <s v="U.S. Dollars (US$)"/>
  </r>
  <r>
    <x v="8"/>
    <s v="Country"/>
    <x v="2"/>
    <s v="U.K."/>
    <s v="Online"/>
    <s v="Online Supplier-Direct"/>
    <n v="27074271330"/>
    <s v="U.S. Dollars (US$)"/>
  </r>
  <r>
    <x v="8"/>
    <s v="Country"/>
    <x v="3"/>
    <s v="Argentina"/>
    <s v="Offline"/>
    <s v="Offline"/>
    <n v="2620578170"/>
    <s v="U.S. Dollars (US$)"/>
  </r>
  <r>
    <x v="8"/>
    <s v="Country"/>
    <x v="3"/>
    <s v="Argentina"/>
    <s v="Online"/>
    <s v="OTA"/>
    <n v="555648356"/>
    <s v="U.S. Dollars (US$)"/>
  </r>
  <r>
    <x v="8"/>
    <s v="Country"/>
    <x v="3"/>
    <s v="Argentina"/>
    <s v="Online"/>
    <s v="Online Supplier-Direct"/>
    <n v="415059844"/>
    <s v="U.S. Dollars (US$)"/>
  </r>
  <r>
    <x v="8"/>
    <s v="Country"/>
    <x v="3"/>
    <s v="Brazil"/>
    <s v="Offline"/>
    <s v="Offline"/>
    <n v="11824962165"/>
    <s v="U.S. Dollars (US$)"/>
  </r>
  <r>
    <x v="8"/>
    <s v="Country"/>
    <x v="3"/>
    <s v="Brazil"/>
    <s v="Online"/>
    <s v="OTA"/>
    <n v="4789639890"/>
    <s v="U.S. Dollars (US$)"/>
  </r>
  <r>
    <x v="8"/>
    <s v="Country"/>
    <x v="3"/>
    <s v="Brazil"/>
    <s v="Online"/>
    <s v="Online Supplier-Direct"/>
    <n v="2737406425"/>
    <s v="U.S. Dollars (US$)"/>
  </r>
  <r>
    <x v="8"/>
    <s v="Country"/>
    <x v="3"/>
    <s v="Chile"/>
    <s v="Offline"/>
    <s v="Offline"/>
    <n v="3425132976"/>
    <s v="U.S. Dollars (US$)"/>
  </r>
  <r>
    <x v="8"/>
    <s v="Country"/>
    <x v="3"/>
    <s v="Chile"/>
    <s v="Online"/>
    <s v="OTA"/>
    <n v="955877855"/>
    <s v="U.S. Dollars (US$)"/>
  </r>
  <r>
    <x v="8"/>
    <s v="Country"/>
    <x v="3"/>
    <s v="Chile"/>
    <s v="Online"/>
    <s v="Online Supplier-Direct"/>
    <n v="962953509"/>
    <s v="U.S. Dollars (US$)"/>
  </r>
  <r>
    <x v="8"/>
    <s v="Country"/>
    <x v="3"/>
    <s v="Colombia"/>
    <s v="Offline"/>
    <s v="Offline"/>
    <n v="5371850317"/>
    <s v="U.S. Dollars (US$)"/>
  </r>
  <r>
    <x v="8"/>
    <s v="Country"/>
    <x v="3"/>
    <s v="Colombia"/>
    <s v="Online"/>
    <s v="OTA"/>
    <n v="1327149595"/>
    <s v="U.S. Dollars (US$)"/>
  </r>
  <r>
    <x v="8"/>
    <s v="Country"/>
    <x v="3"/>
    <s v="Colombia"/>
    <s v="Online"/>
    <s v="Online Supplier-Direct"/>
    <n v="1322809702"/>
    <s v="U.S. Dollars (US$)"/>
  </r>
  <r>
    <x v="8"/>
    <s v="Country"/>
    <x v="3"/>
    <s v="Mexico"/>
    <s v="Offline"/>
    <s v="Offline"/>
    <n v="15344714201"/>
    <s v="U.S. Dollars (US$)"/>
  </r>
  <r>
    <x v="8"/>
    <s v="Country"/>
    <x v="3"/>
    <s v="Mexico"/>
    <s v="Online"/>
    <s v="OTA"/>
    <n v="4371250393"/>
    <s v="U.S. Dollars (US$)"/>
  </r>
  <r>
    <x v="8"/>
    <s v="Country"/>
    <x v="3"/>
    <s v="Mexico"/>
    <s v="Online"/>
    <s v="Online Supplier-Direct"/>
    <n v="3346212594"/>
    <s v="U.S. Dollars (US$)"/>
  </r>
  <r>
    <x v="8"/>
    <s v="Country"/>
    <x v="4"/>
    <s v="Egypt"/>
    <s v="Offline"/>
    <s v="Offline"/>
    <n v="2664157056"/>
    <s v="U.S. Dollars (US$)"/>
  </r>
  <r>
    <x v="8"/>
    <s v="Country"/>
    <x v="4"/>
    <s v="Egypt"/>
    <s v="Online"/>
    <s v="OTA"/>
    <n v="223133431"/>
    <s v="U.S. Dollars (US$)"/>
  </r>
  <r>
    <x v="8"/>
    <s v="Country"/>
    <x v="4"/>
    <s v="Egypt"/>
    <s v="Online"/>
    <s v="Online Supplier-Direct"/>
    <n v="180481491"/>
    <s v="U.S. Dollars (US$)"/>
  </r>
  <r>
    <x v="8"/>
    <s v="Country"/>
    <x v="4"/>
    <s v="Qatar"/>
    <s v="Offline"/>
    <s v="Offline"/>
    <n v="7915584907"/>
    <s v="U.S. Dollars (US$)"/>
  </r>
  <r>
    <x v="8"/>
    <s v="Country"/>
    <x v="4"/>
    <s v="Qatar"/>
    <s v="Online"/>
    <s v="OTA"/>
    <n v="903735065"/>
    <s v="U.S. Dollars (US$)"/>
  </r>
  <r>
    <x v="8"/>
    <s v="Country"/>
    <x v="4"/>
    <s v="Qatar"/>
    <s v="Online"/>
    <s v="Online Supplier-Direct"/>
    <n v="1942502216"/>
    <s v="U.S. Dollars (US$)"/>
  </r>
  <r>
    <x v="8"/>
    <s v="Country"/>
    <x v="4"/>
    <s v="Rest of Middle East"/>
    <s v="Offline"/>
    <s v="Offline"/>
    <n v="7830860079"/>
    <s v="U.S. Dollars (US$)"/>
  </r>
  <r>
    <x v="8"/>
    <s v="Country"/>
    <x v="4"/>
    <s v="Rest of Middle East"/>
    <s v="Online"/>
    <s v="OTA"/>
    <n v="1437808821"/>
    <s v="U.S. Dollars (US$)"/>
  </r>
  <r>
    <x v="8"/>
    <s v="Country"/>
    <x v="4"/>
    <s v="Rest of Middle East"/>
    <s v="Online"/>
    <s v="Online Supplier-Direct"/>
    <n v="1287422598"/>
    <s v="U.S. Dollars (US$)"/>
  </r>
  <r>
    <x v="8"/>
    <s v="Country"/>
    <x v="4"/>
    <s v="Saudi Arabia"/>
    <s v="Offline"/>
    <s v="Offline"/>
    <n v="9683481748"/>
    <s v="U.S. Dollars (US$)"/>
  </r>
  <r>
    <x v="8"/>
    <s v="Country"/>
    <x v="4"/>
    <s v="Saudi Arabia"/>
    <s v="Online"/>
    <s v="OTA"/>
    <n v="1855312752"/>
    <s v="U.S. Dollars (US$)"/>
  </r>
  <r>
    <x v="8"/>
    <s v="Country"/>
    <x v="4"/>
    <s v="Saudi Arabia"/>
    <s v="Online"/>
    <s v="Online Supplier-Direct"/>
    <n v="2027494571"/>
    <s v="U.S. Dollars (US$)"/>
  </r>
  <r>
    <x v="8"/>
    <s v="Country"/>
    <x v="4"/>
    <s v="U.A.E."/>
    <s v="Offline"/>
    <s v="Offline"/>
    <n v="24442246095"/>
    <s v="U.S. Dollars (US$)"/>
  </r>
  <r>
    <x v="8"/>
    <s v="Country"/>
    <x v="4"/>
    <s v="U.A.E."/>
    <s v="Online"/>
    <s v="OTA"/>
    <n v="4251609786"/>
    <s v="U.S. Dollars (US$)"/>
  </r>
  <r>
    <x v="8"/>
    <s v="Country"/>
    <x v="4"/>
    <s v="U.A.E."/>
    <s v="Online"/>
    <s v="Online Supplier-Direct"/>
    <n v="7992619226"/>
    <s v="U.S. Dollars (US$)"/>
  </r>
  <r>
    <x v="8"/>
    <s v="Country"/>
    <x v="5"/>
    <s v="Canada"/>
    <s v="Offline"/>
    <s v="Offline"/>
    <n v="20088599037"/>
    <s v="U.S. Dollars (US$)"/>
  </r>
  <r>
    <x v="8"/>
    <s v="Country"/>
    <x v="5"/>
    <s v="Canada"/>
    <s v="Online"/>
    <s v="OTA"/>
    <n v="5240606469"/>
    <s v="U.S. Dollars (US$)"/>
  </r>
  <r>
    <x v="8"/>
    <s v="Country"/>
    <x v="5"/>
    <s v="Canada"/>
    <s v="Online"/>
    <s v="Online Supplier-Direct"/>
    <n v="8992939053"/>
    <s v="U.S. Dollars (US$)"/>
  </r>
  <r>
    <x v="8"/>
    <s v="Country"/>
    <x v="5"/>
    <s v="U.S."/>
    <s v="Central"/>
    <s v="Central Reservation"/>
    <n v="88756076735"/>
    <s v="U.S. Dollars (US$)"/>
  </r>
  <r>
    <x v="8"/>
    <s v="Country"/>
    <x v="5"/>
    <s v="U.S."/>
    <s v="Offline"/>
    <s v="Travel Agency/TMC"/>
    <n v="99466647142"/>
    <s v="U.S. Dollars (US$)"/>
  </r>
  <r>
    <x v="8"/>
    <s v="Country"/>
    <x v="5"/>
    <s v="U.S."/>
    <s v="Online"/>
    <s v="OTA"/>
    <n v="66578999995"/>
    <s v="U.S. Dollars (US$)"/>
  </r>
  <r>
    <x v="8"/>
    <s v="Country"/>
    <x v="5"/>
    <s v="U.S."/>
    <s v="Online"/>
    <s v="Online Supplier-Direct"/>
    <n v="112460055727"/>
    <s v="U.S. Dollars (US$)"/>
  </r>
  <r>
    <x v="9"/>
    <s v="Country"/>
    <x v="0"/>
    <s v="Australia-New Zealand"/>
    <s v="Offline"/>
    <s v="Offline"/>
    <n v="19092646617"/>
    <s v="U.S. Dollars (US$)"/>
  </r>
  <r>
    <x v="9"/>
    <s v="Country"/>
    <x v="0"/>
    <s v="Australia-New Zealand"/>
    <s v="Online"/>
    <s v="OTA"/>
    <n v="4698406223"/>
    <s v="U.S. Dollars (US$)"/>
  </r>
  <r>
    <x v="9"/>
    <s v="Country"/>
    <x v="0"/>
    <s v="Australia-New Zealand"/>
    <s v="Online"/>
    <s v="Online Supplier-Direct"/>
    <n v="10026705472"/>
    <s v="U.S. Dollars (US$)"/>
  </r>
  <r>
    <x v="9"/>
    <s v="Country"/>
    <x v="0"/>
    <s v="China"/>
    <s v="Offline"/>
    <s v="Offline"/>
    <n v="85502078828"/>
    <s v="U.S. Dollars (US$)"/>
  </r>
  <r>
    <x v="9"/>
    <s v="Country"/>
    <x v="0"/>
    <s v="China"/>
    <s v="Online"/>
    <s v="OTA"/>
    <n v="45674298613"/>
    <s v="U.S. Dollars (US$)"/>
  </r>
  <r>
    <x v="9"/>
    <s v="Country"/>
    <x v="0"/>
    <s v="China"/>
    <s v="Online"/>
    <s v="Online Supplier-Direct"/>
    <n v="39388901589"/>
    <s v="U.S. Dollars (US$)"/>
  </r>
  <r>
    <x v="9"/>
    <s v="Country"/>
    <x v="0"/>
    <s v="Hong Kong"/>
    <s v="Offline"/>
    <s v="Offline"/>
    <n v="10981927255"/>
    <s v="U.S. Dollars (US$)"/>
  </r>
  <r>
    <x v="9"/>
    <s v="Country"/>
    <x v="0"/>
    <s v="Hong Kong"/>
    <s v="Online"/>
    <s v="OTA"/>
    <n v="1101580090"/>
    <s v="U.S. Dollars (US$)"/>
  </r>
  <r>
    <x v="9"/>
    <s v="Country"/>
    <x v="0"/>
    <s v="Hong Kong"/>
    <s v="Online"/>
    <s v="Online Supplier-Direct"/>
    <n v="1433127160"/>
    <s v="U.S. Dollars (US$)"/>
  </r>
  <r>
    <x v="9"/>
    <s v="Country"/>
    <x v="0"/>
    <s v="India"/>
    <s v="Offline"/>
    <s v="Offline"/>
    <n v="18700388507"/>
    <s v="U.S. Dollars (US$)"/>
  </r>
  <r>
    <x v="9"/>
    <s v="Country"/>
    <x v="0"/>
    <s v="India"/>
    <s v="Online"/>
    <s v="OTA"/>
    <n v="6534929793"/>
    <s v="U.S. Dollars (US$)"/>
  </r>
  <r>
    <x v="9"/>
    <s v="Country"/>
    <x v="0"/>
    <s v="India"/>
    <s v="Online"/>
    <s v="Online Supplier-Direct"/>
    <n v="7286815335"/>
    <s v="U.S. Dollars (US$)"/>
  </r>
  <r>
    <x v="9"/>
    <s v="Country"/>
    <x v="0"/>
    <s v="Indonesia"/>
    <s v="Offline"/>
    <s v="Offline"/>
    <n v="9118576060"/>
    <s v="U.S. Dollars (US$)"/>
  </r>
  <r>
    <x v="9"/>
    <s v="Country"/>
    <x v="0"/>
    <s v="Indonesia"/>
    <s v="Online"/>
    <s v="OTA"/>
    <n v="2680415685"/>
    <s v="U.S. Dollars (US$)"/>
  </r>
  <r>
    <x v="9"/>
    <s v="Country"/>
    <x v="0"/>
    <s v="Indonesia"/>
    <s v="Online"/>
    <s v="Online Supplier-Direct"/>
    <n v="1492717244"/>
    <s v="U.S. Dollars (US$)"/>
  </r>
  <r>
    <x v="9"/>
    <s v="Country"/>
    <x v="0"/>
    <s v="Japan"/>
    <s v="Offline"/>
    <s v="Offline"/>
    <n v="58965673725"/>
    <s v="U.S. Dollars (US$)"/>
  </r>
  <r>
    <x v="9"/>
    <s v="Country"/>
    <x v="0"/>
    <s v="Japan"/>
    <s v="Online"/>
    <s v="OTA"/>
    <n v="17057769736"/>
    <s v="U.S. Dollars (US$)"/>
  </r>
  <r>
    <x v="9"/>
    <s v="Country"/>
    <x v="0"/>
    <s v="Japan"/>
    <s v="Online"/>
    <s v="Online Supplier-Direct"/>
    <n v="25804143501"/>
    <s v="U.S. Dollars (US$)"/>
  </r>
  <r>
    <x v="9"/>
    <s v="Country"/>
    <x v="0"/>
    <s v="Macau"/>
    <s v="Offline"/>
    <s v="Offline"/>
    <n v="1755960482"/>
    <s v="U.S. Dollars (US$)"/>
  </r>
  <r>
    <x v="9"/>
    <s v="Country"/>
    <x v="0"/>
    <s v="Macau"/>
    <s v="Online"/>
    <s v="OTA"/>
    <n v="357776948"/>
    <s v="U.S. Dollars (US$)"/>
  </r>
  <r>
    <x v="9"/>
    <s v="Country"/>
    <x v="0"/>
    <s v="Macau"/>
    <s v="Online"/>
    <s v="Online Supplier-Direct"/>
    <n v="81213172"/>
    <s v="U.S. Dollars (US$)"/>
  </r>
  <r>
    <x v="9"/>
    <s v="Country"/>
    <x v="0"/>
    <s v="Malaysia"/>
    <s v="Offline"/>
    <s v="Offline"/>
    <n v="5412091296"/>
    <s v="U.S. Dollars (US$)"/>
  </r>
  <r>
    <x v="9"/>
    <s v="Country"/>
    <x v="0"/>
    <s v="Malaysia"/>
    <s v="Online"/>
    <s v="OTA"/>
    <n v="1416084807"/>
    <s v="U.S. Dollars (US$)"/>
  </r>
  <r>
    <x v="9"/>
    <s v="Country"/>
    <x v="0"/>
    <s v="Malaysia"/>
    <s v="Online"/>
    <s v="Online Supplier-Direct"/>
    <n v="2309822492"/>
    <s v="U.S. Dollars (US$)"/>
  </r>
  <r>
    <x v="9"/>
    <s v="Country"/>
    <x v="0"/>
    <s v="Singapore"/>
    <s v="Offline"/>
    <s v="Offline"/>
    <n v="7211448324"/>
    <s v="U.S. Dollars (US$)"/>
  </r>
  <r>
    <x v="9"/>
    <s v="Country"/>
    <x v="0"/>
    <s v="Singapore"/>
    <s v="Online"/>
    <s v="OTA"/>
    <n v="1550970355"/>
    <s v="U.S. Dollars (US$)"/>
  </r>
  <r>
    <x v="9"/>
    <s v="Country"/>
    <x v="0"/>
    <s v="Singapore"/>
    <s v="Online"/>
    <s v="Online Supplier-Direct"/>
    <n v="3694368508"/>
    <s v="U.S. Dollars (US$)"/>
  </r>
  <r>
    <x v="9"/>
    <s v="Country"/>
    <x v="0"/>
    <s v="South Korea"/>
    <s v="Offline"/>
    <s v="Offline"/>
    <n v="11772758061"/>
    <s v="U.S. Dollars (US$)"/>
  </r>
  <r>
    <x v="9"/>
    <s v="Country"/>
    <x v="0"/>
    <s v="South Korea"/>
    <s v="Online"/>
    <s v="OTA"/>
    <n v="2481734608"/>
    <s v="U.S. Dollars (US$)"/>
  </r>
  <r>
    <x v="9"/>
    <s v="Country"/>
    <x v="0"/>
    <s v="South Korea"/>
    <s v="Online"/>
    <s v="Online Supplier-Direct"/>
    <n v="5834398672"/>
    <s v="U.S. Dollars (US$)"/>
  </r>
  <r>
    <x v="9"/>
    <s v="Country"/>
    <x v="0"/>
    <s v="Taiwan"/>
    <s v="Offline"/>
    <s v="Offline"/>
    <n v="8417785173"/>
    <s v="U.S. Dollars (US$)"/>
  </r>
  <r>
    <x v="9"/>
    <s v="Country"/>
    <x v="0"/>
    <s v="Taiwan"/>
    <s v="Online"/>
    <s v="OTA"/>
    <n v="970080186"/>
    <s v="U.S. Dollars (US$)"/>
  </r>
  <r>
    <x v="9"/>
    <s v="Country"/>
    <x v="0"/>
    <s v="Taiwan"/>
    <s v="Online"/>
    <s v="Online Supplier-Direct"/>
    <n v="2184042653"/>
    <s v="U.S. Dollars (US$)"/>
  </r>
  <r>
    <x v="9"/>
    <s v="Country"/>
    <x v="0"/>
    <s v="Thailand"/>
    <s v="Offline"/>
    <s v="Offline"/>
    <n v="11002301518"/>
    <s v="U.S. Dollars (US$)"/>
  </r>
  <r>
    <x v="9"/>
    <s v="Country"/>
    <x v="0"/>
    <s v="Thailand"/>
    <s v="Online"/>
    <s v="OTA"/>
    <n v="3590721372"/>
    <s v="U.S. Dollars (US$)"/>
  </r>
  <r>
    <x v="9"/>
    <s v="Country"/>
    <x v="0"/>
    <s v="Thailand"/>
    <s v="Online"/>
    <s v="Online Supplier-Direct"/>
    <n v="2416173069"/>
    <s v="U.S. Dollars (US$)"/>
  </r>
  <r>
    <x v="9"/>
    <s v="Country"/>
    <x v="1"/>
    <s v="Bulgaria"/>
    <s v="Offline"/>
    <s v="Offline"/>
    <n v="852906081"/>
    <s v="U.S. Dollars (US$)"/>
  </r>
  <r>
    <x v="9"/>
    <s v="Country"/>
    <x v="1"/>
    <s v="Bulgaria"/>
    <s v="Online"/>
    <s v="OTA"/>
    <n v="262003544"/>
    <s v="U.S. Dollars (US$)"/>
  </r>
  <r>
    <x v="9"/>
    <s v="Country"/>
    <x v="1"/>
    <s v="Bulgaria"/>
    <s v="Online"/>
    <s v="Online Supplier-Direct"/>
    <n v="98618331"/>
    <s v="U.S. Dollars (US$)"/>
  </r>
  <r>
    <x v="9"/>
    <s v="Country"/>
    <x v="1"/>
    <s v="Czech Republic"/>
    <s v="Offline"/>
    <s v="Offline"/>
    <n v="1800209098"/>
    <s v="U.S. Dollars (US$)"/>
  </r>
  <r>
    <x v="9"/>
    <s v="Country"/>
    <x v="1"/>
    <s v="Czech Republic"/>
    <s v="Online"/>
    <s v="OTA"/>
    <n v="797565022"/>
    <s v="U.S. Dollars (US$)"/>
  </r>
  <r>
    <x v="9"/>
    <s v="Country"/>
    <x v="1"/>
    <s v="Czech Republic"/>
    <s v="Online"/>
    <s v="Online Supplier-Direct"/>
    <n v="1122621634"/>
    <s v="U.S. Dollars (US$)"/>
  </r>
  <r>
    <x v="9"/>
    <s v="Country"/>
    <x v="1"/>
    <s v="Greece"/>
    <s v="Offline"/>
    <s v="Offline"/>
    <n v="3879420271"/>
    <s v="U.S. Dollars (US$)"/>
  </r>
  <r>
    <x v="9"/>
    <s v="Country"/>
    <x v="1"/>
    <s v="Greece"/>
    <s v="Online"/>
    <s v="OTA"/>
    <n v="1289845155"/>
    <s v="U.S. Dollars (US$)"/>
  </r>
  <r>
    <x v="9"/>
    <s v="Country"/>
    <x v="1"/>
    <s v="Greece"/>
    <s v="Online"/>
    <s v="Online Supplier-Direct"/>
    <n v="780382860"/>
    <s v="U.S. Dollars (US$)"/>
  </r>
  <r>
    <x v="9"/>
    <s v="Country"/>
    <x v="1"/>
    <s v="Hungary"/>
    <s v="Offline"/>
    <s v="Offline"/>
    <n v="983338052"/>
    <s v="U.S. Dollars (US$)"/>
  </r>
  <r>
    <x v="9"/>
    <s v="Country"/>
    <x v="1"/>
    <s v="Hungary"/>
    <s v="Online"/>
    <s v="OTA"/>
    <n v="367187405"/>
    <s v="U.S. Dollars (US$)"/>
  </r>
  <r>
    <x v="9"/>
    <s v="Country"/>
    <x v="1"/>
    <s v="Hungary"/>
    <s v="Online"/>
    <s v="Online Supplier-Direct"/>
    <n v="2460143011"/>
    <s v="U.S. Dollars (US$)"/>
  </r>
  <r>
    <x v="9"/>
    <s v="Country"/>
    <x v="1"/>
    <s v="Poland"/>
    <s v="Offline"/>
    <s v="Offline"/>
    <n v="2846216290"/>
    <s v="U.S. Dollars (US$)"/>
  </r>
  <r>
    <x v="9"/>
    <s v="Country"/>
    <x v="1"/>
    <s v="Poland"/>
    <s v="Online"/>
    <s v="OTA"/>
    <n v="963404175"/>
    <s v="U.S. Dollars (US$)"/>
  </r>
  <r>
    <x v="9"/>
    <s v="Country"/>
    <x v="1"/>
    <s v="Poland"/>
    <s v="Online"/>
    <s v="Online Supplier-Direct"/>
    <n v="832154410"/>
    <s v="U.S. Dollars (US$)"/>
  </r>
  <r>
    <x v="9"/>
    <s v="Country"/>
    <x v="1"/>
    <s v="Rest of Eastern Europe"/>
    <s v="Offline"/>
    <s v="Offline"/>
    <n v="1156416967"/>
    <s v="U.S. Dollars (US$)"/>
  </r>
  <r>
    <x v="9"/>
    <s v="Country"/>
    <x v="1"/>
    <s v="Rest of Eastern Europe"/>
    <s v="Online"/>
    <s v="OTA"/>
    <n v="418177988"/>
    <s v="U.S. Dollars (US$)"/>
  </r>
  <r>
    <x v="9"/>
    <s v="Country"/>
    <x v="1"/>
    <s v="Rest of Eastern Europe"/>
    <s v="Online"/>
    <s v="Online Supplier-Direct"/>
    <n v="493860697"/>
    <s v="U.S. Dollars (US$)"/>
  </r>
  <r>
    <x v="9"/>
    <s v="Country"/>
    <x v="1"/>
    <s v="Romania"/>
    <s v="Offline"/>
    <s v="Offline"/>
    <n v="1244750270"/>
    <s v="U.S. Dollars (US$)"/>
  </r>
  <r>
    <x v="9"/>
    <s v="Country"/>
    <x v="1"/>
    <s v="Romania"/>
    <s v="Online"/>
    <s v="OTA"/>
    <n v="327878943"/>
    <s v="U.S. Dollars (US$)"/>
  </r>
  <r>
    <x v="9"/>
    <s v="Country"/>
    <x v="1"/>
    <s v="Romania"/>
    <s v="Online"/>
    <s v="Online Supplier-Direct"/>
    <n v="176962522"/>
    <s v="U.S. Dollars (US$)"/>
  </r>
  <r>
    <x v="9"/>
    <s v="Country"/>
    <x v="1"/>
    <s v="Russia"/>
    <s v="Offline"/>
    <s v="Offline"/>
    <n v="22239264928"/>
    <s v="U.S. Dollars (US$)"/>
  </r>
  <r>
    <x v="9"/>
    <s v="Country"/>
    <x v="1"/>
    <s v="Russia"/>
    <s v="Online"/>
    <s v="OTA"/>
    <n v="5394057673"/>
    <s v="U.S. Dollars (US$)"/>
  </r>
  <r>
    <x v="9"/>
    <s v="Country"/>
    <x v="1"/>
    <s v="Russia"/>
    <s v="Online"/>
    <s v="Online Supplier-Direct"/>
    <n v="7966178698"/>
    <s v="U.S. Dollars (US$)"/>
  </r>
  <r>
    <x v="9"/>
    <s v="Country"/>
    <x v="1"/>
    <s v="Ukraine"/>
    <s v="Offline"/>
    <s v="Offline"/>
    <n v="1652123450"/>
    <s v="U.S. Dollars (US$)"/>
  </r>
  <r>
    <x v="9"/>
    <s v="Country"/>
    <x v="1"/>
    <s v="Ukraine"/>
    <s v="Online"/>
    <s v="OTA"/>
    <n v="325709481"/>
    <s v="U.S. Dollars (US$)"/>
  </r>
  <r>
    <x v="9"/>
    <s v="Country"/>
    <x v="1"/>
    <s v="Ukraine"/>
    <s v="Online"/>
    <s v="Online Supplier-Direct"/>
    <n v="392076176"/>
    <s v="U.S. Dollars (US$)"/>
  </r>
  <r>
    <x v="9"/>
    <s v="Country"/>
    <x v="2"/>
    <s v="France"/>
    <s v="Offline"/>
    <s v="Offline"/>
    <n v="31239267741"/>
    <s v="U.S. Dollars (US$)"/>
  </r>
  <r>
    <x v="9"/>
    <s v="Country"/>
    <x v="2"/>
    <s v="France"/>
    <s v="Online"/>
    <s v="OTA"/>
    <n v="7184329321"/>
    <s v="U.S. Dollars (US$)"/>
  </r>
  <r>
    <x v="9"/>
    <s v="Country"/>
    <x v="2"/>
    <s v="France"/>
    <s v="Online"/>
    <s v="Online Supplier-Direct"/>
    <n v="17925174714"/>
    <s v="U.S. Dollars (US$)"/>
  </r>
  <r>
    <x v="9"/>
    <s v="Country"/>
    <x v="2"/>
    <s v="Germany"/>
    <s v="Offline"/>
    <s v="Offline"/>
    <n v="42020373352"/>
    <s v="U.S. Dollars (US$)"/>
  </r>
  <r>
    <x v="9"/>
    <s v="Country"/>
    <x v="2"/>
    <s v="Germany"/>
    <s v="Online"/>
    <s v="OTA"/>
    <n v="12206617658"/>
    <s v="U.S. Dollars (US$)"/>
  </r>
  <r>
    <x v="9"/>
    <s v="Country"/>
    <x v="2"/>
    <s v="Germany"/>
    <s v="Online"/>
    <s v="Online Supplier-Direct"/>
    <n v="20037432111"/>
    <s v="U.S. Dollars (US$)"/>
  </r>
  <r>
    <x v="9"/>
    <s v="Country"/>
    <x v="2"/>
    <s v="Italy"/>
    <s v="Offline"/>
    <s v="Offline"/>
    <n v="16821024271"/>
    <s v="U.S. Dollars (US$)"/>
  </r>
  <r>
    <x v="9"/>
    <s v="Country"/>
    <x v="2"/>
    <s v="Italy"/>
    <s v="Online"/>
    <s v="OTA"/>
    <n v="5793669200"/>
    <s v="U.S. Dollars (US$)"/>
  </r>
  <r>
    <x v="9"/>
    <s v="Country"/>
    <x v="2"/>
    <s v="Italy"/>
    <s v="Online"/>
    <s v="Online Supplier-Direct"/>
    <n v="5875271575"/>
    <s v="U.S. Dollars (US$)"/>
  </r>
  <r>
    <x v="9"/>
    <s v="Country"/>
    <x v="2"/>
    <s v="Rest of Europe"/>
    <s v="Offline"/>
    <s v="Offline"/>
    <n v="36556575764"/>
    <s v="U.S. Dollars (US$)"/>
  </r>
  <r>
    <x v="9"/>
    <s v="Country"/>
    <x v="2"/>
    <s v="Rest of Europe"/>
    <s v="Online"/>
    <s v="OTA"/>
    <n v="10609237815"/>
    <s v="U.S. Dollars (US$)"/>
  </r>
  <r>
    <x v="9"/>
    <s v="Country"/>
    <x v="2"/>
    <s v="Rest of Europe"/>
    <s v="Online"/>
    <s v="Online Supplier-Direct"/>
    <n v="21592442366"/>
    <s v="U.S. Dollars (US$)"/>
  </r>
  <r>
    <x v="9"/>
    <s v="Country"/>
    <x v="2"/>
    <s v="Scandinavia"/>
    <s v="Offline"/>
    <s v="Offline"/>
    <n v="10020241450"/>
    <s v="U.S. Dollars (US$)"/>
  </r>
  <r>
    <x v="9"/>
    <s v="Country"/>
    <x v="2"/>
    <s v="Scandinavia"/>
    <s v="Online"/>
    <s v="OTA"/>
    <n v="5110933096"/>
    <s v="U.S. Dollars (US$)"/>
  </r>
  <r>
    <x v="9"/>
    <s v="Country"/>
    <x v="2"/>
    <s v="Scandinavia"/>
    <s v="Online"/>
    <s v="Online Supplier-Direct"/>
    <n v="11387839253"/>
    <s v="U.S. Dollars (US$)"/>
  </r>
  <r>
    <x v="9"/>
    <s v="Country"/>
    <x v="2"/>
    <s v="Spain"/>
    <s v="Offline"/>
    <s v="Offline"/>
    <n v="18382349370"/>
    <s v="U.S. Dollars (US$)"/>
  </r>
  <r>
    <x v="9"/>
    <s v="Country"/>
    <x v="2"/>
    <s v="Spain"/>
    <s v="Online"/>
    <s v="OTA"/>
    <n v="7360039831"/>
    <s v="U.S. Dollars (US$)"/>
  </r>
  <r>
    <x v="9"/>
    <s v="Country"/>
    <x v="2"/>
    <s v="Spain"/>
    <s v="Online"/>
    <s v="Online Supplier-Direct"/>
    <n v="7281819832"/>
    <s v="U.S. Dollars (US$)"/>
  </r>
  <r>
    <x v="9"/>
    <s v="Country"/>
    <x v="2"/>
    <s v="U.K."/>
    <s v="Offline"/>
    <s v="Offline"/>
    <n v="21779212344"/>
    <s v="U.S. Dollars (US$)"/>
  </r>
  <r>
    <x v="9"/>
    <s v="Country"/>
    <x v="2"/>
    <s v="U.K."/>
    <s v="Online"/>
    <s v="OTA"/>
    <n v="11297524379"/>
    <s v="U.S. Dollars (US$)"/>
  </r>
  <r>
    <x v="9"/>
    <s v="Country"/>
    <x v="2"/>
    <s v="U.K."/>
    <s v="Online"/>
    <s v="Online Supplier-Direct"/>
    <n v="32829812389"/>
    <s v="U.S. Dollars (US$)"/>
  </r>
  <r>
    <x v="9"/>
    <s v="Country"/>
    <x v="3"/>
    <s v="Argentina"/>
    <s v="Offline"/>
    <s v="Offline"/>
    <n v="3071905115"/>
    <s v="U.S. Dollars (US$)"/>
  </r>
  <r>
    <x v="9"/>
    <s v="Country"/>
    <x v="3"/>
    <s v="Argentina"/>
    <s v="Online"/>
    <s v="OTA"/>
    <n v="740546338"/>
    <s v="U.S. Dollars (US$)"/>
  </r>
  <r>
    <x v="9"/>
    <s v="Country"/>
    <x v="3"/>
    <s v="Argentina"/>
    <s v="Online"/>
    <s v="Online Supplier-Direct"/>
    <n v="620312061"/>
    <s v="U.S. Dollars (US$)"/>
  </r>
  <r>
    <x v="9"/>
    <s v="Country"/>
    <x v="3"/>
    <s v="Brazil"/>
    <s v="Offline"/>
    <s v="Offline"/>
    <n v="10705833681"/>
    <s v="U.S. Dollars (US$)"/>
  </r>
  <r>
    <x v="9"/>
    <s v="Country"/>
    <x v="3"/>
    <s v="Brazil"/>
    <s v="Online"/>
    <s v="OTA"/>
    <n v="4379741278"/>
    <s v="U.S. Dollars (US$)"/>
  </r>
  <r>
    <x v="9"/>
    <s v="Country"/>
    <x v="3"/>
    <s v="Brazil"/>
    <s v="Online"/>
    <s v="Online Supplier-Direct"/>
    <n v="2903951176"/>
    <s v="U.S. Dollars (US$)"/>
  </r>
  <r>
    <x v="9"/>
    <s v="Country"/>
    <x v="3"/>
    <s v="Chile"/>
    <s v="Offline"/>
    <s v="Offline"/>
    <n v="3049332225"/>
    <s v="U.S. Dollars (US$)"/>
  </r>
  <r>
    <x v="9"/>
    <s v="Country"/>
    <x v="3"/>
    <s v="Chile"/>
    <s v="Online"/>
    <s v="OTA"/>
    <n v="938742408"/>
    <s v="U.S. Dollars (US$)"/>
  </r>
  <r>
    <x v="9"/>
    <s v="Country"/>
    <x v="3"/>
    <s v="Chile"/>
    <s v="Online"/>
    <s v="Online Supplier-Direct"/>
    <n v="980341615"/>
    <s v="U.S. Dollars (US$)"/>
  </r>
  <r>
    <x v="9"/>
    <s v="Country"/>
    <x v="3"/>
    <s v="Colombia"/>
    <s v="Offline"/>
    <s v="Offline"/>
    <n v="5185931035"/>
    <s v="U.S. Dollars (US$)"/>
  </r>
  <r>
    <x v="9"/>
    <s v="Country"/>
    <x v="3"/>
    <s v="Colombia"/>
    <s v="Online"/>
    <s v="OTA"/>
    <n v="1361848729"/>
    <s v="U.S. Dollars (US$)"/>
  </r>
  <r>
    <x v="9"/>
    <s v="Country"/>
    <x v="3"/>
    <s v="Colombia"/>
    <s v="Online"/>
    <s v="Online Supplier-Direct"/>
    <n v="1349268812"/>
    <s v="U.S. Dollars (US$)"/>
  </r>
  <r>
    <x v="9"/>
    <s v="Country"/>
    <x v="3"/>
    <s v="Mexico"/>
    <s v="Offline"/>
    <s v="Offline"/>
    <n v="14754897193"/>
    <s v="U.S. Dollars (US$)"/>
  </r>
  <r>
    <x v="9"/>
    <s v="Country"/>
    <x v="3"/>
    <s v="Mexico"/>
    <s v="Online"/>
    <s v="OTA"/>
    <n v="4731110497"/>
    <s v="U.S. Dollars (US$)"/>
  </r>
  <r>
    <x v="9"/>
    <s v="Country"/>
    <x v="3"/>
    <s v="Mexico"/>
    <s v="Online"/>
    <s v="Online Supplier-Direct"/>
    <n v="3626927587"/>
    <s v="U.S. Dollars (US$)"/>
  </r>
  <r>
    <x v="9"/>
    <s v="Country"/>
    <x v="4"/>
    <s v="Egypt"/>
    <s v="Offline"/>
    <s v="Offline"/>
    <n v="2960255446"/>
    <s v="U.S. Dollars (US$)"/>
  </r>
  <r>
    <x v="9"/>
    <s v="Country"/>
    <x v="4"/>
    <s v="Egypt"/>
    <s v="Online"/>
    <s v="OTA"/>
    <n v="371961132"/>
    <s v="U.S. Dollars (US$)"/>
  </r>
  <r>
    <x v="9"/>
    <s v="Country"/>
    <x v="4"/>
    <s v="Egypt"/>
    <s v="Online"/>
    <s v="Online Supplier-Direct"/>
    <n v="294682994"/>
    <s v="U.S. Dollars (US$)"/>
  </r>
  <r>
    <x v="9"/>
    <s v="Country"/>
    <x v="4"/>
    <s v="Qatar"/>
    <s v="Offline"/>
    <s v="Offline"/>
    <n v="7604605210"/>
    <s v="U.S. Dollars (US$)"/>
  </r>
  <r>
    <x v="9"/>
    <s v="Country"/>
    <x v="4"/>
    <s v="Qatar"/>
    <s v="Online"/>
    <s v="OTA"/>
    <n v="933986432"/>
    <s v="U.S. Dollars (US$)"/>
  </r>
  <r>
    <x v="9"/>
    <s v="Country"/>
    <x v="4"/>
    <s v="Qatar"/>
    <s v="Online"/>
    <s v="Online Supplier-Direct"/>
    <n v="2193384102"/>
    <s v="U.S. Dollars (US$)"/>
  </r>
  <r>
    <x v="9"/>
    <s v="Country"/>
    <x v="4"/>
    <s v="Rest of Middle East"/>
    <s v="Offline"/>
    <s v="Offline"/>
    <n v="7963278090"/>
    <s v="U.S. Dollars (US$)"/>
  </r>
  <r>
    <x v="9"/>
    <s v="Country"/>
    <x v="4"/>
    <s v="Rest of Middle East"/>
    <s v="Online"/>
    <s v="OTA"/>
    <n v="1628116287"/>
    <s v="U.S. Dollars (US$)"/>
  </r>
  <r>
    <x v="9"/>
    <s v="Country"/>
    <x v="4"/>
    <s v="Rest of Middle East"/>
    <s v="Online"/>
    <s v="Online Supplier-Direct"/>
    <n v="1548421041"/>
    <s v="U.S. Dollars (US$)"/>
  </r>
  <r>
    <x v="9"/>
    <s v="Country"/>
    <x v="4"/>
    <s v="Saudi Arabia"/>
    <s v="Offline"/>
    <s v="Offline"/>
    <n v="9706372296"/>
    <s v="U.S. Dollars (US$)"/>
  </r>
  <r>
    <x v="9"/>
    <s v="Country"/>
    <x v="4"/>
    <s v="Saudi Arabia"/>
    <s v="Online"/>
    <s v="OTA"/>
    <n v="2133936960"/>
    <s v="U.S. Dollars (US$)"/>
  </r>
  <r>
    <x v="9"/>
    <s v="Country"/>
    <x v="4"/>
    <s v="Saudi Arabia"/>
    <s v="Online"/>
    <s v="Online Supplier-Direct"/>
    <n v="2738521446"/>
    <s v="U.S. Dollars (US$)"/>
  </r>
  <r>
    <x v="9"/>
    <s v="Country"/>
    <x v="4"/>
    <s v="U.A.E."/>
    <s v="Offline"/>
    <s v="Offline"/>
    <n v="24631176107"/>
    <s v="U.S. Dollars (US$)"/>
  </r>
  <r>
    <x v="9"/>
    <s v="Country"/>
    <x v="4"/>
    <s v="U.A.E."/>
    <s v="Online"/>
    <s v="OTA"/>
    <n v="4744170829"/>
    <s v="U.S. Dollars (US$)"/>
  </r>
  <r>
    <x v="9"/>
    <s v="Country"/>
    <x v="4"/>
    <s v="U.A.E."/>
    <s v="Online"/>
    <s v="Online Supplier-Direct"/>
    <n v="9139142044"/>
    <s v="U.S. Dollars (US$)"/>
  </r>
  <r>
    <x v="9"/>
    <s v="Country"/>
    <x v="5"/>
    <s v="Canada"/>
    <s v="Central"/>
    <s v="Central Reservation"/>
    <n v="8711046143"/>
    <s v="U.S. Dollars (US$)"/>
  </r>
  <r>
    <x v="9"/>
    <s v="Country"/>
    <x v="5"/>
    <s v="Canada"/>
    <s v="Offline"/>
    <s v="Travel Agency/TMC"/>
    <n v="10217505852"/>
    <s v="U.S. Dollars (US$)"/>
  </r>
  <r>
    <x v="9"/>
    <s v="Country"/>
    <x v="5"/>
    <s v="Canada"/>
    <s v="Online"/>
    <s v="OTA"/>
    <n v="8039227733"/>
    <s v="U.S. Dollars (US$)"/>
  </r>
  <r>
    <x v="9"/>
    <s v="Country"/>
    <x v="5"/>
    <s v="Canada"/>
    <s v="Online"/>
    <s v="Online Supplier-Direct"/>
    <n v="11094265479"/>
    <s v="U.S. Dollars (US$)"/>
  </r>
  <r>
    <x v="9"/>
    <s v="Country"/>
    <x v="5"/>
    <s v="U.S."/>
    <s v="Central"/>
    <s v="Central Reservation"/>
    <n v="87909936323"/>
    <s v="U.S. Dollars (US$)"/>
  </r>
  <r>
    <x v="9"/>
    <s v="Country"/>
    <x v="5"/>
    <s v="U.S."/>
    <s v="Offline"/>
    <s v="Travel Agency/TMC"/>
    <n v="103996694371"/>
    <s v="U.S. Dollars (US$)"/>
  </r>
  <r>
    <x v="9"/>
    <s v="Country"/>
    <x v="5"/>
    <s v="U.S."/>
    <s v="Online"/>
    <s v="OTA"/>
    <n v="72428000000"/>
    <s v="U.S. Dollars (US$)"/>
  </r>
  <r>
    <x v="9"/>
    <s v="Country"/>
    <x v="5"/>
    <s v="U.S."/>
    <s v="Online"/>
    <s v="Online Supplier-Direct"/>
    <n v="126388787869"/>
    <s v="U.S. Dollars (US$)"/>
  </r>
  <r>
    <x v="10"/>
    <s v="Country"/>
    <x v="0"/>
    <s v="Australia-New Zealand"/>
    <s v="Offline"/>
    <s v="Offline"/>
    <n v="17524351863"/>
    <s v="U.S. Dollars (US$)"/>
  </r>
  <r>
    <x v="10"/>
    <s v="Country"/>
    <x v="0"/>
    <s v="Australia-New Zealand"/>
    <s v="Online"/>
    <s v="OTA"/>
    <n v="4675775627"/>
    <s v="U.S. Dollars (US$)"/>
  </r>
  <r>
    <x v="10"/>
    <s v="Country"/>
    <x v="0"/>
    <s v="Australia-New Zealand"/>
    <s v="Online"/>
    <s v="Online Supplier-Direct"/>
    <n v="10037010870"/>
    <s v="U.S. Dollars (US$)"/>
  </r>
  <r>
    <x v="10"/>
    <s v="Country"/>
    <x v="0"/>
    <s v="China"/>
    <s v="Offline"/>
    <s v="Offline"/>
    <n v="78451264948"/>
    <s v="U.S. Dollars (US$)"/>
  </r>
  <r>
    <x v="10"/>
    <s v="Country"/>
    <x v="0"/>
    <s v="China"/>
    <s v="Online"/>
    <s v="OTA"/>
    <n v="53030253496"/>
    <s v="U.S. Dollars (US$)"/>
  </r>
  <r>
    <x v="10"/>
    <s v="Country"/>
    <x v="0"/>
    <s v="China"/>
    <s v="Online"/>
    <s v="Online Supplier-Direct"/>
    <n v="43565300466"/>
    <s v="U.S. Dollars (US$)"/>
  </r>
  <r>
    <x v="10"/>
    <s v="Country"/>
    <x v="0"/>
    <s v="Hong Kong"/>
    <s v="Offline"/>
    <s v="Offline"/>
    <n v="10030665758"/>
    <s v="U.S. Dollars (US$)"/>
  </r>
  <r>
    <x v="10"/>
    <s v="Country"/>
    <x v="0"/>
    <s v="Hong Kong"/>
    <s v="Online"/>
    <s v="OTA"/>
    <n v="1115721836"/>
    <s v="U.S. Dollars (US$)"/>
  </r>
  <r>
    <x v="10"/>
    <s v="Country"/>
    <x v="0"/>
    <s v="Hong Kong"/>
    <s v="Online"/>
    <s v="Online Supplier-Direct"/>
    <n v="1535244594"/>
    <s v="U.S. Dollars (US$)"/>
  </r>
  <r>
    <x v="10"/>
    <s v="Country"/>
    <x v="0"/>
    <s v="India"/>
    <s v="Offline"/>
    <s v="Offline"/>
    <n v="17826194918"/>
    <s v="U.S. Dollars (US$)"/>
  </r>
  <r>
    <x v="10"/>
    <s v="Country"/>
    <x v="0"/>
    <s v="India"/>
    <s v="Online"/>
    <s v="OTA"/>
    <n v="7515165738"/>
    <s v="U.S. Dollars (US$)"/>
  </r>
  <r>
    <x v="10"/>
    <s v="Country"/>
    <x v="0"/>
    <s v="India"/>
    <s v="Online"/>
    <s v="Online Supplier-Direct"/>
    <n v="7219108297"/>
    <s v="U.S. Dollars (US$)"/>
  </r>
  <r>
    <x v="10"/>
    <s v="Country"/>
    <x v="0"/>
    <s v="Indonesia"/>
    <s v="Offline"/>
    <s v="Offline"/>
    <n v="8841228798"/>
    <s v="U.S. Dollars (US$)"/>
  </r>
  <r>
    <x v="10"/>
    <s v="Country"/>
    <x v="0"/>
    <s v="Indonesia"/>
    <s v="Online"/>
    <s v="OTA"/>
    <n v="3615955224"/>
    <s v="U.S. Dollars (US$)"/>
  </r>
  <r>
    <x v="10"/>
    <s v="Country"/>
    <x v="0"/>
    <s v="Indonesia"/>
    <s v="Online"/>
    <s v="Online Supplier-Direct"/>
    <n v="1971433934"/>
    <s v="U.S. Dollars (US$)"/>
  </r>
  <r>
    <x v="10"/>
    <s v="Country"/>
    <x v="0"/>
    <s v="Japan"/>
    <s v="Offline"/>
    <s v="Offline"/>
    <n v="60992081051"/>
    <s v="U.S. Dollars (US$)"/>
  </r>
  <r>
    <x v="10"/>
    <s v="Country"/>
    <x v="0"/>
    <s v="Japan"/>
    <s v="Online"/>
    <s v="OTA"/>
    <n v="19299656154"/>
    <s v="U.S. Dollars (US$)"/>
  </r>
  <r>
    <x v="10"/>
    <s v="Country"/>
    <x v="0"/>
    <s v="Japan"/>
    <s v="Online"/>
    <s v="Online Supplier-Direct"/>
    <n v="27922055383"/>
    <s v="U.S. Dollars (US$)"/>
  </r>
  <r>
    <x v="10"/>
    <s v="Country"/>
    <x v="0"/>
    <s v="Macau"/>
    <s v="Offline"/>
    <s v="Offline"/>
    <n v="1409317030"/>
    <s v="U.S. Dollars (US$)"/>
  </r>
  <r>
    <x v="10"/>
    <s v="Country"/>
    <x v="0"/>
    <s v="Macau"/>
    <s v="Online"/>
    <s v="OTA"/>
    <n v="595329679"/>
    <s v="U.S. Dollars (US$)"/>
  </r>
  <r>
    <x v="10"/>
    <s v="Country"/>
    <x v="0"/>
    <s v="Macau"/>
    <s v="Online"/>
    <s v="Online Supplier-Direct"/>
    <n v="130682125"/>
    <s v="U.S. Dollars (US$)"/>
  </r>
  <r>
    <x v="10"/>
    <s v="Country"/>
    <x v="0"/>
    <s v="Malaysia"/>
    <s v="Offline"/>
    <s v="Offline"/>
    <n v="5144269678"/>
    <s v="U.S. Dollars (US$)"/>
  </r>
  <r>
    <x v="10"/>
    <s v="Country"/>
    <x v="0"/>
    <s v="Malaysia"/>
    <s v="Online"/>
    <s v="OTA"/>
    <n v="1533652890"/>
    <s v="U.S. Dollars (US$)"/>
  </r>
  <r>
    <x v="10"/>
    <s v="Country"/>
    <x v="0"/>
    <s v="Malaysia"/>
    <s v="Online"/>
    <s v="Online Supplier-Direct"/>
    <n v="2659292932"/>
    <s v="U.S. Dollars (US$)"/>
  </r>
  <r>
    <x v="10"/>
    <s v="Country"/>
    <x v="0"/>
    <s v="Singapore"/>
    <s v="Offline"/>
    <s v="Offline"/>
    <n v="7356876351"/>
    <s v="U.S. Dollars (US$)"/>
  </r>
  <r>
    <x v="10"/>
    <s v="Country"/>
    <x v="0"/>
    <s v="Singapore"/>
    <s v="Online"/>
    <s v="OTA"/>
    <n v="1679916197"/>
    <s v="U.S. Dollars (US$)"/>
  </r>
  <r>
    <x v="10"/>
    <s v="Country"/>
    <x v="0"/>
    <s v="Singapore"/>
    <s v="Online"/>
    <s v="Online Supplier-Direct"/>
    <n v="3965185075"/>
    <s v="U.S. Dollars (US$)"/>
  </r>
  <r>
    <x v="10"/>
    <s v="Country"/>
    <x v="0"/>
    <s v="South Korea"/>
    <s v="Offline"/>
    <s v="Offline"/>
    <n v="10571229986"/>
    <s v="U.S. Dollars (US$)"/>
  </r>
  <r>
    <x v="10"/>
    <s v="Country"/>
    <x v="0"/>
    <s v="South Korea"/>
    <s v="Online"/>
    <s v="OTA"/>
    <n v="2712671877"/>
    <s v="U.S. Dollars (US$)"/>
  </r>
  <r>
    <x v="10"/>
    <s v="Country"/>
    <x v="0"/>
    <s v="South Korea"/>
    <s v="Online"/>
    <s v="Online Supplier-Direct"/>
    <n v="5958544225"/>
    <s v="U.S. Dollars (US$)"/>
  </r>
  <r>
    <x v="10"/>
    <s v="Country"/>
    <x v="0"/>
    <s v="Taiwan"/>
    <s v="Offline"/>
    <s v="Offline"/>
    <n v="8241041432"/>
    <s v="U.S. Dollars (US$)"/>
  </r>
  <r>
    <x v="10"/>
    <s v="Country"/>
    <x v="0"/>
    <s v="Taiwan"/>
    <s v="Online"/>
    <s v="OTA"/>
    <n v="1129478730"/>
    <s v="U.S. Dollars (US$)"/>
  </r>
  <r>
    <x v="10"/>
    <s v="Country"/>
    <x v="0"/>
    <s v="Taiwan"/>
    <s v="Online"/>
    <s v="Online Supplier-Direct"/>
    <n v="2400621498"/>
    <s v="U.S. Dollars (US$)"/>
  </r>
  <r>
    <x v="10"/>
    <s v="Country"/>
    <x v="0"/>
    <s v="Thailand"/>
    <s v="Offline"/>
    <s v="Offline"/>
    <n v="10846513162"/>
    <s v="U.S. Dollars (US$)"/>
  </r>
  <r>
    <x v="10"/>
    <s v="Country"/>
    <x v="0"/>
    <s v="Thailand"/>
    <s v="Online"/>
    <s v="OTA"/>
    <n v="3825978515"/>
    <s v="U.S. Dollars (US$)"/>
  </r>
  <r>
    <x v="10"/>
    <s v="Country"/>
    <x v="0"/>
    <s v="Thailand"/>
    <s v="Online"/>
    <s v="Online Supplier-Direct"/>
    <n v="2365734571"/>
    <s v="U.S. Dollars (US$)"/>
  </r>
  <r>
    <x v="10"/>
    <s v="Country"/>
    <x v="1"/>
    <s v="Bulgaria"/>
    <s v="Offline"/>
    <s v="Offline"/>
    <n v="829012464"/>
    <s v="U.S. Dollars (US$)"/>
  </r>
  <r>
    <x v="10"/>
    <s v="Country"/>
    <x v="1"/>
    <s v="Bulgaria"/>
    <s v="Online"/>
    <s v="OTA"/>
    <n v="282529093"/>
    <s v="U.S. Dollars (US$)"/>
  </r>
  <r>
    <x v="10"/>
    <s v="Country"/>
    <x v="1"/>
    <s v="Bulgaria"/>
    <s v="Online"/>
    <s v="Online Supplier-Direct"/>
    <n v="115902610"/>
    <s v="U.S. Dollars (US$)"/>
  </r>
  <r>
    <x v="10"/>
    <s v="Country"/>
    <x v="1"/>
    <s v="Czech Republic"/>
    <s v="Offline"/>
    <s v="Offline"/>
    <n v="1687677623"/>
    <s v="U.S. Dollars (US$)"/>
  </r>
  <r>
    <x v="10"/>
    <s v="Country"/>
    <x v="1"/>
    <s v="Czech Republic"/>
    <s v="Online"/>
    <s v="OTA"/>
    <n v="798489924"/>
    <s v="U.S. Dollars (US$)"/>
  </r>
  <r>
    <x v="10"/>
    <s v="Country"/>
    <x v="1"/>
    <s v="Czech Republic"/>
    <s v="Online"/>
    <s v="Online Supplier-Direct"/>
    <n v="1189083659"/>
    <s v="U.S. Dollars (US$)"/>
  </r>
  <r>
    <x v="10"/>
    <s v="Country"/>
    <x v="1"/>
    <s v="Greece"/>
    <s v="Offline"/>
    <s v="Offline"/>
    <n v="3661519557"/>
    <s v="U.S. Dollars (US$)"/>
  </r>
  <r>
    <x v="10"/>
    <s v="Country"/>
    <x v="1"/>
    <s v="Greece"/>
    <s v="Online"/>
    <s v="OTA"/>
    <n v="1344107542"/>
    <s v="U.S. Dollars (US$)"/>
  </r>
  <r>
    <x v="10"/>
    <s v="Country"/>
    <x v="1"/>
    <s v="Greece"/>
    <s v="Online"/>
    <s v="Online Supplier-Direct"/>
    <n v="836067045"/>
    <s v="U.S. Dollars (US$)"/>
  </r>
  <r>
    <x v="10"/>
    <s v="Country"/>
    <x v="1"/>
    <s v="Hungary"/>
    <s v="Offline"/>
    <s v="Offline"/>
    <n v="918332368"/>
    <s v="U.S. Dollars (US$)"/>
  </r>
  <r>
    <x v="10"/>
    <s v="Country"/>
    <x v="1"/>
    <s v="Hungary"/>
    <s v="Online"/>
    <s v="OTA"/>
    <n v="444622070"/>
    <s v="U.S. Dollars (US$)"/>
  </r>
  <r>
    <x v="10"/>
    <s v="Country"/>
    <x v="1"/>
    <s v="Hungary"/>
    <s v="Online"/>
    <s v="Online Supplier-Direct"/>
    <n v="3193403932"/>
    <s v="U.S. Dollars (US$)"/>
  </r>
  <r>
    <x v="10"/>
    <s v="Country"/>
    <x v="1"/>
    <s v="Poland"/>
    <s v="Offline"/>
    <s v="Offline"/>
    <n v="2828078750"/>
    <s v="U.S. Dollars (US$)"/>
  </r>
  <r>
    <x v="10"/>
    <s v="Country"/>
    <x v="1"/>
    <s v="Poland"/>
    <s v="Online"/>
    <s v="OTA"/>
    <n v="1060439907"/>
    <s v="U.S. Dollars (US$)"/>
  </r>
  <r>
    <x v="10"/>
    <s v="Country"/>
    <x v="1"/>
    <s v="Poland"/>
    <s v="Online"/>
    <s v="Online Supplier-Direct"/>
    <n v="1002333516"/>
    <s v="U.S. Dollars (US$)"/>
  </r>
  <r>
    <x v="10"/>
    <s v="Country"/>
    <x v="1"/>
    <s v="Rest of Eastern Europe"/>
    <s v="Offline"/>
    <s v="Offline"/>
    <n v="1049086015"/>
    <s v="U.S. Dollars (US$)"/>
  </r>
  <r>
    <x v="10"/>
    <s v="Country"/>
    <x v="1"/>
    <s v="Rest of Eastern Europe"/>
    <s v="Online"/>
    <s v="OTA"/>
    <n v="439394444"/>
    <s v="U.S. Dollars (US$)"/>
  </r>
  <r>
    <x v="10"/>
    <s v="Country"/>
    <x v="1"/>
    <s v="Rest of Eastern Europe"/>
    <s v="Online"/>
    <s v="Online Supplier-Direct"/>
    <n v="597422628"/>
    <s v="U.S. Dollars (US$)"/>
  </r>
  <r>
    <x v="10"/>
    <s v="Country"/>
    <x v="1"/>
    <s v="Romania"/>
    <s v="Offline"/>
    <s v="Offline"/>
    <n v="1232655508"/>
    <s v="U.S. Dollars (US$)"/>
  </r>
  <r>
    <x v="10"/>
    <s v="Country"/>
    <x v="1"/>
    <s v="Romania"/>
    <s v="Online"/>
    <s v="OTA"/>
    <n v="404404684"/>
    <s v="U.S. Dollars (US$)"/>
  </r>
  <r>
    <x v="10"/>
    <s v="Country"/>
    <x v="1"/>
    <s v="Romania"/>
    <s v="Online"/>
    <s v="Online Supplier-Direct"/>
    <n v="192231941"/>
    <s v="U.S. Dollars (US$)"/>
  </r>
  <r>
    <x v="10"/>
    <s v="Country"/>
    <x v="1"/>
    <s v="Russia"/>
    <s v="Offline"/>
    <s v="Offline"/>
    <n v="22825228796"/>
    <s v="U.S. Dollars (US$)"/>
  </r>
  <r>
    <x v="10"/>
    <s v="Country"/>
    <x v="1"/>
    <s v="Russia"/>
    <s v="Online"/>
    <s v="OTA"/>
    <n v="5353171471"/>
    <s v="U.S. Dollars (US$)"/>
  </r>
  <r>
    <x v="10"/>
    <s v="Country"/>
    <x v="1"/>
    <s v="Russia"/>
    <s v="Online"/>
    <s v="Online Supplier-Direct"/>
    <n v="8532453800"/>
    <s v="U.S. Dollars (US$)"/>
  </r>
  <r>
    <x v="10"/>
    <s v="Country"/>
    <x v="1"/>
    <s v="Ukraine"/>
    <s v="Offline"/>
    <s v="Offline"/>
    <n v="1679201182"/>
    <s v="U.S. Dollars (US$)"/>
  </r>
  <r>
    <x v="10"/>
    <s v="Country"/>
    <x v="1"/>
    <s v="Ukraine"/>
    <s v="Online"/>
    <s v="OTA"/>
    <n v="363028117"/>
    <s v="U.S. Dollars (US$)"/>
  </r>
  <r>
    <x v="10"/>
    <s v="Country"/>
    <x v="1"/>
    <s v="Ukraine"/>
    <s v="Online"/>
    <s v="Online Supplier-Direct"/>
    <n v="524039478"/>
    <s v="U.S. Dollars (US$)"/>
  </r>
  <r>
    <x v="10"/>
    <s v="Country"/>
    <x v="2"/>
    <s v="France"/>
    <s v="Offline"/>
    <s v="Offline"/>
    <n v="29652758692"/>
    <s v="U.S. Dollars (US$)"/>
  </r>
  <r>
    <x v="10"/>
    <s v="Country"/>
    <x v="2"/>
    <s v="France"/>
    <s v="Online"/>
    <s v="OTA"/>
    <n v="7088955354"/>
    <s v="U.S. Dollars (US$)"/>
  </r>
  <r>
    <x v="10"/>
    <s v="Country"/>
    <x v="2"/>
    <s v="France"/>
    <s v="Online"/>
    <s v="Online Supplier-Direct"/>
    <n v="18308550640"/>
    <s v="U.S. Dollars (US$)"/>
  </r>
  <r>
    <x v="10"/>
    <s v="Country"/>
    <x v="2"/>
    <s v="Germany"/>
    <s v="Offline"/>
    <s v="Offline"/>
    <n v="36509533759"/>
    <s v="U.S. Dollars (US$)"/>
  </r>
  <r>
    <x v="10"/>
    <s v="Country"/>
    <x v="2"/>
    <s v="Germany"/>
    <s v="Online"/>
    <s v="OTA"/>
    <n v="14280455390"/>
    <s v="U.S. Dollars (US$)"/>
  </r>
  <r>
    <x v="10"/>
    <s v="Country"/>
    <x v="2"/>
    <s v="Germany"/>
    <s v="Online"/>
    <s v="Online Supplier-Direct"/>
    <n v="20914919763"/>
    <s v="U.S. Dollars (US$)"/>
  </r>
  <r>
    <x v="10"/>
    <s v="Country"/>
    <x v="2"/>
    <s v="Italy"/>
    <s v="Offline"/>
    <s v="Offline"/>
    <n v="15554866889"/>
    <s v="U.S. Dollars (US$)"/>
  </r>
  <r>
    <x v="10"/>
    <s v="Country"/>
    <x v="2"/>
    <s v="Italy"/>
    <s v="Online"/>
    <s v="OTA"/>
    <n v="5582040505"/>
    <s v="U.S. Dollars (US$)"/>
  </r>
  <r>
    <x v="10"/>
    <s v="Country"/>
    <x v="2"/>
    <s v="Italy"/>
    <s v="Online"/>
    <s v="Online Supplier-Direct"/>
    <n v="6087702408"/>
    <s v="U.S. Dollars (US$)"/>
  </r>
  <r>
    <x v="10"/>
    <s v="Country"/>
    <x v="2"/>
    <s v="Rest of Europe"/>
    <s v="Offline"/>
    <s v="Offline"/>
    <n v="32377290783"/>
    <s v="U.S. Dollars (US$)"/>
  </r>
  <r>
    <x v="10"/>
    <s v="Country"/>
    <x v="2"/>
    <s v="Rest of Europe"/>
    <s v="Online"/>
    <s v="OTA"/>
    <n v="10483273630"/>
    <s v="U.S. Dollars (US$)"/>
  </r>
  <r>
    <x v="10"/>
    <s v="Country"/>
    <x v="2"/>
    <s v="Rest of Europe"/>
    <s v="Online"/>
    <s v="Online Supplier-Direct"/>
    <n v="24361823119"/>
    <s v="U.S. Dollars (US$)"/>
  </r>
  <r>
    <x v="10"/>
    <s v="Country"/>
    <x v="2"/>
    <s v="Scandinavia"/>
    <s v="Offline"/>
    <s v="Offline"/>
    <n v="6428196829"/>
    <s v="U.S. Dollars (US$)"/>
  </r>
  <r>
    <x v="10"/>
    <s v="Country"/>
    <x v="2"/>
    <s v="Scandinavia"/>
    <s v="Online"/>
    <s v="OTA"/>
    <n v="4002104846"/>
    <s v="U.S. Dollars (US$)"/>
  </r>
  <r>
    <x v="10"/>
    <s v="Country"/>
    <x v="2"/>
    <s v="Scandinavia"/>
    <s v="Online"/>
    <s v="Online Supplier-Direct"/>
    <n v="10765556097"/>
    <s v="U.S. Dollars (US$)"/>
  </r>
  <r>
    <x v="10"/>
    <s v="Country"/>
    <x v="2"/>
    <s v="Spain"/>
    <s v="Offline"/>
    <s v="Offline"/>
    <n v="18056256570"/>
    <s v="U.S. Dollars (US$)"/>
  </r>
  <r>
    <x v="10"/>
    <s v="Country"/>
    <x v="2"/>
    <s v="Spain"/>
    <s v="Online"/>
    <s v="OTA"/>
    <n v="7425131412"/>
    <s v="U.S. Dollars (US$)"/>
  </r>
  <r>
    <x v="10"/>
    <s v="Country"/>
    <x v="2"/>
    <s v="Spain"/>
    <s v="Online"/>
    <s v="Online Supplier-Direct"/>
    <n v="7699613413"/>
    <s v="U.S. Dollars (US$)"/>
  </r>
  <r>
    <x v="10"/>
    <s v="Country"/>
    <x v="2"/>
    <s v="U.K."/>
    <s v="Offline"/>
    <s v="Offline"/>
    <n v="16486360496"/>
    <s v="U.S. Dollars (US$)"/>
  </r>
  <r>
    <x v="10"/>
    <s v="Country"/>
    <x v="2"/>
    <s v="U.K."/>
    <s v="Online"/>
    <s v="OTA"/>
    <n v="10081862465"/>
    <s v="U.S. Dollars (US$)"/>
  </r>
  <r>
    <x v="10"/>
    <s v="Country"/>
    <x v="2"/>
    <s v="U.K."/>
    <s v="Online"/>
    <s v="Online Supplier-Direct"/>
    <n v="34328014040"/>
    <s v="U.S. Dollars (US$)"/>
  </r>
  <r>
    <x v="10"/>
    <s v="Country"/>
    <x v="3"/>
    <s v="Argentina"/>
    <s v="Offline"/>
    <s v="Offline"/>
    <n v="3380562040"/>
    <s v="U.S. Dollars (US$)"/>
  </r>
  <r>
    <x v="10"/>
    <s v="Country"/>
    <x v="3"/>
    <s v="Argentina"/>
    <s v="Online"/>
    <s v="OTA"/>
    <n v="906249730"/>
    <s v="U.S. Dollars (US$)"/>
  </r>
  <r>
    <x v="10"/>
    <s v="Country"/>
    <x v="3"/>
    <s v="Argentina"/>
    <s v="Online"/>
    <s v="Online Supplier-Direct"/>
    <n v="650813191"/>
    <s v="U.S. Dollars (US$)"/>
  </r>
  <r>
    <x v="10"/>
    <s v="Country"/>
    <x v="3"/>
    <s v="Brazil"/>
    <s v="Offline"/>
    <s v="Offline"/>
    <n v="10906134348"/>
    <s v="U.S. Dollars (US$)"/>
  </r>
  <r>
    <x v="10"/>
    <s v="Country"/>
    <x v="3"/>
    <s v="Brazil"/>
    <s v="Online"/>
    <s v="OTA"/>
    <n v="4935636030"/>
    <s v="U.S. Dollars (US$)"/>
  </r>
  <r>
    <x v="10"/>
    <s v="Country"/>
    <x v="3"/>
    <s v="Brazil"/>
    <s v="Online"/>
    <s v="Online Supplier-Direct"/>
    <n v="3278838812"/>
    <s v="U.S. Dollars (US$)"/>
  </r>
  <r>
    <x v="10"/>
    <s v="Country"/>
    <x v="3"/>
    <s v="Chile"/>
    <s v="Offline"/>
    <s v="Offline"/>
    <n v="2752406165"/>
    <s v="U.S. Dollars (US$)"/>
  </r>
  <r>
    <x v="10"/>
    <s v="Country"/>
    <x v="3"/>
    <s v="Chile"/>
    <s v="Online"/>
    <s v="OTA"/>
    <n v="937240081"/>
    <s v="U.S. Dollars (US$)"/>
  </r>
  <r>
    <x v="10"/>
    <s v="Country"/>
    <x v="3"/>
    <s v="Chile"/>
    <s v="Online"/>
    <s v="Online Supplier-Direct"/>
    <n v="943497548"/>
    <s v="U.S. Dollars (US$)"/>
  </r>
  <r>
    <x v="10"/>
    <s v="Country"/>
    <x v="3"/>
    <s v="Colombia"/>
    <s v="Offline"/>
    <s v="Offline"/>
    <n v="5212880100"/>
    <s v="U.S. Dollars (US$)"/>
  </r>
  <r>
    <x v="10"/>
    <s v="Country"/>
    <x v="3"/>
    <s v="Colombia"/>
    <s v="Online"/>
    <s v="OTA"/>
    <n v="1620256838"/>
    <s v="U.S. Dollars (US$)"/>
  </r>
  <r>
    <x v="10"/>
    <s v="Country"/>
    <x v="3"/>
    <s v="Colombia"/>
    <s v="Online"/>
    <s v="Online Supplier-Direct"/>
    <n v="1444466327"/>
    <s v="U.S. Dollars (US$)"/>
  </r>
  <r>
    <x v="10"/>
    <s v="Country"/>
    <x v="3"/>
    <s v="Mexico"/>
    <s v="Offline"/>
    <s v="Offline"/>
    <n v="15381702672"/>
    <s v="U.S. Dollars (US$)"/>
  </r>
  <r>
    <x v="10"/>
    <s v="Country"/>
    <x v="3"/>
    <s v="Mexico"/>
    <s v="Online"/>
    <s v="OTA"/>
    <n v="4919433828"/>
    <s v="U.S. Dollars (US$)"/>
  </r>
  <r>
    <x v="10"/>
    <s v="Country"/>
    <x v="3"/>
    <s v="Mexico"/>
    <s v="Online"/>
    <s v="Online Supplier-Direct"/>
    <n v="4058362906"/>
    <s v="U.S. Dollars (US$)"/>
  </r>
  <r>
    <x v="10"/>
    <s v="Country"/>
    <x v="4"/>
    <s v="Egypt"/>
    <s v="Offline"/>
    <s v="Offline"/>
    <n v="3236888074"/>
    <s v="U.S. Dollars (US$)"/>
  </r>
  <r>
    <x v="10"/>
    <s v="Country"/>
    <x v="4"/>
    <s v="Egypt"/>
    <s v="Online"/>
    <s v="OTA"/>
    <n v="520609994"/>
    <s v="U.S. Dollars (US$)"/>
  </r>
  <r>
    <x v="10"/>
    <s v="Country"/>
    <x v="4"/>
    <s v="Egypt"/>
    <s v="Online"/>
    <s v="Online Supplier-Direct"/>
    <n v="534502429"/>
    <s v="U.S. Dollars (US$)"/>
  </r>
  <r>
    <x v="10"/>
    <s v="Country"/>
    <x v="4"/>
    <s v="Qatar"/>
    <s v="Offline"/>
    <s v="Offline"/>
    <n v="7660683228"/>
    <s v="U.S. Dollars (US$)"/>
  </r>
  <r>
    <x v="10"/>
    <s v="Country"/>
    <x v="4"/>
    <s v="Qatar"/>
    <s v="Online"/>
    <s v="OTA"/>
    <n v="1024416277"/>
    <s v="U.S. Dollars (US$)"/>
  </r>
  <r>
    <x v="10"/>
    <s v="Country"/>
    <x v="4"/>
    <s v="Qatar"/>
    <s v="Online"/>
    <s v="Online Supplier-Direct"/>
    <n v="2717049760"/>
    <s v="U.S. Dollars (US$)"/>
  </r>
  <r>
    <x v="10"/>
    <s v="Country"/>
    <x v="4"/>
    <s v="Rest of Middle East"/>
    <s v="Offline"/>
    <s v="Offline"/>
    <n v="8332915478"/>
    <s v="U.S. Dollars (US$)"/>
  </r>
  <r>
    <x v="10"/>
    <s v="Country"/>
    <x v="4"/>
    <s v="Rest of Middle East"/>
    <s v="Online"/>
    <s v="OTA"/>
    <n v="1931510115"/>
    <s v="U.S. Dollars (US$)"/>
  </r>
  <r>
    <x v="10"/>
    <s v="Country"/>
    <x v="4"/>
    <s v="Rest of Middle East"/>
    <s v="Online"/>
    <s v="Online Supplier-Direct"/>
    <n v="1936412930"/>
    <s v="U.S. Dollars (US$)"/>
  </r>
  <r>
    <x v="10"/>
    <s v="Country"/>
    <x v="4"/>
    <s v="Saudi Arabia"/>
    <s v="Offline"/>
    <s v="Offline"/>
    <n v="10276922655"/>
    <s v="U.S. Dollars (US$)"/>
  </r>
  <r>
    <x v="10"/>
    <s v="Country"/>
    <x v="4"/>
    <s v="Saudi Arabia"/>
    <s v="Online"/>
    <s v="OTA"/>
    <n v="2594804519"/>
    <s v="U.S. Dollars (US$)"/>
  </r>
  <r>
    <x v="10"/>
    <s v="Country"/>
    <x v="4"/>
    <s v="Saudi Arabia"/>
    <s v="Online"/>
    <s v="Online Supplier-Direct"/>
    <n v="3354380764"/>
    <s v="U.S. Dollars (US$)"/>
  </r>
  <r>
    <x v="10"/>
    <s v="Country"/>
    <x v="4"/>
    <s v="U.A.E."/>
    <s v="Offline"/>
    <s v="Offline"/>
    <n v="23479798040"/>
    <s v="U.S. Dollars (US$)"/>
  </r>
  <r>
    <x v="10"/>
    <s v="Country"/>
    <x v="4"/>
    <s v="U.A.E."/>
    <s v="Online"/>
    <s v="OTA"/>
    <n v="4805320803"/>
    <s v="U.S. Dollars (US$)"/>
  </r>
  <r>
    <x v="10"/>
    <s v="Country"/>
    <x v="4"/>
    <s v="U.A.E."/>
    <s v="Online"/>
    <s v="Online Supplier-Direct"/>
    <n v="9600296520"/>
    <s v="U.S. Dollars (US$)"/>
  </r>
  <r>
    <x v="10"/>
    <s v="Country"/>
    <x v="5"/>
    <s v="Canada"/>
    <s v="Central"/>
    <s v="Central Reservation"/>
    <n v="9281401869"/>
    <s v="U.S. Dollars (US$)"/>
  </r>
  <r>
    <x v="10"/>
    <s v="Country"/>
    <x v="5"/>
    <s v="Canada"/>
    <s v="Offline"/>
    <s v="Travel Agency/TMC"/>
    <n v="9077728558"/>
    <s v="U.S. Dollars (US$)"/>
  </r>
  <r>
    <x v="10"/>
    <s v="Country"/>
    <x v="5"/>
    <s v="Canada"/>
    <s v="Online"/>
    <s v="OTA"/>
    <n v="8950927204"/>
    <s v="U.S. Dollars (US$)"/>
  </r>
  <r>
    <x v="10"/>
    <s v="Country"/>
    <x v="5"/>
    <s v="Canada"/>
    <s v="Online"/>
    <s v="Online Supplier-Direct"/>
    <n v="11994056912"/>
    <s v="U.S. Dollars (US$)"/>
  </r>
  <r>
    <x v="10"/>
    <s v="Country"/>
    <x v="5"/>
    <s v="U.S."/>
    <s v="Central"/>
    <s v="Central Reservation"/>
    <n v="87704014651"/>
    <s v="U.S. Dollars (US$)"/>
  </r>
  <r>
    <x v="10"/>
    <s v="Country"/>
    <x v="5"/>
    <s v="U.S."/>
    <s v="Offline"/>
    <s v="Travel Agency/TMC"/>
    <n v="103269768630"/>
    <s v="U.S. Dollars (US$)"/>
  </r>
  <r>
    <x v="10"/>
    <s v="Country"/>
    <x v="5"/>
    <s v="U.S."/>
    <s v="Online"/>
    <s v="OTA"/>
    <n v="75689045800"/>
    <s v="U.S. Dollars (US$)"/>
  </r>
  <r>
    <x v="10"/>
    <s v="Country"/>
    <x v="5"/>
    <s v="U.S."/>
    <s v="Online"/>
    <s v="Online Supplier-Direct"/>
    <n v="139289270174"/>
    <s v="U.S. Dollars (US$)"/>
  </r>
  <r>
    <x v="11"/>
    <s v="Country"/>
    <x v="0"/>
    <s v="Australia-New Zealand"/>
    <s v="Offline"/>
    <s v="Offline"/>
    <n v="7128677020"/>
    <s v="U.S. Dollars (US$)"/>
  </r>
  <r>
    <x v="11"/>
    <s v="Country"/>
    <x v="0"/>
    <s v="Australia-New Zealand"/>
    <s v="Online"/>
    <s v="OTA"/>
    <n v="2486063527"/>
    <s v="U.S. Dollars (US$)"/>
  </r>
  <r>
    <x v="11"/>
    <s v="Country"/>
    <x v="0"/>
    <s v="Australia-New Zealand"/>
    <s v="Online"/>
    <s v="Online Supplier-Direct"/>
    <n v="4753546664"/>
    <s v="U.S. Dollars (US$)"/>
  </r>
  <r>
    <x v="11"/>
    <s v="Country"/>
    <x v="0"/>
    <s v="China"/>
    <s v="Offline"/>
    <s v="Offline"/>
    <n v="44145429399"/>
    <s v="U.S. Dollars (US$)"/>
  </r>
  <r>
    <x v="11"/>
    <s v="Country"/>
    <x v="0"/>
    <s v="China"/>
    <s v="Online"/>
    <s v="OTA"/>
    <n v="36420924649"/>
    <s v="U.S. Dollars (US$)"/>
  </r>
  <r>
    <x v="11"/>
    <s v="Country"/>
    <x v="0"/>
    <s v="China"/>
    <s v="Online"/>
    <s v="Online Supplier-Direct"/>
    <n v="36581157547"/>
    <s v="U.S. Dollars (US$)"/>
  </r>
  <r>
    <x v="11"/>
    <s v="Country"/>
    <x v="0"/>
    <s v="Hong Kong"/>
    <s v="Offline"/>
    <s v="Offline"/>
    <n v="2036024214"/>
    <s v="U.S. Dollars (US$)"/>
  </r>
  <r>
    <x v="11"/>
    <s v="Country"/>
    <x v="0"/>
    <s v="Hong Kong"/>
    <s v="Online"/>
    <s v="OTA"/>
    <n v="351169308"/>
    <s v="U.S. Dollars (US$)"/>
  </r>
  <r>
    <x v="11"/>
    <s v="Country"/>
    <x v="0"/>
    <s v="Hong Kong"/>
    <s v="Online"/>
    <s v="Online Supplier-Direct"/>
    <n v="302104236"/>
    <s v="U.S. Dollars (US$)"/>
  </r>
  <r>
    <x v="11"/>
    <s v="Country"/>
    <x v="0"/>
    <s v="India"/>
    <s v="Offline"/>
    <s v="Offline"/>
    <n v="5318363414"/>
    <s v="U.S. Dollars (US$)"/>
  </r>
  <r>
    <x v="11"/>
    <s v="Country"/>
    <x v="0"/>
    <s v="India"/>
    <s v="Online"/>
    <s v="OTA"/>
    <n v="2549625757"/>
    <s v="U.S. Dollars (US$)"/>
  </r>
  <r>
    <x v="11"/>
    <s v="Country"/>
    <x v="0"/>
    <s v="India"/>
    <s v="Online"/>
    <s v="Online Supplier-Direct"/>
    <n v="2341185164"/>
    <s v="U.S. Dollars (US$)"/>
  </r>
  <r>
    <x v="11"/>
    <s v="Country"/>
    <x v="0"/>
    <s v="Indonesia"/>
    <s v="Offline"/>
    <s v="Offline"/>
    <n v="2915237149"/>
    <s v="U.S. Dollars (US$)"/>
  </r>
  <r>
    <x v="11"/>
    <s v="Country"/>
    <x v="0"/>
    <s v="Indonesia"/>
    <s v="Online"/>
    <s v="OTA"/>
    <n v="1568187156"/>
    <s v="U.S. Dollars (US$)"/>
  </r>
  <r>
    <x v="11"/>
    <s v="Country"/>
    <x v="0"/>
    <s v="Indonesia"/>
    <s v="Online"/>
    <s v="Online Supplier-Direct"/>
    <n v="594693666"/>
    <s v="U.S. Dollars (US$)"/>
  </r>
  <r>
    <x v="11"/>
    <s v="Country"/>
    <x v="0"/>
    <s v="Japan"/>
    <s v="Offline"/>
    <s v="Offline"/>
    <n v="27113920159"/>
    <s v="U.S. Dollars (US$)"/>
  </r>
  <r>
    <x v="11"/>
    <s v="Country"/>
    <x v="0"/>
    <s v="Japan"/>
    <s v="Online"/>
    <s v="OTA"/>
    <n v="10441803972"/>
    <s v="U.S. Dollars (US$)"/>
  </r>
  <r>
    <x v="11"/>
    <s v="Country"/>
    <x v="0"/>
    <s v="Japan"/>
    <s v="Online"/>
    <s v="Online Supplier-Direct"/>
    <n v="12844613367"/>
    <s v="U.S. Dollars (US$)"/>
  </r>
  <r>
    <x v="11"/>
    <s v="Country"/>
    <x v="0"/>
    <s v="Macau"/>
    <s v="Offline"/>
    <s v="Offline"/>
    <n v="274112980"/>
    <s v="U.S. Dollars (US$)"/>
  </r>
  <r>
    <x v="11"/>
    <s v="Country"/>
    <x v="0"/>
    <s v="Macau"/>
    <s v="Online"/>
    <s v="OTA"/>
    <n v="151646086"/>
    <s v="U.S. Dollars (US$)"/>
  </r>
  <r>
    <x v="11"/>
    <s v="Country"/>
    <x v="0"/>
    <s v="Macau"/>
    <s v="Online"/>
    <s v="Online Supplier-Direct"/>
    <n v="20679012"/>
    <s v="U.S. Dollars (US$)"/>
  </r>
  <r>
    <x v="11"/>
    <s v="Country"/>
    <x v="0"/>
    <s v="Malaysia"/>
    <s v="Offline"/>
    <s v="Offline"/>
    <n v="1678364938"/>
    <s v="U.S. Dollars (US$)"/>
  </r>
  <r>
    <x v="11"/>
    <s v="Country"/>
    <x v="0"/>
    <s v="Malaysia"/>
    <s v="Online"/>
    <s v="OTA"/>
    <n v="549808333"/>
    <s v="U.S. Dollars (US$)"/>
  </r>
  <r>
    <x v="11"/>
    <s v="Country"/>
    <x v="0"/>
    <s v="Malaysia"/>
    <s v="Online"/>
    <s v="Online Supplier-Direct"/>
    <n v="691158057"/>
    <s v="U.S. Dollars (US$)"/>
  </r>
  <r>
    <x v="11"/>
    <s v="Country"/>
    <x v="0"/>
    <s v="Singapore"/>
    <s v="Offline"/>
    <s v="Offline"/>
    <n v="1346702154"/>
    <s v="U.S. Dollars (US$)"/>
  </r>
  <r>
    <x v="11"/>
    <s v="Country"/>
    <x v="0"/>
    <s v="Singapore"/>
    <s v="Online"/>
    <s v="OTA"/>
    <n v="605129094"/>
    <s v="U.S. Dollars (US$)"/>
  </r>
  <r>
    <x v="11"/>
    <s v="Country"/>
    <x v="0"/>
    <s v="Singapore"/>
    <s v="Online"/>
    <s v="Online Supplier-Direct"/>
    <n v="883940880"/>
    <s v="U.S. Dollars (US$)"/>
  </r>
  <r>
    <x v="11"/>
    <s v="Country"/>
    <x v="0"/>
    <s v="South Korea"/>
    <s v="Offline"/>
    <s v="Offline"/>
    <n v="3089998732"/>
    <s v="U.S. Dollars (US$)"/>
  </r>
  <r>
    <x v="11"/>
    <s v="Country"/>
    <x v="0"/>
    <s v="South Korea"/>
    <s v="Online"/>
    <s v="OTA"/>
    <n v="873047087"/>
    <s v="U.S. Dollars (US$)"/>
  </r>
  <r>
    <x v="11"/>
    <s v="Country"/>
    <x v="0"/>
    <s v="South Korea"/>
    <s v="Online"/>
    <s v="Online Supplier-Direct"/>
    <n v="2632816368"/>
    <s v="U.S. Dollars (US$)"/>
  </r>
  <r>
    <x v="11"/>
    <s v="Country"/>
    <x v="0"/>
    <s v="Taiwan"/>
    <s v="Offline"/>
    <s v="Offline"/>
    <n v="3644935232"/>
    <s v="U.S. Dollars (US$)"/>
  </r>
  <r>
    <x v="11"/>
    <s v="Country"/>
    <x v="0"/>
    <s v="Taiwan"/>
    <s v="Online"/>
    <s v="OTA"/>
    <n v="612097221"/>
    <s v="U.S. Dollars (US$)"/>
  </r>
  <r>
    <x v="11"/>
    <s v="Country"/>
    <x v="0"/>
    <s v="Taiwan"/>
    <s v="Online"/>
    <s v="Online Supplier-Direct"/>
    <n v="1505303356"/>
    <s v="U.S. Dollars (US$)"/>
  </r>
  <r>
    <x v="11"/>
    <s v="Country"/>
    <x v="0"/>
    <s v="Thailand"/>
    <s v="Offline"/>
    <s v="Offline"/>
    <n v="2875625670"/>
    <s v="U.S. Dollars (US$)"/>
  </r>
  <r>
    <x v="11"/>
    <s v="Country"/>
    <x v="0"/>
    <s v="Thailand"/>
    <s v="Online"/>
    <s v="OTA"/>
    <n v="1300086163"/>
    <s v="U.S. Dollars (US$)"/>
  </r>
  <r>
    <x v="11"/>
    <s v="Country"/>
    <x v="0"/>
    <s v="Thailand"/>
    <s v="Online"/>
    <s v="Online Supplier-Direct"/>
    <n v="596957997"/>
    <s v="U.S. Dollars (US$)"/>
  </r>
  <r>
    <x v="11"/>
    <s v="Country"/>
    <x v="1"/>
    <s v="Bulgaria"/>
    <s v="Offline"/>
    <s v="Offline"/>
    <n v="293350546"/>
    <s v="U.S. Dollars (US$)"/>
  </r>
  <r>
    <x v="11"/>
    <s v="Country"/>
    <x v="1"/>
    <s v="Bulgaria"/>
    <s v="Online"/>
    <s v="OTA"/>
    <n v="122200885"/>
    <s v="U.S. Dollars (US$)"/>
  </r>
  <r>
    <x v="11"/>
    <s v="Country"/>
    <x v="1"/>
    <s v="Bulgaria"/>
    <s v="Online"/>
    <s v="Online Supplier-Direct"/>
    <n v="52756917"/>
    <s v="U.S. Dollars (US$)"/>
  </r>
  <r>
    <x v="11"/>
    <s v="Country"/>
    <x v="1"/>
    <s v="Czech Republic"/>
    <s v="Offline"/>
    <s v="Offline"/>
    <n v="828193750"/>
    <s v="U.S. Dollars (US$)"/>
  </r>
  <r>
    <x v="11"/>
    <s v="Country"/>
    <x v="1"/>
    <s v="Czech Republic"/>
    <s v="Online"/>
    <s v="OTA"/>
    <n v="401981275"/>
    <s v="U.S. Dollars (US$)"/>
  </r>
  <r>
    <x v="11"/>
    <s v="Country"/>
    <x v="1"/>
    <s v="Czech Republic"/>
    <s v="Online"/>
    <s v="Online Supplier-Direct"/>
    <n v="435278612"/>
    <s v="U.S. Dollars (US$)"/>
  </r>
  <r>
    <x v="11"/>
    <s v="Country"/>
    <x v="1"/>
    <s v="Greece"/>
    <s v="Offline"/>
    <s v="Offline"/>
    <n v="1238763466"/>
    <s v="U.S. Dollars (US$)"/>
  </r>
  <r>
    <x v="11"/>
    <s v="Country"/>
    <x v="1"/>
    <s v="Greece"/>
    <s v="Online"/>
    <s v="OTA"/>
    <n v="496976294"/>
    <s v="U.S. Dollars (US$)"/>
  </r>
  <r>
    <x v="11"/>
    <s v="Country"/>
    <x v="1"/>
    <s v="Greece"/>
    <s v="Online"/>
    <s v="Online Supplier-Direct"/>
    <n v="301826281"/>
    <s v="U.S. Dollars (US$)"/>
  </r>
  <r>
    <x v="11"/>
    <s v="Country"/>
    <x v="1"/>
    <s v="Hungary"/>
    <s v="Offline"/>
    <s v="Offline"/>
    <n v="351839630"/>
    <s v="U.S. Dollars (US$)"/>
  </r>
  <r>
    <x v="11"/>
    <s v="Country"/>
    <x v="1"/>
    <s v="Hungary"/>
    <s v="Online"/>
    <s v="OTA"/>
    <n v="230900967"/>
    <s v="U.S. Dollars (US$)"/>
  </r>
  <r>
    <x v="11"/>
    <s v="Country"/>
    <x v="1"/>
    <s v="Hungary"/>
    <s v="Online"/>
    <s v="Online Supplier-Direct"/>
    <n v="1246703177"/>
    <s v="U.S. Dollars (US$)"/>
  </r>
  <r>
    <x v="11"/>
    <s v="Country"/>
    <x v="1"/>
    <s v="Poland"/>
    <s v="Offline"/>
    <s v="Offline"/>
    <n v="1434385879"/>
    <s v="U.S. Dollars (US$)"/>
  </r>
  <r>
    <x v="11"/>
    <s v="Country"/>
    <x v="1"/>
    <s v="Poland"/>
    <s v="Online"/>
    <s v="OTA"/>
    <n v="481738230"/>
    <s v="U.S. Dollars (US$)"/>
  </r>
  <r>
    <x v="11"/>
    <s v="Country"/>
    <x v="1"/>
    <s v="Poland"/>
    <s v="Online"/>
    <s v="Online Supplier-Direct"/>
    <n v="498532316"/>
    <s v="U.S. Dollars (US$)"/>
  </r>
  <r>
    <x v="11"/>
    <s v="Country"/>
    <x v="1"/>
    <s v="Rest of Eastern Europe"/>
    <s v="Offline"/>
    <s v="Offline"/>
    <n v="444357388"/>
    <s v="U.S. Dollars (US$)"/>
  </r>
  <r>
    <x v="11"/>
    <s v="Country"/>
    <x v="1"/>
    <s v="Rest of Eastern Europe"/>
    <s v="Online"/>
    <s v="OTA"/>
    <n v="249856241"/>
    <s v="U.S. Dollars (US$)"/>
  </r>
  <r>
    <x v="11"/>
    <s v="Country"/>
    <x v="1"/>
    <s v="Rest of Eastern Europe"/>
    <s v="Online"/>
    <s v="Online Supplier-Direct"/>
    <n v="220097053"/>
    <s v="U.S. Dollars (US$)"/>
  </r>
  <r>
    <x v="11"/>
    <s v="Country"/>
    <x v="1"/>
    <s v="Romania"/>
    <s v="Offline"/>
    <s v="Offline"/>
    <n v="437900969"/>
    <s v="U.S. Dollars (US$)"/>
  </r>
  <r>
    <x v="11"/>
    <s v="Country"/>
    <x v="1"/>
    <s v="Romania"/>
    <s v="Online"/>
    <s v="OTA"/>
    <n v="185408209"/>
    <s v="U.S. Dollars (US$)"/>
  </r>
  <r>
    <x v="11"/>
    <s v="Country"/>
    <x v="1"/>
    <s v="Romania"/>
    <s v="Online"/>
    <s v="Online Supplier-Direct"/>
    <n v="109137434"/>
    <s v="U.S. Dollars (US$)"/>
  </r>
  <r>
    <x v="11"/>
    <s v="Country"/>
    <x v="1"/>
    <s v="Russia"/>
    <s v="Offline"/>
    <s v="Offline"/>
    <n v="9173998627"/>
    <s v="U.S. Dollars (US$)"/>
  </r>
  <r>
    <x v="11"/>
    <s v="Country"/>
    <x v="1"/>
    <s v="Russia"/>
    <s v="Online"/>
    <s v="OTA"/>
    <n v="3913154941"/>
    <s v="U.S. Dollars (US$)"/>
  </r>
  <r>
    <x v="11"/>
    <s v="Country"/>
    <x v="1"/>
    <s v="Russia"/>
    <s v="Online"/>
    <s v="Online Supplier-Direct"/>
    <n v="4131333189"/>
    <s v="U.S. Dollars (US$)"/>
  </r>
  <r>
    <x v="11"/>
    <s v="Country"/>
    <x v="1"/>
    <s v="Ukraine"/>
    <s v="Offline"/>
    <s v="Offline"/>
    <n v="802707917"/>
    <s v="U.S. Dollars (US$)"/>
  </r>
  <r>
    <x v="11"/>
    <s v="Country"/>
    <x v="1"/>
    <s v="Ukraine"/>
    <s v="Online"/>
    <s v="OTA"/>
    <n v="260669162"/>
    <s v="U.S. Dollars (US$)"/>
  </r>
  <r>
    <x v="11"/>
    <s v="Country"/>
    <x v="1"/>
    <s v="Ukraine"/>
    <s v="Online"/>
    <s v="Online Supplier-Direct"/>
    <n v="227954034"/>
    <s v="U.S. Dollars (US$)"/>
  </r>
  <r>
    <x v="11"/>
    <s v="Country"/>
    <x v="2"/>
    <s v="France"/>
    <s v="Offline"/>
    <s v="Offline"/>
    <n v="12764954057"/>
    <s v="U.S. Dollars (US$)"/>
  </r>
  <r>
    <x v="11"/>
    <s v="Country"/>
    <x v="2"/>
    <s v="France"/>
    <s v="Online"/>
    <s v="OTA"/>
    <n v="2866719347"/>
    <s v="U.S. Dollars (US$)"/>
  </r>
  <r>
    <x v="11"/>
    <s v="Country"/>
    <x v="2"/>
    <s v="France"/>
    <s v="Online"/>
    <s v="Online Supplier-Direct"/>
    <n v="8443382175"/>
    <s v="U.S. Dollars (US$)"/>
  </r>
  <r>
    <x v="11"/>
    <s v="Country"/>
    <x v="2"/>
    <s v="Germany"/>
    <s v="Offline"/>
    <s v="Offline"/>
    <n v="14293254169"/>
    <s v="U.S. Dollars (US$)"/>
  </r>
  <r>
    <x v="11"/>
    <s v="Country"/>
    <x v="2"/>
    <s v="Germany"/>
    <s v="Online"/>
    <s v="OTA"/>
    <n v="6269937470"/>
    <s v="U.S. Dollars (US$)"/>
  </r>
  <r>
    <x v="11"/>
    <s v="Country"/>
    <x v="2"/>
    <s v="Germany"/>
    <s v="Online"/>
    <s v="Online Supplier-Direct"/>
    <n v="9968570251"/>
    <s v="U.S. Dollars (US$)"/>
  </r>
  <r>
    <x v="11"/>
    <s v="Country"/>
    <x v="2"/>
    <s v="Italy"/>
    <s v="Offline"/>
    <s v="Offline"/>
    <n v="4175886607"/>
    <s v="U.S. Dollars (US$)"/>
  </r>
  <r>
    <x v="11"/>
    <s v="Country"/>
    <x v="2"/>
    <s v="Italy"/>
    <s v="Online"/>
    <s v="OTA"/>
    <n v="1516254741"/>
    <s v="U.S. Dollars (US$)"/>
  </r>
  <r>
    <x v="11"/>
    <s v="Country"/>
    <x v="2"/>
    <s v="Italy"/>
    <s v="Online"/>
    <s v="Online Supplier-Direct"/>
    <n v="2412523124"/>
    <s v="U.S. Dollars (US$)"/>
  </r>
  <r>
    <x v="11"/>
    <s v="Country"/>
    <x v="2"/>
    <s v="Rest of Europe"/>
    <s v="Offline"/>
    <s v="Offline"/>
    <n v="14440085423"/>
    <s v="U.S. Dollars (US$)"/>
  </r>
  <r>
    <x v="11"/>
    <s v="Country"/>
    <x v="2"/>
    <s v="Rest of Europe"/>
    <s v="Online"/>
    <s v="OTA"/>
    <n v="5412495267"/>
    <s v="U.S. Dollars (US$)"/>
  </r>
  <r>
    <x v="11"/>
    <s v="Country"/>
    <x v="2"/>
    <s v="Rest of Europe"/>
    <s v="Online"/>
    <s v="Online Supplier-Direct"/>
    <n v="9519065666"/>
    <s v="U.S. Dollars (US$)"/>
  </r>
  <r>
    <x v="11"/>
    <s v="Country"/>
    <x v="2"/>
    <s v="Scandinavia"/>
    <s v="Offline"/>
    <s v="Offline"/>
    <n v="2606043074"/>
    <s v="U.S. Dollars (US$)"/>
  </r>
  <r>
    <x v="11"/>
    <s v="Country"/>
    <x v="2"/>
    <s v="Scandinavia"/>
    <s v="Online"/>
    <s v="OTA"/>
    <n v="1870461368"/>
    <s v="U.S. Dollars (US$)"/>
  </r>
  <r>
    <x v="11"/>
    <s v="Country"/>
    <x v="2"/>
    <s v="Scandinavia"/>
    <s v="Online"/>
    <s v="Online Supplier-Direct"/>
    <n v="4715318098"/>
    <s v="U.S. Dollars (US$)"/>
  </r>
  <r>
    <x v="11"/>
    <s v="Country"/>
    <x v="2"/>
    <s v="Spain"/>
    <s v="Offline"/>
    <s v="Offline"/>
    <n v="4569697632"/>
    <s v="U.S. Dollars (US$)"/>
  </r>
  <r>
    <x v="11"/>
    <s v="Country"/>
    <x v="2"/>
    <s v="Spain"/>
    <s v="Online"/>
    <s v="OTA"/>
    <n v="1998145396"/>
    <s v="U.S. Dollars (US$)"/>
  </r>
  <r>
    <x v="11"/>
    <s v="Country"/>
    <x v="2"/>
    <s v="Spain"/>
    <s v="Online"/>
    <s v="Online Supplier-Direct"/>
    <n v="2720525237"/>
    <s v="U.S. Dollars (US$)"/>
  </r>
  <r>
    <x v="11"/>
    <s v="Country"/>
    <x v="2"/>
    <s v="U.K."/>
    <s v="Offline"/>
    <s v="Offline"/>
    <n v="4836007759"/>
    <s v="U.S. Dollars (US$)"/>
  </r>
  <r>
    <x v="11"/>
    <s v="Country"/>
    <x v="2"/>
    <s v="U.K."/>
    <s v="Online"/>
    <s v="OTA"/>
    <n v="3384883757"/>
    <s v="U.S. Dollars (US$)"/>
  </r>
  <r>
    <x v="11"/>
    <s v="Country"/>
    <x v="2"/>
    <s v="U.K."/>
    <s v="Online"/>
    <s v="Online Supplier-Direct"/>
    <n v="10330874825"/>
    <s v="U.S. Dollars (US$)"/>
  </r>
  <r>
    <x v="11"/>
    <s v="Country"/>
    <x v="3"/>
    <s v="Argentina"/>
    <s v="Offline"/>
    <s v="Offline"/>
    <n v="1053777217"/>
    <s v="U.S. Dollars (US$)"/>
  </r>
  <r>
    <x v="11"/>
    <s v="Country"/>
    <x v="3"/>
    <s v="Argentina"/>
    <s v="Online"/>
    <s v="OTA"/>
    <n v="277446938"/>
    <s v="U.S. Dollars (US$)"/>
  </r>
  <r>
    <x v="11"/>
    <s v="Country"/>
    <x v="3"/>
    <s v="Argentina"/>
    <s v="Online"/>
    <s v="Online Supplier-Direct"/>
    <n v="258017281"/>
    <s v="U.S. Dollars (US$)"/>
  </r>
  <r>
    <x v="11"/>
    <s v="Country"/>
    <x v="3"/>
    <s v="Brazil"/>
    <s v="Offline"/>
    <s v="Offline"/>
    <n v="3889647429"/>
    <s v="U.S. Dollars (US$)"/>
  </r>
  <r>
    <x v="11"/>
    <s v="Country"/>
    <x v="3"/>
    <s v="Brazil"/>
    <s v="Online"/>
    <s v="OTA"/>
    <n v="1987911351"/>
    <s v="U.S. Dollars (US$)"/>
  </r>
  <r>
    <x v="11"/>
    <s v="Country"/>
    <x v="3"/>
    <s v="Brazil"/>
    <s v="Online"/>
    <s v="Online Supplier-Direct"/>
    <n v="1430683431"/>
    <s v="U.S. Dollars (US$)"/>
  </r>
  <r>
    <x v="11"/>
    <s v="Country"/>
    <x v="3"/>
    <s v="Chile"/>
    <s v="Offline"/>
    <s v="Offline"/>
    <n v="1339510120"/>
    <s v="U.S. Dollars (US$)"/>
  </r>
  <r>
    <x v="11"/>
    <s v="Country"/>
    <x v="3"/>
    <s v="Chile"/>
    <s v="Online"/>
    <s v="OTA"/>
    <n v="467783402"/>
    <s v="U.S. Dollars (US$)"/>
  </r>
  <r>
    <x v="11"/>
    <s v="Country"/>
    <x v="3"/>
    <s v="Chile"/>
    <s v="Online"/>
    <s v="Online Supplier-Direct"/>
    <n v="503388251"/>
    <s v="U.S. Dollars (US$)"/>
  </r>
  <r>
    <x v="11"/>
    <s v="Country"/>
    <x v="3"/>
    <s v="Colombia"/>
    <s v="Offline"/>
    <s v="Offline"/>
    <n v="1324312828"/>
    <s v="U.S. Dollars (US$)"/>
  </r>
  <r>
    <x v="11"/>
    <s v="Country"/>
    <x v="3"/>
    <s v="Colombia"/>
    <s v="Online"/>
    <s v="OTA"/>
    <n v="468985286"/>
    <s v="U.S. Dollars (US$)"/>
  </r>
  <r>
    <x v="11"/>
    <s v="Country"/>
    <x v="3"/>
    <s v="Colombia"/>
    <s v="Online"/>
    <s v="Online Supplier-Direct"/>
    <n v="471505355"/>
    <s v="U.S. Dollars (US$)"/>
  </r>
  <r>
    <x v="11"/>
    <s v="Country"/>
    <x v="3"/>
    <s v="Mexico"/>
    <s v="Offline"/>
    <s v="Offline"/>
    <n v="6529425075"/>
    <s v="U.S. Dollars (US$)"/>
  </r>
  <r>
    <x v="11"/>
    <s v="Country"/>
    <x v="3"/>
    <s v="Mexico"/>
    <s v="Online"/>
    <s v="OTA"/>
    <n v="2618162523"/>
    <s v="U.S. Dollars (US$)"/>
  </r>
  <r>
    <x v="11"/>
    <s v="Country"/>
    <x v="3"/>
    <s v="Mexico"/>
    <s v="Online"/>
    <s v="Online Supplier-Direct"/>
    <n v="2213563068"/>
    <s v="U.S. Dollars (US$)"/>
  </r>
  <r>
    <x v="11"/>
    <s v="Country"/>
    <x v="4"/>
    <s v="Egypt"/>
    <s v="Offline"/>
    <s v="Offline"/>
    <n v="1567240222"/>
    <s v="U.S. Dollars (US$)"/>
  </r>
  <r>
    <x v="11"/>
    <s v="Country"/>
    <x v="4"/>
    <s v="Egypt"/>
    <s v="Online"/>
    <s v="OTA"/>
    <n v="279010236"/>
    <s v="U.S. Dollars (US$)"/>
  </r>
  <r>
    <x v="11"/>
    <s v="Country"/>
    <x v="4"/>
    <s v="Egypt"/>
    <s v="Online"/>
    <s v="Online Supplier-Direct"/>
    <n v="485909187"/>
    <s v="U.S. Dollars (US$)"/>
  </r>
  <r>
    <x v="11"/>
    <s v="Country"/>
    <x v="4"/>
    <s v="Qatar"/>
    <s v="Offline"/>
    <s v="Offline"/>
    <n v="1751894655"/>
    <s v="U.S. Dollars (US$)"/>
  </r>
  <r>
    <x v="11"/>
    <s v="Country"/>
    <x v="4"/>
    <s v="Qatar"/>
    <s v="Online"/>
    <s v="OTA"/>
    <n v="294004305"/>
    <s v="U.S. Dollars (US$)"/>
  </r>
  <r>
    <x v="11"/>
    <s v="Country"/>
    <x v="4"/>
    <s v="Qatar"/>
    <s v="Online"/>
    <s v="Online Supplier-Direct"/>
    <n v="736525695"/>
    <s v="U.S. Dollars (US$)"/>
  </r>
  <r>
    <x v="11"/>
    <s v="Country"/>
    <x v="4"/>
    <s v="Rest of Middle East"/>
    <s v="Offline"/>
    <s v="Offline"/>
    <n v="2424035308"/>
    <s v="U.S. Dollars (US$)"/>
  </r>
  <r>
    <x v="11"/>
    <s v="Country"/>
    <x v="4"/>
    <s v="Rest of Middle East"/>
    <s v="Online"/>
    <s v="OTA"/>
    <n v="632584985"/>
    <s v="U.S. Dollars (US$)"/>
  </r>
  <r>
    <x v="11"/>
    <s v="Country"/>
    <x v="4"/>
    <s v="Rest of Middle East"/>
    <s v="Online"/>
    <s v="Online Supplier-Direct"/>
    <n v="649622619"/>
    <s v="U.S. Dollars (US$)"/>
  </r>
  <r>
    <x v="11"/>
    <s v="Country"/>
    <x v="4"/>
    <s v="Saudi Arabia"/>
    <s v="Offline"/>
    <s v="Offline"/>
    <n v="3326376126"/>
    <s v="U.S. Dollars (US$)"/>
  </r>
  <r>
    <x v="11"/>
    <s v="Country"/>
    <x v="4"/>
    <s v="Saudi Arabia"/>
    <s v="Online"/>
    <s v="OTA"/>
    <n v="1068629496"/>
    <s v="U.S. Dollars (US$)"/>
  </r>
  <r>
    <x v="11"/>
    <s v="Country"/>
    <x v="4"/>
    <s v="Saudi Arabia"/>
    <s v="Online"/>
    <s v="Online Supplier-Direct"/>
    <n v="1094490106"/>
    <s v="U.S. Dollars (US$)"/>
  </r>
  <r>
    <x v="11"/>
    <s v="Country"/>
    <x v="4"/>
    <s v="U.A.E."/>
    <s v="Offline"/>
    <s v="Offline"/>
    <n v="5675723168"/>
    <s v="U.S. Dollars (US$)"/>
  </r>
  <r>
    <x v="11"/>
    <s v="Country"/>
    <x v="4"/>
    <s v="U.A.E."/>
    <s v="Online"/>
    <s v="OTA"/>
    <n v="1881261588"/>
    <s v="U.S. Dollars (US$)"/>
  </r>
  <r>
    <x v="11"/>
    <s v="Country"/>
    <x v="4"/>
    <s v="U.A.E."/>
    <s v="Online"/>
    <s v="Online Supplier-Direct"/>
    <n v="2670271671"/>
    <s v="U.S. Dollars (US$)"/>
  </r>
  <r>
    <x v="11"/>
    <s v="Country"/>
    <x v="5"/>
    <s v="Canada"/>
    <s v="Central"/>
    <s v="Central Reservation"/>
    <n v="4955054216"/>
    <s v="U.S. Dollars (US$)"/>
  </r>
  <r>
    <x v="11"/>
    <s v="Country"/>
    <x v="5"/>
    <s v="Canada"/>
    <s v="Offline"/>
    <s v="Travel Agency/TMC"/>
    <n v="2292809339"/>
    <s v="U.S. Dollars (US$)"/>
  </r>
  <r>
    <x v="11"/>
    <s v="Country"/>
    <x v="5"/>
    <s v="Canada"/>
    <s v="Online"/>
    <s v="OTA"/>
    <n v="3633998647"/>
    <s v="U.S. Dollars (US$)"/>
  </r>
  <r>
    <x v="11"/>
    <s v="Country"/>
    <x v="5"/>
    <s v="Canada"/>
    <s v="Online"/>
    <s v="Online Supplier-Direct"/>
    <n v="4083763845"/>
    <s v="U.S. Dollars (US$)"/>
  </r>
  <r>
    <x v="11"/>
    <s v="Country"/>
    <x v="5"/>
    <s v="U.S."/>
    <s v="Central"/>
    <s v="Central Reservation"/>
    <n v="44143412023"/>
    <s v="U.S. Dollars (US$)"/>
  </r>
  <r>
    <x v="11"/>
    <s v="Country"/>
    <x v="5"/>
    <s v="U.S."/>
    <s v="Offline"/>
    <s v="Travel Agency/TMC"/>
    <n v="24664446105"/>
    <s v="U.S. Dollars (US$)"/>
  </r>
  <r>
    <x v="11"/>
    <s v="Country"/>
    <x v="5"/>
    <s v="U.S."/>
    <s v="Online"/>
    <s v="OTA"/>
    <n v="31882971871"/>
    <s v="U.S. Dollars (US$)"/>
  </r>
  <r>
    <x v="11"/>
    <s v="Country"/>
    <x v="5"/>
    <s v="U.S."/>
    <s v="Online"/>
    <s v="Online Supplier-Direct"/>
    <n v="62525117593"/>
    <s v="U.S. Dollars (US$)"/>
  </r>
  <r>
    <x v="12"/>
    <s v="Country"/>
    <x v="0"/>
    <s v="Australia-New Zealand"/>
    <s v="Offline"/>
    <s v="Offline"/>
    <n v="7249457809"/>
    <s v="U.S. Dollars (US$)"/>
  </r>
  <r>
    <x v="12"/>
    <s v="Country"/>
    <x v="0"/>
    <s v="Australia-New Zealand"/>
    <s v="Online"/>
    <s v="OTA"/>
    <n v="3130485679"/>
    <s v="U.S. Dollars (US$)"/>
  </r>
  <r>
    <x v="12"/>
    <s v="Country"/>
    <x v="0"/>
    <s v="Australia-New Zealand"/>
    <s v="Online"/>
    <s v="Online Supplier-Direct"/>
    <n v="5543727580"/>
    <s v="U.S. Dollars (US$)"/>
  </r>
  <r>
    <x v="12"/>
    <s v="Country"/>
    <x v="0"/>
    <s v="China"/>
    <s v="Offline"/>
    <s v="Offline"/>
    <n v="40209564241"/>
    <s v="U.S. Dollars (US$)"/>
  </r>
  <r>
    <x v="12"/>
    <s v="Country"/>
    <x v="0"/>
    <s v="China"/>
    <s v="Online"/>
    <s v="OTA"/>
    <n v="37224296462"/>
    <s v="U.S. Dollars (US$)"/>
  </r>
  <r>
    <x v="12"/>
    <s v="Country"/>
    <x v="0"/>
    <s v="China"/>
    <s v="Online"/>
    <s v="Online Supplier-Direct"/>
    <n v="36570851715"/>
    <s v="U.S. Dollars (US$)"/>
  </r>
  <r>
    <x v="12"/>
    <s v="Country"/>
    <x v="0"/>
    <s v="Hong Kong"/>
    <s v="Offline"/>
    <s v="Offline"/>
    <n v="1712972447"/>
    <s v="U.S. Dollars (US$)"/>
  </r>
  <r>
    <x v="12"/>
    <s v="Country"/>
    <x v="0"/>
    <s v="Hong Kong"/>
    <s v="Online"/>
    <s v="OTA"/>
    <n v="380523877"/>
    <s v="U.S. Dollars (US$)"/>
  </r>
  <r>
    <x v="12"/>
    <s v="Country"/>
    <x v="0"/>
    <s v="Hong Kong"/>
    <s v="Online"/>
    <s v="Online Supplier-Direct"/>
    <n v="220287224"/>
    <s v="U.S. Dollars (US$)"/>
  </r>
  <r>
    <x v="12"/>
    <s v="Country"/>
    <x v="0"/>
    <s v="India"/>
    <s v="Offline"/>
    <s v="Offline"/>
    <n v="9065567488"/>
    <s v="U.S. Dollars (US$)"/>
  </r>
  <r>
    <x v="12"/>
    <s v="Country"/>
    <x v="0"/>
    <s v="India"/>
    <s v="Online"/>
    <s v="OTA"/>
    <n v="5463647151"/>
    <s v="U.S. Dollars (US$)"/>
  </r>
  <r>
    <x v="12"/>
    <s v="Country"/>
    <x v="0"/>
    <s v="India"/>
    <s v="Online"/>
    <s v="Online Supplier-Direct"/>
    <n v="5129276625"/>
    <s v="U.S. Dollars (US$)"/>
  </r>
  <r>
    <x v="12"/>
    <s v="Country"/>
    <x v="0"/>
    <s v="Indonesia"/>
    <s v="Offline"/>
    <s v="Offline"/>
    <n v="2345969688"/>
    <s v="U.S. Dollars (US$)"/>
  </r>
  <r>
    <x v="12"/>
    <s v="Country"/>
    <x v="0"/>
    <s v="Indonesia"/>
    <s v="Online"/>
    <s v="OTA"/>
    <n v="1381879196"/>
    <s v="U.S. Dollars (US$)"/>
  </r>
  <r>
    <x v="12"/>
    <s v="Country"/>
    <x v="0"/>
    <s v="Indonesia"/>
    <s v="Online"/>
    <s v="Online Supplier-Direct"/>
    <n v="538901083"/>
    <s v="U.S. Dollars (US$)"/>
  </r>
  <r>
    <x v="12"/>
    <s v="Country"/>
    <x v="0"/>
    <s v="Japan"/>
    <s v="Offline"/>
    <s v="Offline"/>
    <n v="20636219924"/>
    <s v="U.S. Dollars (US$)"/>
  </r>
  <r>
    <x v="12"/>
    <s v="Country"/>
    <x v="0"/>
    <s v="Japan"/>
    <s v="Online"/>
    <s v="OTA"/>
    <n v="8547014422"/>
    <s v="U.S. Dollars (US$)"/>
  </r>
  <r>
    <x v="12"/>
    <s v="Country"/>
    <x v="0"/>
    <s v="Japan"/>
    <s v="Online"/>
    <s v="Online Supplier-Direct"/>
    <n v="11798173167"/>
    <s v="U.S. Dollars (US$)"/>
  </r>
  <r>
    <x v="12"/>
    <s v="Country"/>
    <x v="0"/>
    <s v="Macau"/>
    <s v="Offline"/>
    <s v="Offline"/>
    <n v="414388763"/>
    <s v="U.S. Dollars (US$)"/>
  </r>
  <r>
    <x v="12"/>
    <s v="Country"/>
    <x v="0"/>
    <s v="Macau"/>
    <s v="Online"/>
    <s v="OTA"/>
    <n v="279617237"/>
    <s v="U.S. Dollars (US$)"/>
  </r>
  <r>
    <x v="12"/>
    <s v="Country"/>
    <x v="0"/>
    <s v="Macau"/>
    <s v="Online"/>
    <s v="Online Supplier-Direct"/>
    <n v="38129623"/>
    <s v="U.S. Dollars (US$)"/>
  </r>
  <r>
    <x v="12"/>
    <s v="Country"/>
    <x v="0"/>
    <s v="Malaysia"/>
    <s v="Offline"/>
    <s v="Offline"/>
    <n v="1106204565"/>
    <s v="U.S. Dollars (US$)"/>
  </r>
  <r>
    <x v="12"/>
    <s v="Country"/>
    <x v="0"/>
    <s v="Malaysia"/>
    <s v="Online"/>
    <s v="OTA"/>
    <n v="478699435"/>
    <s v="U.S. Dollars (US$)"/>
  </r>
  <r>
    <x v="12"/>
    <s v="Country"/>
    <x v="0"/>
    <s v="Malaysia"/>
    <s v="Online"/>
    <s v="Online Supplier-Direct"/>
    <n v="356723035"/>
    <s v="U.S. Dollars (US$)"/>
  </r>
  <r>
    <x v="12"/>
    <s v="Country"/>
    <x v="0"/>
    <s v="Singapore"/>
    <s v="Offline"/>
    <s v="Offline"/>
    <n v="952836392"/>
    <s v="U.S. Dollars (US$)"/>
  </r>
  <r>
    <x v="12"/>
    <s v="Country"/>
    <x v="0"/>
    <s v="Singapore"/>
    <s v="Online"/>
    <s v="OTA"/>
    <n v="548326950"/>
    <s v="U.S. Dollars (US$)"/>
  </r>
  <r>
    <x v="12"/>
    <s v="Country"/>
    <x v="0"/>
    <s v="Singapore"/>
    <s v="Online"/>
    <s v="Online Supplier-Direct"/>
    <n v="660422611"/>
    <s v="U.S. Dollars (US$)"/>
  </r>
  <r>
    <x v="12"/>
    <s v="Country"/>
    <x v="0"/>
    <s v="South Korea"/>
    <s v="Offline"/>
    <s v="Offline"/>
    <n v="2843620291"/>
    <s v="U.S. Dollars (US$)"/>
  </r>
  <r>
    <x v="12"/>
    <s v="Country"/>
    <x v="0"/>
    <s v="South Korea"/>
    <s v="Online"/>
    <s v="OTA"/>
    <n v="1011604699"/>
    <s v="U.S. Dollars (US$)"/>
  </r>
  <r>
    <x v="12"/>
    <s v="Country"/>
    <x v="0"/>
    <s v="South Korea"/>
    <s v="Online"/>
    <s v="Online Supplier-Direct"/>
    <n v="2701419514"/>
    <s v="U.S. Dollars (US$)"/>
  </r>
  <r>
    <x v="12"/>
    <s v="Country"/>
    <x v="0"/>
    <s v="Taiwan"/>
    <s v="Offline"/>
    <s v="Offline"/>
    <n v="1043323792"/>
    <s v="U.S. Dollars (US$)"/>
  </r>
  <r>
    <x v="12"/>
    <s v="Country"/>
    <x v="0"/>
    <s v="Taiwan"/>
    <s v="Online"/>
    <s v="OTA"/>
    <n v="110625736"/>
    <s v="U.S. Dollars (US$)"/>
  </r>
  <r>
    <x v="12"/>
    <s v="Country"/>
    <x v="0"/>
    <s v="Taiwan"/>
    <s v="Online"/>
    <s v="Online Supplier-Direct"/>
    <n v="999408648"/>
    <s v="U.S. Dollars (US$)"/>
  </r>
  <r>
    <x v="12"/>
    <s v="Country"/>
    <x v="0"/>
    <s v="Thailand"/>
    <s v="Offline"/>
    <s v="Offline"/>
    <n v="691219602"/>
    <s v="U.S. Dollars (US$)"/>
  </r>
  <r>
    <x v="12"/>
    <s v="Country"/>
    <x v="0"/>
    <s v="Thailand"/>
    <s v="Online"/>
    <s v="OTA"/>
    <n v="427329276"/>
    <s v="U.S. Dollars (US$)"/>
  </r>
  <r>
    <x v="12"/>
    <s v="Country"/>
    <x v="0"/>
    <s v="Thailand"/>
    <s v="Online"/>
    <s v="Online Supplier-Direct"/>
    <n v="191321406"/>
    <s v="U.S. Dollars (US$)"/>
  </r>
  <r>
    <x v="12"/>
    <s v="Country"/>
    <x v="1"/>
    <s v="Bulgaria"/>
    <s v="Offline"/>
    <s v="Offline"/>
    <n v="388983991"/>
    <s v="U.S. Dollars (US$)"/>
  </r>
  <r>
    <x v="12"/>
    <s v="Country"/>
    <x v="1"/>
    <s v="Bulgaria"/>
    <s v="Online"/>
    <s v="OTA"/>
    <n v="195508054"/>
    <s v="U.S. Dollars (US$)"/>
  </r>
  <r>
    <x v="12"/>
    <s v="Country"/>
    <x v="1"/>
    <s v="Bulgaria"/>
    <s v="Online"/>
    <s v="Online Supplier-Direct"/>
    <n v="81007719"/>
    <s v="U.S. Dollars (US$)"/>
  </r>
  <r>
    <x v="12"/>
    <s v="Country"/>
    <x v="1"/>
    <s v="Czech Republic"/>
    <s v="Offline"/>
    <s v="Offline"/>
    <n v="760499298"/>
    <s v="U.S. Dollars (US$)"/>
  </r>
  <r>
    <x v="12"/>
    <s v="Country"/>
    <x v="1"/>
    <s v="Czech Republic"/>
    <s v="Online"/>
    <s v="OTA"/>
    <n v="488580461"/>
    <s v="U.S. Dollars (US$)"/>
  </r>
  <r>
    <x v="12"/>
    <s v="Country"/>
    <x v="1"/>
    <s v="Czech Republic"/>
    <s v="Online"/>
    <s v="Online Supplier-Direct"/>
    <n v="557653115"/>
    <s v="U.S. Dollars (US$)"/>
  </r>
  <r>
    <x v="12"/>
    <s v="Country"/>
    <x v="1"/>
    <s v="Greece"/>
    <s v="Offline"/>
    <s v="Offline"/>
    <n v="2112508004"/>
    <s v="U.S. Dollars (US$)"/>
  </r>
  <r>
    <x v="12"/>
    <s v="Country"/>
    <x v="1"/>
    <s v="Greece"/>
    <s v="Online"/>
    <s v="OTA"/>
    <n v="1171651634"/>
    <s v="U.S. Dollars (US$)"/>
  </r>
  <r>
    <x v="12"/>
    <s v="Country"/>
    <x v="1"/>
    <s v="Greece"/>
    <s v="Online"/>
    <s v="Online Supplier-Direct"/>
    <n v="681031418"/>
    <s v="U.S. Dollars (US$)"/>
  </r>
  <r>
    <x v="12"/>
    <s v="Country"/>
    <x v="1"/>
    <s v="Hungary"/>
    <s v="Offline"/>
    <s v="Offline"/>
    <n v="419275273"/>
    <s v="U.S. Dollars (US$)"/>
  </r>
  <r>
    <x v="12"/>
    <s v="Country"/>
    <x v="1"/>
    <s v="Hungary"/>
    <s v="Online"/>
    <s v="OTA"/>
    <n v="338221693"/>
    <s v="U.S. Dollars (US$)"/>
  </r>
  <r>
    <x v="12"/>
    <s v="Country"/>
    <x v="1"/>
    <s v="Hungary"/>
    <s v="Online"/>
    <s v="Online Supplier-Direct"/>
    <n v="1794106616"/>
    <s v="U.S. Dollars (US$)"/>
  </r>
  <r>
    <x v="12"/>
    <s v="Country"/>
    <x v="1"/>
    <s v="Poland"/>
    <s v="Offline"/>
    <s v="Offline"/>
    <n v="1593735190"/>
    <s v="U.S. Dollars (US$)"/>
  </r>
  <r>
    <x v="12"/>
    <s v="Country"/>
    <x v="1"/>
    <s v="Poland"/>
    <s v="Online"/>
    <s v="OTA"/>
    <n v="638054890"/>
    <s v="U.S. Dollars (US$)"/>
  </r>
  <r>
    <x v="12"/>
    <s v="Country"/>
    <x v="1"/>
    <s v="Poland"/>
    <s v="Online"/>
    <s v="Online Supplier-Direct"/>
    <n v="714687044"/>
    <s v="U.S. Dollars (US$)"/>
  </r>
  <r>
    <x v="12"/>
    <s v="Country"/>
    <x v="1"/>
    <s v="Rest of Eastern Europe"/>
    <s v="Offline"/>
    <s v="Offline"/>
    <n v="509904404"/>
    <s v="U.S. Dollars (US$)"/>
  </r>
  <r>
    <x v="12"/>
    <s v="Country"/>
    <x v="1"/>
    <s v="Rest of Eastern Europe"/>
    <s v="Online"/>
    <s v="OTA"/>
    <n v="319192037"/>
    <s v="U.S. Dollars (US$)"/>
  </r>
  <r>
    <x v="12"/>
    <s v="Country"/>
    <x v="1"/>
    <s v="Rest of Eastern Europe"/>
    <s v="Online"/>
    <s v="Online Supplier-Direct"/>
    <n v="347871673"/>
    <s v="U.S. Dollars (US$)"/>
  </r>
  <r>
    <x v="12"/>
    <s v="Country"/>
    <x v="1"/>
    <s v="Romania"/>
    <s v="Offline"/>
    <s v="Offline"/>
    <n v="630378755"/>
    <s v="U.S. Dollars (US$)"/>
  </r>
  <r>
    <x v="12"/>
    <s v="Country"/>
    <x v="1"/>
    <s v="Romania"/>
    <s v="Online"/>
    <s v="OTA"/>
    <n v="364017060"/>
    <s v="U.S. Dollars (US$)"/>
  </r>
  <r>
    <x v="12"/>
    <s v="Country"/>
    <x v="1"/>
    <s v="Romania"/>
    <s v="Online"/>
    <s v="Online Supplier-Direct"/>
    <n v="219647915"/>
    <s v="U.S. Dollars (US$)"/>
  </r>
  <r>
    <x v="12"/>
    <s v="Country"/>
    <x v="1"/>
    <s v="Russia"/>
    <s v="Offline"/>
    <s v="Offline"/>
    <n v="12796684634"/>
    <s v="U.S. Dollars (US$)"/>
  </r>
  <r>
    <x v="12"/>
    <s v="Country"/>
    <x v="1"/>
    <s v="Russia"/>
    <s v="Online"/>
    <s v="OTA"/>
    <n v="5039488735"/>
    <s v="U.S. Dollars (US$)"/>
  </r>
  <r>
    <x v="12"/>
    <s v="Country"/>
    <x v="1"/>
    <s v="Russia"/>
    <s v="Online"/>
    <s v="Online Supplier-Direct"/>
    <n v="7124103279"/>
    <s v="U.S. Dollars (US$)"/>
  </r>
  <r>
    <x v="12"/>
    <s v="Country"/>
    <x v="1"/>
    <s v="Ukraine"/>
    <s v="Offline"/>
    <s v="Offline"/>
    <n v="839885852"/>
    <s v="U.S. Dollars (US$)"/>
  </r>
  <r>
    <x v="12"/>
    <s v="Country"/>
    <x v="1"/>
    <s v="Ukraine"/>
    <s v="Online"/>
    <s v="OTA"/>
    <n v="293033685"/>
    <s v="U.S. Dollars (US$)"/>
  </r>
  <r>
    <x v="12"/>
    <s v="Country"/>
    <x v="1"/>
    <s v="Ukraine"/>
    <s v="Online"/>
    <s v="Online Supplier-Direct"/>
    <n v="274100700"/>
    <s v="U.S. Dollars (US$)"/>
  </r>
  <r>
    <x v="12"/>
    <s v="Country"/>
    <x v="2"/>
    <s v="France"/>
    <s v="Offline"/>
    <s v="Offline"/>
    <n v="18821891574"/>
    <s v="U.S. Dollars (US$)"/>
  </r>
  <r>
    <x v="12"/>
    <s v="Country"/>
    <x v="2"/>
    <s v="France"/>
    <s v="Online"/>
    <s v="OTA"/>
    <n v="4307716500"/>
    <s v="U.S. Dollars (US$)"/>
  </r>
  <r>
    <x v="12"/>
    <s v="Country"/>
    <x v="2"/>
    <s v="France"/>
    <s v="Online"/>
    <s v="Online Supplier-Direct"/>
    <n v="12597616885"/>
    <s v="U.S. Dollars (US$)"/>
  </r>
  <r>
    <x v="12"/>
    <s v="Country"/>
    <x v="2"/>
    <s v="Germany"/>
    <s v="Offline"/>
    <s v="Offline"/>
    <n v="15242555552"/>
    <s v="U.S. Dollars (US$)"/>
  </r>
  <r>
    <x v="12"/>
    <s v="Country"/>
    <x v="2"/>
    <s v="Germany"/>
    <s v="Online"/>
    <s v="OTA"/>
    <n v="6887097009"/>
    <s v="U.S. Dollars (US$)"/>
  </r>
  <r>
    <x v="12"/>
    <s v="Country"/>
    <x v="2"/>
    <s v="Germany"/>
    <s v="Online"/>
    <s v="Online Supplier-Direct"/>
    <n v="12436641849"/>
    <s v="U.S. Dollars (US$)"/>
  </r>
  <r>
    <x v="12"/>
    <s v="Country"/>
    <x v="2"/>
    <s v="Italy"/>
    <s v="Offline"/>
    <s v="Offline"/>
    <n v="6969188992"/>
    <s v="U.S. Dollars (US$)"/>
  </r>
  <r>
    <x v="12"/>
    <s v="Country"/>
    <x v="2"/>
    <s v="Italy"/>
    <s v="Online"/>
    <s v="OTA"/>
    <n v="3062564104"/>
    <s v="U.S. Dollars (US$)"/>
  </r>
  <r>
    <x v="12"/>
    <s v="Country"/>
    <x v="2"/>
    <s v="Italy"/>
    <s v="Online"/>
    <s v="Online Supplier-Direct"/>
    <n v="4222546878"/>
    <s v="U.S. Dollars (US$)"/>
  </r>
  <r>
    <x v="12"/>
    <s v="Country"/>
    <x v="2"/>
    <s v="Rest of Europe"/>
    <s v="Offline"/>
    <s v="Offline"/>
    <n v="16131237927"/>
    <s v="U.S. Dollars (US$)"/>
  </r>
  <r>
    <x v="12"/>
    <s v="Country"/>
    <x v="2"/>
    <s v="Rest of Europe"/>
    <s v="Online"/>
    <s v="OTA"/>
    <n v="6319916871"/>
    <s v="U.S. Dollars (US$)"/>
  </r>
  <r>
    <x v="12"/>
    <s v="Country"/>
    <x v="2"/>
    <s v="Rest of Europe"/>
    <s v="Online"/>
    <s v="Online Supplier-Direct"/>
    <n v="15949684126"/>
    <s v="U.S. Dollars (US$)"/>
  </r>
  <r>
    <x v="12"/>
    <s v="Country"/>
    <x v="2"/>
    <s v="Scandinavia"/>
    <s v="Offline"/>
    <s v="Offline"/>
    <n v="3234216991"/>
    <s v="U.S. Dollars (US$)"/>
  </r>
  <r>
    <x v="12"/>
    <s v="Country"/>
    <x v="2"/>
    <s v="Scandinavia"/>
    <s v="Online"/>
    <s v="OTA"/>
    <n v="2272964270"/>
    <s v="U.S. Dollars (US$)"/>
  </r>
  <r>
    <x v="12"/>
    <s v="Country"/>
    <x v="2"/>
    <s v="Scandinavia"/>
    <s v="Online"/>
    <s v="Online Supplier-Direct"/>
    <n v="4778083528"/>
    <s v="U.S. Dollars (US$)"/>
  </r>
  <r>
    <x v="12"/>
    <s v="Country"/>
    <x v="2"/>
    <s v="Spain"/>
    <s v="Offline"/>
    <s v="Offline"/>
    <n v="7506945531"/>
    <s v="U.S. Dollars (US$)"/>
  </r>
  <r>
    <x v="12"/>
    <s v="Country"/>
    <x v="2"/>
    <s v="Spain"/>
    <s v="Online"/>
    <s v="OTA"/>
    <n v="4032385477"/>
    <s v="U.S. Dollars (US$)"/>
  </r>
  <r>
    <x v="12"/>
    <s v="Country"/>
    <x v="2"/>
    <s v="Spain"/>
    <s v="Online"/>
    <s v="Online Supplier-Direct"/>
    <n v="4748332684"/>
    <s v="U.S. Dollars (US$)"/>
  </r>
  <r>
    <x v="12"/>
    <s v="Country"/>
    <x v="2"/>
    <s v="U.K."/>
    <s v="Offline"/>
    <s v="Offline"/>
    <n v="6930935488"/>
    <s v="U.S. Dollars (US$)"/>
  </r>
  <r>
    <x v="12"/>
    <s v="Country"/>
    <x v="2"/>
    <s v="U.K."/>
    <s v="Online"/>
    <s v="OTA"/>
    <n v="5726751049"/>
    <s v="U.S. Dollars (US$)"/>
  </r>
  <r>
    <x v="12"/>
    <s v="Country"/>
    <x v="2"/>
    <s v="U.K."/>
    <s v="Online"/>
    <s v="Online Supplier-Direct"/>
    <n v="12463135337"/>
    <s v="U.S. Dollars (US$)"/>
  </r>
  <r>
    <x v="12"/>
    <s v="Country"/>
    <x v="3"/>
    <s v="Argentina"/>
    <s v="Offline"/>
    <s v="Offline"/>
    <n v="1750507356"/>
    <s v="U.S. Dollars (US$)"/>
  </r>
  <r>
    <x v="12"/>
    <s v="Country"/>
    <x v="3"/>
    <s v="Argentina"/>
    <s v="Online"/>
    <s v="OTA"/>
    <n v="490471631"/>
    <s v="U.S. Dollars (US$)"/>
  </r>
  <r>
    <x v="12"/>
    <s v="Country"/>
    <x v="3"/>
    <s v="Argentina"/>
    <s v="Online"/>
    <s v="Online Supplier-Direct"/>
    <n v="460421254"/>
    <s v="U.S. Dollars (US$)"/>
  </r>
  <r>
    <x v="12"/>
    <s v="Country"/>
    <x v="3"/>
    <s v="Brazil"/>
    <s v="Offline"/>
    <s v="Offline"/>
    <n v="5154123250"/>
    <s v="U.S. Dollars (US$)"/>
  </r>
  <r>
    <x v="12"/>
    <s v="Country"/>
    <x v="3"/>
    <s v="Brazil"/>
    <s v="Online"/>
    <s v="OTA"/>
    <n v="2612156135"/>
    <s v="U.S. Dollars (US$)"/>
  </r>
  <r>
    <x v="12"/>
    <s v="Country"/>
    <x v="3"/>
    <s v="Brazil"/>
    <s v="Online"/>
    <s v="Online Supplier-Direct"/>
    <n v="2025932140"/>
    <s v="U.S. Dollars (US$)"/>
  </r>
  <r>
    <x v="12"/>
    <s v="Country"/>
    <x v="3"/>
    <s v="Chile"/>
    <s v="Offline"/>
    <s v="Offline"/>
    <n v="1469751589"/>
    <s v="U.S. Dollars (US$)"/>
  </r>
  <r>
    <x v="12"/>
    <s v="Country"/>
    <x v="3"/>
    <s v="Chile"/>
    <s v="Online"/>
    <s v="OTA"/>
    <n v="538053460"/>
    <s v="U.S. Dollars (US$)"/>
  </r>
  <r>
    <x v="12"/>
    <s v="Country"/>
    <x v="3"/>
    <s v="Chile"/>
    <s v="Online"/>
    <s v="Online Supplier-Direct"/>
    <n v="578826046"/>
    <s v="U.S. Dollars (US$)"/>
  </r>
  <r>
    <x v="12"/>
    <s v="Country"/>
    <x v="3"/>
    <s v="Colombia"/>
    <s v="Offline"/>
    <s v="Offline"/>
    <n v="2006015002"/>
    <s v="U.S. Dollars (US$)"/>
  </r>
  <r>
    <x v="12"/>
    <s v="Country"/>
    <x v="3"/>
    <s v="Colombia"/>
    <s v="Online"/>
    <s v="OTA"/>
    <n v="682595516"/>
    <s v="U.S. Dollars (US$)"/>
  </r>
  <r>
    <x v="12"/>
    <s v="Country"/>
    <x v="3"/>
    <s v="Colombia"/>
    <s v="Online"/>
    <s v="Online Supplier-Direct"/>
    <n v="791299486"/>
    <s v="U.S. Dollars (US$)"/>
  </r>
  <r>
    <x v="12"/>
    <s v="Country"/>
    <x v="3"/>
    <s v="Mexico"/>
    <s v="Offline"/>
    <s v="Offline"/>
    <n v="10331268148"/>
    <s v="U.S. Dollars (US$)"/>
  </r>
  <r>
    <x v="12"/>
    <s v="Country"/>
    <x v="3"/>
    <s v="Mexico"/>
    <s v="Online"/>
    <s v="OTA"/>
    <n v="4719493922"/>
    <s v="U.S. Dollars (US$)"/>
  </r>
  <r>
    <x v="12"/>
    <s v="Country"/>
    <x v="3"/>
    <s v="Mexico"/>
    <s v="Online"/>
    <s v="Online Supplier-Direct"/>
    <n v="4132944722"/>
    <s v="U.S. Dollars (US$)"/>
  </r>
  <r>
    <x v="12"/>
    <s v="Country"/>
    <x v="4"/>
    <s v="Egypt"/>
    <s v="Offline"/>
    <s v="Offline"/>
    <n v="1257720109"/>
    <s v="U.S. Dollars (US$)"/>
  </r>
  <r>
    <x v="12"/>
    <s v="Country"/>
    <x v="4"/>
    <s v="Egypt"/>
    <s v="Online"/>
    <s v="OTA"/>
    <n v="276974680"/>
    <s v="U.S. Dollars (US$)"/>
  </r>
  <r>
    <x v="12"/>
    <s v="Country"/>
    <x v="4"/>
    <s v="Egypt"/>
    <s v="Online"/>
    <s v="Online Supplier-Direct"/>
    <n v="302687968"/>
    <s v="U.S. Dollars (US$)"/>
  </r>
  <r>
    <x v="12"/>
    <s v="Country"/>
    <x v="4"/>
    <s v="Qatar"/>
    <s v="Offline"/>
    <s v="Offline"/>
    <n v="4561149107"/>
    <s v="U.S. Dollars (US$)"/>
  </r>
  <r>
    <x v="12"/>
    <s v="Country"/>
    <x v="4"/>
    <s v="Qatar"/>
    <s v="Online"/>
    <s v="OTA"/>
    <n v="707657423"/>
    <s v="U.S. Dollars (US$)"/>
  </r>
  <r>
    <x v="12"/>
    <s v="Country"/>
    <x v="4"/>
    <s v="Qatar"/>
    <s v="Online"/>
    <s v="Online Supplier-Direct"/>
    <n v="2244004809"/>
    <s v="U.S. Dollars (US$)"/>
  </r>
  <r>
    <x v="12"/>
    <s v="Country"/>
    <x v="4"/>
    <s v="Rest of Middle East"/>
    <s v="Offline"/>
    <s v="Offline"/>
    <n v="3439849020"/>
    <s v="U.S. Dollars (US$)"/>
  </r>
  <r>
    <x v="12"/>
    <s v="Country"/>
    <x v="4"/>
    <s v="Rest of Middle East"/>
    <s v="Online"/>
    <s v="OTA"/>
    <n v="923491422"/>
    <s v="U.S. Dollars (US$)"/>
  </r>
  <r>
    <x v="12"/>
    <s v="Country"/>
    <x v="4"/>
    <s v="Rest of Middle East"/>
    <s v="Online"/>
    <s v="Online Supplier-Direct"/>
    <n v="1091099803"/>
    <s v="U.S. Dollars (US$)"/>
  </r>
  <r>
    <x v="12"/>
    <s v="Country"/>
    <x v="4"/>
    <s v="Saudi Arabia"/>
    <s v="Offline"/>
    <s v="Offline"/>
    <n v="4231019362"/>
    <s v="U.S. Dollars (US$)"/>
  </r>
  <r>
    <x v="12"/>
    <s v="Country"/>
    <x v="4"/>
    <s v="Saudi Arabia"/>
    <s v="Online"/>
    <s v="OTA"/>
    <n v="1506231450"/>
    <s v="U.S. Dollars (US$)"/>
  </r>
  <r>
    <x v="12"/>
    <s v="Country"/>
    <x v="4"/>
    <s v="Saudi Arabia"/>
    <s v="Online"/>
    <s v="Online Supplier-Direct"/>
    <n v="1377359005"/>
    <s v="U.S. Dollars (US$)"/>
  </r>
  <r>
    <x v="12"/>
    <s v="Country"/>
    <x v="4"/>
    <s v="U.A.E."/>
    <s v="Offline"/>
    <s v="Offline"/>
    <n v="10891714658"/>
    <s v="U.S. Dollars (US$)"/>
  </r>
  <r>
    <x v="12"/>
    <s v="Country"/>
    <x v="4"/>
    <s v="U.A.E."/>
    <s v="Online"/>
    <s v="OTA"/>
    <n v="3443036641"/>
    <s v="U.S. Dollars (US$)"/>
  </r>
  <r>
    <x v="12"/>
    <s v="Country"/>
    <x v="4"/>
    <s v="U.A.E."/>
    <s v="Online"/>
    <s v="Online Supplier-Direct"/>
    <n v="5683378981"/>
    <s v="U.S. Dollars (US$)"/>
  </r>
  <r>
    <x v="12"/>
    <s v="Country"/>
    <x v="5"/>
    <s v="Canada"/>
    <s v="Central"/>
    <s v="Central Reservation"/>
    <n v="5721941494"/>
    <s v="U.S. Dollars (US$)"/>
  </r>
  <r>
    <x v="12"/>
    <s v="Country"/>
    <x v="5"/>
    <s v="Canada"/>
    <s v="Offline"/>
    <s v="Travel Agency/TMC"/>
    <n v="1381302295"/>
    <s v="U.S. Dollars (US$)"/>
  </r>
  <r>
    <x v="12"/>
    <s v="Country"/>
    <x v="5"/>
    <s v="Canada"/>
    <s v="Online"/>
    <s v="OTA"/>
    <n v="3975668896"/>
    <s v="U.S. Dollars (US$)"/>
  </r>
  <r>
    <x v="12"/>
    <s v="Country"/>
    <x v="5"/>
    <s v="Canada"/>
    <s v="Online"/>
    <s v="Online Supplier-Direct"/>
    <n v="4768089696"/>
    <s v="U.S. Dollars (US$)"/>
  </r>
  <r>
    <x v="12"/>
    <s v="Country"/>
    <x v="5"/>
    <s v="U.S."/>
    <s v="Central"/>
    <s v="Central Reservation"/>
    <n v="63845616683"/>
    <s v="U.S. Dollars (US$)"/>
  </r>
  <r>
    <x v="12"/>
    <s v="Country"/>
    <x v="5"/>
    <s v="U.S."/>
    <s v="Offline"/>
    <s v="Travel Agency/TMC"/>
    <n v="33480458169"/>
    <s v="U.S. Dollars (US$)"/>
  </r>
  <r>
    <x v="12"/>
    <s v="Country"/>
    <x v="5"/>
    <s v="U.S."/>
    <s v="Online"/>
    <s v="OTA"/>
    <n v="65982013184"/>
    <s v="U.S. Dollars (US$)"/>
  </r>
  <r>
    <x v="12"/>
    <s v="Country"/>
    <x v="5"/>
    <s v="U.S."/>
    <s v="Online"/>
    <s v="Online Supplier-Direct"/>
    <n v="117684379994"/>
    <s v="U.S. Dollars (US$)"/>
  </r>
  <r>
    <x v="13"/>
    <s v="Country"/>
    <x v="0"/>
    <s v="Australia-New Zealand"/>
    <s v="Offline"/>
    <s v="Offline"/>
    <n v="13036667811"/>
    <s v="U.S. Dollars (US$)"/>
  </r>
  <r>
    <x v="13"/>
    <s v="Country"/>
    <x v="0"/>
    <s v="Australia-New Zealand"/>
    <s v="Online"/>
    <s v="OTA"/>
    <n v="5361592621"/>
    <s v="U.S. Dollars (US$)"/>
  </r>
  <r>
    <x v="13"/>
    <s v="Country"/>
    <x v="0"/>
    <s v="Australia-New Zealand"/>
    <s v="Online"/>
    <s v="Online Supplier-Direct"/>
    <n v="11063249217"/>
    <s v="U.S. Dollars (US$)"/>
  </r>
  <r>
    <x v="13"/>
    <s v="Country"/>
    <x v="0"/>
    <s v="China"/>
    <s v="Offline"/>
    <s v="Offline"/>
    <n v="29010156863"/>
    <s v="U.S. Dollars (US$)"/>
  </r>
  <r>
    <x v="13"/>
    <s v="Country"/>
    <x v="0"/>
    <s v="China"/>
    <s v="Online"/>
    <s v="OTA"/>
    <n v="31225214470"/>
    <s v="U.S. Dollars (US$)"/>
  </r>
  <r>
    <x v="13"/>
    <s v="Country"/>
    <x v="0"/>
    <s v="China"/>
    <s v="Online"/>
    <s v="Online Supplier-Direct"/>
    <n v="29270105325"/>
    <s v="U.S. Dollars (US$)"/>
  </r>
  <r>
    <x v="13"/>
    <s v="Country"/>
    <x v="0"/>
    <s v="Hong Kong"/>
    <s v="Offline"/>
    <s v="Offline"/>
    <n v="3002000443"/>
    <s v="U.S. Dollars (US$)"/>
  </r>
  <r>
    <x v="13"/>
    <s v="Country"/>
    <x v="0"/>
    <s v="Hong Kong"/>
    <s v="Online"/>
    <s v="OTA"/>
    <n v="717051335"/>
    <s v="U.S. Dollars (US$)"/>
  </r>
  <r>
    <x v="13"/>
    <s v="Country"/>
    <x v="0"/>
    <s v="Hong Kong"/>
    <s v="Online"/>
    <s v="Online Supplier-Direct"/>
    <n v="501014074"/>
    <s v="U.S. Dollars (US$)"/>
  </r>
  <r>
    <x v="13"/>
    <s v="Country"/>
    <x v="0"/>
    <s v="India"/>
    <s v="Offline"/>
    <s v="Offline"/>
    <n v="15554061326"/>
    <s v="U.S. Dollars (US$)"/>
  </r>
  <r>
    <x v="13"/>
    <s v="Country"/>
    <x v="0"/>
    <s v="India"/>
    <s v="Online"/>
    <s v="OTA"/>
    <n v="10067518272"/>
    <s v="U.S. Dollars (US$)"/>
  </r>
  <r>
    <x v="13"/>
    <s v="Country"/>
    <x v="0"/>
    <s v="India"/>
    <s v="Online"/>
    <s v="Online Supplier-Direct"/>
    <n v="8260008169"/>
    <s v="U.S. Dollars (US$)"/>
  </r>
  <r>
    <x v="13"/>
    <s v="Country"/>
    <x v="0"/>
    <s v="Indonesia"/>
    <s v="Offline"/>
    <s v="Offline"/>
    <n v="3758081631"/>
    <s v="U.S. Dollars (US$)"/>
  </r>
  <r>
    <x v="13"/>
    <s v="Country"/>
    <x v="0"/>
    <s v="Indonesia"/>
    <s v="Online"/>
    <s v="OTA"/>
    <n v="3157773947"/>
    <s v="U.S. Dollars (US$)"/>
  </r>
  <r>
    <x v="13"/>
    <s v="Country"/>
    <x v="0"/>
    <s v="Indonesia"/>
    <s v="Online"/>
    <s v="Online Supplier-Direct"/>
    <n v="1225977682"/>
    <s v="U.S. Dollars (US$)"/>
  </r>
  <r>
    <x v="13"/>
    <s v="Country"/>
    <x v="0"/>
    <s v="Japan"/>
    <s v="Offline"/>
    <s v="Offline"/>
    <n v="29613786916"/>
    <s v="U.S. Dollars (US$)"/>
  </r>
  <r>
    <x v="13"/>
    <s v="Country"/>
    <x v="0"/>
    <s v="Japan"/>
    <s v="Online"/>
    <s v="OTA"/>
    <n v="14492063898"/>
    <s v="U.S. Dollars (US$)"/>
  </r>
  <r>
    <x v="13"/>
    <s v="Country"/>
    <x v="0"/>
    <s v="Japan"/>
    <s v="Online"/>
    <s v="Online Supplier-Direct"/>
    <n v="18675898437"/>
    <s v="U.S. Dollars (US$)"/>
  </r>
  <r>
    <x v="13"/>
    <s v="Country"/>
    <x v="0"/>
    <s v="Macau"/>
    <s v="Offline"/>
    <s v="Offline"/>
    <n v="232718340"/>
    <s v="U.S. Dollars (US$)"/>
  </r>
  <r>
    <x v="13"/>
    <s v="Country"/>
    <x v="0"/>
    <s v="Macau"/>
    <s v="Online"/>
    <s v="OTA"/>
    <n v="204792139"/>
    <s v="U.S. Dollars (US$)"/>
  </r>
  <r>
    <x v="13"/>
    <s v="Country"/>
    <x v="0"/>
    <s v="Macau"/>
    <s v="Online"/>
    <s v="Online Supplier-Direct"/>
    <n v="27926201"/>
    <s v="U.S. Dollars (US$)"/>
  </r>
  <r>
    <x v="13"/>
    <s v="Country"/>
    <x v="0"/>
    <s v="Malaysia"/>
    <s v="Offline"/>
    <s v="Offline"/>
    <n v="2698158322"/>
    <s v="U.S. Dollars (US$)"/>
  </r>
  <r>
    <x v="13"/>
    <s v="Country"/>
    <x v="0"/>
    <s v="Malaysia"/>
    <s v="Online"/>
    <s v="OTA"/>
    <n v="1533610757"/>
    <s v="U.S. Dollars (US$)"/>
  </r>
  <r>
    <x v="13"/>
    <s v="Country"/>
    <x v="0"/>
    <s v="Malaysia"/>
    <s v="Online"/>
    <s v="Online Supplier-Direct"/>
    <n v="1833177471"/>
    <s v="U.S. Dollars (US$)"/>
  </r>
  <r>
    <x v="13"/>
    <s v="Country"/>
    <x v="0"/>
    <s v="Singapore"/>
    <s v="Offline"/>
    <s v="Offline"/>
    <n v="3859625680"/>
    <s v="U.S. Dollars (US$)"/>
  </r>
  <r>
    <x v="13"/>
    <s v="Country"/>
    <x v="0"/>
    <s v="Singapore"/>
    <s v="Online"/>
    <s v="OTA"/>
    <n v="2912887082"/>
    <s v="U.S. Dollars (US$)"/>
  </r>
  <r>
    <x v="13"/>
    <s v="Country"/>
    <x v="0"/>
    <s v="Singapore"/>
    <s v="Online"/>
    <s v="Online Supplier-Direct"/>
    <n v="3522125261"/>
    <s v="U.S. Dollars (US$)"/>
  </r>
  <r>
    <x v="13"/>
    <s v="Country"/>
    <x v="0"/>
    <s v="South Korea"/>
    <s v="Offline"/>
    <s v="Offline"/>
    <n v="5628632527"/>
    <s v="U.S. Dollars (US$)"/>
  </r>
  <r>
    <x v="13"/>
    <s v="Country"/>
    <x v="0"/>
    <s v="South Korea"/>
    <s v="Online"/>
    <s v="OTA"/>
    <n v="2229776516"/>
    <s v="U.S. Dollars (US$)"/>
  </r>
  <r>
    <x v="13"/>
    <s v="Country"/>
    <x v="0"/>
    <s v="South Korea"/>
    <s v="Online"/>
    <s v="Online Supplier-Direct"/>
    <n v="4148703950"/>
    <s v="U.S. Dollars (US$)"/>
  </r>
  <r>
    <x v="13"/>
    <s v="Country"/>
    <x v="0"/>
    <s v="Taiwan"/>
    <s v="Offline"/>
    <s v="Offline"/>
    <n v="2119646748"/>
    <s v="U.S. Dollars (US$)"/>
  </r>
  <r>
    <x v="13"/>
    <s v="Country"/>
    <x v="0"/>
    <s v="Taiwan"/>
    <s v="Online"/>
    <s v="OTA"/>
    <n v="359617044"/>
    <s v="U.S. Dollars (US$)"/>
  </r>
  <r>
    <x v="13"/>
    <s v="Country"/>
    <x v="0"/>
    <s v="Taiwan"/>
    <s v="Online"/>
    <s v="Online Supplier-Direct"/>
    <n v="1436710198"/>
    <s v="U.S. Dollars (US$)"/>
  </r>
  <r>
    <x v="13"/>
    <s v="Country"/>
    <x v="0"/>
    <s v="Thailand"/>
    <s v="Offline"/>
    <s v="Offline"/>
    <n v="3406795700"/>
    <s v="U.S. Dollars (US$)"/>
  </r>
  <r>
    <x v="13"/>
    <s v="Country"/>
    <x v="0"/>
    <s v="Thailand"/>
    <s v="Online"/>
    <s v="OTA"/>
    <n v="2424866835"/>
    <s v="U.S. Dollars (US$)"/>
  </r>
  <r>
    <x v="13"/>
    <s v="Country"/>
    <x v="0"/>
    <s v="Thailand"/>
    <s v="Online"/>
    <s v="Online Supplier-Direct"/>
    <n v="1094146421"/>
    <s v="U.S. Dollars (US$)"/>
  </r>
  <r>
    <x v="13"/>
    <s v="Country"/>
    <x v="1"/>
    <s v="Bulgaria"/>
    <s v="Offline"/>
    <s v="Offline"/>
    <n v="605525740"/>
    <s v="U.S. Dollars (US$)"/>
  </r>
  <r>
    <x v="13"/>
    <s v="Country"/>
    <x v="1"/>
    <s v="Bulgaria"/>
    <s v="Online"/>
    <s v="OTA"/>
    <n v="338524893"/>
    <s v="U.S. Dollars (US$)"/>
  </r>
  <r>
    <x v="13"/>
    <s v="Country"/>
    <x v="1"/>
    <s v="Bulgaria"/>
    <s v="Online"/>
    <s v="Online Supplier-Direct"/>
    <n v="139070822"/>
    <s v="U.S. Dollars (US$)"/>
  </r>
  <r>
    <x v="13"/>
    <s v="Country"/>
    <x v="1"/>
    <s v="Czech Republic"/>
    <s v="Offline"/>
    <s v="Offline"/>
    <n v="1191307108"/>
    <s v="U.S. Dollars (US$)"/>
  </r>
  <r>
    <x v="13"/>
    <s v="Country"/>
    <x v="1"/>
    <s v="Czech Republic"/>
    <s v="Online"/>
    <s v="OTA"/>
    <n v="844377611"/>
    <s v="U.S. Dollars (US$)"/>
  </r>
  <r>
    <x v="13"/>
    <s v="Country"/>
    <x v="1"/>
    <s v="Czech Republic"/>
    <s v="Online"/>
    <s v="Online Supplier-Direct"/>
    <n v="1104647854"/>
    <s v="U.S. Dollars (US$)"/>
  </r>
  <r>
    <x v="13"/>
    <s v="Country"/>
    <x v="1"/>
    <s v="Greece"/>
    <s v="Offline"/>
    <s v="Offline"/>
    <n v="3586155148"/>
    <s v="U.S. Dollars (US$)"/>
  </r>
  <r>
    <x v="13"/>
    <s v="Country"/>
    <x v="1"/>
    <s v="Greece"/>
    <s v="Online"/>
    <s v="OTA"/>
    <n v="2375790030"/>
    <s v="U.S. Dollars (US$)"/>
  </r>
  <r>
    <x v="13"/>
    <s v="Country"/>
    <x v="1"/>
    <s v="Greece"/>
    <s v="Online"/>
    <s v="Online Supplier-Direct"/>
    <n v="1161054844"/>
    <s v="U.S. Dollars (US$)"/>
  </r>
  <r>
    <x v="13"/>
    <s v="Country"/>
    <x v="1"/>
    <s v="Hungary"/>
    <s v="Offline"/>
    <s v="Offline"/>
    <n v="527041125"/>
    <s v="U.S. Dollars (US$)"/>
  </r>
  <r>
    <x v="13"/>
    <s v="Country"/>
    <x v="1"/>
    <s v="Hungary"/>
    <s v="Online"/>
    <s v="OTA"/>
    <n v="678581764"/>
    <s v="U.S. Dollars (US$)"/>
  </r>
  <r>
    <x v="13"/>
    <s v="Country"/>
    <x v="1"/>
    <s v="Hungary"/>
    <s v="Online"/>
    <s v="Online Supplier-Direct"/>
    <n v="3797163144"/>
    <s v="U.S. Dollars (US$)"/>
  </r>
  <r>
    <x v="13"/>
    <s v="Country"/>
    <x v="1"/>
    <s v="Poland"/>
    <s v="Offline"/>
    <s v="Offline"/>
    <n v="2209696922"/>
    <s v="U.S. Dollars (US$)"/>
  </r>
  <r>
    <x v="13"/>
    <s v="Country"/>
    <x v="1"/>
    <s v="Poland"/>
    <s v="Online"/>
    <s v="OTA"/>
    <n v="1061643974"/>
    <s v="U.S. Dollars (US$)"/>
  </r>
  <r>
    <x v="13"/>
    <s v="Country"/>
    <x v="1"/>
    <s v="Poland"/>
    <s v="Online"/>
    <s v="Online Supplier-Direct"/>
    <n v="1259618243"/>
    <s v="U.S. Dollars (US$)"/>
  </r>
  <r>
    <x v="13"/>
    <s v="Country"/>
    <x v="1"/>
    <s v="Rest of Eastern Europe"/>
    <s v="Offline"/>
    <s v="Offline"/>
    <n v="764362465"/>
    <s v="U.S. Dollars (US$)"/>
  </r>
  <r>
    <x v="13"/>
    <s v="Country"/>
    <x v="1"/>
    <s v="Rest of Eastern Europe"/>
    <s v="Online"/>
    <s v="OTA"/>
    <n v="525207089"/>
    <s v="U.S. Dollars (US$)"/>
  </r>
  <r>
    <x v="13"/>
    <s v="Country"/>
    <x v="1"/>
    <s v="Rest of Eastern Europe"/>
    <s v="Online"/>
    <s v="Online Supplier-Direct"/>
    <n v="652106603"/>
    <s v="U.S. Dollars (US$)"/>
  </r>
  <r>
    <x v="13"/>
    <s v="Country"/>
    <x v="1"/>
    <s v="Romania"/>
    <s v="Offline"/>
    <s v="Offline"/>
    <n v="778721712"/>
    <s v="U.S. Dollars (US$)"/>
  </r>
  <r>
    <x v="13"/>
    <s v="Country"/>
    <x v="1"/>
    <s v="Romania"/>
    <s v="Online"/>
    <s v="OTA"/>
    <n v="542266561"/>
    <s v="U.S. Dollars (US$)"/>
  </r>
  <r>
    <x v="13"/>
    <s v="Country"/>
    <x v="1"/>
    <s v="Romania"/>
    <s v="Online"/>
    <s v="Online Supplier-Direct"/>
    <n v="286193664"/>
    <s v="U.S. Dollars (US$)"/>
  </r>
  <r>
    <x v="13"/>
    <s v="Country"/>
    <x v="1"/>
    <s v="Russia"/>
    <s v="Offline"/>
    <s v="Offline"/>
    <n v="14690832311"/>
    <s v="U.S. Dollars (US$)"/>
  </r>
  <r>
    <x v="13"/>
    <s v="Country"/>
    <x v="1"/>
    <s v="Russia"/>
    <s v="Online"/>
    <s v="OTA"/>
    <n v="4538597047"/>
    <s v="U.S. Dollars (US$)"/>
  </r>
  <r>
    <x v="13"/>
    <s v="Country"/>
    <x v="1"/>
    <s v="Russia"/>
    <s v="Online"/>
    <s v="Online Supplier-Direct"/>
    <n v="8227208466"/>
    <s v="U.S. Dollars (US$)"/>
  </r>
  <r>
    <x v="13"/>
    <s v="Country"/>
    <x v="1"/>
    <s v="Ukraine"/>
    <s v="Offline"/>
    <s v="Offline"/>
    <n v="0"/>
    <s v="U.S. Dollars (US$)"/>
  </r>
  <r>
    <x v="13"/>
    <s v="Country"/>
    <x v="1"/>
    <s v="Ukraine"/>
    <s v="Online"/>
    <s v="OTA"/>
    <n v="0"/>
    <s v="U.S. Dollars (US$)"/>
  </r>
  <r>
    <x v="13"/>
    <s v="Country"/>
    <x v="1"/>
    <s v="Ukraine"/>
    <s v="Online"/>
    <s v="Online Supplier-Direct"/>
    <n v="0"/>
    <s v="U.S. Dollars (US$)"/>
  </r>
  <r>
    <x v="13"/>
    <s v="Country"/>
    <x v="2"/>
    <s v="France"/>
    <s v="Offline"/>
    <s v="Offline"/>
    <n v="25358662814"/>
    <s v="U.S. Dollars (US$)"/>
  </r>
  <r>
    <x v="13"/>
    <s v="Country"/>
    <x v="2"/>
    <s v="France"/>
    <s v="Online"/>
    <s v="OTA"/>
    <n v="7275975931"/>
    <s v="U.S. Dollars (US$)"/>
  </r>
  <r>
    <x v="13"/>
    <s v="Country"/>
    <x v="2"/>
    <s v="France"/>
    <s v="Online"/>
    <s v="Online Supplier-Direct"/>
    <n v="19924684457"/>
    <s v="U.S. Dollars (US$)"/>
  </r>
  <r>
    <x v="13"/>
    <s v="Country"/>
    <x v="2"/>
    <s v="Germany"/>
    <s v="Offline"/>
    <s v="Offline"/>
    <n v="25021554857"/>
    <s v="U.S. Dollars (US$)"/>
  </r>
  <r>
    <x v="13"/>
    <s v="Country"/>
    <x v="2"/>
    <s v="Germany"/>
    <s v="Online"/>
    <s v="OTA"/>
    <n v="12609769609"/>
    <s v="U.S. Dollars (US$)"/>
  </r>
  <r>
    <x v="13"/>
    <s v="Country"/>
    <x v="2"/>
    <s v="Germany"/>
    <s v="Online"/>
    <s v="Online Supplier-Direct"/>
    <n v="23185464890"/>
    <s v="U.S. Dollars (US$)"/>
  </r>
  <r>
    <x v="13"/>
    <s v="Country"/>
    <x v="2"/>
    <s v="Italy"/>
    <s v="Offline"/>
    <s v="Offline"/>
    <n v="9761485887"/>
    <s v="U.S. Dollars (US$)"/>
  </r>
  <r>
    <x v="13"/>
    <s v="Country"/>
    <x v="2"/>
    <s v="Italy"/>
    <s v="Online"/>
    <s v="OTA"/>
    <n v="4539126617"/>
    <s v="U.S. Dollars (US$)"/>
  </r>
  <r>
    <x v="13"/>
    <s v="Country"/>
    <x v="2"/>
    <s v="Italy"/>
    <s v="Online"/>
    <s v="Online Supplier-Direct"/>
    <n v="6701710088"/>
    <s v="U.S. Dollars (US$)"/>
  </r>
  <r>
    <x v="13"/>
    <s v="Country"/>
    <x v="2"/>
    <s v="Rest of Europe"/>
    <s v="Offline"/>
    <s v="Offline"/>
    <n v="22953579305"/>
    <s v="U.S. Dollars (US$)"/>
  </r>
  <r>
    <x v="13"/>
    <s v="Country"/>
    <x v="2"/>
    <s v="Rest of Europe"/>
    <s v="Online"/>
    <s v="OTA"/>
    <n v="9918495275"/>
    <s v="U.S. Dollars (US$)"/>
  </r>
  <r>
    <x v="13"/>
    <s v="Country"/>
    <x v="2"/>
    <s v="Rest of Europe"/>
    <s v="Online"/>
    <s v="Online Supplier-Direct"/>
    <n v="28573344910"/>
    <s v="U.S. Dollars (US$)"/>
  </r>
  <r>
    <x v="13"/>
    <s v="Country"/>
    <x v="2"/>
    <s v="Scandinavia"/>
    <s v="Offline"/>
    <s v="Offline"/>
    <n v="3688571355"/>
    <s v="U.S. Dollars (US$)"/>
  </r>
  <r>
    <x v="13"/>
    <s v="Country"/>
    <x v="2"/>
    <s v="Scandinavia"/>
    <s v="Online"/>
    <s v="OTA"/>
    <n v="3598714534"/>
    <s v="U.S. Dollars (US$)"/>
  </r>
  <r>
    <x v="13"/>
    <s v="Country"/>
    <x v="2"/>
    <s v="Scandinavia"/>
    <s v="Online"/>
    <s v="Online Supplier-Direct"/>
    <n v="8331714099"/>
    <s v="U.S. Dollars (US$)"/>
  </r>
  <r>
    <x v="13"/>
    <s v="Country"/>
    <x v="2"/>
    <s v="Spain"/>
    <s v="Offline"/>
    <s v="Offline"/>
    <n v="11180879994"/>
    <s v="U.S. Dollars (US$)"/>
  </r>
  <r>
    <x v="13"/>
    <s v="Country"/>
    <x v="2"/>
    <s v="Spain"/>
    <s v="Online"/>
    <s v="OTA"/>
    <n v="6897679902"/>
    <s v="U.S. Dollars (US$)"/>
  </r>
  <r>
    <x v="13"/>
    <s v="Country"/>
    <x v="2"/>
    <s v="Spain"/>
    <s v="Online"/>
    <s v="Online Supplier-Direct"/>
    <n v="8565506263"/>
    <s v="U.S. Dollars (US$)"/>
  </r>
  <r>
    <x v="13"/>
    <s v="Country"/>
    <x v="2"/>
    <s v="U.K."/>
    <s v="Offline"/>
    <s v="Offline"/>
    <n v="9068616178"/>
    <s v="U.S. Dollars (US$)"/>
  </r>
  <r>
    <x v="13"/>
    <s v="Country"/>
    <x v="2"/>
    <s v="U.K."/>
    <s v="Online"/>
    <s v="OTA"/>
    <n v="8947072214"/>
    <s v="U.S. Dollars (US$)"/>
  </r>
  <r>
    <x v="13"/>
    <s v="Country"/>
    <x v="2"/>
    <s v="U.K."/>
    <s v="Online"/>
    <s v="Online Supplier-Direct"/>
    <n v="30915259060"/>
    <s v="U.S. Dollars (US$)"/>
  </r>
  <r>
    <x v="13"/>
    <s v="Country"/>
    <x v="3"/>
    <s v="Argentina"/>
    <s v="Offline"/>
    <s v="Offline"/>
    <n v="3981900167"/>
    <s v="U.S. Dollars (US$)"/>
  </r>
  <r>
    <x v="13"/>
    <s v="Country"/>
    <x v="3"/>
    <s v="Argentina"/>
    <s v="Online"/>
    <s v="OTA"/>
    <n v="1297981167"/>
    <s v="U.S. Dollars (US$)"/>
  </r>
  <r>
    <x v="13"/>
    <s v="Country"/>
    <x v="3"/>
    <s v="Argentina"/>
    <s v="Online"/>
    <s v="Online Supplier-Direct"/>
    <n v="1213045964"/>
    <s v="U.S. Dollars (US$)"/>
  </r>
  <r>
    <x v="13"/>
    <s v="Country"/>
    <x v="3"/>
    <s v="Brazil"/>
    <s v="Offline"/>
    <s v="Offline"/>
    <n v="8143888408"/>
    <s v="U.S. Dollars (US$)"/>
  </r>
  <r>
    <x v="13"/>
    <s v="Country"/>
    <x v="3"/>
    <s v="Brazil"/>
    <s v="Online"/>
    <s v="OTA"/>
    <n v="4354779864"/>
    <s v="U.S. Dollars (US$)"/>
  </r>
  <r>
    <x v="13"/>
    <s v="Country"/>
    <x v="3"/>
    <s v="Brazil"/>
    <s v="Online"/>
    <s v="Online Supplier-Direct"/>
    <n v="3354410425"/>
    <s v="U.S. Dollars (US$)"/>
  </r>
  <r>
    <x v="13"/>
    <s v="Country"/>
    <x v="3"/>
    <s v="Chile"/>
    <s v="Offline"/>
    <s v="Offline"/>
    <n v="1734973312"/>
    <s v="U.S. Dollars (US$)"/>
  </r>
  <r>
    <x v="13"/>
    <s v="Country"/>
    <x v="3"/>
    <s v="Chile"/>
    <s v="Online"/>
    <s v="OTA"/>
    <n v="688317810"/>
    <s v="U.S. Dollars (US$)"/>
  </r>
  <r>
    <x v="13"/>
    <s v="Country"/>
    <x v="3"/>
    <s v="Chile"/>
    <s v="Online"/>
    <s v="Online Supplier-Direct"/>
    <n v="744063846"/>
    <s v="U.S. Dollars (US$)"/>
  </r>
  <r>
    <x v="13"/>
    <s v="Country"/>
    <x v="3"/>
    <s v="Colombia"/>
    <s v="Offline"/>
    <s v="Offline"/>
    <n v="2498170431"/>
    <s v="U.S. Dollars (US$)"/>
  </r>
  <r>
    <x v="13"/>
    <s v="Country"/>
    <x v="3"/>
    <s v="Colombia"/>
    <s v="Online"/>
    <s v="OTA"/>
    <n v="895971183"/>
    <s v="U.S. Dollars (US$)"/>
  </r>
  <r>
    <x v="13"/>
    <s v="Country"/>
    <x v="3"/>
    <s v="Colombia"/>
    <s v="Online"/>
    <s v="Online Supplier-Direct"/>
    <n v="1018203509"/>
    <s v="U.S. Dollars (US$)"/>
  </r>
  <r>
    <x v="13"/>
    <s v="Country"/>
    <x v="3"/>
    <s v="Mexico"/>
    <s v="Offline"/>
    <s v="Offline"/>
    <n v="12926014486"/>
    <s v="U.S. Dollars (US$)"/>
  </r>
  <r>
    <x v="13"/>
    <s v="Country"/>
    <x v="3"/>
    <s v="Mexico"/>
    <s v="Online"/>
    <s v="OTA"/>
    <n v="6125103586"/>
    <s v="U.S. Dollars (US$)"/>
  </r>
  <r>
    <x v="13"/>
    <s v="Country"/>
    <x v="3"/>
    <s v="Mexico"/>
    <s v="Online"/>
    <s v="Online Supplier-Direct"/>
    <n v="5532449468"/>
    <s v="U.S. Dollars (US$)"/>
  </r>
  <r>
    <x v="13"/>
    <s v="Country"/>
    <x v="4"/>
    <s v="Egypt"/>
    <s v="Offline"/>
    <s v="Offline"/>
    <n v="1946413217"/>
    <s v="U.S. Dollars (US$)"/>
  </r>
  <r>
    <x v="13"/>
    <s v="Country"/>
    <x v="4"/>
    <s v="Egypt"/>
    <s v="Online"/>
    <s v="OTA"/>
    <n v="448331306"/>
    <s v="U.S. Dollars (US$)"/>
  </r>
  <r>
    <x v="13"/>
    <s v="Country"/>
    <x v="4"/>
    <s v="Egypt"/>
    <s v="Online"/>
    <s v="Online Supplier-Direct"/>
    <n v="596991808"/>
    <s v="U.S. Dollars (US$)"/>
  </r>
  <r>
    <x v="13"/>
    <s v="Country"/>
    <x v="4"/>
    <s v="Qatar"/>
    <s v="Offline"/>
    <s v="Offline"/>
    <n v="8512396118"/>
    <s v="U.S. Dollars (US$)"/>
  </r>
  <r>
    <x v="13"/>
    <s v="Country"/>
    <x v="4"/>
    <s v="Qatar"/>
    <s v="Online"/>
    <s v="OTA"/>
    <n v="1411661735"/>
    <s v="U.S. Dollars (US$)"/>
  </r>
  <r>
    <x v="13"/>
    <s v="Country"/>
    <x v="4"/>
    <s v="Qatar"/>
    <s v="Online"/>
    <s v="Online Supplier-Direct"/>
    <n v="4874099737"/>
    <s v="U.S. Dollars (US$)"/>
  </r>
  <r>
    <x v="13"/>
    <s v="Country"/>
    <x v="4"/>
    <s v="Rest of Middle East"/>
    <s v="Offline"/>
    <s v="Offline"/>
    <n v="5026573168"/>
    <s v="U.S. Dollars (US$)"/>
  </r>
  <r>
    <x v="13"/>
    <s v="Country"/>
    <x v="4"/>
    <s v="Rest of Middle East"/>
    <s v="Online"/>
    <s v="OTA"/>
    <n v="1441822415"/>
    <s v="U.S. Dollars (US$)"/>
  </r>
  <r>
    <x v="13"/>
    <s v="Country"/>
    <x v="4"/>
    <s v="Rest of Middle East"/>
    <s v="Online"/>
    <s v="Online Supplier-Direct"/>
    <n v="1877637537"/>
    <s v="U.S. Dollars (US$)"/>
  </r>
  <r>
    <x v="13"/>
    <s v="Country"/>
    <x v="4"/>
    <s v="Saudi Arabia"/>
    <s v="Offline"/>
    <s v="Offline"/>
    <n v="8297697715"/>
    <s v="U.S. Dollars (US$)"/>
  </r>
  <r>
    <x v="13"/>
    <s v="Country"/>
    <x v="4"/>
    <s v="Saudi Arabia"/>
    <s v="Online"/>
    <s v="OTA"/>
    <n v="2865533840"/>
    <s v="U.S. Dollars (US$)"/>
  </r>
  <r>
    <x v="13"/>
    <s v="Country"/>
    <x v="4"/>
    <s v="Saudi Arabia"/>
    <s v="Online"/>
    <s v="Online Supplier-Direct"/>
    <n v="3540883697"/>
    <s v="U.S. Dollars (US$)"/>
  </r>
  <r>
    <x v="13"/>
    <s v="Country"/>
    <x v="4"/>
    <s v="U.A.E."/>
    <s v="Offline"/>
    <s v="Offline"/>
    <n v="21737449328"/>
    <s v="U.S. Dollars (US$)"/>
  </r>
  <r>
    <x v="13"/>
    <s v="Country"/>
    <x v="4"/>
    <s v="U.A.E."/>
    <s v="Online"/>
    <s v="OTA"/>
    <n v="5445770029"/>
    <s v="U.S. Dollars (US$)"/>
  </r>
  <r>
    <x v="13"/>
    <s v="Country"/>
    <x v="4"/>
    <s v="U.A.E."/>
    <s v="Online"/>
    <s v="Online Supplier-Direct"/>
    <n v="12758432858"/>
    <s v="U.S. Dollars (US$)"/>
  </r>
  <r>
    <x v="13"/>
    <s v="Country"/>
    <x v="5"/>
    <s v="Canada"/>
    <s v="Central"/>
    <s v="Central Reservation"/>
    <n v="7866488835"/>
    <s v="U.S. Dollars (US$)"/>
  </r>
  <r>
    <x v="13"/>
    <s v="Country"/>
    <x v="5"/>
    <s v="Canada"/>
    <s v="Offline"/>
    <s v="Travel Agency/TMC"/>
    <n v="4781980462"/>
    <s v="U.S. Dollars (US$)"/>
  </r>
  <r>
    <x v="13"/>
    <s v="Country"/>
    <x v="5"/>
    <s v="Canada"/>
    <s v="Online"/>
    <s v="OTA"/>
    <n v="8079420119"/>
    <s v="U.S. Dollars (US$)"/>
  </r>
  <r>
    <x v="13"/>
    <s v="Country"/>
    <x v="5"/>
    <s v="Canada"/>
    <s v="Online"/>
    <s v="Online Supplier-Direct"/>
    <n v="10844420519"/>
    <s v="U.S. Dollars (US$)"/>
  </r>
  <r>
    <x v="13"/>
    <s v="Country"/>
    <x v="5"/>
    <s v="U.S."/>
    <s v="Central"/>
    <s v="Central Reservation"/>
    <n v="84933436910"/>
    <s v="U.S. Dollars (US$)"/>
  </r>
  <r>
    <x v="13"/>
    <s v="Country"/>
    <x v="5"/>
    <s v="U.S."/>
    <s v="Offline"/>
    <s v="Travel Agency/TMC"/>
    <n v="70844328110"/>
    <s v="U.S. Dollars (US$)"/>
  </r>
  <r>
    <x v="13"/>
    <s v="Country"/>
    <x v="5"/>
    <s v="U.S."/>
    <s v="Online"/>
    <s v="OTA"/>
    <n v="89648790000"/>
    <s v="U.S. Dollars (US$)"/>
  </r>
  <r>
    <x v="13"/>
    <s v="Country"/>
    <x v="5"/>
    <s v="U.S."/>
    <s v="Online"/>
    <s v="Online Supplier-Direct"/>
    <n v="176124290541"/>
    <s v="U.S. Dollars (US$)"/>
  </r>
  <r>
    <x v="14"/>
    <s v="Country"/>
    <x v="0"/>
    <s v="Australia-New Zealand"/>
    <s v="Offline"/>
    <s v="Offline"/>
    <n v="15130013207"/>
    <s v="U.S. Dollars (US$)"/>
  </r>
  <r>
    <x v="14"/>
    <s v="Country"/>
    <x v="0"/>
    <s v="Australia-New Zealand"/>
    <s v="Online"/>
    <s v="OTA"/>
    <n v="6361424103"/>
    <s v="U.S. Dollars (US$)"/>
  </r>
  <r>
    <x v="14"/>
    <s v="Country"/>
    <x v="0"/>
    <s v="Australia-New Zealand"/>
    <s v="Online"/>
    <s v="Online Supplier-Direct"/>
    <n v="14099041160"/>
    <s v="U.S. Dollars (US$)"/>
  </r>
  <r>
    <x v="14"/>
    <s v="Country"/>
    <x v="0"/>
    <s v="China"/>
    <s v="Offline"/>
    <s v="Offline"/>
    <n v="41667369127"/>
    <s v="U.S. Dollars (US$)"/>
  </r>
  <r>
    <x v="14"/>
    <s v="Country"/>
    <x v="0"/>
    <s v="China"/>
    <s v="Online"/>
    <s v="OTA"/>
    <n v="51460476537"/>
    <s v="U.S. Dollars (US$)"/>
  </r>
  <r>
    <x v="14"/>
    <s v="Country"/>
    <x v="0"/>
    <s v="China"/>
    <s v="Online"/>
    <s v="Online Supplier-Direct"/>
    <n v="49542250038"/>
    <s v="U.S. Dollars (US$)"/>
  </r>
  <r>
    <x v="14"/>
    <s v="Country"/>
    <x v="0"/>
    <s v="Hong Kong"/>
    <s v="Offline"/>
    <s v="Offline"/>
    <n v="7197450281"/>
    <s v="U.S. Dollars (US$)"/>
  </r>
  <r>
    <x v="14"/>
    <s v="Country"/>
    <x v="0"/>
    <s v="Hong Kong"/>
    <s v="Online"/>
    <s v="OTA"/>
    <n v="2273359163"/>
    <s v="U.S. Dollars (US$)"/>
  </r>
  <r>
    <x v="14"/>
    <s v="Country"/>
    <x v="0"/>
    <s v="Hong Kong"/>
    <s v="Online"/>
    <s v="Online Supplier-Direct"/>
    <n v="1869847606"/>
    <s v="U.S. Dollars (US$)"/>
  </r>
  <r>
    <x v="14"/>
    <s v="Country"/>
    <x v="0"/>
    <s v="India"/>
    <s v="Offline"/>
    <s v="Offline"/>
    <n v="16919932859"/>
    <s v="U.S. Dollars (US$)"/>
  </r>
  <r>
    <x v="14"/>
    <s v="Country"/>
    <x v="0"/>
    <s v="India"/>
    <s v="Online"/>
    <s v="OTA"/>
    <n v="11458927356"/>
    <s v="U.S. Dollars (US$)"/>
  </r>
  <r>
    <x v="14"/>
    <s v="Country"/>
    <x v="0"/>
    <s v="India"/>
    <s v="Online"/>
    <s v="Online Supplier-Direct"/>
    <n v="9443964879"/>
    <s v="U.S. Dollars (US$)"/>
  </r>
  <r>
    <x v="14"/>
    <s v="Country"/>
    <x v="0"/>
    <s v="Indonesia"/>
    <s v="Offline"/>
    <s v="Offline"/>
    <n v="5069639008"/>
    <s v="U.S. Dollars (US$)"/>
  </r>
  <r>
    <x v="14"/>
    <s v="Country"/>
    <x v="0"/>
    <s v="Indonesia"/>
    <s v="Online"/>
    <s v="OTA"/>
    <n v="5165543817"/>
    <s v="U.S. Dollars (US$)"/>
  </r>
  <r>
    <x v="14"/>
    <s v="Country"/>
    <x v="0"/>
    <s v="Indonesia"/>
    <s v="Online"/>
    <s v="Online Supplier-Direct"/>
    <n v="2117990309"/>
    <s v="U.S. Dollars (US$)"/>
  </r>
  <r>
    <x v="14"/>
    <s v="Country"/>
    <x v="0"/>
    <s v="Japan"/>
    <s v="Offline"/>
    <s v="Offline"/>
    <n v="38690275617"/>
    <s v="U.S. Dollars (US$)"/>
  </r>
  <r>
    <x v="14"/>
    <s v="Country"/>
    <x v="0"/>
    <s v="Japan"/>
    <s v="Online"/>
    <s v="OTA"/>
    <n v="20330587201"/>
    <s v="U.S. Dollars (US$)"/>
  </r>
  <r>
    <x v="14"/>
    <s v="Country"/>
    <x v="0"/>
    <s v="Japan"/>
    <s v="Online"/>
    <s v="Online Supplier-Direct"/>
    <n v="26072733473"/>
    <s v="U.S. Dollars (US$)"/>
  </r>
  <r>
    <x v="14"/>
    <s v="Country"/>
    <x v="0"/>
    <s v="Macau"/>
    <s v="Offline"/>
    <s v="Offline"/>
    <n v="1019365083"/>
    <s v="U.S. Dollars (US$)"/>
  </r>
  <r>
    <x v="14"/>
    <s v="Country"/>
    <x v="0"/>
    <s v="Macau"/>
    <s v="Online"/>
    <s v="OTA"/>
    <n v="1146878388"/>
    <s v="U.S. Dollars (US$)"/>
  </r>
  <r>
    <x v="14"/>
    <s v="Country"/>
    <x v="0"/>
    <s v="Macau"/>
    <s v="Online"/>
    <s v="Online Supplier-Direct"/>
    <n v="150495354"/>
    <s v="U.S. Dollars (US$)"/>
  </r>
  <r>
    <x v="14"/>
    <s v="Country"/>
    <x v="0"/>
    <s v="Malaysia"/>
    <s v="Offline"/>
    <s v="Offline"/>
    <n v="3320116775"/>
    <s v="U.S. Dollars (US$)"/>
  </r>
  <r>
    <x v="14"/>
    <s v="Country"/>
    <x v="0"/>
    <s v="Malaysia"/>
    <s v="Online"/>
    <s v="OTA"/>
    <n v="2384508510"/>
    <s v="U.S. Dollars (US$)"/>
  </r>
  <r>
    <x v="14"/>
    <s v="Country"/>
    <x v="0"/>
    <s v="Malaysia"/>
    <s v="Online"/>
    <s v="Online Supplier-Direct"/>
    <n v="3947035172"/>
    <s v="U.S. Dollars (US$)"/>
  </r>
  <r>
    <x v="14"/>
    <s v="Country"/>
    <x v="0"/>
    <s v="Singapore"/>
    <s v="Offline"/>
    <s v="Offline"/>
    <n v="5131650232"/>
    <s v="U.S. Dollars (US$)"/>
  </r>
  <r>
    <x v="14"/>
    <s v="Country"/>
    <x v="0"/>
    <s v="Singapore"/>
    <s v="Online"/>
    <s v="OTA"/>
    <n v="4738883499"/>
    <s v="U.S. Dollars (US$)"/>
  </r>
  <r>
    <x v="14"/>
    <s v="Country"/>
    <x v="0"/>
    <s v="Singapore"/>
    <s v="Online"/>
    <s v="Online Supplier-Direct"/>
    <n v="5120639129"/>
    <s v="U.S. Dollars (US$)"/>
  </r>
  <r>
    <x v="14"/>
    <s v="Country"/>
    <x v="0"/>
    <s v="South Korea"/>
    <s v="Offline"/>
    <s v="Offline"/>
    <n v="8860113008"/>
    <s v="U.S. Dollars (US$)"/>
  </r>
  <r>
    <x v="14"/>
    <s v="Country"/>
    <x v="0"/>
    <s v="South Korea"/>
    <s v="Online"/>
    <s v="OTA"/>
    <n v="4590795608"/>
    <s v="U.S. Dollars (US$)"/>
  </r>
  <r>
    <x v="14"/>
    <s v="Country"/>
    <x v="0"/>
    <s v="South Korea"/>
    <s v="Online"/>
    <s v="Online Supplier-Direct"/>
    <n v="6494671150"/>
    <s v="U.S. Dollars (US$)"/>
  </r>
  <r>
    <x v="14"/>
    <s v="Country"/>
    <x v="0"/>
    <s v="Taiwan"/>
    <s v="Offline"/>
    <s v="Offline"/>
    <n v="6108307082"/>
    <s v="U.S. Dollars (US$)"/>
  </r>
  <r>
    <x v="14"/>
    <s v="Country"/>
    <x v="0"/>
    <s v="Taiwan"/>
    <s v="Online"/>
    <s v="OTA"/>
    <n v="1600987474"/>
    <s v="U.S. Dollars (US$)"/>
  </r>
  <r>
    <x v="14"/>
    <s v="Country"/>
    <x v="0"/>
    <s v="Taiwan"/>
    <s v="Online"/>
    <s v="Online Supplier-Direct"/>
    <n v="3175883422"/>
    <s v="U.S. Dollars (US$)"/>
  </r>
  <r>
    <x v="14"/>
    <s v="Country"/>
    <x v="0"/>
    <s v="Thailand"/>
    <s v="Offline"/>
    <s v="Offline"/>
    <n v="5509867969"/>
    <s v="U.S. Dollars (US$)"/>
  </r>
  <r>
    <x v="14"/>
    <s v="Country"/>
    <x v="0"/>
    <s v="Thailand"/>
    <s v="Online"/>
    <s v="OTA"/>
    <n v="5060374974"/>
    <s v="U.S. Dollars (US$)"/>
  </r>
  <r>
    <x v="14"/>
    <s v="Country"/>
    <x v="0"/>
    <s v="Thailand"/>
    <s v="Online"/>
    <s v="Online Supplier-Direct"/>
    <n v="2265545656"/>
    <s v="U.S. Dollars (US$)"/>
  </r>
  <r>
    <x v="14"/>
    <s v="Country"/>
    <x v="1"/>
    <s v="Bulgaria"/>
    <s v="Offline"/>
    <s v="Offline"/>
    <n v="724432415"/>
    <s v="U.S. Dollars (US$)"/>
  </r>
  <r>
    <x v="14"/>
    <s v="Country"/>
    <x v="1"/>
    <s v="Bulgaria"/>
    <s v="Online"/>
    <s v="OTA"/>
    <n v="447571828"/>
    <s v="U.S. Dollars (US$)"/>
  </r>
  <r>
    <x v="14"/>
    <s v="Country"/>
    <x v="1"/>
    <s v="Bulgaria"/>
    <s v="Online"/>
    <s v="Online Supplier-Direct"/>
    <n v="194745822"/>
    <s v="U.S. Dollars (US$)"/>
  </r>
  <r>
    <x v="14"/>
    <s v="Country"/>
    <x v="1"/>
    <s v="Czech Republic"/>
    <s v="Offline"/>
    <s v="Offline"/>
    <n v="1413702845"/>
    <s v="U.S. Dollars (US$)"/>
  </r>
  <r>
    <x v="14"/>
    <s v="Country"/>
    <x v="1"/>
    <s v="Czech Republic"/>
    <s v="Online"/>
    <s v="OTA"/>
    <n v="1085430655"/>
    <s v="U.S. Dollars (US$)"/>
  </r>
  <r>
    <x v="14"/>
    <s v="Country"/>
    <x v="1"/>
    <s v="Czech Republic"/>
    <s v="Online"/>
    <s v="Online Supplier-Direct"/>
    <n v="1467831488"/>
    <s v="U.S. Dollars (US$)"/>
  </r>
  <r>
    <x v="14"/>
    <s v="Country"/>
    <x v="1"/>
    <s v="Greece"/>
    <s v="Offline"/>
    <s v="Offline"/>
    <n v="4153881783"/>
    <s v="U.S. Dollars (US$)"/>
  </r>
  <r>
    <x v="14"/>
    <s v="Country"/>
    <x v="1"/>
    <s v="Greece"/>
    <s v="Online"/>
    <s v="OTA"/>
    <n v="3126740319"/>
    <s v="U.S. Dollars (US$)"/>
  </r>
  <r>
    <x v="14"/>
    <s v="Country"/>
    <x v="1"/>
    <s v="Greece"/>
    <s v="Online"/>
    <s v="Online Supplier-Direct"/>
    <n v="1593180684"/>
    <s v="U.S. Dollars (US$)"/>
  </r>
  <r>
    <x v="14"/>
    <s v="Country"/>
    <x v="1"/>
    <s v="Hungary"/>
    <s v="Offline"/>
    <s v="Offline"/>
    <n v="597222038"/>
    <s v="U.S. Dollars (US$)"/>
  </r>
  <r>
    <x v="14"/>
    <s v="Country"/>
    <x v="1"/>
    <s v="Hungary"/>
    <s v="Online"/>
    <s v="OTA"/>
    <n v="873649548"/>
    <s v="U.S. Dollars (US$)"/>
  </r>
  <r>
    <x v="14"/>
    <s v="Country"/>
    <x v="1"/>
    <s v="Hungary"/>
    <s v="Online"/>
    <s v="Online Supplier-Direct"/>
    <n v="5485186025"/>
    <s v="U.S. Dollars (US$)"/>
  </r>
  <r>
    <x v="14"/>
    <s v="Country"/>
    <x v="1"/>
    <s v="Poland"/>
    <s v="Offline"/>
    <s v="Offline"/>
    <n v="2559947036"/>
    <s v="U.S. Dollars (US$)"/>
  </r>
  <r>
    <x v="14"/>
    <s v="Country"/>
    <x v="1"/>
    <s v="Poland"/>
    <s v="Online"/>
    <s v="OTA"/>
    <n v="1317593581"/>
    <s v="U.S. Dollars (US$)"/>
  </r>
  <r>
    <x v="14"/>
    <s v="Country"/>
    <x v="1"/>
    <s v="Poland"/>
    <s v="Online"/>
    <s v="Online Supplier-Direct"/>
    <n v="1621171117"/>
    <s v="U.S. Dollars (US$)"/>
  </r>
  <r>
    <x v="14"/>
    <s v="Country"/>
    <x v="1"/>
    <s v="Rest of Eastern Europe"/>
    <s v="Offline"/>
    <s v="Offline"/>
    <n v="930045547"/>
    <s v="U.S. Dollars (US$)"/>
  </r>
  <r>
    <x v="14"/>
    <s v="Country"/>
    <x v="1"/>
    <s v="Rest of Eastern Europe"/>
    <s v="Online"/>
    <s v="OTA"/>
    <n v="668951780"/>
    <s v="U.S. Dollars (US$)"/>
  </r>
  <r>
    <x v="14"/>
    <s v="Country"/>
    <x v="1"/>
    <s v="Rest of Eastern Europe"/>
    <s v="Online"/>
    <s v="Online Supplier-Direct"/>
    <n v="905853349"/>
    <s v="U.S. Dollars (US$)"/>
  </r>
  <r>
    <x v="14"/>
    <s v="Country"/>
    <x v="1"/>
    <s v="Romania"/>
    <s v="Offline"/>
    <s v="Offline"/>
    <n v="893364884"/>
    <s v="U.S. Dollars (US$)"/>
  </r>
  <r>
    <x v="14"/>
    <s v="Country"/>
    <x v="1"/>
    <s v="Romania"/>
    <s v="Online"/>
    <s v="OTA"/>
    <n v="681318562"/>
    <s v="U.S. Dollars (US$)"/>
  </r>
  <r>
    <x v="14"/>
    <s v="Country"/>
    <x v="1"/>
    <s v="Romania"/>
    <s v="Online"/>
    <s v="Online Supplier-Direct"/>
    <n v="373450203"/>
    <s v="U.S. Dollars (US$)"/>
  </r>
  <r>
    <x v="14"/>
    <s v="Country"/>
    <x v="1"/>
    <s v="Russia"/>
    <s v="Offline"/>
    <s v="Offline"/>
    <n v="13361585765"/>
    <s v="U.S. Dollars (US$)"/>
  </r>
  <r>
    <x v="14"/>
    <s v="Country"/>
    <x v="1"/>
    <s v="Russia"/>
    <s v="Online"/>
    <s v="OTA"/>
    <n v="5231719149"/>
    <s v="U.S. Dollars (US$)"/>
  </r>
  <r>
    <x v="14"/>
    <s v="Country"/>
    <x v="1"/>
    <s v="Russia"/>
    <s v="Online"/>
    <s v="Online Supplier-Direct"/>
    <n v="8761119692"/>
    <s v="U.S. Dollars (US$)"/>
  </r>
  <r>
    <x v="14"/>
    <s v="Country"/>
    <x v="1"/>
    <s v="Ukraine"/>
    <s v="Offline"/>
    <s v="Offline"/>
    <n v="0"/>
    <s v="U.S. Dollars (US$)"/>
  </r>
  <r>
    <x v="14"/>
    <s v="Country"/>
    <x v="1"/>
    <s v="Ukraine"/>
    <s v="Online"/>
    <s v="OTA"/>
    <n v="0"/>
    <s v="U.S. Dollars (US$)"/>
  </r>
  <r>
    <x v="14"/>
    <s v="Country"/>
    <x v="1"/>
    <s v="Ukraine"/>
    <s v="Online"/>
    <s v="Online Supplier-Direct"/>
    <n v="0"/>
    <s v="U.S. Dollars (US$)"/>
  </r>
  <r>
    <x v="14"/>
    <s v="Country"/>
    <x v="2"/>
    <s v="France"/>
    <s v="Offline"/>
    <s v="Offline"/>
    <n v="27994668917"/>
    <s v="U.S. Dollars (US$)"/>
  </r>
  <r>
    <x v="14"/>
    <s v="Country"/>
    <x v="2"/>
    <s v="France"/>
    <s v="Online"/>
    <s v="OTA"/>
    <n v="8811416800"/>
    <s v="U.S. Dollars (US$)"/>
  </r>
  <r>
    <x v="14"/>
    <s v="Country"/>
    <x v="2"/>
    <s v="France"/>
    <s v="Online"/>
    <s v="Online Supplier-Direct"/>
    <n v="23456258715"/>
    <s v="U.S. Dollars (US$)"/>
  </r>
  <r>
    <x v="14"/>
    <s v="Country"/>
    <x v="2"/>
    <s v="Germany"/>
    <s v="Offline"/>
    <s v="Offline"/>
    <n v="28660157443"/>
    <s v="U.S. Dollars (US$)"/>
  </r>
  <r>
    <x v="14"/>
    <s v="Country"/>
    <x v="2"/>
    <s v="Germany"/>
    <s v="Online"/>
    <s v="OTA"/>
    <n v="15222265149"/>
    <s v="U.S. Dollars (US$)"/>
  </r>
  <r>
    <x v="14"/>
    <s v="Country"/>
    <x v="2"/>
    <s v="Germany"/>
    <s v="Online"/>
    <s v="Online Supplier-Direct"/>
    <n v="29907114479"/>
    <s v="U.S. Dollars (US$)"/>
  </r>
  <r>
    <x v="14"/>
    <s v="Country"/>
    <x v="2"/>
    <s v="Italy"/>
    <s v="Offline"/>
    <s v="Offline"/>
    <n v="13130464080"/>
    <s v="U.S. Dollars (US$)"/>
  </r>
  <r>
    <x v="14"/>
    <s v="Country"/>
    <x v="2"/>
    <s v="Italy"/>
    <s v="Online"/>
    <s v="OTA"/>
    <n v="6427331735"/>
    <s v="U.S. Dollars (US$)"/>
  </r>
  <r>
    <x v="14"/>
    <s v="Country"/>
    <x v="2"/>
    <s v="Italy"/>
    <s v="Online"/>
    <s v="Online Supplier-Direct"/>
    <n v="9595940799"/>
    <s v="U.S. Dollars (US$)"/>
  </r>
  <r>
    <x v="14"/>
    <s v="Country"/>
    <x v="2"/>
    <s v="Rest of Europe"/>
    <s v="Offline"/>
    <s v="Offline"/>
    <n v="25663015463"/>
    <s v="U.S. Dollars (US$)"/>
  </r>
  <r>
    <x v="14"/>
    <s v="Country"/>
    <x v="2"/>
    <s v="Rest of Europe"/>
    <s v="Online"/>
    <s v="OTA"/>
    <n v="12506413053"/>
    <s v="U.S. Dollars (US$)"/>
  </r>
  <r>
    <x v="14"/>
    <s v="Country"/>
    <x v="2"/>
    <s v="Rest of Europe"/>
    <s v="Online"/>
    <s v="Online Supplier-Direct"/>
    <n v="36807052667"/>
    <s v="U.S. Dollars (US$)"/>
  </r>
  <r>
    <x v="14"/>
    <s v="Country"/>
    <x v="2"/>
    <s v="Scandinavia"/>
    <s v="Offline"/>
    <s v="Offline"/>
    <n v="4163442599"/>
    <s v="U.S. Dollars (US$)"/>
  </r>
  <r>
    <x v="14"/>
    <s v="Country"/>
    <x v="2"/>
    <s v="Scandinavia"/>
    <s v="Online"/>
    <s v="OTA"/>
    <n v="4338484529"/>
    <s v="U.S. Dollars (US$)"/>
  </r>
  <r>
    <x v="14"/>
    <s v="Country"/>
    <x v="2"/>
    <s v="Scandinavia"/>
    <s v="Online"/>
    <s v="Online Supplier-Direct"/>
    <n v="10061145428"/>
    <s v="U.S. Dollars (US$)"/>
  </r>
  <r>
    <x v="14"/>
    <s v="Country"/>
    <x v="2"/>
    <s v="Spain"/>
    <s v="Offline"/>
    <s v="Offline"/>
    <n v="15287492173"/>
    <s v="U.S. Dollars (US$)"/>
  </r>
  <r>
    <x v="14"/>
    <s v="Country"/>
    <x v="2"/>
    <s v="Spain"/>
    <s v="Online"/>
    <s v="OTA"/>
    <n v="10505348300"/>
    <s v="U.S. Dollars (US$)"/>
  </r>
  <r>
    <x v="14"/>
    <s v="Country"/>
    <x v="2"/>
    <s v="Spain"/>
    <s v="Online"/>
    <s v="Online Supplier-Direct"/>
    <n v="11546135422"/>
    <s v="U.S. Dollars (US$)"/>
  </r>
  <r>
    <x v="14"/>
    <s v="Country"/>
    <x v="2"/>
    <s v="U.K."/>
    <s v="Offline"/>
    <s v="Offline"/>
    <n v="9852372658"/>
    <s v="U.S. Dollars (US$)"/>
  </r>
  <r>
    <x v="14"/>
    <s v="Country"/>
    <x v="2"/>
    <s v="U.K."/>
    <s v="Online"/>
    <s v="OTA"/>
    <n v="10963529028"/>
    <s v="U.S. Dollars (US$)"/>
  </r>
  <r>
    <x v="14"/>
    <s v="Country"/>
    <x v="2"/>
    <s v="U.K."/>
    <s v="Online"/>
    <s v="Online Supplier-Direct"/>
    <n v="37950014402"/>
    <s v="U.S. Dollars (US$)"/>
  </r>
  <r>
    <x v="14"/>
    <s v="Country"/>
    <x v="3"/>
    <s v="Argentina"/>
    <s v="Offline"/>
    <s v="Offline"/>
    <n v="4410567333"/>
    <s v="U.S. Dollars (US$)"/>
  </r>
  <r>
    <x v="14"/>
    <s v="Country"/>
    <x v="3"/>
    <s v="Argentina"/>
    <s v="Online"/>
    <s v="OTA"/>
    <n v="1575827953"/>
    <s v="U.S. Dollars (US$)"/>
  </r>
  <r>
    <x v="14"/>
    <s v="Country"/>
    <x v="3"/>
    <s v="Argentina"/>
    <s v="Online"/>
    <s v="Online Supplier-Direct"/>
    <n v="1381404713"/>
    <s v="U.S. Dollars (US$)"/>
  </r>
  <r>
    <x v="14"/>
    <s v="Country"/>
    <x v="3"/>
    <s v="Brazil"/>
    <s v="Offline"/>
    <s v="Offline"/>
    <n v="11170062207"/>
    <s v="U.S. Dollars (US$)"/>
  </r>
  <r>
    <x v="14"/>
    <s v="Country"/>
    <x v="3"/>
    <s v="Brazil"/>
    <s v="Online"/>
    <s v="OTA"/>
    <n v="5870081041"/>
    <s v="U.S. Dollars (US$)"/>
  </r>
  <r>
    <x v="14"/>
    <s v="Country"/>
    <x v="3"/>
    <s v="Brazil"/>
    <s v="Online"/>
    <s v="Online Supplier-Direct"/>
    <n v="4737085431"/>
    <s v="U.S. Dollars (US$)"/>
  </r>
  <r>
    <x v="14"/>
    <s v="Country"/>
    <x v="3"/>
    <s v="Chile"/>
    <s v="Offline"/>
    <s v="Offline"/>
    <n v="1832328022"/>
    <s v="U.S. Dollars (US$)"/>
  </r>
  <r>
    <x v="14"/>
    <s v="Country"/>
    <x v="3"/>
    <s v="Chile"/>
    <s v="Online"/>
    <s v="OTA"/>
    <n v="800656525"/>
    <s v="U.S. Dollars (US$)"/>
  </r>
  <r>
    <x v="14"/>
    <s v="Country"/>
    <x v="3"/>
    <s v="Chile"/>
    <s v="Online"/>
    <s v="Online Supplier-Direct"/>
    <n v="952584765"/>
    <s v="U.S. Dollars (US$)"/>
  </r>
  <r>
    <x v="14"/>
    <s v="Country"/>
    <x v="3"/>
    <s v="Colombia"/>
    <s v="Offline"/>
    <s v="Offline"/>
    <n v="3315419461"/>
    <s v="U.S. Dollars (US$)"/>
  </r>
  <r>
    <x v="14"/>
    <s v="Country"/>
    <x v="3"/>
    <s v="Colombia"/>
    <s v="Online"/>
    <s v="OTA"/>
    <n v="1190825106"/>
    <s v="U.S. Dollars (US$)"/>
  </r>
  <r>
    <x v="14"/>
    <s v="Country"/>
    <x v="3"/>
    <s v="Colombia"/>
    <s v="Online"/>
    <s v="Online Supplier-Direct"/>
    <n v="1345657307"/>
    <s v="U.S. Dollars (US$)"/>
  </r>
  <r>
    <x v="14"/>
    <s v="Country"/>
    <x v="3"/>
    <s v="Mexico"/>
    <s v="Offline"/>
    <s v="Offline"/>
    <n v="16134077127"/>
    <s v="U.S. Dollars (US$)"/>
  </r>
  <r>
    <x v="14"/>
    <s v="Country"/>
    <x v="3"/>
    <s v="Mexico"/>
    <s v="Online"/>
    <s v="OTA"/>
    <n v="8087747998"/>
    <s v="U.S. Dollars (US$)"/>
  </r>
  <r>
    <x v="14"/>
    <s v="Country"/>
    <x v="3"/>
    <s v="Mexico"/>
    <s v="Online"/>
    <s v="Online Supplier-Direct"/>
    <n v="7296402121"/>
    <s v="U.S. Dollars (US$)"/>
  </r>
  <r>
    <x v="14"/>
    <s v="Country"/>
    <x v="4"/>
    <s v="Egypt"/>
    <s v="Offline"/>
    <s v="Offline"/>
    <n v="1602093739"/>
    <s v="U.S. Dollars (US$)"/>
  </r>
  <r>
    <x v="14"/>
    <s v="Country"/>
    <x v="4"/>
    <s v="Egypt"/>
    <s v="Online"/>
    <s v="OTA"/>
    <n v="480701167"/>
    <s v="U.S. Dollars (US$)"/>
  </r>
  <r>
    <x v="14"/>
    <s v="Country"/>
    <x v="4"/>
    <s v="Egypt"/>
    <s v="Online"/>
    <s v="Online Supplier-Direct"/>
    <n v="445732045"/>
    <s v="U.S. Dollars (US$)"/>
  </r>
  <r>
    <x v="14"/>
    <s v="Country"/>
    <x v="4"/>
    <s v="Qatar"/>
    <s v="Offline"/>
    <s v="Offline"/>
    <n v="8950135051"/>
    <s v="U.S. Dollars (US$)"/>
  </r>
  <r>
    <x v="14"/>
    <s v="Country"/>
    <x v="4"/>
    <s v="Qatar"/>
    <s v="Online"/>
    <s v="OTA"/>
    <n v="1550221657"/>
    <s v="U.S. Dollars (US$)"/>
  </r>
  <r>
    <x v="14"/>
    <s v="Country"/>
    <x v="4"/>
    <s v="Qatar"/>
    <s v="Online"/>
    <s v="Online Supplier-Direct"/>
    <n v="5472297378"/>
    <s v="U.S. Dollars (US$)"/>
  </r>
  <r>
    <x v="14"/>
    <s v="Country"/>
    <x v="4"/>
    <s v="Rest of Middle East"/>
    <s v="Offline"/>
    <s v="Offline"/>
    <n v="6448007801"/>
    <s v="U.S. Dollars (US$)"/>
  </r>
  <r>
    <x v="14"/>
    <s v="Country"/>
    <x v="4"/>
    <s v="Rest of Middle East"/>
    <s v="Online"/>
    <s v="OTA"/>
    <n v="2097660230"/>
    <s v="U.S. Dollars (US$)"/>
  </r>
  <r>
    <x v="14"/>
    <s v="Country"/>
    <x v="4"/>
    <s v="Rest of Middle East"/>
    <s v="Online"/>
    <s v="Online Supplier-Direct"/>
    <n v="2435198901"/>
    <s v="U.S. Dollars (US$)"/>
  </r>
  <r>
    <x v="14"/>
    <s v="Country"/>
    <x v="4"/>
    <s v="Saudi Arabia"/>
    <s v="Offline"/>
    <s v="Offline"/>
    <n v="8789012094"/>
    <s v="U.S. Dollars (US$)"/>
  </r>
  <r>
    <x v="14"/>
    <s v="Country"/>
    <x v="4"/>
    <s v="Saudi Arabia"/>
    <s v="Online"/>
    <s v="OTA"/>
    <n v="3229208242"/>
    <s v="U.S. Dollars (US$)"/>
  </r>
  <r>
    <x v="14"/>
    <s v="Country"/>
    <x v="4"/>
    <s v="Saudi Arabia"/>
    <s v="Online"/>
    <s v="Online Supplier-Direct"/>
    <n v="4970161356"/>
    <s v="U.S. Dollars (US$)"/>
  </r>
  <r>
    <x v="14"/>
    <s v="Country"/>
    <x v="4"/>
    <s v="U.A.E."/>
    <s v="Offline"/>
    <s v="Offline"/>
    <n v="23547255227"/>
    <s v="U.S. Dollars (US$)"/>
  </r>
  <r>
    <x v="14"/>
    <s v="Country"/>
    <x v="4"/>
    <s v="U.A.E."/>
    <s v="Online"/>
    <s v="OTA"/>
    <n v="5846363548"/>
    <s v="U.S. Dollars (US$)"/>
  </r>
  <r>
    <x v="14"/>
    <s v="Country"/>
    <x v="4"/>
    <s v="U.A.E."/>
    <s v="Online"/>
    <s v="Online Supplier-Direct"/>
    <n v="15142169102"/>
    <s v="U.S. Dollars (US$)"/>
  </r>
  <r>
    <x v="14"/>
    <s v="Country"/>
    <x v="5"/>
    <s v="Canada"/>
    <s v="Central"/>
    <s v="Central Reservation"/>
    <n v="8469486902"/>
    <s v="U.S. Dollars (US$)"/>
  </r>
  <r>
    <x v="14"/>
    <s v="Country"/>
    <x v="5"/>
    <s v="Canada"/>
    <s v="Offline"/>
    <s v="Travel Agency/TMC"/>
    <n v="6683898780"/>
    <s v="U.S. Dollars (US$)"/>
  </r>
  <r>
    <x v="14"/>
    <s v="Country"/>
    <x v="5"/>
    <s v="Canada"/>
    <s v="Online"/>
    <s v="OTA"/>
    <n v="9889086706"/>
    <s v="U.S. Dollars (US$)"/>
  </r>
  <r>
    <x v="14"/>
    <s v="Country"/>
    <x v="5"/>
    <s v="Canada"/>
    <s v="Online"/>
    <s v="Online Supplier-Direct"/>
    <n v="13862532388"/>
    <s v="U.S. Dollars (US$)"/>
  </r>
  <r>
    <x v="14"/>
    <s v="Country"/>
    <x v="5"/>
    <s v="U.S."/>
    <s v="Central"/>
    <s v="Central Reservation"/>
    <n v="86786157704"/>
    <s v="U.S. Dollars (US$)"/>
  </r>
  <r>
    <x v="14"/>
    <s v="Country"/>
    <x v="5"/>
    <s v="U.S."/>
    <s v="Offline"/>
    <s v="Travel Agency/TMC"/>
    <n v="89688915550"/>
    <s v="U.S. Dollars (US$)"/>
  </r>
  <r>
    <x v="14"/>
    <s v="Country"/>
    <x v="5"/>
    <s v="U.S."/>
    <s v="Online"/>
    <s v="OTA"/>
    <n v="101811510002"/>
    <s v="U.S. Dollars (US$)"/>
  </r>
  <r>
    <x v="14"/>
    <s v="Country"/>
    <x v="5"/>
    <s v="U.S."/>
    <s v="Online"/>
    <s v="Online Supplier-Direct"/>
    <n v="197494190244"/>
    <s v="U.S. Dollars (US$)"/>
  </r>
  <r>
    <x v="15"/>
    <s v="Country"/>
    <x v="0"/>
    <s v="Australia-New Zealand"/>
    <s v="Offline"/>
    <s v="Offline"/>
    <n v="16319826438"/>
    <s v="U.S. Dollars (US$)"/>
  </r>
  <r>
    <x v="15"/>
    <s v="Country"/>
    <x v="0"/>
    <s v="Australia-New Zealand"/>
    <s v="Online"/>
    <s v="OTA"/>
    <n v="7045742542"/>
    <s v="U.S. Dollars (US$)"/>
  </r>
  <r>
    <x v="15"/>
    <s v="Country"/>
    <x v="0"/>
    <s v="Australia-New Zealand"/>
    <s v="Online"/>
    <s v="Online Supplier-Direct"/>
    <n v="15700670005"/>
    <s v="U.S. Dollars (US$)"/>
  </r>
  <r>
    <x v="15"/>
    <s v="Country"/>
    <x v="0"/>
    <s v="China"/>
    <s v="Offline"/>
    <s v="Offline"/>
    <n v="46404613974"/>
    <s v="U.S. Dollars (US$)"/>
  </r>
  <r>
    <x v="15"/>
    <s v="Country"/>
    <x v="0"/>
    <s v="China"/>
    <s v="Online"/>
    <s v="OTA"/>
    <n v="62314975756"/>
    <s v="U.S. Dollars (US$)"/>
  </r>
  <r>
    <x v="15"/>
    <s v="Country"/>
    <x v="0"/>
    <s v="China"/>
    <s v="Online"/>
    <s v="Online Supplier-Direct"/>
    <n v="59074677207"/>
    <s v="U.S. Dollars (US$)"/>
  </r>
  <r>
    <x v="15"/>
    <s v="Country"/>
    <x v="0"/>
    <s v="Hong Kong"/>
    <s v="Offline"/>
    <s v="Offline"/>
    <n v="7594603825"/>
    <s v="U.S. Dollars (US$)"/>
  </r>
  <r>
    <x v="15"/>
    <s v="Country"/>
    <x v="0"/>
    <s v="Hong Kong"/>
    <s v="Online"/>
    <s v="OTA"/>
    <n v="2822274783"/>
    <s v="U.S. Dollars (US$)"/>
  </r>
  <r>
    <x v="15"/>
    <s v="Country"/>
    <x v="0"/>
    <s v="Hong Kong"/>
    <s v="Online"/>
    <s v="Online Supplier-Direct"/>
    <n v="2248949826"/>
    <s v="U.S. Dollars (US$)"/>
  </r>
  <r>
    <x v="15"/>
    <s v="Country"/>
    <x v="0"/>
    <s v="India"/>
    <s v="Offline"/>
    <s v="Offline"/>
    <n v="18293217360"/>
    <s v="U.S. Dollars (US$)"/>
  </r>
  <r>
    <x v="15"/>
    <s v="Country"/>
    <x v="0"/>
    <s v="India"/>
    <s v="Online"/>
    <s v="OTA"/>
    <n v="13137462553"/>
    <s v="U.S. Dollars (US$)"/>
  </r>
  <r>
    <x v="15"/>
    <s v="Country"/>
    <x v="0"/>
    <s v="India"/>
    <s v="Online"/>
    <s v="Online Supplier-Direct"/>
    <n v="10691702503"/>
    <s v="U.S. Dollars (US$)"/>
  </r>
  <r>
    <x v="15"/>
    <s v="Country"/>
    <x v="0"/>
    <s v="Indonesia"/>
    <s v="Offline"/>
    <s v="Offline"/>
    <n v="5169082812"/>
    <s v="U.S. Dollars (US$)"/>
  </r>
  <r>
    <x v="15"/>
    <s v="Country"/>
    <x v="0"/>
    <s v="Indonesia"/>
    <s v="Online"/>
    <s v="OTA"/>
    <n v="6285699357"/>
    <s v="U.S. Dollars (US$)"/>
  </r>
  <r>
    <x v="15"/>
    <s v="Country"/>
    <x v="0"/>
    <s v="Indonesia"/>
    <s v="Online"/>
    <s v="Online Supplier-Direct"/>
    <n v="2676042183"/>
    <s v="U.S. Dollars (US$)"/>
  </r>
  <r>
    <x v="15"/>
    <s v="Country"/>
    <x v="0"/>
    <s v="Japan"/>
    <s v="Offline"/>
    <s v="Offline"/>
    <n v="40168510795"/>
    <s v="U.S. Dollars (US$)"/>
  </r>
  <r>
    <x v="15"/>
    <s v="Country"/>
    <x v="0"/>
    <s v="Japan"/>
    <s v="Online"/>
    <s v="OTA"/>
    <n v="22847379898"/>
    <s v="U.S. Dollars (US$)"/>
  </r>
  <r>
    <x v="15"/>
    <s v="Country"/>
    <x v="0"/>
    <s v="Japan"/>
    <s v="Online"/>
    <s v="Online Supplier-Direct"/>
    <n v="28419333112"/>
    <s v="U.S. Dollars (US$)"/>
  </r>
  <r>
    <x v="15"/>
    <s v="Country"/>
    <x v="0"/>
    <s v="Macau"/>
    <s v="Offline"/>
    <s v="Offline"/>
    <n v="989357268"/>
    <s v="U.S. Dollars (US$)"/>
  </r>
  <r>
    <x v="15"/>
    <s v="Country"/>
    <x v="0"/>
    <s v="Macau"/>
    <s v="Online"/>
    <s v="OTA"/>
    <n v="1372593684"/>
    <s v="U.S. Dollars (US$)"/>
  </r>
  <r>
    <x v="15"/>
    <s v="Country"/>
    <x v="0"/>
    <s v="Macau"/>
    <s v="Online"/>
    <s v="Online Supplier-Direct"/>
    <n v="174862555"/>
    <s v="U.S. Dollars (US$)"/>
  </r>
  <r>
    <x v="15"/>
    <s v="Country"/>
    <x v="0"/>
    <s v="Malaysia"/>
    <s v="Offline"/>
    <s v="Offline"/>
    <n v="3388265401"/>
    <s v="U.S. Dollars (US$)"/>
  </r>
  <r>
    <x v="15"/>
    <s v="Country"/>
    <x v="0"/>
    <s v="Malaysia"/>
    <s v="Online"/>
    <s v="OTA"/>
    <n v="3009386160"/>
    <s v="U.S. Dollars (US$)"/>
  </r>
  <r>
    <x v="15"/>
    <s v="Country"/>
    <x v="0"/>
    <s v="Malaysia"/>
    <s v="Online"/>
    <s v="Online Supplier-Direct"/>
    <n v="5679441620"/>
    <s v="U.S. Dollars (US$)"/>
  </r>
  <r>
    <x v="15"/>
    <s v="Country"/>
    <x v="0"/>
    <s v="Singapore"/>
    <s v="Offline"/>
    <s v="Offline"/>
    <n v="5085291697"/>
    <s v="U.S. Dollars (US$)"/>
  </r>
  <r>
    <x v="15"/>
    <s v="Country"/>
    <x v="0"/>
    <s v="Singapore"/>
    <s v="Online"/>
    <s v="OTA"/>
    <n v="5282031054"/>
    <s v="U.S. Dollars (US$)"/>
  </r>
  <r>
    <x v="15"/>
    <s v="Country"/>
    <x v="0"/>
    <s v="Singapore"/>
    <s v="Online"/>
    <s v="Online Supplier-Direct"/>
    <n v="5469066512"/>
    <s v="U.S. Dollars (US$)"/>
  </r>
  <r>
    <x v="15"/>
    <s v="Country"/>
    <x v="0"/>
    <s v="South Korea"/>
    <s v="Offline"/>
    <s v="Offline"/>
    <n v="9645056119"/>
    <s v="U.S. Dollars (US$)"/>
  </r>
  <r>
    <x v="15"/>
    <s v="Country"/>
    <x v="0"/>
    <s v="South Korea"/>
    <s v="Online"/>
    <s v="OTA"/>
    <n v="6100352119"/>
    <s v="U.S. Dollars (US$)"/>
  </r>
  <r>
    <x v="15"/>
    <s v="Country"/>
    <x v="0"/>
    <s v="South Korea"/>
    <s v="Online"/>
    <s v="Online Supplier-Direct"/>
    <n v="7632600280"/>
    <s v="U.S. Dollars (US$)"/>
  </r>
  <r>
    <x v="15"/>
    <s v="Country"/>
    <x v="0"/>
    <s v="Taiwan"/>
    <s v="Offline"/>
    <s v="Offline"/>
    <n v="6545427856"/>
    <s v="U.S. Dollars (US$)"/>
  </r>
  <r>
    <x v="15"/>
    <s v="Country"/>
    <x v="0"/>
    <s v="Taiwan"/>
    <s v="Online"/>
    <s v="OTA"/>
    <n v="2312290082"/>
    <s v="U.S. Dollars (US$)"/>
  </r>
  <r>
    <x v="15"/>
    <s v="Country"/>
    <x v="0"/>
    <s v="Taiwan"/>
    <s v="Online"/>
    <s v="Online Supplier-Direct"/>
    <n v="3741005341"/>
    <s v="U.S. Dollars (US$)"/>
  </r>
  <r>
    <x v="15"/>
    <s v="Country"/>
    <x v="0"/>
    <s v="Thailand"/>
    <s v="Offline"/>
    <s v="Offline"/>
    <n v="6461548824"/>
    <s v="U.S. Dollars (US$)"/>
  </r>
  <r>
    <x v="15"/>
    <s v="Country"/>
    <x v="0"/>
    <s v="Thailand"/>
    <s v="Online"/>
    <s v="OTA"/>
    <n v="7555699425"/>
    <s v="U.S. Dollars (US$)"/>
  </r>
  <r>
    <x v="15"/>
    <s v="Country"/>
    <x v="0"/>
    <s v="Thailand"/>
    <s v="Online"/>
    <s v="Online Supplier-Direct"/>
    <n v="3003318967"/>
    <s v="U.S. Dollars (US$)"/>
  </r>
  <r>
    <x v="15"/>
    <s v="Country"/>
    <x v="1"/>
    <s v="Bulgaria"/>
    <s v="Offline"/>
    <s v="Offline"/>
    <n v="822934450"/>
    <s v="U.S. Dollars (US$)"/>
  </r>
  <r>
    <x v="15"/>
    <s v="Country"/>
    <x v="1"/>
    <s v="Bulgaria"/>
    <s v="Online"/>
    <s v="OTA"/>
    <n v="566819549"/>
    <s v="U.S. Dollars (US$)"/>
  </r>
  <r>
    <x v="15"/>
    <s v="Country"/>
    <x v="1"/>
    <s v="Bulgaria"/>
    <s v="Online"/>
    <s v="Online Supplier-Direct"/>
    <n v="244128361"/>
    <s v="U.S. Dollars (US$)"/>
  </r>
  <r>
    <x v="15"/>
    <s v="Country"/>
    <x v="1"/>
    <s v="Czech Republic"/>
    <s v="Offline"/>
    <s v="Offline"/>
    <n v="1508625473"/>
    <s v="U.S. Dollars (US$)"/>
  </r>
  <r>
    <x v="15"/>
    <s v="Country"/>
    <x v="1"/>
    <s v="Czech Republic"/>
    <s v="Online"/>
    <s v="OTA"/>
    <n v="1260356098"/>
    <s v="U.S. Dollars (US$)"/>
  </r>
  <r>
    <x v="15"/>
    <s v="Country"/>
    <x v="1"/>
    <s v="Czech Republic"/>
    <s v="Online"/>
    <s v="Online Supplier-Direct"/>
    <n v="1731169565"/>
    <s v="U.S. Dollars (US$)"/>
  </r>
  <r>
    <x v="15"/>
    <s v="Country"/>
    <x v="1"/>
    <s v="Greece"/>
    <s v="Offline"/>
    <s v="Offline"/>
    <n v="4586589232"/>
    <s v="U.S. Dollars (US$)"/>
  </r>
  <r>
    <x v="15"/>
    <s v="Country"/>
    <x v="1"/>
    <s v="Greece"/>
    <s v="Online"/>
    <s v="OTA"/>
    <n v="3755103831"/>
    <s v="U.S. Dollars (US$)"/>
  </r>
  <r>
    <x v="15"/>
    <s v="Country"/>
    <x v="1"/>
    <s v="Greece"/>
    <s v="Online"/>
    <s v="Online Supplier-Direct"/>
    <n v="1918428796"/>
    <s v="U.S. Dollars (US$)"/>
  </r>
  <r>
    <x v="15"/>
    <s v="Country"/>
    <x v="1"/>
    <s v="Hungary"/>
    <s v="Offline"/>
    <s v="Offline"/>
    <n v="625828990"/>
    <s v="U.S. Dollars (US$)"/>
  </r>
  <r>
    <x v="15"/>
    <s v="Country"/>
    <x v="1"/>
    <s v="Hungary"/>
    <s v="Online"/>
    <s v="OTA"/>
    <n v="990363013"/>
    <s v="U.S. Dollars (US$)"/>
  </r>
  <r>
    <x v="15"/>
    <s v="Country"/>
    <x v="1"/>
    <s v="Hungary"/>
    <s v="Online"/>
    <s v="Online Supplier-Direct"/>
    <n v="6027446242"/>
    <s v="U.S. Dollars (US$)"/>
  </r>
  <r>
    <x v="15"/>
    <s v="Country"/>
    <x v="1"/>
    <s v="Poland"/>
    <s v="Offline"/>
    <s v="Offline"/>
    <n v="2896101284"/>
    <s v="U.S. Dollars (US$)"/>
  </r>
  <r>
    <x v="15"/>
    <s v="Country"/>
    <x v="1"/>
    <s v="Poland"/>
    <s v="Online"/>
    <s v="OTA"/>
    <n v="1608448764"/>
    <s v="U.S. Dollars (US$)"/>
  </r>
  <r>
    <x v="15"/>
    <s v="Country"/>
    <x v="1"/>
    <s v="Poland"/>
    <s v="Online"/>
    <s v="Online Supplier-Direct"/>
    <n v="2022710556"/>
    <s v="U.S. Dollars (US$)"/>
  </r>
  <r>
    <x v="15"/>
    <s v="Country"/>
    <x v="1"/>
    <s v="Rest of Eastern Europe"/>
    <s v="Offline"/>
    <s v="Offline"/>
    <n v="996809768"/>
    <s v="U.S. Dollars (US$)"/>
  </r>
  <r>
    <x v="15"/>
    <s v="Country"/>
    <x v="1"/>
    <s v="Rest of Eastern Europe"/>
    <s v="Online"/>
    <s v="OTA"/>
    <n v="788109879"/>
    <s v="U.S. Dollars (US$)"/>
  </r>
  <r>
    <x v="15"/>
    <s v="Country"/>
    <x v="1"/>
    <s v="Rest of Eastern Europe"/>
    <s v="Online"/>
    <s v="Online Supplier-Direct"/>
    <n v="1057659229"/>
    <s v="U.S. Dollars (US$)"/>
  </r>
  <r>
    <x v="15"/>
    <s v="Country"/>
    <x v="1"/>
    <s v="Romania"/>
    <s v="Offline"/>
    <s v="Offline"/>
    <n v="972377105"/>
    <s v="U.S. Dollars (US$)"/>
  </r>
  <r>
    <x v="15"/>
    <s v="Country"/>
    <x v="1"/>
    <s v="Romania"/>
    <s v="Online"/>
    <s v="OTA"/>
    <n v="804678546"/>
    <s v="U.S. Dollars (US$)"/>
  </r>
  <r>
    <x v="15"/>
    <s v="Country"/>
    <x v="1"/>
    <s v="Romania"/>
    <s v="Online"/>
    <s v="Online Supplier-Direct"/>
    <n v="447629646"/>
    <s v="U.S. Dollars (US$)"/>
  </r>
  <r>
    <x v="15"/>
    <s v="Country"/>
    <x v="1"/>
    <s v="Russia"/>
    <s v="Offline"/>
    <s v="Offline"/>
    <n v="13747633270"/>
    <s v="U.S. Dollars (US$)"/>
  </r>
  <r>
    <x v="15"/>
    <s v="Country"/>
    <x v="1"/>
    <s v="Russia"/>
    <s v="Online"/>
    <s v="OTA"/>
    <n v="6681848737"/>
    <s v="U.S. Dollars (US$)"/>
  </r>
  <r>
    <x v="15"/>
    <s v="Country"/>
    <x v="1"/>
    <s v="Russia"/>
    <s v="Online"/>
    <s v="Online Supplier-Direct"/>
    <n v="9693662975"/>
    <s v="U.S. Dollars (US$)"/>
  </r>
  <r>
    <x v="15"/>
    <s v="Country"/>
    <x v="1"/>
    <s v="Ukraine"/>
    <s v="Offline"/>
    <s v="Offline"/>
    <n v="0"/>
    <s v="U.S. Dollars (US$)"/>
  </r>
  <r>
    <x v="15"/>
    <s v="Country"/>
    <x v="1"/>
    <s v="Ukraine"/>
    <s v="Online"/>
    <s v="OTA"/>
    <n v="0"/>
    <s v="U.S. Dollars (US$)"/>
  </r>
  <r>
    <x v="15"/>
    <s v="Country"/>
    <x v="1"/>
    <s v="Ukraine"/>
    <s v="Online"/>
    <s v="Online Supplier-Direct"/>
    <n v="0"/>
    <s v="U.S. Dollars (US$)"/>
  </r>
  <r>
    <x v="15"/>
    <s v="Country"/>
    <x v="2"/>
    <s v="France"/>
    <s v="Offline"/>
    <s v="Offline"/>
    <n v="30012132574"/>
    <s v="U.S. Dollars (US$)"/>
  </r>
  <r>
    <x v="15"/>
    <s v="Country"/>
    <x v="2"/>
    <s v="France"/>
    <s v="Online"/>
    <s v="OTA"/>
    <n v="10548421380"/>
    <s v="U.S. Dollars (US$)"/>
  </r>
  <r>
    <x v="15"/>
    <s v="Country"/>
    <x v="2"/>
    <s v="France"/>
    <s v="Online"/>
    <s v="Online Supplier-Direct"/>
    <n v="26646271552"/>
    <s v="U.S. Dollars (US$)"/>
  </r>
  <r>
    <x v="15"/>
    <s v="Country"/>
    <x v="2"/>
    <s v="Germany"/>
    <s v="Offline"/>
    <s v="Offline"/>
    <n v="27715487765"/>
    <s v="U.S. Dollars (US$)"/>
  </r>
  <r>
    <x v="15"/>
    <s v="Country"/>
    <x v="2"/>
    <s v="Germany"/>
    <s v="Online"/>
    <s v="OTA"/>
    <n v="15999359632"/>
    <s v="U.S. Dollars (US$)"/>
  </r>
  <r>
    <x v="15"/>
    <s v="Country"/>
    <x v="2"/>
    <s v="Germany"/>
    <s v="Online"/>
    <s v="Online Supplier-Direct"/>
    <n v="33327658082"/>
    <s v="U.S. Dollars (US$)"/>
  </r>
  <r>
    <x v="15"/>
    <s v="Country"/>
    <x v="2"/>
    <s v="Italy"/>
    <s v="Offline"/>
    <s v="Offline"/>
    <n v="14272116934"/>
    <s v="U.S. Dollars (US$)"/>
  </r>
  <r>
    <x v="15"/>
    <s v="Country"/>
    <x v="2"/>
    <s v="Italy"/>
    <s v="Online"/>
    <s v="OTA"/>
    <n v="6909366324"/>
    <s v="U.S. Dollars (US$)"/>
  </r>
  <r>
    <x v="15"/>
    <s v="Country"/>
    <x v="2"/>
    <s v="Italy"/>
    <s v="Online"/>
    <s v="Online Supplier-Direct"/>
    <n v="11167230534"/>
    <s v="U.S. Dollars (US$)"/>
  </r>
  <r>
    <x v="15"/>
    <s v="Country"/>
    <x v="2"/>
    <s v="Rest of Europe"/>
    <s v="Offline"/>
    <s v="Offline"/>
    <n v="25778017652"/>
    <s v="U.S. Dollars (US$)"/>
  </r>
  <r>
    <x v="15"/>
    <s v="Country"/>
    <x v="2"/>
    <s v="Rest of Europe"/>
    <s v="Online"/>
    <s v="OTA"/>
    <n v="13638334174"/>
    <s v="U.S. Dollars (US$)"/>
  </r>
  <r>
    <x v="15"/>
    <s v="Country"/>
    <x v="2"/>
    <s v="Rest of Europe"/>
    <s v="Online"/>
    <s v="Online Supplier-Direct"/>
    <n v="40507482938"/>
    <s v="U.S. Dollars (US$)"/>
  </r>
  <r>
    <x v="15"/>
    <s v="Country"/>
    <x v="2"/>
    <s v="Scandinavia"/>
    <s v="Offline"/>
    <s v="Offline"/>
    <n v="4517863158"/>
    <s v="U.S. Dollars (US$)"/>
  </r>
  <r>
    <x v="15"/>
    <s v="Country"/>
    <x v="2"/>
    <s v="Scandinavia"/>
    <s v="Online"/>
    <s v="OTA"/>
    <n v="4888048011"/>
    <s v="U.S. Dollars (US$)"/>
  </r>
  <r>
    <x v="15"/>
    <s v="Country"/>
    <x v="2"/>
    <s v="Scandinavia"/>
    <s v="Online"/>
    <s v="Online Supplier-Direct"/>
    <n v="11430596634"/>
    <s v="U.S. Dollars (US$)"/>
  </r>
  <r>
    <x v="15"/>
    <s v="Country"/>
    <x v="2"/>
    <s v="Spain"/>
    <s v="Offline"/>
    <s v="Offline"/>
    <n v="16051370594"/>
    <s v="U.S. Dollars (US$)"/>
  </r>
  <r>
    <x v="15"/>
    <s v="Country"/>
    <x v="2"/>
    <s v="Spain"/>
    <s v="Online"/>
    <s v="OTA"/>
    <n v="11671396078"/>
    <s v="U.S. Dollars (US$)"/>
  </r>
  <r>
    <x v="15"/>
    <s v="Country"/>
    <x v="2"/>
    <s v="Spain"/>
    <s v="Online"/>
    <s v="Online Supplier-Direct"/>
    <n v="12878928461"/>
    <s v="U.S. Dollars (US$)"/>
  </r>
  <r>
    <x v="15"/>
    <s v="Country"/>
    <x v="2"/>
    <s v="U.K."/>
    <s v="Offline"/>
    <s v="Offline"/>
    <n v="10372769916"/>
    <s v="U.S. Dollars (US$)"/>
  </r>
  <r>
    <x v="15"/>
    <s v="Country"/>
    <x v="2"/>
    <s v="U.K."/>
    <s v="Online"/>
    <s v="OTA"/>
    <n v="12042767093"/>
    <s v="U.S. Dollars (US$)"/>
  </r>
  <r>
    <x v="15"/>
    <s v="Country"/>
    <x v="2"/>
    <s v="U.K."/>
    <s v="Online"/>
    <s v="Online Supplier-Direct"/>
    <n v="42325387365"/>
    <s v="U.S. Dollars (US$)"/>
  </r>
  <r>
    <x v="15"/>
    <s v="Country"/>
    <x v="3"/>
    <s v="Argentina"/>
    <s v="Offline"/>
    <s v="Offline"/>
    <n v="4074759361"/>
    <s v="U.S. Dollars (US$)"/>
  </r>
  <r>
    <x v="15"/>
    <s v="Country"/>
    <x v="3"/>
    <s v="Argentina"/>
    <s v="Online"/>
    <s v="OTA"/>
    <n v="1619014324"/>
    <s v="U.S. Dollars (US$)"/>
  </r>
  <r>
    <x v="15"/>
    <s v="Country"/>
    <x v="3"/>
    <s v="Argentina"/>
    <s v="Online"/>
    <s v="Online Supplier-Direct"/>
    <n v="1372403448"/>
    <s v="U.S. Dollars (US$)"/>
  </r>
  <r>
    <x v="15"/>
    <s v="Country"/>
    <x v="3"/>
    <s v="Brazil"/>
    <s v="Offline"/>
    <s v="Offline"/>
    <n v="11647587791"/>
    <s v="U.S. Dollars (US$)"/>
  </r>
  <r>
    <x v="15"/>
    <s v="Country"/>
    <x v="3"/>
    <s v="Brazil"/>
    <s v="Online"/>
    <s v="OTA"/>
    <n v="6379031383"/>
    <s v="U.S. Dollars (US$)"/>
  </r>
  <r>
    <x v="15"/>
    <s v="Country"/>
    <x v="3"/>
    <s v="Brazil"/>
    <s v="Online"/>
    <s v="Online Supplier-Direct"/>
    <n v="5345913856"/>
    <s v="U.S. Dollars (US$)"/>
  </r>
  <r>
    <x v="15"/>
    <s v="Country"/>
    <x v="3"/>
    <s v="Chile"/>
    <s v="Offline"/>
    <s v="Offline"/>
    <n v="1900308887"/>
    <s v="U.S. Dollars (US$)"/>
  </r>
  <r>
    <x v="15"/>
    <s v="Country"/>
    <x v="3"/>
    <s v="Chile"/>
    <s v="Online"/>
    <s v="OTA"/>
    <n v="945579845"/>
    <s v="U.S. Dollars (US$)"/>
  </r>
  <r>
    <x v="15"/>
    <s v="Country"/>
    <x v="3"/>
    <s v="Chile"/>
    <s v="Online"/>
    <s v="Online Supplier-Direct"/>
    <n v="1142281021"/>
    <s v="U.S. Dollars (US$)"/>
  </r>
  <r>
    <x v="15"/>
    <s v="Country"/>
    <x v="3"/>
    <s v="Colombia"/>
    <s v="Offline"/>
    <s v="Offline"/>
    <n v="3111420641"/>
    <s v="U.S. Dollars (US$)"/>
  </r>
  <r>
    <x v="15"/>
    <s v="Country"/>
    <x v="3"/>
    <s v="Colombia"/>
    <s v="Online"/>
    <s v="OTA"/>
    <n v="1309244137"/>
    <s v="U.S. Dollars (US$)"/>
  </r>
  <r>
    <x v="15"/>
    <s v="Country"/>
    <x v="3"/>
    <s v="Colombia"/>
    <s v="Online"/>
    <s v="Online Supplier-Direct"/>
    <n v="1517428173"/>
    <s v="U.S. Dollars (US$)"/>
  </r>
  <r>
    <x v="15"/>
    <s v="Country"/>
    <x v="3"/>
    <s v="Mexico"/>
    <s v="Offline"/>
    <s v="Offline"/>
    <n v="15179611499"/>
    <s v="U.S. Dollars (US$)"/>
  </r>
  <r>
    <x v="15"/>
    <s v="Country"/>
    <x v="3"/>
    <s v="Mexico"/>
    <s v="Online"/>
    <s v="OTA"/>
    <n v="8084034188"/>
    <s v="U.S. Dollars (US$)"/>
  </r>
  <r>
    <x v="15"/>
    <s v="Country"/>
    <x v="3"/>
    <s v="Mexico"/>
    <s v="Online"/>
    <s v="Online Supplier-Direct"/>
    <n v="7519780699"/>
    <s v="U.S. Dollars (US$)"/>
  </r>
  <r>
    <x v="15"/>
    <s v="Country"/>
    <x v="4"/>
    <s v="Egypt"/>
    <s v="Offline"/>
    <s v="Offline"/>
    <n v="1568284595"/>
    <s v="U.S. Dollars (US$)"/>
  </r>
  <r>
    <x v="15"/>
    <s v="Country"/>
    <x v="4"/>
    <s v="Egypt"/>
    <s v="Online"/>
    <s v="OTA"/>
    <n v="512900885"/>
    <s v="U.S. Dollars (US$)"/>
  </r>
  <r>
    <x v="15"/>
    <s v="Country"/>
    <x v="4"/>
    <s v="Egypt"/>
    <s v="Online"/>
    <s v="Online Supplier-Direct"/>
    <n v="463298804"/>
    <s v="U.S. Dollars (US$)"/>
  </r>
  <r>
    <x v="15"/>
    <s v="Country"/>
    <x v="4"/>
    <s v="Qatar"/>
    <s v="Offline"/>
    <s v="Offline"/>
    <n v="9566036993"/>
    <s v="U.S. Dollars (US$)"/>
  </r>
  <r>
    <x v="15"/>
    <s v="Country"/>
    <x v="4"/>
    <s v="Qatar"/>
    <s v="Online"/>
    <s v="OTA"/>
    <n v="1730674526"/>
    <s v="U.S. Dollars (US$)"/>
  </r>
  <r>
    <x v="15"/>
    <s v="Country"/>
    <x v="4"/>
    <s v="Qatar"/>
    <s v="Online"/>
    <s v="Online Supplier-Direct"/>
    <n v="5992177896"/>
    <s v="U.S. Dollars (US$)"/>
  </r>
  <r>
    <x v="15"/>
    <s v="Country"/>
    <x v="4"/>
    <s v="Rest of Middle East"/>
    <s v="Offline"/>
    <s v="Offline"/>
    <n v="6856225289"/>
    <s v="U.S. Dollars (US$)"/>
  </r>
  <r>
    <x v="15"/>
    <s v="Country"/>
    <x v="4"/>
    <s v="Rest of Middle East"/>
    <s v="Online"/>
    <s v="OTA"/>
    <n v="2343639416"/>
    <s v="U.S. Dollars (US$)"/>
  </r>
  <r>
    <x v="15"/>
    <s v="Country"/>
    <x v="4"/>
    <s v="Rest of Middle East"/>
    <s v="Online"/>
    <s v="Online Supplier-Direct"/>
    <n v="2756783250"/>
    <s v="U.S. Dollars (US$)"/>
  </r>
  <r>
    <x v="15"/>
    <s v="Country"/>
    <x v="4"/>
    <s v="Saudi Arabia"/>
    <s v="Offline"/>
    <s v="Offline"/>
    <n v="9280465515"/>
    <s v="U.S. Dollars (US$)"/>
  </r>
  <r>
    <x v="15"/>
    <s v="Country"/>
    <x v="4"/>
    <s v="Saudi Arabia"/>
    <s v="Online"/>
    <s v="OTA"/>
    <n v="3753042959"/>
    <s v="U.S. Dollars (US$)"/>
  </r>
  <r>
    <x v="15"/>
    <s v="Country"/>
    <x v="4"/>
    <s v="Saudi Arabia"/>
    <s v="Online"/>
    <s v="Online Supplier-Direct"/>
    <n v="5678538393"/>
    <s v="U.S. Dollars (US$)"/>
  </r>
  <r>
    <x v="15"/>
    <s v="Country"/>
    <x v="4"/>
    <s v="U.A.E."/>
    <s v="Offline"/>
    <s v="Offline"/>
    <n v="24755792028"/>
    <s v="U.S. Dollars (US$)"/>
  </r>
  <r>
    <x v="15"/>
    <s v="Country"/>
    <x v="4"/>
    <s v="U.A.E."/>
    <s v="Online"/>
    <s v="OTA"/>
    <n v="6789572404"/>
    <s v="U.S. Dollars (US$)"/>
  </r>
  <r>
    <x v="15"/>
    <s v="Country"/>
    <x v="4"/>
    <s v="U.A.E."/>
    <s v="Online"/>
    <s v="Online Supplier-Direct"/>
    <n v="17056133984"/>
    <s v="U.S. Dollars (US$)"/>
  </r>
  <r>
    <x v="15"/>
    <s v="Country"/>
    <x v="5"/>
    <s v="Canada"/>
    <s v="Central"/>
    <s v="Central Reservation"/>
    <n v="8515658500"/>
    <s v="U.S. Dollars (US$)"/>
  </r>
  <r>
    <x v="15"/>
    <s v="Country"/>
    <x v="5"/>
    <s v="Canada"/>
    <s v="Offline"/>
    <s v="Travel Agency/TMC"/>
    <n v="7481250310"/>
    <s v="U.S. Dollars (US$)"/>
  </r>
  <r>
    <x v="15"/>
    <s v="Country"/>
    <x v="5"/>
    <s v="Canada"/>
    <s v="Online"/>
    <s v="OTA"/>
    <n v="10328159380"/>
    <s v="U.S. Dollars (US$)"/>
  </r>
  <r>
    <x v="15"/>
    <s v="Country"/>
    <x v="5"/>
    <s v="Canada"/>
    <s v="Online"/>
    <s v="Online Supplier-Direct"/>
    <n v="14951280803"/>
    <s v="U.S. Dollars (US$)"/>
  </r>
  <r>
    <x v="15"/>
    <s v="Country"/>
    <x v="5"/>
    <s v="U.S."/>
    <s v="Central"/>
    <s v="Central Reservation"/>
    <n v="85898251337"/>
    <s v="U.S. Dollars (US$)"/>
  </r>
  <r>
    <x v="15"/>
    <s v="Country"/>
    <x v="5"/>
    <s v="U.S."/>
    <s v="Offline"/>
    <s v="Travel Agency/TMC"/>
    <n v="99764613880"/>
    <s v="U.S. Dollars (US$)"/>
  </r>
  <r>
    <x v="15"/>
    <s v="Country"/>
    <x v="5"/>
    <s v="U.S."/>
    <s v="Online"/>
    <s v="OTA"/>
    <n v="106500000001"/>
    <s v="U.S. Dollars (US$)"/>
  </r>
  <r>
    <x v="15"/>
    <s v="Country"/>
    <x v="5"/>
    <s v="U.S."/>
    <s v="Online"/>
    <s v="Online Supplier-Direct"/>
    <n v="210410934272"/>
    <s v="U.S. Dollars (US$)"/>
  </r>
  <r>
    <x v="16"/>
    <s v="Country"/>
    <x v="0"/>
    <s v="Australia-New Zealand"/>
    <s v="Offline"/>
    <s v="Offline"/>
    <n v="17185781792"/>
    <s v="U.S. Dollars (US$)"/>
  </r>
  <r>
    <x v="16"/>
    <s v="Country"/>
    <x v="0"/>
    <s v="Australia-New Zealand"/>
    <s v="Online"/>
    <s v="OTA"/>
    <n v="7465143143"/>
    <s v="U.S. Dollars (US$)"/>
  </r>
  <r>
    <x v="16"/>
    <s v="Country"/>
    <x v="0"/>
    <s v="Australia-New Zealand"/>
    <s v="Online"/>
    <s v="Online Supplier-Direct"/>
    <n v="17109645423"/>
    <s v="U.S. Dollars (US$)"/>
  </r>
  <r>
    <x v="16"/>
    <s v="Country"/>
    <x v="0"/>
    <s v="China"/>
    <s v="Offline"/>
    <s v="Offline"/>
    <n v="46949105760"/>
    <s v="U.S. Dollars (US$)"/>
  </r>
  <r>
    <x v="16"/>
    <s v="Country"/>
    <x v="0"/>
    <s v="China"/>
    <s v="Online"/>
    <s v="OTA"/>
    <n v="71711531150"/>
    <s v="U.S. Dollars (US$)"/>
  </r>
  <r>
    <x v="16"/>
    <s v="Country"/>
    <x v="0"/>
    <s v="China"/>
    <s v="Online"/>
    <s v="Online Supplier-Direct"/>
    <n v="67430523524"/>
    <s v="U.S. Dollars (US$)"/>
  </r>
  <r>
    <x v="16"/>
    <s v="Country"/>
    <x v="0"/>
    <s v="Hong Kong"/>
    <s v="Offline"/>
    <s v="Offline"/>
    <n v="7586173820"/>
    <s v="U.S. Dollars (US$)"/>
  </r>
  <r>
    <x v="16"/>
    <s v="Country"/>
    <x v="0"/>
    <s v="Hong Kong"/>
    <s v="Online"/>
    <s v="OTA"/>
    <n v="3341662009"/>
    <s v="U.S. Dollars (US$)"/>
  </r>
  <r>
    <x v="16"/>
    <s v="Country"/>
    <x v="0"/>
    <s v="Hong Kong"/>
    <s v="Online"/>
    <s v="Online Supplier-Direct"/>
    <n v="2517129517"/>
    <s v="U.S. Dollars (US$)"/>
  </r>
  <r>
    <x v="16"/>
    <s v="Country"/>
    <x v="0"/>
    <s v="India"/>
    <s v="Offline"/>
    <s v="Offline"/>
    <n v="19772295426"/>
    <s v="U.S. Dollars (US$)"/>
  </r>
  <r>
    <x v="16"/>
    <s v="Country"/>
    <x v="0"/>
    <s v="India"/>
    <s v="Online"/>
    <s v="OTA"/>
    <n v="15002378320"/>
    <s v="U.S. Dollars (US$)"/>
  </r>
  <r>
    <x v="16"/>
    <s v="Country"/>
    <x v="0"/>
    <s v="India"/>
    <s v="Online"/>
    <s v="Online Supplier-Direct"/>
    <n v="12034910735"/>
    <s v="U.S. Dollars (US$)"/>
  </r>
  <r>
    <x v="16"/>
    <s v="Country"/>
    <x v="0"/>
    <s v="Indonesia"/>
    <s v="Offline"/>
    <s v="Offline"/>
    <n v="5022476795"/>
    <s v="U.S. Dollars (US$)"/>
  </r>
  <r>
    <x v="16"/>
    <s v="Country"/>
    <x v="0"/>
    <s v="Indonesia"/>
    <s v="Online"/>
    <s v="OTA"/>
    <n v="7179564911"/>
    <s v="U.S. Dollars (US$)"/>
  </r>
  <r>
    <x v="16"/>
    <s v="Country"/>
    <x v="0"/>
    <s v="Indonesia"/>
    <s v="Online"/>
    <s v="Online Supplier-Direct"/>
    <n v="3168886554"/>
    <s v="U.S. Dollars (US$)"/>
  </r>
  <r>
    <x v="16"/>
    <s v="Country"/>
    <x v="0"/>
    <s v="Japan"/>
    <s v="Offline"/>
    <s v="Offline"/>
    <n v="40858314433"/>
    <s v="U.S. Dollars (US$)"/>
  </r>
  <r>
    <x v="16"/>
    <s v="Country"/>
    <x v="0"/>
    <s v="Japan"/>
    <s v="Online"/>
    <s v="OTA"/>
    <n v="24898221652"/>
    <s v="U.S. Dollars (US$)"/>
  </r>
  <r>
    <x v="16"/>
    <s v="Country"/>
    <x v="0"/>
    <s v="Japan"/>
    <s v="Online"/>
    <s v="Online Supplier-Direct"/>
    <n v="30729638730"/>
    <s v="U.S. Dollars (US$)"/>
  </r>
  <r>
    <x v="16"/>
    <s v="Country"/>
    <x v="0"/>
    <s v="Macau"/>
    <s v="Offline"/>
    <s v="Offline"/>
    <n v="899947897"/>
    <s v="U.S. Dollars (US$)"/>
  </r>
  <r>
    <x v="16"/>
    <s v="Country"/>
    <x v="0"/>
    <s v="Macau"/>
    <s v="Online"/>
    <s v="OTA"/>
    <n v="1644450247"/>
    <s v="U.S. Dollars (US$)"/>
  </r>
  <r>
    <x v="16"/>
    <s v="Country"/>
    <x v="0"/>
    <s v="Macau"/>
    <s v="Online"/>
    <s v="Online Supplier-Direct"/>
    <n v="182716694"/>
    <s v="U.S. Dollars (US$)"/>
  </r>
  <r>
    <x v="16"/>
    <s v="Country"/>
    <x v="0"/>
    <s v="Malaysia"/>
    <s v="Offline"/>
    <s v="Offline"/>
    <n v="3347524352"/>
    <s v="U.S. Dollars (US$)"/>
  </r>
  <r>
    <x v="16"/>
    <s v="Country"/>
    <x v="0"/>
    <s v="Malaysia"/>
    <s v="Online"/>
    <s v="OTA"/>
    <n v="3558900760"/>
    <s v="U.S. Dollars (US$)"/>
  </r>
  <r>
    <x v="16"/>
    <s v="Country"/>
    <x v="0"/>
    <s v="Malaysia"/>
    <s v="Online"/>
    <s v="Online Supplier-Direct"/>
    <n v="6821451113"/>
    <s v="U.S. Dollars (US$)"/>
  </r>
  <r>
    <x v="16"/>
    <s v="Country"/>
    <x v="0"/>
    <s v="Singapore"/>
    <s v="Offline"/>
    <s v="Offline"/>
    <n v="4945157060"/>
    <s v="U.S. Dollars (US$)"/>
  </r>
  <r>
    <x v="16"/>
    <s v="Country"/>
    <x v="0"/>
    <s v="Singapore"/>
    <s v="Online"/>
    <s v="OTA"/>
    <n v="5680705084"/>
    <s v="U.S. Dollars (US$)"/>
  </r>
  <r>
    <x v="16"/>
    <s v="Country"/>
    <x v="0"/>
    <s v="Singapore"/>
    <s v="Online"/>
    <s v="Online Supplier-Direct"/>
    <n v="5733573366"/>
    <s v="U.S. Dollars (US$)"/>
  </r>
  <r>
    <x v="16"/>
    <s v="Country"/>
    <x v="0"/>
    <s v="South Korea"/>
    <s v="Offline"/>
    <s v="Offline"/>
    <n v="9983285309"/>
    <s v="U.S. Dollars (US$)"/>
  </r>
  <r>
    <x v="16"/>
    <s v="Country"/>
    <x v="0"/>
    <s v="South Korea"/>
    <s v="Online"/>
    <s v="OTA"/>
    <n v="6865949027"/>
    <s v="U.S. Dollars (US$)"/>
  </r>
  <r>
    <x v="16"/>
    <s v="Country"/>
    <x v="0"/>
    <s v="South Korea"/>
    <s v="Online"/>
    <s v="Online Supplier-Direct"/>
    <n v="8257958005"/>
    <s v="U.S. Dollars (US$)"/>
  </r>
  <r>
    <x v="16"/>
    <s v="Country"/>
    <x v="0"/>
    <s v="Taiwan"/>
    <s v="Offline"/>
    <s v="Offline"/>
    <n v="6677223530"/>
    <s v="U.S. Dollars (US$)"/>
  </r>
  <r>
    <x v="16"/>
    <s v="Country"/>
    <x v="0"/>
    <s v="Taiwan"/>
    <s v="Online"/>
    <s v="OTA"/>
    <n v="2761313342"/>
    <s v="U.S. Dollars (US$)"/>
  </r>
  <r>
    <x v="16"/>
    <s v="Country"/>
    <x v="0"/>
    <s v="Taiwan"/>
    <s v="Online"/>
    <s v="Online Supplier-Direct"/>
    <n v="4066577919"/>
    <s v="U.S. Dollars (US$)"/>
  </r>
  <r>
    <x v="16"/>
    <s v="Country"/>
    <x v="0"/>
    <s v="Thailand"/>
    <s v="Offline"/>
    <s v="Offline"/>
    <n v="6595938624"/>
    <s v="U.S. Dollars (US$)"/>
  </r>
  <r>
    <x v="16"/>
    <s v="Country"/>
    <x v="0"/>
    <s v="Thailand"/>
    <s v="Online"/>
    <s v="OTA"/>
    <n v="9130651426"/>
    <s v="U.S. Dollars (US$)"/>
  </r>
  <r>
    <x v="16"/>
    <s v="Country"/>
    <x v="0"/>
    <s v="Thailand"/>
    <s v="Online"/>
    <s v="Online Supplier-Direct"/>
    <n v="3574066621"/>
    <s v="U.S. Dollars (US$)"/>
  </r>
  <r>
    <x v="16"/>
    <s v="Country"/>
    <x v="1"/>
    <s v="Bulgaria"/>
    <s v="Offline"/>
    <s v="Offline"/>
    <n v="895090845"/>
    <s v="U.S. Dollars (US$)"/>
  </r>
  <r>
    <x v="16"/>
    <s v="Country"/>
    <x v="1"/>
    <s v="Bulgaria"/>
    <s v="Online"/>
    <s v="OTA"/>
    <n v="713748437"/>
    <s v="U.S. Dollars (US$)"/>
  </r>
  <r>
    <x v="16"/>
    <s v="Country"/>
    <x v="1"/>
    <s v="Bulgaria"/>
    <s v="Online"/>
    <s v="Online Supplier-Direct"/>
    <n v="294117482"/>
    <s v="U.S. Dollars (US$)"/>
  </r>
  <r>
    <x v="16"/>
    <s v="Country"/>
    <x v="1"/>
    <s v="Czech Republic"/>
    <s v="Offline"/>
    <s v="Offline"/>
    <n v="1601900668"/>
    <s v="U.S. Dollars (US$)"/>
  </r>
  <r>
    <x v="16"/>
    <s v="Country"/>
    <x v="1"/>
    <s v="Czech Republic"/>
    <s v="Online"/>
    <s v="OTA"/>
    <n v="1443424657"/>
    <s v="U.S. Dollars (US$)"/>
  </r>
  <r>
    <x v="16"/>
    <s v="Country"/>
    <x v="1"/>
    <s v="Czech Republic"/>
    <s v="Online"/>
    <s v="Online Supplier-Direct"/>
    <n v="1979917025"/>
    <s v="U.S. Dollars (US$)"/>
  </r>
  <r>
    <x v="16"/>
    <s v="Country"/>
    <x v="1"/>
    <s v="Greece"/>
    <s v="Offline"/>
    <s v="Offline"/>
    <n v="4789902954"/>
    <s v="U.S. Dollars (US$)"/>
  </r>
  <r>
    <x v="16"/>
    <s v="Country"/>
    <x v="1"/>
    <s v="Greece"/>
    <s v="Online"/>
    <s v="OTA"/>
    <n v="4292556687"/>
    <s v="U.S. Dollars (US$)"/>
  </r>
  <r>
    <x v="16"/>
    <s v="Country"/>
    <x v="1"/>
    <s v="Greece"/>
    <s v="Online"/>
    <s v="Online Supplier-Direct"/>
    <n v="2181834078"/>
    <s v="U.S. Dollars (US$)"/>
  </r>
  <r>
    <x v="16"/>
    <s v="Country"/>
    <x v="1"/>
    <s v="Hungary"/>
    <s v="Offline"/>
    <s v="Offline"/>
    <n v="651002824"/>
    <s v="U.S. Dollars (US$)"/>
  </r>
  <r>
    <x v="16"/>
    <s v="Country"/>
    <x v="1"/>
    <s v="Hungary"/>
    <s v="Online"/>
    <s v="OTA"/>
    <n v="1095114764"/>
    <s v="U.S. Dollars (US$)"/>
  </r>
  <r>
    <x v="16"/>
    <s v="Country"/>
    <x v="1"/>
    <s v="Hungary"/>
    <s v="Online"/>
    <s v="Online Supplier-Direct"/>
    <n v="6533536928"/>
    <s v="U.S. Dollars (US$)"/>
  </r>
  <r>
    <x v="16"/>
    <s v="Country"/>
    <x v="1"/>
    <s v="Poland"/>
    <s v="Offline"/>
    <s v="Offline"/>
    <n v="3107875094"/>
    <s v="U.S. Dollars (US$)"/>
  </r>
  <r>
    <x v="16"/>
    <s v="Country"/>
    <x v="1"/>
    <s v="Poland"/>
    <s v="Online"/>
    <s v="OTA"/>
    <n v="1828476825"/>
    <s v="U.S. Dollars (US$)"/>
  </r>
  <r>
    <x v="16"/>
    <s v="Country"/>
    <x v="1"/>
    <s v="Poland"/>
    <s v="Online"/>
    <s v="Online Supplier-Direct"/>
    <n v="2342874872"/>
    <s v="U.S. Dollars (US$)"/>
  </r>
  <r>
    <x v="16"/>
    <s v="Country"/>
    <x v="1"/>
    <s v="Rest of Eastern Europe"/>
    <s v="Offline"/>
    <s v="Offline"/>
    <n v="1047391113"/>
    <s v="U.S. Dollars (US$)"/>
  </r>
  <r>
    <x v="16"/>
    <s v="Country"/>
    <x v="1"/>
    <s v="Rest of Eastern Europe"/>
    <s v="Online"/>
    <s v="OTA"/>
    <n v="885272894"/>
    <s v="U.S. Dollars (US$)"/>
  </r>
  <r>
    <x v="16"/>
    <s v="Country"/>
    <x v="1"/>
    <s v="Rest of Eastern Europe"/>
    <s v="Online"/>
    <s v="Online Supplier-Direct"/>
    <n v="1196733505"/>
    <s v="U.S. Dollars (US$)"/>
  </r>
  <r>
    <x v="16"/>
    <s v="Country"/>
    <x v="1"/>
    <s v="Romania"/>
    <s v="Offline"/>
    <s v="Offline"/>
    <n v="1052582448"/>
    <s v="U.S. Dollars (US$)"/>
  </r>
  <r>
    <x v="16"/>
    <s v="Country"/>
    <x v="1"/>
    <s v="Romania"/>
    <s v="Online"/>
    <s v="OTA"/>
    <n v="946568438"/>
    <s v="U.S. Dollars (US$)"/>
  </r>
  <r>
    <x v="16"/>
    <s v="Country"/>
    <x v="1"/>
    <s v="Romania"/>
    <s v="Online"/>
    <s v="Online Supplier-Direct"/>
    <n v="511016835"/>
    <s v="U.S. Dollars (US$)"/>
  </r>
  <r>
    <x v="16"/>
    <s v="Country"/>
    <x v="1"/>
    <s v="Russia"/>
    <s v="Offline"/>
    <s v="Offline"/>
    <n v="15544410277"/>
    <s v="U.S. Dollars (US$)"/>
  </r>
  <r>
    <x v="16"/>
    <s v="Country"/>
    <x v="1"/>
    <s v="Russia"/>
    <s v="Online"/>
    <s v="OTA"/>
    <n v="8580054517"/>
    <s v="U.S. Dollars (US$)"/>
  </r>
  <r>
    <x v="16"/>
    <s v="Country"/>
    <x v="1"/>
    <s v="Russia"/>
    <s v="Online"/>
    <s v="Online Supplier-Direct"/>
    <n v="11011914788"/>
    <s v="U.S. Dollars (US$)"/>
  </r>
  <r>
    <x v="16"/>
    <s v="Country"/>
    <x v="1"/>
    <s v="Ukraine"/>
    <s v="Offline"/>
    <s v="Offline"/>
    <n v="0"/>
    <s v="U.S. Dollars (US$)"/>
  </r>
  <r>
    <x v="16"/>
    <s v="Country"/>
    <x v="1"/>
    <s v="Ukraine"/>
    <s v="Online"/>
    <s v="OTA"/>
    <n v="0"/>
    <s v="U.S. Dollars (US$)"/>
  </r>
  <r>
    <x v="16"/>
    <s v="Country"/>
    <x v="1"/>
    <s v="Ukraine"/>
    <s v="Online"/>
    <s v="Online Supplier-Direct"/>
    <n v="0"/>
    <s v="U.S. Dollars (US$)"/>
  </r>
  <r>
    <x v="16"/>
    <s v="Country"/>
    <x v="2"/>
    <s v="France"/>
    <s v="Offline"/>
    <s v="Offline"/>
    <n v="27869742510"/>
    <s v="U.S. Dollars (US$)"/>
  </r>
  <r>
    <x v="16"/>
    <s v="Country"/>
    <x v="2"/>
    <s v="France"/>
    <s v="Online"/>
    <s v="OTA"/>
    <n v="9163230283"/>
    <s v="U.S. Dollars (US$)"/>
  </r>
  <r>
    <x v="16"/>
    <s v="Country"/>
    <x v="2"/>
    <s v="France"/>
    <s v="Online"/>
    <s v="Online Supplier-Direct"/>
    <n v="24995493417"/>
    <s v="U.S. Dollars (US$)"/>
  </r>
  <r>
    <x v="16"/>
    <s v="Country"/>
    <x v="2"/>
    <s v="Germany"/>
    <s v="Offline"/>
    <s v="Offline"/>
    <n v="26683645152"/>
    <s v="U.S. Dollars (US$)"/>
  </r>
  <r>
    <x v="16"/>
    <s v="Country"/>
    <x v="2"/>
    <s v="Germany"/>
    <s v="Online"/>
    <s v="OTA"/>
    <n v="16841751969"/>
    <s v="U.S. Dollars (US$)"/>
  </r>
  <r>
    <x v="16"/>
    <s v="Country"/>
    <x v="2"/>
    <s v="Germany"/>
    <s v="Online"/>
    <s v="Online Supplier-Direct"/>
    <n v="36752861754"/>
    <s v="U.S. Dollars (US$)"/>
  </r>
  <r>
    <x v="16"/>
    <s v="Country"/>
    <x v="2"/>
    <s v="Italy"/>
    <s v="Offline"/>
    <s v="Offline"/>
    <n v="14564575260"/>
    <s v="U.S. Dollars (US$)"/>
  </r>
  <r>
    <x v="16"/>
    <s v="Country"/>
    <x v="2"/>
    <s v="Italy"/>
    <s v="Online"/>
    <s v="OTA"/>
    <n v="7269372791"/>
    <s v="U.S. Dollars (US$)"/>
  </r>
  <r>
    <x v="16"/>
    <s v="Country"/>
    <x v="2"/>
    <s v="Italy"/>
    <s v="Online"/>
    <s v="Online Supplier-Direct"/>
    <n v="12470248746"/>
    <s v="U.S. Dollars (US$)"/>
  </r>
  <r>
    <x v="16"/>
    <s v="Country"/>
    <x v="2"/>
    <s v="Rest of Europe"/>
    <s v="Offline"/>
    <s v="Offline"/>
    <n v="25775222382"/>
    <s v="U.S. Dollars (US$)"/>
  </r>
  <r>
    <x v="16"/>
    <s v="Country"/>
    <x v="2"/>
    <s v="Rest of Europe"/>
    <s v="Online"/>
    <s v="OTA"/>
    <n v="14594981187"/>
    <s v="U.S. Dollars (US$)"/>
  </r>
  <r>
    <x v="16"/>
    <s v="Country"/>
    <x v="2"/>
    <s v="Rest of Europe"/>
    <s v="Online"/>
    <s v="Online Supplier-Direct"/>
    <n v="44044947157"/>
    <s v="U.S. Dollars (US$)"/>
  </r>
  <r>
    <x v="16"/>
    <s v="Country"/>
    <x v="2"/>
    <s v="Scandinavia"/>
    <s v="Offline"/>
    <s v="Offline"/>
    <n v="4637524600"/>
    <s v="U.S. Dollars (US$)"/>
  </r>
  <r>
    <x v="16"/>
    <s v="Country"/>
    <x v="2"/>
    <s v="Scandinavia"/>
    <s v="Online"/>
    <s v="OTA"/>
    <n v="5285724545"/>
    <s v="U.S. Dollars (US$)"/>
  </r>
  <r>
    <x v="16"/>
    <s v="Country"/>
    <x v="2"/>
    <s v="Scandinavia"/>
    <s v="Online"/>
    <s v="Online Supplier-Direct"/>
    <n v="12660738287"/>
    <s v="U.S. Dollars (US$)"/>
  </r>
  <r>
    <x v="16"/>
    <s v="Country"/>
    <x v="2"/>
    <s v="Spain"/>
    <s v="Offline"/>
    <s v="Offline"/>
    <n v="16181407445"/>
    <s v="U.S. Dollars (US$)"/>
  </r>
  <r>
    <x v="16"/>
    <s v="Country"/>
    <x v="2"/>
    <s v="Spain"/>
    <s v="Online"/>
    <s v="OTA"/>
    <n v="12457755456"/>
    <s v="U.S. Dollars (US$)"/>
  </r>
  <r>
    <x v="16"/>
    <s v="Country"/>
    <x v="2"/>
    <s v="Spain"/>
    <s v="Online"/>
    <s v="Online Supplier-Direct"/>
    <n v="13977389419"/>
    <s v="U.S. Dollars (US$)"/>
  </r>
  <r>
    <x v="16"/>
    <s v="Country"/>
    <x v="2"/>
    <s v="U.K."/>
    <s v="Offline"/>
    <s v="Offline"/>
    <n v="11199983896"/>
    <s v="U.S. Dollars (US$)"/>
  </r>
  <r>
    <x v="16"/>
    <s v="Country"/>
    <x v="2"/>
    <s v="U.K."/>
    <s v="Online"/>
    <s v="OTA"/>
    <n v="12839326440"/>
    <s v="U.S. Dollars (US$)"/>
  </r>
  <r>
    <x v="16"/>
    <s v="Country"/>
    <x v="2"/>
    <s v="U.K."/>
    <s v="Online"/>
    <s v="Online Supplier-Direct"/>
    <n v="45686536312"/>
    <s v="U.S. Dollars (US$)"/>
  </r>
  <r>
    <x v="16"/>
    <s v="Country"/>
    <x v="3"/>
    <s v="Argentina"/>
    <s v="Offline"/>
    <s v="Offline"/>
    <n v="4461245975"/>
    <s v="U.S. Dollars (US$)"/>
  </r>
  <r>
    <x v="16"/>
    <s v="Country"/>
    <x v="3"/>
    <s v="Argentina"/>
    <s v="Online"/>
    <s v="OTA"/>
    <n v="1939527301"/>
    <s v="U.S. Dollars (US$)"/>
  </r>
  <r>
    <x v="16"/>
    <s v="Country"/>
    <x v="3"/>
    <s v="Argentina"/>
    <s v="Online"/>
    <s v="Online Supplier-Direct"/>
    <n v="1766149651"/>
    <s v="U.S. Dollars (US$)"/>
  </r>
  <r>
    <x v="16"/>
    <s v="Country"/>
    <x v="3"/>
    <s v="Brazil"/>
    <s v="Offline"/>
    <s v="Offline"/>
    <n v="12549625405"/>
    <s v="U.S. Dollars (US$)"/>
  </r>
  <r>
    <x v="16"/>
    <s v="Country"/>
    <x v="3"/>
    <s v="Brazil"/>
    <s v="Online"/>
    <s v="OTA"/>
    <n v="7137512271"/>
    <s v="U.S. Dollars (US$)"/>
  </r>
  <r>
    <x v="16"/>
    <s v="Country"/>
    <x v="3"/>
    <s v="Brazil"/>
    <s v="Online"/>
    <s v="Online Supplier-Direct"/>
    <n v="6124166704"/>
    <s v="U.S. Dollars (US$)"/>
  </r>
  <r>
    <x v="16"/>
    <s v="Country"/>
    <x v="3"/>
    <s v="Chile"/>
    <s v="Offline"/>
    <s v="Offline"/>
    <n v="2054715639"/>
    <s v="U.S. Dollars (US$)"/>
  </r>
  <r>
    <x v="16"/>
    <s v="Country"/>
    <x v="3"/>
    <s v="Chile"/>
    <s v="Online"/>
    <s v="OTA"/>
    <n v="1086420759"/>
    <s v="U.S. Dollars (US$)"/>
  </r>
  <r>
    <x v="16"/>
    <s v="Country"/>
    <x v="3"/>
    <s v="Chile"/>
    <s v="Online"/>
    <s v="Online Supplier-Direct"/>
    <n v="1397402884"/>
    <s v="U.S. Dollars (US$)"/>
  </r>
  <r>
    <x v="16"/>
    <s v="Country"/>
    <x v="3"/>
    <s v="Colombia"/>
    <s v="Offline"/>
    <s v="Offline"/>
    <n v="3261338653"/>
    <s v="U.S. Dollars (US$)"/>
  </r>
  <r>
    <x v="16"/>
    <s v="Country"/>
    <x v="3"/>
    <s v="Colombia"/>
    <s v="Online"/>
    <s v="OTA"/>
    <n v="1490482449"/>
    <s v="U.S. Dollars (US$)"/>
  </r>
  <r>
    <x v="16"/>
    <s v="Country"/>
    <x v="3"/>
    <s v="Colombia"/>
    <s v="Online"/>
    <s v="Online Supplier-Direct"/>
    <n v="1774928873"/>
    <s v="U.S. Dollars (US$)"/>
  </r>
  <r>
    <x v="16"/>
    <s v="Country"/>
    <x v="3"/>
    <s v="Mexico"/>
    <s v="Offline"/>
    <s v="Offline"/>
    <n v="16023697719"/>
    <s v="U.S. Dollars (US$)"/>
  </r>
  <r>
    <x v="16"/>
    <s v="Country"/>
    <x v="3"/>
    <s v="Mexico"/>
    <s v="Online"/>
    <s v="OTA"/>
    <n v="8952075200"/>
    <s v="U.S. Dollars (US$)"/>
  </r>
  <r>
    <x v="16"/>
    <s v="Country"/>
    <x v="3"/>
    <s v="Mexico"/>
    <s v="Online"/>
    <s v="Online Supplier-Direct"/>
    <n v="8683804696"/>
    <s v="U.S. Dollars (US$)"/>
  </r>
  <r>
    <x v="16"/>
    <s v="Country"/>
    <x v="4"/>
    <s v="Egypt"/>
    <s v="Offline"/>
    <s v="Offline"/>
    <n v="1621598031"/>
    <s v="U.S. Dollars (US$)"/>
  </r>
  <r>
    <x v="16"/>
    <s v="Country"/>
    <x v="4"/>
    <s v="Egypt"/>
    <s v="Online"/>
    <s v="OTA"/>
    <n v="581549167"/>
    <s v="U.S. Dollars (US$)"/>
  </r>
  <r>
    <x v="16"/>
    <s v="Country"/>
    <x v="4"/>
    <s v="Egypt"/>
    <s v="Online"/>
    <s v="Online Supplier-Direct"/>
    <n v="535702848"/>
    <s v="U.S. Dollars (US$)"/>
  </r>
  <r>
    <x v="16"/>
    <s v="Country"/>
    <x v="4"/>
    <s v="Qatar"/>
    <s v="Offline"/>
    <s v="Offline"/>
    <n v="9939558827"/>
    <s v="U.S. Dollars (US$)"/>
  </r>
  <r>
    <x v="16"/>
    <s v="Country"/>
    <x v="4"/>
    <s v="Qatar"/>
    <s v="Online"/>
    <s v="OTA"/>
    <n v="1898146375"/>
    <s v="U.S. Dollars (US$)"/>
  </r>
  <r>
    <x v="16"/>
    <s v="Country"/>
    <x v="4"/>
    <s v="Qatar"/>
    <s v="Online"/>
    <s v="Online Supplier-Direct"/>
    <n v="6592759065"/>
    <s v="U.S. Dollars (US$)"/>
  </r>
  <r>
    <x v="16"/>
    <s v="Country"/>
    <x v="4"/>
    <s v="Rest of Middle East"/>
    <s v="Offline"/>
    <s v="Offline"/>
    <n v="7195198800"/>
    <s v="U.S. Dollars (US$)"/>
  </r>
  <r>
    <x v="16"/>
    <s v="Country"/>
    <x v="4"/>
    <s v="Rest of Middle East"/>
    <s v="Online"/>
    <s v="OTA"/>
    <n v="2654519306"/>
    <s v="U.S. Dollars (US$)"/>
  </r>
  <r>
    <x v="16"/>
    <s v="Country"/>
    <x v="4"/>
    <s v="Rest of Middle East"/>
    <s v="Online"/>
    <s v="Online Supplier-Direct"/>
    <n v="3185398417"/>
    <s v="U.S. Dollars (US$)"/>
  </r>
  <r>
    <x v="16"/>
    <s v="Country"/>
    <x v="4"/>
    <s v="Saudi Arabia"/>
    <s v="Offline"/>
    <s v="Offline"/>
    <n v="9925000617"/>
    <s v="U.S. Dollars (US$)"/>
  </r>
  <r>
    <x v="16"/>
    <s v="Country"/>
    <x v="4"/>
    <s v="Saudi Arabia"/>
    <s v="Online"/>
    <s v="OTA"/>
    <n v="4448554283"/>
    <s v="U.S. Dollars (US$)"/>
  </r>
  <r>
    <x v="16"/>
    <s v="Country"/>
    <x v="4"/>
    <s v="Saudi Arabia"/>
    <s v="Online"/>
    <s v="Online Supplier-Direct"/>
    <n v="6929889837"/>
    <s v="U.S. Dollars (US$)"/>
  </r>
  <r>
    <x v="16"/>
    <s v="Country"/>
    <x v="4"/>
    <s v="U.A.E."/>
    <s v="Offline"/>
    <s v="Offline"/>
    <n v="25464555623"/>
    <s v="U.S. Dollars (US$)"/>
  </r>
  <r>
    <x v="16"/>
    <s v="Country"/>
    <x v="4"/>
    <s v="U.A.E."/>
    <s v="Online"/>
    <s v="OTA"/>
    <n v="7573262229"/>
    <s v="U.S. Dollars (US$)"/>
  </r>
  <r>
    <x v="16"/>
    <s v="Country"/>
    <x v="4"/>
    <s v="U.A.E."/>
    <s v="Online"/>
    <s v="Online Supplier-Direct"/>
    <n v="19547221819"/>
    <s v="U.S. Dollars (US$)"/>
  </r>
  <r>
    <x v="16"/>
    <s v="Country"/>
    <x v="5"/>
    <s v="Canada"/>
    <s v="Central"/>
    <s v="Central Reservation"/>
    <n v="8561648654"/>
    <s v="U.S. Dollars (US$)"/>
  </r>
  <r>
    <x v="16"/>
    <s v="Country"/>
    <x v="5"/>
    <s v="Canada"/>
    <s v="Offline"/>
    <s v="Travel Agency/TMC"/>
    <n v="7684058746"/>
    <s v="U.S. Dollars (US$)"/>
  </r>
  <r>
    <x v="16"/>
    <s v="Country"/>
    <x v="5"/>
    <s v="Canada"/>
    <s v="Online"/>
    <s v="OTA"/>
    <n v="10688304504"/>
    <s v="U.S. Dollars (US$)"/>
  </r>
  <r>
    <x v="16"/>
    <s v="Country"/>
    <x v="5"/>
    <s v="Canada"/>
    <s v="Online"/>
    <s v="Online Supplier-Direct"/>
    <n v="15801284022"/>
    <s v="U.S. Dollars (US$)"/>
  </r>
  <r>
    <x v="16"/>
    <s v="Country"/>
    <x v="5"/>
    <s v="U.S."/>
    <s v="Central"/>
    <s v="Central Reservation"/>
    <n v="85386529567"/>
    <s v="U.S. Dollars (US$)"/>
  </r>
  <r>
    <x v="16"/>
    <s v="Country"/>
    <x v="5"/>
    <s v="U.S."/>
    <s v="Offline"/>
    <s v="Travel Agency/TMC"/>
    <n v="108533704509"/>
    <s v="U.S. Dollars (US$)"/>
  </r>
  <r>
    <x v="16"/>
    <s v="Country"/>
    <x v="5"/>
    <s v="U.S."/>
    <s v="Online"/>
    <s v="OTA"/>
    <n v="110973000002"/>
    <s v="U.S. Dollars (US$)"/>
  </r>
  <r>
    <x v="16"/>
    <s v="Country"/>
    <x v="5"/>
    <s v="U.S."/>
    <s v="Online"/>
    <s v="Online Supplier-Direct"/>
    <n v="220859368279"/>
    <s v="U.S. Dollars (US$)"/>
  </r>
  <r>
    <x v="17"/>
    <s v="Country"/>
    <x v="0"/>
    <s v="Australia-New Zealand"/>
    <s v="Offline"/>
    <s v="Offline"/>
    <n v="18082227677"/>
    <s v="U.S. Dollars (US$)"/>
  </r>
  <r>
    <x v="17"/>
    <s v="Country"/>
    <x v="0"/>
    <s v="Australia-New Zealand"/>
    <s v="Online"/>
    <s v="OTA"/>
    <n v="7767211152"/>
    <s v="U.S. Dollars (US$)"/>
  </r>
  <r>
    <x v="17"/>
    <s v="Country"/>
    <x v="0"/>
    <s v="Australia-New Zealand"/>
    <s v="Online"/>
    <s v="Online Supplier-Direct"/>
    <n v="18554421900"/>
    <s v="U.S. Dollars (US$)"/>
  </r>
  <r>
    <x v="17"/>
    <s v="Country"/>
    <x v="0"/>
    <s v="China"/>
    <s v="Offline"/>
    <s v="Offline"/>
    <n v="45651214884"/>
    <s v="U.S. Dollars (US$)"/>
  </r>
  <r>
    <x v="17"/>
    <s v="Country"/>
    <x v="0"/>
    <s v="China"/>
    <s v="Online"/>
    <s v="OTA"/>
    <n v="81007939843"/>
    <s v="U.S. Dollars (US$)"/>
  </r>
  <r>
    <x v="17"/>
    <s v="Country"/>
    <x v="0"/>
    <s v="China"/>
    <s v="Online"/>
    <s v="Online Supplier-Direct"/>
    <n v="75002379302"/>
    <s v="U.S. Dollars (US$)"/>
  </r>
  <r>
    <x v="17"/>
    <s v="Country"/>
    <x v="0"/>
    <s v="Hong Kong"/>
    <s v="Offline"/>
    <s v="Offline"/>
    <n v="7547970565"/>
    <s v="U.S. Dollars (US$)"/>
  </r>
  <r>
    <x v="17"/>
    <s v="Country"/>
    <x v="0"/>
    <s v="Hong Kong"/>
    <s v="Online"/>
    <s v="OTA"/>
    <n v="3813244395"/>
    <s v="U.S. Dollars (US$)"/>
  </r>
  <r>
    <x v="17"/>
    <s v="Country"/>
    <x v="0"/>
    <s v="Hong Kong"/>
    <s v="Online"/>
    <s v="Online Supplier-Direct"/>
    <n v="2730178565"/>
    <s v="U.S. Dollars (US$)"/>
  </r>
  <r>
    <x v="17"/>
    <s v="Country"/>
    <x v="0"/>
    <s v="India"/>
    <s v="Offline"/>
    <s v="Offline"/>
    <n v="21056917112"/>
    <s v="U.S. Dollars (US$)"/>
  </r>
  <r>
    <x v="17"/>
    <s v="Country"/>
    <x v="0"/>
    <s v="India"/>
    <s v="Online"/>
    <s v="OTA"/>
    <n v="17071255607"/>
    <s v="U.S. Dollars (US$)"/>
  </r>
  <r>
    <x v="17"/>
    <s v="Country"/>
    <x v="0"/>
    <s v="India"/>
    <s v="Online"/>
    <s v="Online Supplier-Direct"/>
    <n v="13485694524"/>
    <s v="U.S. Dollars (US$)"/>
  </r>
  <r>
    <x v="17"/>
    <s v="Country"/>
    <x v="0"/>
    <s v="Indonesia"/>
    <s v="Offline"/>
    <s v="Offline"/>
    <n v="4815330874"/>
    <s v="U.S. Dollars (US$)"/>
  </r>
  <r>
    <x v="17"/>
    <s v="Country"/>
    <x v="0"/>
    <s v="Indonesia"/>
    <s v="Online"/>
    <s v="OTA"/>
    <n v="8054919013"/>
    <s v="U.S. Dollars (US$)"/>
  </r>
  <r>
    <x v="17"/>
    <s v="Country"/>
    <x v="0"/>
    <s v="Indonesia"/>
    <s v="Online"/>
    <s v="Online Supplier-Direct"/>
    <n v="3593368596"/>
    <s v="U.S. Dollars (US$)"/>
  </r>
  <r>
    <x v="17"/>
    <s v="Country"/>
    <x v="0"/>
    <s v="Japan"/>
    <s v="Offline"/>
    <s v="Offline"/>
    <n v="41187815831"/>
    <s v="U.S. Dollars (US$)"/>
  </r>
  <r>
    <x v="17"/>
    <s v="Country"/>
    <x v="0"/>
    <s v="Japan"/>
    <s v="Online"/>
    <s v="OTA"/>
    <n v="26316040544"/>
    <s v="U.S. Dollars (US$)"/>
  </r>
  <r>
    <x v="17"/>
    <s v="Country"/>
    <x v="0"/>
    <s v="Japan"/>
    <s v="Online"/>
    <s v="Online Supplier-Direct"/>
    <n v="32835520512"/>
    <s v="U.S. Dollars (US$)"/>
  </r>
  <r>
    <x v="17"/>
    <s v="Country"/>
    <x v="0"/>
    <s v="Macau"/>
    <s v="Offline"/>
    <s v="Offline"/>
    <n v="813229292"/>
    <s v="U.S. Dollars (US$)"/>
  </r>
  <r>
    <x v="17"/>
    <s v="Country"/>
    <x v="0"/>
    <s v="Macau"/>
    <s v="Online"/>
    <s v="OTA"/>
    <n v="1888318416"/>
    <s v="U.S. Dollars (US$)"/>
  </r>
  <r>
    <x v="17"/>
    <s v="Country"/>
    <x v="0"/>
    <s v="Macau"/>
    <s v="Online"/>
    <s v="Online Supplier-Direct"/>
    <n v="202842621"/>
    <s v="U.S. Dollars (US$)"/>
  </r>
  <r>
    <x v="17"/>
    <s v="Country"/>
    <x v="0"/>
    <s v="Malaysia"/>
    <s v="Offline"/>
    <s v="Offline"/>
    <n v="3232846576"/>
    <s v="U.S. Dollars (US$)"/>
  </r>
  <r>
    <x v="17"/>
    <s v="Country"/>
    <x v="0"/>
    <s v="Malaysia"/>
    <s v="Online"/>
    <s v="OTA"/>
    <n v="4040753409"/>
    <s v="U.S. Dollars (US$)"/>
  </r>
  <r>
    <x v="17"/>
    <s v="Country"/>
    <x v="0"/>
    <s v="Malaysia"/>
    <s v="Online"/>
    <s v="Online Supplier-Direct"/>
    <n v="7693323983"/>
    <s v="U.S. Dollars (US$)"/>
  </r>
  <r>
    <x v="17"/>
    <s v="Country"/>
    <x v="0"/>
    <s v="Singapore"/>
    <s v="Offline"/>
    <s v="Offline"/>
    <n v="4802059840"/>
    <s v="U.S. Dollars (US$)"/>
  </r>
  <r>
    <x v="17"/>
    <s v="Country"/>
    <x v="0"/>
    <s v="Singapore"/>
    <s v="Online"/>
    <s v="OTA"/>
    <n v="6118762160"/>
    <s v="U.S. Dollars (US$)"/>
  </r>
  <r>
    <x v="17"/>
    <s v="Country"/>
    <x v="0"/>
    <s v="Singapore"/>
    <s v="Online"/>
    <s v="Online Supplier-Direct"/>
    <n v="5983655010"/>
    <s v="U.S. Dollars (US$)"/>
  </r>
  <r>
    <x v="17"/>
    <s v="Country"/>
    <x v="0"/>
    <s v="South Korea"/>
    <s v="Offline"/>
    <s v="Offline"/>
    <n v="10008434426"/>
    <s v="U.S. Dollars (US$)"/>
  </r>
  <r>
    <x v="17"/>
    <s v="Country"/>
    <x v="0"/>
    <s v="South Korea"/>
    <s v="Online"/>
    <s v="OTA"/>
    <n v="7700436402"/>
    <s v="U.S. Dollars (US$)"/>
  </r>
  <r>
    <x v="17"/>
    <s v="Country"/>
    <x v="0"/>
    <s v="South Korea"/>
    <s v="Online"/>
    <s v="Online Supplier-Direct"/>
    <n v="8872557402"/>
    <s v="U.S. Dollars (US$)"/>
  </r>
  <r>
    <x v="17"/>
    <s v="Country"/>
    <x v="0"/>
    <s v="Taiwan"/>
    <s v="Offline"/>
    <s v="Offline"/>
    <n v="6579600385"/>
    <s v="U.S. Dollars (US$)"/>
  </r>
  <r>
    <x v="17"/>
    <s v="Country"/>
    <x v="0"/>
    <s v="Taiwan"/>
    <s v="Online"/>
    <s v="OTA"/>
    <n v="3180585594"/>
    <s v="U.S. Dollars (US$)"/>
  </r>
  <r>
    <x v="17"/>
    <s v="Country"/>
    <x v="0"/>
    <s v="Taiwan"/>
    <s v="Online"/>
    <s v="Online Supplier-Direct"/>
    <n v="4392076242"/>
    <s v="U.S. Dollars (US$)"/>
  </r>
  <r>
    <x v="17"/>
    <s v="Country"/>
    <x v="0"/>
    <s v="Thailand"/>
    <s v="Offline"/>
    <s v="Offline"/>
    <n v="6504684693"/>
    <s v="U.S. Dollars (US$)"/>
  </r>
  <r>
    <x v="17"/>
    <s v="Country"/>
    <x v="0"/>
    <s v="Thailand"/>
    <s v="Online"/>
    <s v="OTA"/>
    <n v="10374593712"/>
    <s v="U.S. Dollars (US$)"/>
  </r>
  <r>
    <x v="17"/>
    <s v="Country"/>
    <x v="0"/>
    <s v="Thailand"/>
    <s v="Online"/>
    <s v="Online Supplier-Direct"/>
    <n v="4033738751"/>
    <s v="U.S. Dollars (US$)"/>
  </r>
  <r>
    <x v="17"/>
    <s v="Country"/>
    <x v="1"/>
    <s v="Bulgaria"/>
    <s v="Offline"/>
    <s v="Offline"/>
    <n v="982238463"/>
    <s v="U.S. Dollars (US$)"/>
  </r>
  <r>
    <x v="17"/>
    <s v="Country"/>
    <x v="1"/>
    <s v="Bulgaria"/>
    <s v="Online"/>
    <s v="OTA"/>
    <n v="838600126"/>
    <s v="U.S. Dollars (US$)"/>
  </r>
  <r>
    <x v="17"/>
    <s v="Country"/>
    <x v="1"/>
    <s v="Bulgaria"/>
    <s v="Online"/>
    <s v="Online Supplier-Direct"/>
    <n v="346039020"/>
    <s v="U.S. Dollars (US$)"/>
  </r>
  <r>
    <x v="17"/>
    <s v="Country"/>
    <x v="1"/>
    <s v="Czech Republic"/>
    <s v="Offline"/>
    <s v="Offline"/>
    <n v="1667365988"/>
    <s v="U.S. Dollars (US$)"/>
  </r>
  <r>
    <x v="17"/>
    <s v="Country"/>
    <x v="1"/>
    <s v="Czech Republic"/>
    <s v="Online"/>
    <s v="OTA"/>
    <n v="1630997938"/>
    <s v="U.S. Dollars (US$)"/>
  </r>
  <r>
    <x v="17"/>
    <s v="Country"/>
    <x v="1"/>
    <s v="Czech Republic"/>
    <s v="Online"/>
    <s v="Online Supplier-Direct"/>
    <n v="2214181944"/>
    <s v="U.S. Dollars (US$)"/>
  </r>
  <r>
    <x v="17"/>
    <s v="Country"/>
    <x v="1"/>
    <s v="Greece"/>
    <s v="Offline"/>
    <s v="Offline"/>
    <n v="5003176731"/>
    <s v="U.S. Dollars (US$)"/>
  </r>
  <r>
    <x v="17"/>
    <s v="Country"/>
    <x v="1"/>
    <s v="Greece"/>
    <s v="Online"/>
    <s v="OTA"/>
    <n v="4769855493"/>
    <s v="U.S. Dollars (US$)"/>
  </r>
  <r>
    <x v="17"/>
    <s v="Country"/>
    <x v="1"/>
    <s v="Greece"/>
    <s v="Online"/>
    <s v="Online Supplier-Direct"/>
    <n v="2484153766"/>
    <s v="U.S. Dollars (US$)"/>
  </r>
  <r>
    <x v="17"/>
    <s v="Country"/>
    <x v="1"/>
    <s v="Hungary"/>
    <s v="Offline"/>
    <s v="Offline"/>
    <n v="660750411"/>
    <s v="U.S. Dollars (US$)"/>
  </r>
  <r>
    <x v="17"/>
    <s v="Country"/>
    <x v="1"/>
    <s v="Hungary"/>
    <s v="Online"/>
    <s v="OTA"/>
    <n v="1202035733"/>
    <s v="U.S. Dollars (US$)"/>
  </r>
  <r>
    <x v="17"/>
    <s v="Country"/>
    <x v="1"/>
    <s v="Hungary"/>
    <s v="Online"/>
    <s v="Online Supplier-Direct"/>
    <n v="7079157983"/>
    <s v="U.S. Dollars (US$)"/>
  </r>
  <r>
    <x v="17"/>
    <s v="Country"/>
    <x v="1"/>
    <s v="Poland"/>
    <s v="Offline"/>
    <s v="Offline"/>
    <n v="3318966122"/>
    <s v="U.S. Dollars (US$)"/>
  </r>
  <r>
    <x v="17"/>
    <s v="Country"/>
    <x v="1"/>
    <s v="Poland"/>
    <s v="Online"/>
    <s v="OTA"/>
    <n v="2033727704"/>
    <s v="U.S. Dollars (US$)"/>
  </r>
  <r>
    <x v="17"/>
    <s v="Country"/>
    <x v="1"/>
    <s v="Poland"/>
    <s v="Online"/>
    <s v="Online Supplier-Direct"/>
    <n v="2665926744"/>
    <s v="U.S. Dollars (US$)"/>
  </r>
  <r>
    <x v="17"/>
    <s v="Country"/>
    <x v="1"/>
    <s v="Rest of Eastern Europe"/>
    <s v="Offline"/>
    <s v="Offline"/>
    <n v="1090439702"/>
    <s v="U.S. Dollars (US$)"/>
  </r>
  <r>
    <x v="17"/>
    <s v="Country"/>
    <x v="1"/>
    <s v="Rest of Eastern Europe"/>
    <s v="Online"/>
    <s v="OTA"/>
    <n v="979196405"/>
    <s v="U.S. Dollars (US$)"/>
  </r>
  <r>
    <x v="17"/>
    <s v="Country"/>
    <x v="1"/>
    <s v="Rest of Eastern Europe"/>
    <s v="Online"/>
    <s v="Online Supplier-Direct"/>
    <n v="1328470346"/>
    <s v="U.S. Dollars (US$)"/>
  </r>
  <r>
    <x v="17"/>
    <s v="Country"/>
    <x v="1"/>
    <s v="Romania"/>
    <s v="Offline"/>
    <s v="Offline"/>
    <n v="1135002619"/>
    <s v="U.S. Dollars (US$)"/>
  </r>
  <r>
    <x v="17"/>
    <s v="Country"/>
    <x v="1"/>
    <s v="Romania"/>
    <s v="Online"/>
    <s v="OTA"/>
    <n v="1098193844"/>
    <s v="U.S. Dollars (US$)"/>
  </r>
  <r>
    <x v="17"/>
    <s v="Country"/>
    <x v="1"/>
    <s v="Romania"/>
    <s v="Online"/>
    <s v="Online Supplier-Direct"/>
    <n v="577652182"/>
    <s v="U.S. Dollars (US$)"/>
  </r>
  <r>
    <x v="17"/>
    <s v="Country"/>
    <x v="1"/>
    <s v="Russia"/>
    <s v="Offline"/>
    <s v="Offline"/>
    <n v="17441951561"/>
    <s v="U.S. Dollars (US$)"/>
  </r>
  <r>
    <x v="17"/>
    <s v="Country"/>
    <x v="1"/>
    <s v="Russia"/>
    <s v="Online"/>
    <s v="OTA"/>
    <n v="10380949735"/>
    <s v="U.S. Dollars (US$)"/>
  </r>
  <r>
    <x v="17"/>
    <s v="Country"/>
    <x v="1"/>
    <s v="Russia"/>
    <s v="Online"/>
    <s v="Online Supplier-Direct"/>
    <n v="12375620130"/>
    <s v="U.S. Dollars (US$)"/>
  </r>
  <r>
    <x v="17"/>
    <s v="Country"/>
    <x v="1"/>
    <s v="Ukraine"/>
    <s v="Offline"/>
    <s v="Offline"/>
    <n v="0"/>
    <s v="U.S. Dollars (US$)"/>
  </r>
  <r>
    <x v="17"/>
    <s v="Country"/>
    <x v="1"/>
    <s v="Ukraine"/>
    <s v="Online"/>
    <s v="OTA"/>
    <n v="0"/>
    <s v="U.S. Dollars (US$)"/>
  </r>
  <r>
    <x v="17"/>
    <s v="Country"/>
    <x v="1"/>
    <s v="Ukraine"/>
    <s v="Online"/>
    <s v="Online Supplier-Direct"/>
    <n v="0"/>
    <s v="U.S. Dollars (US$)"/>
  </r>
  <r>
    <x v="17"/>
    <s v="Country"/>
    <x v="2"/>
    <s v="France"/>
    <s v="Offline"/>
    <s v="Offline"/>
    <n v="28327450431"/>
    <s v="U.S. Dollars (US$)"/>
  </r>
  <r>
    <x v="17"/>
    <s v="Country"/>
    <x v="2"/>
    <s v="France"/>
    <s v="Online"/>
    <s v="OTA"/>
    <n v="9280000192"/>
    <s v="U.S. Dollars (US$)"/>
  </r>
  <r>
    <x v="17"/>
    <s v="Country"/>
    <x v="2"/>
    <s v="France"/>
    <s v="Online"/>
    <s v="Online Supplier-Direct"/>
    <n v="26005802916"/>
    <s v="U.S. Dollars (US$)"/>
  </r>
  <r>
    <x v="17"/>
    <s v="Country"/>
    <x v="2"/>
    <s v="Germany"/>
    <s v="Offline"/>
    <s v="Offline"/>
    <n v="25498920598"/>
    <s v="U.S. Dollars (US$)"/>
  </r>
  <r>
    <x v="17"/>
    <s v="Country"/>
    <x v="2"/>
    <s v="Germany"/>
    <s v="Online"/>
    <s v="OTA"/>
    <n v="17677252677"/>
    <s v="U.S. Dollars (US$)"/>
  </r>
  <r>
    <x v="17"/>
    <s v="Country"/>
    <x v="2"/>
    <s v="Germany"/>
    <s v="Online"/>
    <s v="Online Supplier-Direct"/>
    <n v="40306158822"/>
    <s v="U.S. Dollars (US$)"/>
  </r>
  <r>
    <x v="17"/>
    <s v="Country"/>
    <x v="2"/>
    <s v="Italy"/>
    <s v="Offline"/>
    <s v="Offline"/>
    <n v="14825888758"/>
    <s v="U.S. Dollars (US$)"/>
  </r>
  <r>
    <x v="17"/>
    <s v="Country"/>
    <x v="2"/>
    <s v="Italy"/>
    <s v="Online"/>
    <s v="OTA"/>
    <n v="7650880893"/>
    <s v="U.S. Dollars (US$)"/>
  </r>
  <r>
    <x v="17"/>
    <s v="Country"/>
    <x v="2"/>
    <s v="Italy"/>
    <s v="Online"/>
    <s v="Online Supplier-Direct"/>
    <n v="13884920573"/>
    <s v="U.S. Dollars (US$)"/>
  </r>
  <r>
    <x v="17"/>
    <s v="Country"/>
    <x v="2"/>
    <s v="Rest of Europe"/>
    <s v="Offline"/>
    <s v="Offline"/>
    <n v="26784959758"/>
    <s v="U.S. Dollars (US$)"/>
  </r>
  <r>
    <x v="17"/>
    <s v="Country"/>
    <x v="2"/>
    <s v="Rest of Europe"/>
    <s v="Online"/>
    <s v="OTA"/>
    <n v="15185631164"/>
    <s v="U.S. Dollars (US$)"/>
  </r>
  <r>
    <x v="17"/>
    <s v="Country"/>
    <x v="2"/>
    <s v="Rest of Europe"/>
    <s v="Online"/>
    <s v="Online Supplier-Direct"/>
    <n v="46997840477"/>
    <s v="U.S. Dollars (US$)"/>
  </r>
  <r>
    <x v="17"/>
    <s v="Country"/>
    <x v="2"/>
    <s v="Scandinavia"/>
    <s v="Offline"/>
    <s v="Offline"/>
    <n v="4776890035"/>
    <s v="U.S. Dollars (US$)"/>
  </r>
  <r>
    <x v="17"/>
    <s v="Country"/>
    <x v="2"/>
    <s v="Scandinavia"/>
    <s v="Online"/>
    <s v="OTA"/>
    <n v="5620423310"/>
    <s v="U.S. Dollars (US$)"/>
  </r>
  <r>
    <x v="17"/>
    <s v="Country"/>
    <x v="2"/>
    <s v="Scandinavia"/>
    <s v="Online"/>
    <s v="Online Supplier-Direct"/>
    <n v="13922206895"/>
    <s v="U.S. Dollars (US$)"/>
  </r>
  <r>
    <x v="17"/>
    <s v="Country"/>
    <x v="2"/>
    <s v="Spain"/>
    <s v="Offline"/>
    <s v="Offline"/>
    <n v="16243921669"/>
    <s v="U.S. Dollars (US$)"/>
  </r>
  <r>
    <x v="17"/>
    <s v="Country"/>
    <x v="2"/>
    <s v="Spain"/>
    <s v="Online"/>
    <s v="OTA"/>
    <n v="13301902500"/>
    <s v="U.S. Dollars (US$)"/>
  </r>
  <r>
    <x v="17"/>
    <s v="Country"/>
    <x v="2"/>
    <s v="Spain"/>
    <s v="Online"/>
    <s v="Online Supplier-Direct"/>
    <n v="15167409009"/>
    <s v="U.S. Dollars (US$)"/>
  </r>
  <r>
    <x v="17"/>
    <s v="Country"/>
    <x v="2"/>
    <s v="U.K."/>
    <s v="Offline"/>
    <s v="Offline"/>
    <n v="12084315663"/>
    <s v="U.S. Dollars (US$)"/>
  </r>
  <r>
    <x v="17"/>
    <s v="Country"/>
    <x v="2"/>
    <s v="U.K."/>
    <s v="Online"/>
    <s v="OTA"/>
    <n v="13528076876"/>
    <s v="U.S. Dollars (US$)"/>
  </r>
  <r>
    <x v="17"/>
    <s v="Country"/>
    <x v="2"/>
    <s v="U.K."/>
    <s v="Online"/>
    <s v="Online Supplier-Direct"/>
    <n v="48968899704"/>
    <s v="U.S. Dollars (US$)"/>
  </r>
  <r>
    <x v="17"/>
    <s v="Country"/>
    <x v="3"/>
    <s v="Argentina"/>
    <s v="Offline"/>
    <s v="Offline"/>
    <n v="5003422814"/>
    <s v="U.S. Dollars (US$)"/>
  </r>
  <r>
    <x v="17"/>
    <s v="Country"/>
    <x v="3"/>
    <s v="Argentina"/>
    <s v="Online"/>
    <s v="OTA"/>
    <n v="2268527294"/>
    <s v="U.S. Dollars (US$)"/>
  </r>
  <r>
    <x v="17"/>
    <s v="Country"/>
    <x v="3"/>
    <s v="Argentina"/>
    <s v="Online"/>
    <s v="Online Supplier-Direct"/>
    <n v="2193730682"/>
    <s v="U.S. Dollars (US$)"/>
  </r>
  <r>
    <x v="17"/>
    <s v="Country"/>
    <x v="3"/>
    <s v="Brazil"/>
    <s v="Offline"/>
    <s v="Offline"/>
    <n v="13334261596"/>
    <s v="U.S. Dollars (US$)"/>
  </r>
  <r>
    <x v="17"/>
    <s v="Country"/>
    <x v="3"/>
    <s v="Brazil"/>
    <s v="Online"/>
    <s v="OTA"/>
    <n v="7777137008"/>
    <s v="U.S. Dollars (US$)"/>
  </r>
  <r>
    <x v="17"/>
    <s v="Country"/>
    <x v="3"/>
    <s v="Brazil"/>
    <s v="Online"/>
    <s v="Online Supplier-Direct"/>
    <n v="6935680734"/>
    <s v="U.S. Dollars (US$)"/>
  </r>
  <r>
    <x v="17"/>
    <s v="Country"/>
    <x v="3"/>
    <s v="Chile"/>
    <s v="Offline"/>
    <s v="Offline"/>
    <n v="2233315939"/>
    <s v="U.S. Dollars (US$)"/>
  </r>
  <r>
    <x v="17"/>
    <s v="Country"/>
    <x v="3"/>
    <s v="Chile"/>
    <s v="Online"/>
    <s v="OTA"/>
    <n v="1274858051"/>
    <s v="U.S. Dollars (US$)"/>
  </r>
  <r>
    <x v="17"/>
    <s v="Country"/>
    <x v="3"/>
    <s v="Chile"/>
    <s v="Online"/>
    <s v="Online Supplier-Direct"/>
    <n v="1642391689"/>
    <s v="U.S. Dollars (US$)"/>
  </r>
  <r>
    <x v="17"/>
    <s v="Country"/>
    <x v="3"/>
    <s v="Colombia"/>
    <s v="Offline"/>
    <s v="Offline"/>
    <n v="3424884998"/>
    <s v="U.S. Dollars (US$)"/>
  </r>
  <r>
    <x v="17"/>
    <s v="Country"/>
    <x v="3"/>
    <s v="Colombia"/>
    <s v="Online"/>
    <s v="OTA"/>
    <n v="1676170516"/>
    <s v="U.S. Dollars (US$)"/>
  </r>
  <r>
    <x v="17"/>
    <s v="Country"/>
    <x v="3"/>
    <s v="Colombia"/>
    <s v="Online"/>
    <s v="Online Supplier-Direct"/>
    <n v="2060663936"/>
    <s v="U.S. Dollars (US$)"/>
  </r>
  <r>
    <x v="17"/>
    <s v="Country"/>
    <x v="3"/>
    <s v="Mexico"/>
    <s v="Offline"/>
    <s v="Offline"/>
    <n v="17100686837"/>
    <s v="U.S. Dollars (US$)"/>
  </r>
  <r>
    <x v="17"/>
    <s v="Country"/>
    <x v="3"/>
    <s v="Mexico"/>
    <s v="Online"/>
    <s v="OTA"/>
    <n v="9960526262"/>
    <s v="U.S. Dollars (US$)"/>
  </r>
  <r>
    <x v="17"/>
    <s v="Country"/>
    <x v="3"/>
    <s v="Mexico"/>
    <s v="Online"/>
    <s v="Online Supplier-Direct"/>
    <n v="9914890541"/>
    <s v="U.S. Dollars (US$)"/>
  </r>
  <r>
    <x v="17"/>
    <s v="Country"/>
    <x v="4"/>
    <s v="Egypt"/>
    <s v="Offline"/>
    <s v="Offline"/>
    <n v="1634813791"/>
    <s v="U.S. Dollars (US$)"/>
  </r>
  <r>
    <x v="17"/>
    <s v="Country"/>
    <x v="4"/>
    <s v="Egypt"/>
    <s v="Online"/>
    <s v="OTA"/>
    <n v="652907028"/>
    <s v="U.S. Dollars (US$)"/>
  </r>
  <r>
    <x v="17"/>
    <s v="Country"/>
    <x v="4"/>
    <s v="Egypt"/>
    <s v="Online"/>
    <s v="Online Supplier-Direct"/>
    <n v="605463133"/>
    <s v="U.S. Dollars (US$)"/>
  </r>
  <r>
    <x v="17"/>
    <s v="Country"/>
    <x v="4"/>
    <s v="Qatar"/>
    <s v="Offline"/>
    <s v="Offline"/>
    <n v="10229763888"/>
    <s v="U.S. Dollars (US$)"/>
  </r>
  <r>
    <x v="17"/>
    <s v="Country"/>
    <x v="4"/>
    <s v="Qatar"/>
    <s v="Online"/>
    <s v="OTA"/>
    <n v="2051195361"/>
    <s v="U.S. Dollars (US$)"/>
  </r>
  <r>
    <x v="17"/>
    <s v="Country"/>
    <x v="4"/>
    <s v="Qatar"/>
    <s v="Online"/>
    <s v="Online Supplier-Direct"/>
    <n v="7281596739"/>
    <s v="U.S. Dollars (US$)"/>
  </r>
  <r>
    <x v="17"/>
    <s v="Country"/>
    <x v="4"/>
    <s v="Rest of Middle East"/>
    <s v="Offline"/>
    <s v="Offline"/>
    <n v="7441756040"/>
    <s v="U.S. Dollars (US$)"/>
  </r>
  <r>
    <x v="17"/>
    <s v="Country"/>
    <x v="4"/>
    <s v="Rest of Middle East"/>
    <s v="Online"/>
    <s v="OTA"/>
    <n v="2962053181"/>
    <s v="U.S. Dollars (US$)"/>
  </r>
  <r>
    <x v="17"/>
    <s v="Country"/>
    <x v="4"/>
    <s v="Rest of Middle East"/>
    <s v="Online"/>
    <s v="Online Supplier-Direct"/>
    <n v="3593408933"/>
    <s v="U.S. Dollars (US$)"/>
  </r>
  <r>
    <x v="17"/>
    <s v="Country"/>
    <x v="4"/>
    <s v="Saudi Arabia"/>
    <s v="Offline"/>
    <s v="Offline"/>
    <n v="10503655600"/>
    <s v="U.S. Dollars (US$)"/>
  </r>
  <r>
    <x v="17"/>
    <s v="Country"/>
    <x v="4"/>
    <s v="Saudi Arabia"/>
    <s v="Online"/>
    <s v="OTA"/>
    <n v="5177870032"/>
    <s v="U.S. Dollars (US$)"/>
  </r>
  <r>
    <x v="17"/>
    <s v="Country"/>
    <x v="4"/>
    <s v="Saudi Arabia"/>
    <s v="Online"/>
    <s v="Online Supplier-Direct"/>
    <n v="8277044978"/>
    <s v="U.S. Dollars (US$)"/>
  </r>
  <r>
    <x v="17"/>
    <s v="Country"/>
    <x v="4"/>
    <s v="U.A.E."/>
    <s v="Offline"/>
    <s v="Offline"/>
    <n v="26357217073"/>
    <s v="U.S. Dollars (US$)"/>
  </r>
  <r>
    <x v="17"/>
    <s v="Country"/>
    <x v="4"/>
    <s v="U.A.E."/>
    <s v="Online"/>
    <s v="OTA"/>
    <n v="8271249803"/>
    <s v="U.S. Dollars (US$)"/>
  </r>
  <r>
    <x v="17"/>
    <s v="Country"/>
    <x v="4"/>
    <s v="U.A.E."/>
    <s v="Online"/>
    <s v="Online Supplier-Direct"/>
    <n v="21750136034"/>
    <s v="U.S. Dollars (US$)"/>
  </r>
  <r>
    <x v="17"/>
    <s v="Country"/>
    <x v="5"/>
    <s v="Canada"/>
    <s v="Central"/>
    <s v="Central Reservation"/>
    <n v="8715045447"/>
    <s v="U.S. Dollars (US$)"/>
  </r>
  <r>
    <x v="17"/>
    <s v="Country"/>
    <x v="5"/>
    <s v="Canada"/>
    <s v="Offline"/>
    <s v="Travel Agency/TMC"/>
    <n v="7950816455"/>
    <s v="U.S. Dollars (US$)"/>
  </r>
  <r>
    <x v="17"/>
    <s v="Country"/>
    <x v="5"/>
    <s v="Canada"/>
    <s v="Online"/>
    <s v="OTA"/>
    <n v="11191322746"/>
    <s v="U.S. Dollars (US$)"/>
  </r>
  <r>
    <x v="17"/>
    <s v="Country"/>
    <x v="5"/>
    <s v="Canada"/>
    <s v="Online"/>
    <s v="Online Supplier-Direct"/>
    <n v="16611073632"/>
    <s v="U.S. Dollars (US$)"/>
  </r>
  <r>
    <x v="17"/>
    <s v="Country"/>
    <x v="5"/>
    <s v="U.S."/>
    <s v="Central"/>
    <s v="Central Reservation"/>
    <n v="86778740771"/>
    <s v="U.S. Dollars (US$)"/>
  </r>
  <r>
    <x v="17"/>
    <s v="Country"/>
    <x v="5"/>
    <s v="U.S."/>
    <s v="Offline"/>
    <s v="Travel Agency/TMC"/>
    <n v="112095498557"/>
    <s v="U.S. Dollars (US$)"/>
  </r>
  <r>
    <x v="17"/>
    <s v="Country"/>
    <x v="5"/>
    <s v="U.S."/>
    <s v="Online"/>
    <s v="OTA"/>
    <n v="115855812000"/>
    <s v="U.S. Dollars (US$)"/>
  </r>
  <r>
    <x v="17"/>
    <s v="Country"/>
    <x v="5"/>
    <s v="U.S."/>
    <s v="Online"/>
    <s v="Online Supplier-Direct"/>
    <n v="233687650284"/>
    <s v="U.S. Dollars (US$)"/>
  </r>
  <r>
    <x v="18"/>
    <s v="Country"/>
    <x v="0"/>
    <s v="Australia-New Zealand"/>
    <s v="Offline"/>
    <s v="Offline"/>
    <n v="18935738031"/>
    <s v="U.S. Dollars (US$)"/>
  </r>
  <r>
    <x v="18"/>
    <s v="Country"/>
    <x v="0"/>
    <s v="Australia-New Zealand"/>
    <s v="Online"/>
    <s v="OTA"/>
    <n v="8061111864"/>
    <s v="U.S. Dollars (US$)"/>
  </r>
  <r>
    <x v="18"/>
    <s v="Country"/>
    <x v="0"/>
    <s v="Australia-New Zealand"/>
    <s v="Online"/>
    <s v="Online Supplier-Direct"/>
    <n v="19923813648"/>
    <s v="U.S. Dollars (US$)"/>
  </r>
  <r>
    <x v="18"/>
    <s v="Country"/>
    <x v="0"/>
    <s v="China"/>
    <s v="Offline"/>
    <s v="Offline"/>
    <n v="44514742712"/>
    <s v="U.S. Dollars (US$)"/>
  </r>
  <r>
    <x v="18"/>
    <s v="Country"/>
    <x v="0"/>
    <s v="China"/>
    <s v="Online"/>
    <s v="OTA"/>
    <n v="88794485252"/>
    <s v="U.S. Dollars (US$)"/>
  </r>
  <r>
    <x v="18"/>
    <s v="Country"/>
    <x v="0"/>
    <s v="China"/>
    <s v="Online"/>
    <s v="Online Supplier-Direct"/>
    <n v="81441781951"/>
    <s v="U.S. Dollars (US$)"/>
  </r>
  <r>
    <x v="18"/>
    <s v="Country"/>
    <x v="0"/>
    <s v="Hong Kong"/>
    <s v="Offline"/>
    <s v="Offline"/>
    <n v="7478023869"/>
    <s v="U.S. Dollars (US$)"/>
  </r>
  <r>
    <x v="18"/>
    <s v="Country"/>
    <x v="0"/>
    <s v="Hong Kong"/>
    <s v="Online"/>
    <s v="OTA"/>
    <n v="4204265047"/>
    <s v="U.S. Dollars (US$)"/>
  </r>
  <r>
    <x v="18"/>
    <s v="Country"/>
    <x v="0"/>
    <s v="Hong Kong"/>
    <s v="Online"/>
    <s v="Online Supplier-Direct"/>
    <n v="2892552677"/>
    <s v="U.S. Dollars (US$)"/>
  </r>
  <r>
    <x v="18"/>
    <s v="Country"/>
    <x v="0"/>
    <s v="India"/>
    <s v="Offline"/>
    <s v="Offline"/>
    <n v="22275839172"/>
    <s v="U.S. Dollars (US$)"/>
  </r>
  <r>
    <x v="18"/>
    <s v="Country"/>
    <x v="0"/>
    <s v="India"/>
    <s v="Online"/>
    <s v="OTA"/>
    <n v="19253059492"/>
    <s v="U.S. Dollars (US$)"/>
  </r>
  <r>
    <x v="18"/>
    <s v="Country"/>
    <x v="0"/>
    <s v="India"/>
    <s v="Online"/>
    <s v="Online Supplier-Direct"/>
    <n v="14998319081"/>
    <s v="U.S. Dollars (US$)"/>
  </r>
  <r>
    <x v="18"/>
    <s v="Country"/>
    <x v="0"/>
    <s v="Indonesia"/>
    <s v="Offline"/>
    <s v="Offline"/>
    <n v="4524725938"/>
    <s v="U.S. Dollars (US$)"/>
  </r>
  <r>
    <x v="18"/>
    <s v="Country"/>
    <x v="0"/>
    <s v="Indonesia"/>
    <s v="Online"/>
    <s v="OTA"/>
    <n v="8896894254"/>
    <s v="U.S. Dollars (US$)"/>
  </r>
  <r>
    <x v="18"/>
    <s v="Country"/>
    <x v="0"/>
    <s v="Indonesia"/>
    <s v="Online"/>
    <s v="Online Supplier-Direct"/>
    <n v="4000219080"/>
    <s v="U.S. Dollars (US$)"/>
  </r>
  <r>
    <x v="18"/>
    <s v="Country"/>
    <x v="0"/>
    <s v="Japan"/>
    <s v="Offline"/>
    <s v="Offline"/>
    <n v="41261278439"/>
    <s v="U.S. Dollars (US$)"/>
  </r>
  <r>
    <x v="18"/>
    <s v="Country"/>
    <x v="0"/>
    <s v="Japan"/>
    <s v="Online"/>
    <s v="OTA"/>
    <n v="27690090930"/>
    <s v="U.S. Dollars (US$)"/>
  </r>
  <r>
    <x v="18"/>
    <s v="Country"/>
    <x v="0"/>
    <s v="Japan"/>
    <s v="Online"/>
    <s v="Online Supplier-Direct"/>
    <n v="34591348089"/>
    <s v="U.S. Dollars (US$)"/>
  </r>
  <r>
    <x v="18"/>
    <s v="Country"/>
    <x v="0"/>
    <s v="Macau"/>
    <s v="Offline"/>
    <s v="Offline"/>
    <n v="709753253"/>
    <s v="U.S. Dollars (US$)"/>
  </r>
  <r>
    <x v="18"/>
    <s v="Country"/>
    <x v="0"/>
    <s v="Macau"/>
    <s v="Online"/>
    <s v="OTA"/>
    <n v="2152774194"/>
    <s v="U.S. Dollars (US$)"/>
  </r>
  <r>
    <x v="18"/>
    <s v="Country"/>
    <x v="0"/>
    <s v="Macau"/>
    <s v="Online"/>
    <s v="Online Supplier-Direct"/>
    <n v="223356263"/>
    <s v="U.S. Dollars (US$)"/>
  </r>
  <r>
    <x v="18"/>
    <s v="Country"/>
    <x v="0"/>
    <s v="Malaysia"/>
    <s v="Offline"/>
    <s v="Offline"/>
    <n v="3081381551"/>
    <s v="U.S. Dollars (US$)"/>
  </r>
  <r>
    <x v="18"/>
    <s v="Country"/>
    <x v="0"/>
    <s v="Malaysia"/>
    <s v="Online"/>
    <s v="OTA"/>
    <n v="4446994903"/>
    <s v="U.S. Dollars (US$)"/>
  </r>
  <r>
    <x v="18"/>
    <s v="Country"/>
    <x v="0"/>
    <s v="Malaysia"/>
    <s v="Online"/>
    <s v="Online Supplier-Direct"/>
    <n v="8381224870"/>
    <s v="U.S. Dollars (US$)"/>
  </r>
  <r>
    <x v="18"/>
    <s v="Country"/>
    <x v="0"/>
    <s v="Singapore"/>
    <s v="Offline"/>
    <s v="Offline"/>
    <n v="4715595558"/>
    <s v="U.S. Dollars (US$)"/>
  </r>
  <r>
    <x v="18"/>
    <s v="Country"/>
    <x v="0"/>
    <s v="Singapore"/>
    <s v="Online"/>
    <s v="OTA"/>
    <n v="6464224801"/>
    <s v="U.S. Dollars (US$)"/>
  </r>
  <r>
    <x v="18"/>
    <s v="Country"/>
    <x v="0"/>
    <s v="Singapore"/>
    <s v="Online"/>
    <s v="Online Supplier-Direct"/>
    <n v="6207152404"/>
    <s v="U.S. Dollars (US$)"/>
  </r>
  <r>
    <x v="18"/>
    <s v="Country"/>
    <x v="0"/>
    <s v="South Korea"/>
    <s v="Offline"/>
    <s v="Offline"/>
    <n v="9979698015"/>
    <s v="U.S. Dollars (US$)"/>
  </r>
  <r>
    <x v="18"/>
    <s v="Country"/>
    <x v="0"/>
    <s v="South Korea"/>
    <s v="Online"/>
    <s v="OTA"/>
    <n v="8382493054"/>
    <s v="U.S. Dollars (US$)"/>
  </r>
  <r>
    <x v="18"/>
    <s v="Country"/>
    <x v="0"/>
    <s v="South Korea"/>
    <s v="Online"/>
    <s v="Online Supplier-Direct"/>
    <n v="9404784045"/>
    <s v="U.S. Dollars (US$)"/>
  </r>
  <r>
    <x v="18"/>
    <s v="Country"/>
    <x v="0"/>
    <s v="Taiwan"/>
    <s v="Offline"/>
    <s v="Offline"/>
    <n v="6452223543"/>
    <s v="U.S. Dollars (US$)"/>
  </r>
  <r>
    <x v="18"/>
    <s v="Country"/>
    <x v="0"/>
    <s v="Taiwan"/>
    <s v="Online"/>
    <s v="OTA"/>
    <n v="3604328365"/>
    <s v="U.S. Dollars (US$)"/>
  </r>
  <r>
    <x v="18"/>
    <s v="Country"/>
    <x v="0"/>
    <s v="Taiwan"/>
    <s v="Online"/>
    <s v="Online Supplier-Direct"/>
    <n v="4655726313"/>
    <s v="U.S. Dollars (US$)"/>
  </r>
  <r>
    <x v="18"/>
    <s v="Country"/>
    <x v="0"/>
    <s v="Thailand"/>
    <s v="Offline"/>
    <s v="Offline"/>
    <n v="6269194837"/>
    <s v="U.S. Dollars (US$)"/>
  </r>
  <r>
    <x v="18"/>
    <s v="Country"/>
    <x v="0"/>
    <s v="Thailand"/>
    <s v="Online"/>
    <s v="OTA"/>
    <n v="11555888043"/>
    <s v="U.S. Dollars (US$)"/>
  </r>
  <r>
    <x v="18"/>
    <s v="Country"/>
    <x v="0"/>
    <s v="Thailand"/>
    <s v="Online"/>
    <s v="Online Supplier-Direct"/>
    <n v="4458242423"/>
    <s v="U.S. Dollars (US$)"/>
  </r>
  <r>
    <x v="18"/>
    <s v="Country"/>
    <x v="1"/>
    <s v="Bulgaria"/>
    <s v="Offline"/>
    <s v="Offline"/>
    <n v="1049545119"/>
    <s v="U.S. Dollars (US$)"/>
  </r>
  <r>
    <x v="18"/>
    <s v="Country"/>
    <x v="1"/>
    <s v="Bulgaria"/>
    <s v="Online"/>
    <s v="OTA"/>
    <n v="959990074"/>
    <s v="U.S. Dollars (US$)"/>
  </r>
  <r>
    <x v="18"/>
    <s v="Country"/>
    <x v="1"/>
    <s v="Bulgaria"/>
    <s v="Online"/>
    <s v="Online Supplier-Direct"/>
    <n v="398859246"/>
    <s v="U.S. Dollars (US$)"/>
  </r>
  <r>
    <x v="18"/>
    <s v="Country"/>
    <x v="1"/>
    <s v="Czech Republic"/>
    <s v="Offline"/>
    <s v="Offline"/>
    <n v="1754150116"/>
    <s v="U.S. Dollars (US$)"/>
  </r>
  <r>
    <x v="18"/>
    <s v="Country"/>
    <x v="1"/>
    <s v="Czech Republic"/>
    <s v="Online"/>
    <s v="OTA"/>
    <n v="1773486752"/>
    <s v="U.S. Dollars (US$)"/>
  </r>
  <r>
    <x v="18"/>
    <s v="Country"/>
    <x v="1"/>
    <s v="Czech Republic"/>
    <s v="Online"/>
    <s v="Online Supplier-Direct"/>
    <n v="2453056251"/>
    <s v="U.S. Dollars (US$)"/>
  </r>
  <r>
    <x v="18"/>
    <s v="Country"/>
    <x v="1"/>
    <s v="Greece"/>
    <s v="Offline"/>
    <s v="Offline"/>
    <n v="5175330628"/>
    <s v="U.S. Dollars (US$)"/>
  </r>
  <r>
    <x v="18"/>
    <s v="Country"/>
    <x v="1"/>
    <s v="Greece"/>
    <s v="Online"/>
    <s v="OTA"/>
    <n v="5210293255"/>
    <s v="U.S. Dollars (US$)"/>
  </r>
  <r>
    <x v="18"/>
    <s v="Country"/>
    <x v="1"/>
    <s v="Greece"/>
    <s v="Online"/>
    <s v="Online Supplier-Direct"/>
    <n v="2830358304"/>
    <s v="U.S. Dollars (US$)"/>
  </r>
  <r>
    <x v="18"/>
    <s v="Country"/>
    <x v="1"/>
    <s v="Hungary"/>
    <s v="Offline"/>
    <s v="Offline"/>
    <n v="686403668"/>
    <s v="U.S. Dollars (US$)"/>
  </r>
  <r>
    <x v="18"/>
    <s v="Country"/>
    <x v="1"/>
    <s v="Hungary"/>
    <s v="Online"/>
    <s v="OTA"/>
    <n v="1289834843"/>
    <s v="U.S. Dollars (US$)"/>
  </r>
  <r>
    <x v="18"/>
    <s v="Country"/>
    <x v="1"/>
    <s v="Hungary"/>
    <s v="Online"/>
    <s v="Online Supplier-Direct"/>
    <n v="7654935240"/>
    <s v="U.S. Dollars (US$)"/>
  </r>
  <r>
    <x v="18"/>
    <s v="Country"/>
    <x v="1"/>
    <s v="Poland"/>
    <s v="Offline"/>
    <s v="Offline"/>
    <n v="3481393711"/>
    <s v="U.S. Dollars (US$)"/>
  </r>
  <r>
    <x v="18"/>
    <s v="Country"/>
    <x v="1"/>
    <s v="Poland"/>
    <s v="Online"/>
    <s v="OTA"/>
    <n v="2315209631"/>
    <s v="U.S. Dollars (US$)"/>
  </r>
  <r>
    <x v="18"/>
    <s v="Country"/>
    <x v="1"/>
    <s v="Poland"/>
    <s v="Online"/>
    <s v="Online Supplier-Direct"/>
    <n v="2956268442"/>
    <s v="U.S. Dollars (US$)"/>
  </r>
  <r>
    <x v="18"/>
    <s v="Country"/>
    <x v="1"/>
    <s v="Rest of Eastern Europe"/>
    <s v="Offline"/>
    <s v="Offline"/>
    <n v="1131499225"/>
    <s v="U.S. Dollars (US$)"/>
  </r>
  <r>
    <x v="18"/>
    <s v="Country"/>
    <x v="1"/>
    <s v="Rest of Eastern Europe"/>
    <s v="Online"/>
    <s v="OTA"/>
    <n v="1069379493"/>
    <s v="U.S. Dollars (US$)"/>
  </r>
  <r>
    <x v="18"/>
    <s v="Country"/>
    <x v="1"/>
    <s v="Rest of Eastern Europe"/>
    <s v="Online"/>
    <s v="Online Supplier-Direct"/>
    <n v="1454506406"/>
    <s v="U.S. Dollars (US$)"/>
  </r>
  <r>
    <x v="18"/>
    <s v="Country"/>
    <x v="1"/>
    <s v="Romania"/>
    <s v="Offline"/>
    <s v="Offline"/>
    <n v="1202015829"/>
    <s v="U.S. Dollars (US$)"/>
  </r>
  <r>
    <x v="18"/>
    <s v="Country"/>
    <x v="1"/>
    <s v="Romania"/>
    <s v="Online"/>
    <s v="OTA"/>
    <n v="1251098419"/>
    <s v="U.S. Dollars (US$)"/>
  </r>
  <r>
    <x v="18"/>
    <s v="Country"/>
    <x v="1"/>
    <s v="Romania"/>
    <s v="Online"/>
    <s v="Online Supplier-Direct"/>
    <n v="639242449"/>
    <s v="U.S. Dollars (US$)"/>
  </r>
  <r>
    <x v="18"/>
    <s v="Country"/>
    <x v="1"/>
    <s v="Russia"/>
    <s v="Offline"/>
    <s v="Offline"/>
    <n v="19085337363"/>
    <s v="U.S. Dollars (US$)"/>
  </r>
  <r>
    <x v="18"/>
    <s v="Country"/>
    <x v="1"/>
    <s v="Russia"/>
    <s v="Online"/>
    <s v="OTA"/>
    <n v="12211234706"/>
    <s v="U.S. Dollars (US$)"/>
  </r>
  <r>
    <x v="18"/>
    <s v="Country"/>
    <x v="1"/>
    <s v="Russia"/>
    <s v="Online"/>
    <s v="Online Supplier-Direct"/>
    <n v="13872259840"/>
    <s v="U.S. Dollars (US$)"/>
  </r>
  <r>
    <x v="18"/>
    <s v="Country"/>
    <x v="1"/>
    <s v="Ukraine"/>
    <s v="Offline"/>
    <s v="Offline"/>
    <n v="0"/>
    <s v="U.S. Dollars (US$)"/>
  </r>
  <r>
    <x v="18"/>
    <s v="Country"/>
    <x v="1"/>
    <s v="Ukraine"/>
    <s v="Online"/>
    <s v="OTA"/>
    <n v="0"/>
    <s v="U.S. Dollars (US$)"/>
  </r>
  <r>
    <x v="18"/>
    <s v="Country"/>
    <x v="1"/>
    <s v="Ukraine"/>
    <s v="Online"/>
    <s v="Online Supplier-Direct"/>
    <n v="0"/>
    <s v="U.S. Dollars (US$)"/>
  </r>
  <r>
    <x v="18"/>
    <s v="Country"/>
    <x v="2"/>
    <s v="France"/>
    <s v="Offline"/>
    <s v="Offline"/>
    <n v="28649022950"/>
    <s v="U.S. Dollars (US$)"/>
  </r>
  <r>
    <x v="18"/>
    <s v="Country"/>
    <x v="2"/>
    <s v="France"/>
    <s v="Online"/>
    <s v="OTA"/>
    <n v="9515838718"/>
    <s v="U.S. Dollars (US$)"/>
  </r>
  <r>
    <x v="18"/>
    <s v="Country"/>
    <x v="2"/>
    <s v="France"/>
    <s v="Online"/>
    <s v="Online Supplier-Direct"/>
    <n v="26641180189"/>
    <s v="U.S. Dollars (US$)"/>
  </r>
  <r>
    <x v="18"/>
    <s v="Country"/>
    <x v="2"/>
    <s v="Germany"/>
    <s v="Offline"/>
    <s v="Offline"/>
    <n v="23814140664"/>
    <s v="U.S. Dollars (US$)"/>
  </r>
  <r>
    <x v="18"/>
    <s v="Country"/>
    <x v="2"/>
    <s v="Germany"/>
    <s v="Online"/>
    <s v="OTA"/>
    <n v="18563809211"/>
    <s v="U.S. Dollars (US$)"/>
  </r>
  <r>
    <x v="18"/>
    <s v="Country"/>
    <x v="2"/>
    <s v="Germany"/>
    <s v="Online"/>
    <s v="Online Supplier-Direct"/>
    <n v="44443766890"/>
    <s v="U.S. Dollars (US$)"/>
  </r>
  <r>
    <x v="18"/>
    <s v="Country"/>
    <x v="2"/>
    <s v="Italy"/>
    <s v="Offline"/>
    <s v="Offline"/>
    <n v="15032131969"/>
    <s v="U.S. Dollars (US$)"/>
  </r>
  <r>
    <x v="18"/>
    <s v="Country"/>
    <x v="2"/>
    <s v="Italy"/>
    <s v="Online"/>
    <s v="OTA"/>
    <n v="8048135727"/>
    <s v="U.S. Dollars (US$)"/>
  </r>
  <r>
    <x v="18"/>
    <s v="Country"/>
    <x v="2"/>
    <s v="Italy"/>
    <s v="Online"/>
    <s v="Online Supplier-Direct"/>
    <n v="15423024566"/>
    <s v="U.S. Dollars (US$)"/>
  </r>
  <r>
    <x v="18"/>
    <s v="Country"/>
    <x v="2"/>
    <s v="Rest of Europe"/>
    <s v="Offline"/>
    <s v="Offline"/>
    <n v="27647312567"/>
    <s v="U.S. Dollars (US$)"/>
  </r>
  <r>
    <x v="18"/>
    <s v="Country"/>
    <x v="2"/>
    <s v="Rest of Europe"/>
    <s v="Online"/>
    <s v="OTA"/>
    <n v="15938394819"/>
    <s v="U.S. Dollars (US$)"/>
  </r>
  <r>
    <x v="18"/>
    <s v="Country"/>
    <x v="2"/>
    <s v="Rest of Europe"/>
    <s v="Online"/>
    <s v="Online Supplier-Direct"/>
    <n v="49843384960"/>
    <s v="U.S. Dollars (US$)"/>
  </r>
  <r>
    <x v="18"/>
    <s v="Country"/>
    <x v="2"/>
    <s v="Scandinavia"/>
    <s v="Offline"/>
    <s v="Offline"/>
    <n v="4879692982"/>
    <s v="U.S. Dollars (US$)"/>
  </r>
  <r>
    <x v="18"/>
    <s v="Country"/>
    <x v="2"/>
    <s v="Scandinavia"/>
    <s v="Online"/>
    <s v="OTA"/>
    <n v="5911171229"/>
    <s v="U.S. Dollars (US$)"/>
  </r>
  <r>
    <x v="18"/>
    <s v="Country"/>
    <x v="2"/>
    <s v="Scandinavia"/>
    <s v="Online"/>
    <s v="Online Supplier-Direct"/>
    <n v="15328275406"/>
    <s v="U.S. Dollars (US$)"/>
  </r>
  <r>
    <x v="18"/>
    <s v="Country"/>
    <x v="2"/>
    <s v="Spain"/>
    <s v="Offline"/>
    <s v="Offline"/>
    <n v="16239281969"/>
    <s v="U.S. Dollars (US$)"/>
  </r>
  <r>
    <x v="18"/>
    <s v="Country"/>
    <x v="2"/>
    <s v="Spain"/>
    <s v="Online"/>
    <s v="OTA"/>
    <n v="14209716460"/>
    <s v="U.S. Dollars (US$)"/>
  </r>
  <r>
    <x v="18"/>
    <s v="Country"/>
    <x v="2"/>
    <s v="Spain"/>
    <s v="Online"/>
    <s v="Online Supplier-Direct"/>
    <n v="16462260336"/>
    <s v="U.S. Dollars (US$)"/>
  </r>
  <r>
    <x v="18"/>
    <s v="Country"/>
    <x v="2"/>
    <s v="U.K."/>
    <s v="Offline"/>
    <s v="Offline"/>
    <n v="12622234694"/>
    <s v="U.S. Dollars (US$)"/>
  </r>
  <r>
    <x v="18"/>
    <s v="Country"/>
    <x v="2"/>
    <s v="U.K."/>
    <s v="Online"/>
    <s v="OTA"/>
    <n v="14187194242"/>
    <s v="U.S. Dollars (US$)"/>
  </r>
  <r>
    <x v="18"/>
    <s v="Country"/>
    <x v="2"/>
    <s v="U.K."/>
    <s v="Online"/>
    <s v="Online Supplier-Direct"/>
    <n v="52438052106"/>
    <s v="U.S. Dollars (US$)"/>
  </r>
  <r>
    <x v="18"/>
    <s v="Country"/>
    <x v="3"/>
    <s v="Argentina"/>
    <s v="Offline"/>
    <s v="Offline"/>
    <n v="5756083614"/>
    <s v="U.S. Dollars (US$)"/>
  </r>
  <r>
    <x v="18"/>
    <s v="Country"/>
    <x v="3"/>
    <s v="Argentina"/>
    <s v="Online"/>
    <s v="OTA"/>
    <n v="2653038645"/>
    <s v="U.S. Dollars (US$)"/>
  </r>
  <r>
    <x v="18"/>
    <s v="Country"/>
    <x v="3"/>
    <s v="Argentina"/>
    <s v="Online"/>
    <s v="Online Supplier-Direct"/>
    <n v="2728402202"/>
    <s v="U.S. Dollars (US$)"/>
  </r>
  <r>
    <x v="18"/>
    <s v="Country"/>
    <x v="3"/>
    <s v="Brazil"/>
    <s v="Offline"/>
    <s v="Offline"/>
    <n v="14200506763"/>
    <s v="U.S. Dollars (US$)"/>
  </r>
  <r>
    <x v="18"/>
    <s v="Country"/>
    <x v="3"/>
    <s v="Brazil"/>
    <s v="Online"/>
    <s v="OTA"/>
    <n v="8451090087"/>
    <s v="U.S. Dollars (US$)"/>
  </r>
  <r>
    <x v="18"/>
    <s v="Country"/>
    <x v="3"/>
    <s v="Brazil"/>
    <s v="Online"/>
    <s v="Online Supplier-Direct"/>
    <n v="7692308274"/>
    <s v="U.S. Dollars (US$)"/>
  </r>
  <r>
    <x v="18"/>
    <s v="Country"/>
    <x v="3"/>
    <s v="Chile"/>
    <s v="Offline"/>
    <s v="Offline"/>
    <n v="2397583538"/>
    <s v="U.S. Dollars (US$)"/>
  </r>
  <r>
    <x v="18"/>
    <s v="Country"/>
    <x v="3"/>
    <s v="Chile"/>
    <s v="Online"/>
    <s v="OTA"/>
    <n v="1489924229"/>
    <s v="U.S. Dollars (US$)"/>
  </r>
  <r>
    <x v="18"/>
    <s v="Country"/>
    <x v="3"/>
    <s v="Chile"/>
    <s v="Online"/>
    <s v="Online Supplier-Direct"/>
    <n v="1893923045"/>
    <s v="U.S. Dollars (US$)"/>
  </r>
  <r>
    <x v="18"/>
    <s v="Country"/>
    <x v="3"/>
    <s v="Colombia"/>
    <s v="Offline"/>
    <s v="Offline"/>
    <n v="3585941185"/>
    <s v="U.S. Dollars (US$)"/>
  </r>
  <r>
    <x v="18"/>
    <s v="Country"/>
    <x v="3"/>
    <s v="Colombia"/>
    <s v="Online"/>
    <s v="OTA"/>
    <n v="1896089709"/>
    <s v="U.S. Dollars (US$)"/>
  </r>
  <r>
    <x v="18"/>
    <s v="Country"/>
    <x v="3"/>
    <s v="Colombia"/>
    <s v="Online"/>
    <s v="Online Supplier-Direct"/>
    <n v="2388991811"/>
    <s v="U.S. Dollars (US$)"/>
  </r>
  <r>
    <x v="18"/>
    <s v="Country"/>
    <x v="3"/>
    <s v="Mexico"/>
    <s v="Offline"/>
    <s v="Offline"/>
    <n v="18315051255"/>
    <s v="U.S. Dollars (US$)"/>
  </r>
  <r>
    <x v="18"/>
    <s v="Country"/>
    <x v="3"/>
    <s v="Mexico"/>
    <s v="Online"/>
    <s v="OTA"/>
    <n v="11059011020"/>
    <s v="U.S. Dollars (US$)"/>
  </r>
  <r>
    <x v="18"/>
    <s v="Country"/>
    <x v="3"/>
    <s v="Mexico"/>
    <s v="Online"/>
    <s v="Online Supplier-Direct"/>
    <n v="11246265453"/>
    <s v="U.S. Dollars (US$)"/>
  </r>
  <r>
    <x v="18"/>
    <s v="Country"/>
    <x v="4"/>
    <s v="Egypt"/>
    <s v="Offline"/>
    <s v="Offline"/>
    <n v="1644215466"/>
    <s v="U.S. Dollars (US$)"/>
  </r>
  <r>
    <x v="18"/>
    <s v="Country"/>
    <x v="4"/>
    <s v="Egypt"/>
    <s v="Online"/>
    <s v="OTA"/>
    <n v="714883483"/>
    <s v="U.S. Dollars (US$)"/>
  </r>
  <r>
    <x v="18"/>
    <s v="Country"/>
    <x v="4"/>
    <s v="Egypt"/>
    <s v="Online"/>
    <s v="Online Supplier-Direct"/>
    <n v="677079743"/>
    <s v="U.S. Dollars (US$)"/>
  </r>
  <r>
    <x v="18"/>
    <s v="Country"/>
    <x v="4"/>
    <s v="Qatar"/>
    <s v="Offline"/>
    <s v="Offline"/>
    <n v="10490473483"/>
    <s v="U.S. Dollars (US$)"/>
  </r>
  <r>
    <x v="18"/>
    <s v="Country"/>
    <x v="4"/>
    <s v="Qatar"/>
    <s v="Online"/>
    <s v="OTA"/>
    <n v="2218757677"/>
    <s v="U.S. Dollars (US$)"/>
  </r>
  <r>
    <x v="18"/>
    <s v="Country"/>
    <x v="4"/>
    <s v="Qatar"/>
    <s v="Online"/>
    <s v="Online Supplier-Direct"/>
    <n v="8020999236"/>
    <s v="U.S. Dollars (US$)"/>
  </r>
  <r>
    <x v="18"/>
    <s v="Country"/>
    <x v="4"/>
    <s v="Rest of Middle East"/>
    <s v="Offline"/>
    <s v="Offline"/>
    <n v="7614718101"/>
    <s v="U.S. Dollars (US$)"/>
  </r>
  <r>
    <x v="18"/>
    <s v="Country"/>
    <x v="4"/>
    <s v="Rest of Middle East"/>
    <s v="Online"/>
    <s v="OTA"/>
    <n v="3271305311"/>
    <s v="U.S. Dollars (US$)"/>
  </r>
  <r>
    <x v="18"/>
    <s v="Country"/>
    <x v="4"/>
    <s v="Rest of Middle East"/>
    <s v="Online"/>
    <s v="Online Supplier-Direct"/>
    <n v="4035409736"/>
    <s v="U.S. Dollars (US$)"/>
  </r>
  <r>
    <x v="18"/>
    <s v="Country"/>
    <x v="4"/>
    <s v="Saudi Arabia"/>
    <s v="Offline"/>
    <s v="Offline"/>
    <n v="11358960396"/>
    <s v="U.S. Dollars (US$)"/>
  </r>
  <r>
    <x v="18"/>
    <s v="Country"/>
    <x v="4"/>
    <s v="Saudi Arabia"/>
    <s v="Online"/>
    <s v="OTA"/>
    <n v="6207792363"/>
    <s v="U.S. Dollars (US$)"/>
  </r>
  <r>
    <x v="18"/>
    <s v="Country"/>
    <x v="4"/>
    <s v="Saudi Arabia"/>
    <s v="Online"/>
    <s v="Online Supplier-Direct"/>
    <n v="10446628417"/>
    <s v="U.S. Dollars (US$)"/>
  </r>
  <r>
    <x v="18"/>
    <s v="Country"/>
    <x v="4"/>
    <s v="U.A.E."/>
    <s v="Offline"/>
    <s v="Offline"/>
    <n v="27258670742"/>
    <s v="U.S. Dollars (US$)"/>
  </r>
  <r>
    <x v="18"/>
    <s v="Country"/>
    <x v="4"/>
    <s v="U.A.E."/>
    <s v="Online"/>
    <s v="OTA"/>
    <n v="9085416717"/>
    <s v="U.S. Dollars (US$)"/>
  </r>
  <r>
    <x v="18"/>
    <s v="Country"/>
    <x v="4"/>
    <s v="U.A.E."/>
    <s v="Online"/>
    <s v="Online Supplier-Direct"/>
    <n v="24185008989"/>
    <s v="U.S. Dollars (US$)"/>
  </r>
  <r>
    <x v="18"/>
    <s v="Country"/>
    <x v="5"/>
    <s v="Canada"/>
    <s v="Central"/>
    <s v="Central Reservation"/>
    <n v="8711357347"/>
    <s v="U.S. Dollars (US$)"/>
  </r>
  <r>
    <x v="18"/>
    <s v="Country"/>
    <x v="5"/>
    <s v="Canada"/>
    <s v="Offline"/>
    <s v="Travel Agency/TMC"/>
    <n v="8201207297"/>
    <s v="U.S. Dollars (US$)"/>
  </r>
  <r>
    <x v="18"/>
    <s v="Country"/>
    <x v="5"/>
    <s v="Canada"/>
    <s v="Online"/>
    <s v="OTA"/>
    <n v="11594703060"/>
    <s v="U.S. Dollars (US$)"/>
  </r>
  <r>
    <x v="18"/>
    <s v="Country"/>
    <x v="5"/>
    <s v="Canada"/>
    <s v="Online"/>
    <s v="Online Supplier-Direct"/>
    <n v="17708764572"/>
    <s v="U.S. Dollars (US$)"/>
  </r>
  <r>
    <x v="18"/>
    <s v="Country"/>
    <x v="5"/>
    <s v="U.S."/>
    <s v="Central"/>
    <s v="Central Reservation"/>
    <n v="87741743601"/>
    <s v="U.S. Dollars (US$)"/>
  </r>
  <r>
    <x v="18"/>
    <s v="Country"/>
    <x v="5"/>
    <s v="U.S."/>
    <s v="Offline"/>
    <s v="Travel Agency/TMC"/>
    <n v="116388953255"/>
    <s v="U.S. Dollars (US$)"/>
  </r>
  <r>
    <x v="18"/>
    <s v="Country"/>
    <x v="5"/>
    <s v="U.S."/>
    <s v="Online"/>
    <s v="OTA"/>
    <n v="119331486357"/>
    <s v="U.S. Dollars (US$)"/>
  </r>
  <r>
    <x v="18"/>
    <s v="Country"/>
    <x v="5"/>
    <s v="U.S."/>
    <s v="Online"/>
    <s v="Online Supplier-Direct"/>
    <n v="245027904788"/>
    <s v="U.S. Dollars (US$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Data pivot" cacheId="5" applyNumberFormats="0" applyBorderFormats="0" applyFontFormats="0" applyPatternFormats="0" applyAlignmentFormats="0" applyWidthHeightFormats="0" dataCaption="" updatedVersion="8" colGrandTotals="0" compact="0" compactData="0">
  <location ref="A1:T9" firstHeaderRow="1" firstDataRow="2" firstDataCol="1"/>
  <pivotFields count="8">
    <pivotField name="Year" axis="axisCol" compact="0" numFmtId="166" outline="0" multipleItemSelectionAllowed="1" showAll="0" sortType="ascending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Data Level" compact="0" outline="0" multipleItemSelectionAllowed="1" showAll="0"/>
    <pivotField name="Region" axis="axisRow" compact="0" outline="0" multipleItemSelectionAllowed="1" showAll="0" sortType="ascending">
      <items count="7">
        <item x="0"/>
        <item x="1"/>
        <item x="2"/>
        <item x="3"/>
        <item x="4"/>
        <item x="5"/>
        <item t="default"/>
      </items>
    </pivotField>
    <pivotField name="Market" compact="0" outline="0" multipleItemSelectionAllowed="1" showAll="0"/>
    <pivotField name="Channel Type" compact="0" outline="0" multipleItemSelectionAllowed="1" showAll="0"/>
    <pivotField name="Breakdown" compact="0" outline="0" multipleItemSelectionAllowed="1" showAll="0"/>
    <pivotField name="Total Market Gross Bookings" dataField="1" compact="0" numFmtId="3" outline="0" multipleItemSelectionAllowed="1" showAll="0"/>
    <pivotField name="First 'ExchangeRatesV4'[Currency]" compact="0" outline="0" multipleItemSelectionAllowe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SUM of Total Market Gross Booking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orldbank.org/ext/en/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Z982"/>
  <sheetViews>
    <sheetView tabSelected="1" workbookViewId="0">
      <selection activeCell="F8" sqref="F8"/>
    </sheetView>
  </sheetViews>
  <sheetFormatPr baseColWidth="10" defaultColWidth="14.5" defaultRowHeight="15" customHeight="1" x14ac:dyDescent="0.2"/>
  <cols>
    <col min="1" max="1" width="12.5" customWidth="1"/>
    <col min="2" max="2" width="21.6640625" customWidth="1"/>
    <col min="3" max="3" width="32.5" customWidth="1"/>
    <col min="4" max="6" width="33.33203125" customWidth="1"/>
    <col min="7" max="7" width="18.5" customWidth="1"/>
    <col min="8" max="8" width="13.1640625" customWidth="1"/>
    <col min="9" max="9" width="11.6640625" customWidth="1"/>
    <col min="10" max="10" width="13" customWidth="1"/>
    <col min="11" max="26" width="8.6640625" customWidth="1"/>
  </cols>
  <sheetData>
    <row r="1" spans="1:26" ht="17.25" customHeight="1" x14ac:dyDescent="0.25">
      <c r="A1" s="118" t="s">
        <v>0</v>
      </c>
      <c r="B1" s="118" t="s">
        <v>1</v>
      </c>
      <c r="C1" s="118" t="s">
        <v>2</v>
      </c>
      <c r="D1" s="118" t="s">
        <v>76</v>
      </c>
      <c r="E1" s="118" t="s">
        <v>77</v>
      </c>
      <c r="F1" s="118" t="s">
        <v>78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7.25" customHeight="1" x14ac:dyDescent="0.25">
      <c r="A2" s="116">
        <v>2005</v>
      </c>
      <c r="B2" s="116" t="s">
        <v>3</v>
      </c>
      <c r="C2" s="116" t="s">
        <v>4</v>
      </c>
      <c r="D2" s="117">
        <v>23332323072</v>
      </c>
      <c r="E2" s="117">
        <v>6073142990</v>
      </c>
      <c r="F2" s="116">
        <v>26</v>
      </c>
      <c r="G2" s="6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7.25" customHeight="1" x14ac:dyDescent="0.25">
      <c r="A3" s="116">
        <v>2005</v>
      </c>
      <c r="B3" s="116" t="s">
        <v>5</v>
      </c>
      <c r="C3" s="116" t="s">
        <v>4</v>
      </c>
      <c r="D3" s="117">
        <v>41562495749</v>
      </c>
      <c r="E3" s="117">
        <v>1439716441</v>
      </c>
      <c r="F3" s="116">
        <v>3.5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7.25" customHeight="1" x14ac:dyDescent="0.25">
      <c r="A4" s="116">
        <v>2005</v>
      </c>
      <c r="B4" s="116" t="s">
        <v>6</v>
      </c>
      <c r="C4" s="116" t="s">
        <v>4</v>
      </c>
      <c r="D4" s="117">
        <v>8681319927</v>
      </c>
      <c r="E4" s="117">
        <v>234488612</v>
      </c>
      <c r="F4" s="116">
        <v>2.7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7.25" customHeight="1" x14ac:dyDescent="0.25">
      <c r="A5" s="116">
        <v>2005</v>
      </c>
      <c r="B5" s="116" t="s">
        <v>7</v>
      </c>
      <c r="C5" s="116" t="s">
        <v>4</v>
      </c>
      <c r="D5" s="117">
        <v>15864655795</v>
      </c>
      <c r="E5" s="117">
        <v>3792547864</v>
      </c>
      <c r="F5" s="116">
        <v>23.9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7.25" customHeight="1" x14ac:dyDescent="0.25">
      <c r="A6" s="116">
        <v>2005</v>
      </c>
      <c r="B6" s="116" t="s">
        <v>8</v>
      </c>
      <c r="C6" s="116" t="s">
        <v>4</v>
      </c>
      <c r="D6" s="117">
        <v>4144621969</v>
      </c>
      <c r="E6" s="117">
        <v>33006587</v>
      </c>
      <c r="F6" s="116">
        <v>0.8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25">
      <c r="A7" s="116">
        <v>2005</v>
      </c>
      <c r="B7" s="116" t="s">
        <v>9</v>
      </c>
      <c r="C7" s="116" t="s">
        <v>4</v>
      </c>
      <c r="D7" s="117">
        <v>83734231439</v>
      </c>
      <c r="E7" s="117">
        <v>14783781699</v>
      </c>
      <c r="F7" s="116">
        <v>17.7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25">
      <c r="A8" s="116">
        <v>2005</v>
      </c>
      <c r="B8" s="116" t="s">
        <v>10</v>
      </c>
      <c r="C8" s="116" t="s">
        <v>4</v>
      </c>
      <c r="D8" s="117">
        <v>503000392</v>
      </c>
      <c r="E8" s="117">
        <v>3334507</v>
      </c>
      <c r="F8" s="116">
        <v>0.7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7.25" customHeight="1" x14ac:dyDescent="0.25">
      <c r="A9" s="116">
        <v>2005</v>
      </c>
      <c r="B9" s="116" t="s">
        <v>11</v>
      </c>
      <c r="C9" s="116" t="s">
        <v>4</v>
      </c>
      <c r="D9" s="117">
        <v>5418797435</v>
      </c>
      <c r="E9" s="117">
        <v>1103531751</v>
      </c>
      <c r="F9" s="116">
        <v>20.399999999999999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7.25" customHeight="1" x14ac:dyDescent="0.25">
      <c r="A10" s="116">
        <v>2005</v>
      </c>
      <c r="B10" s="116" t="s">
        <v>12</v>
      </c>
      <c r="C10" s="116" t="s">
        <v>4</v>
      </c>
      <c r="D10" s="117">
        <v>5751896789</v>
      </c>
      <c r="E10" s="117">
        <v>1066670637</v>
      </c>
      <c r="F10" s="116">
        <v>18.5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7.25" customHeight="1" x14ac:dyDescent="0.25">
      <c r="A11" s="116">
        <v>2005</v>
      </c>
      <c r="B11" s="116" t="s">
        <v>13</v>
      </c>
      <c r="C11" s="116" t="s">
        <v>4</v>
      </c>
      <c r="D11" s="117">
        <v>10776016670</v>
      </c>
      <c r="E11" s="117">
        <v>480023777</v>
      </c>
      <c r="F11" s="116">
        <v>4.5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7.25" customHeight="1" x14ac:dyDescent="0.25">
      <c r="A12" s="116">
        <v>2005</v>
      </c>
      <c r="B12" s="116" t="s">
        <v>14</v>
      </c>
      <c r="C12" s="116" t="s">
        <v>4</v>
      </c>
      <c r="D12" s="117">
        <v>3294100229</v>
      </c>
      <c r="E12" s="117">
        <v>166601330</v>
      </c>
      <c r="F12" s="116">
        <v>5.0999999999999996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7.25" customHeight="1" x14ac:dyDescent="0.25">
      <c r="A13" s="116">
        <v>2005</v>
      </c>
      <c r="B13" s="116" t="s">
        <v>15</v>
      </c>
      <c r="C13" s="116" t="s">
        <v>4</v>
      </c>
      <c r="D13" s="117">
        <v>9855302443</v>
      </c>
      <c r="E13" s="117">
        <v>898133036</v>
      </c>
      <c r="F13" s="116">
        <v>9.1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7.25" customHeight="1" x14ac:dyDescent="0.25">
      <c r="A14" s="116">
        <v>2005</v>
      </c>
      <c r="B14" s="116" t="s">
        <v>16</v>
      </c>
      <c r="C14" s="116" t="s">
        <v>17</v>
      </c>
      <c r="D14" s="117">
        <v>1370840361</v>
      </c>
      <c r="E14" s="117">
        <v>49529453</v>
      </c>
      <c r="F14" s="116">
        <v>3.6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7.25" customHeight="1" x14ac:dyDescent="0.25">
      <c r="A15" s="116">
        <v>2005</v>
      </c>
      <c r="B15" s="116" t="s">
        <v>18</v>
      </c>
      <c r="C15" s="116" t="s">
        <v>17</v>
      </c>
      <c r="D15" s="117">
        <v>3465758116</v>
      </c>
      <c r="E15" s="117">
        <v>363160170</v>
      </c>
      <c r="F15" s="116">
        <v>10.5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7.25" customHeight="1" x14ac:dyDescent="0.25">
      <c r="A16" s="116">
        <v>2005</v>
      </c>
      <c r="B16" s="116" t="s">
        <v>19</v>
      </c>
      <c r="C16" s="116" t="s">
        <v>17</v>
      </c>
      <c r="D16" s="117">
        <v>11533144704</v>
      </c>
      <c r="E16" s="117">
        <v>1873152992</v>
      </c>
      <c r="F16" s="116">
        <v>16.2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7.25" customHeight="1" x14ac:dyDescent="0.25">
      <c r="A17" s="116">
        <v>2005</v>
      </c>
      <c r="B17" s="116" t="s">
        <v>20</v>
      </c>
      <c r="C17" s="116" t="s">
        <v>17</v>
      </c>
      <c r="D17" s="117">
        <v>4319578988</v>
      </c>
      <c r="E17" s="117">
        <v>478912403</v>
      </c>
      <c r="F17" s="116">
        <v>11.1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7.25" customHeight="1" x14ac:dyDescent="0.25">
      <c r="A18" s="116">
        <v>2005</v>
      </c>
      <c r="B18" s="116" t="s">
        <v>21</v>
      </c>
      <c r="C18" s="116" t="s">
        <v>17</v>
      </c>
      <c r="D18" s="117">
        <v>3871265007</v>
      </c>
      <c r="E18" s="117">
        <v>382835726</v>
      </c>
      <c r="F18" s="116">
        <v>9.9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7.25" customHeight="1" x14ac:dyDescent="0.25">
      <c r="A19" s="116">
        <v>2005</v>
      </c>
      <c r="B19" s="116" t="s">
        <v>22</v>
      </c>
      <c r="C19" s="116" t="s">
        <v>17</v>
      </c>
      <c r="D19" s="117">
        <v>10454011538</v>
      </c>
      <c r="E19" s="117">
        <v>1133690799</v>
      </c>
      <c r="F19" s="116">
        <v>10.8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7.25" customHeight="1" x14ac:dyDescent="0.25">
      <c r="A20" s="116">
        <v>2005</v>
      </c>
      <c r="B20" s="116" t="s">
        <v>23</v>
      </c>
      <c r="C20" s="116" t="s">
        <v>17</v>
      </c>
      <c r="D20" s="117">
        <v>4663649633</v>
      </c>
      <c r="E20" s="117">
        <v>241757964</v>
      </c>
      <c r="F20" s="116">
        <v>5.2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7.25" customHeight="1" x14ac:dyDescent="0.25">
      <c r="A21" s="116">
        <v>2005</v>
      </c>
      <c r="B21" s="116" t="s">
        <v>24</v>
      </c>
      <c r="C21" s="116" t="s">
        <v>17</v>
      </c>
      <c r="D21" s="117">
        <v>48024272557</v>
      </c>
      <c r="E21" s="117">
        <v>660289730</v>
      </c>
      <c r="F21" s="116">
        <v>1.4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7.25" customHeight="1" x14ac:dyDescent="0.25">
      <c r="A22" s="116">
        <v>2005</v>
      </c>
      <c r="B22" s="116" t="s">
        <v>25</v>
      </c>
      <c r="C22" s="116" t="s">
        <v>17</v>
      </c>
      <c r="D22" s="117">
        <v>5637912126</v>
      </c>
      <c r="E22" s="117">
        <v>309138644</v>
      </c>
      <c r="F22" s="116">
        <v>5.5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7.25" customHeight="1" x14ac:dyDescent="0.25">
      <c r="A23" s="116">
        <v>2005</v>
      </c>
      <c r="B23" s="116" t="s">
        <v>26</v>
      </c>
      <c r="C23" s="116" t="s">
        <v>27</v>
      </c>
      <c r="D23" s="117">
        <v>58744070541</v>
      </c>
      <c r="E23" s="117">
        <v>14086611441</v>
      </c>
      <c r="F23" s="116">
        <v>24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7.25" customHeight="1" x14ac:dyDescent="0.25">
      <c r="A24" s="116">
        <v>2005</v>
      </c>
      <c r="B24" s="116" t="s">
        <v>28</v>
      </c>
      <c r="C24" s="116" t="s">
        <v>27</v>
      </c>
      <c r="D24" s="117">
        <v>72049123114</v>
      </c>
      <c r="E24" s="117">
        <v>18558970165</v>
      </c>
      <c r="F24" s="116">
        <v>25.8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7.25" customHeight="1" x14ac:dyDescent="0.25">
      <c r="A25" s="116">
        <v>2005</v>
      </c>
      <c r="B25" s="116" t="s">
        <v>29</v>
      </c>
      <c r="C25" s="116" t="s">
        <v>27</v>
      </c>
      <c r="D25" s="117">
        <v>31278090505</v>
      </c>
      <c r="E25" s="117">
        <v>5280790183</v>
      </c>
      <c r="F25" s="116">
        <v>16.899999999999999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7.25" customHeight="1" x14ac:dyDescent="0.25">
      <c r="A26" s="116">
        <v>2005</v>
      </c>
      <c r="B26" s="116" t="s">
        <v>30</v>
      </c>
      <c r="C26" s="116" t="s">
        <v>27</v>
      </c>
      <c r="D26" s="117">
        <v>68309673210</v>
      </c>
      <c r="E26" s="117">
        <v>11393398974</v>
      </c>
      <c r="F26" s="116">
        <v>16.7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7.25" customHeight="1" x14ac:dyDescent="0.25">
      <c r="A27" s="116">
        <v>2005</v>
      </c>
      <c r="B27" s="116" t="s">
        <v>31</v>
      </c>
      <c r="C27" s="116" t="s">
        <v>27</v>
      </c>
      <c r="D27" s="117">
        <v>19386373450</v>
      </c>
      <c r="E27" s="117">
        <v>5383296782</v>
      </c>
      <c r="F27" s="116">
        <v>27.8</v>
      </c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7.25" customHeight="1" x14ac:dyDescent="0.25">
      <c r="A28" s="116">
        <v>2005</v>
      </c>
      <c r="B28" s="116" t="s">
        <v>32</v>
      </c>
      <c r="C28" s="116" t="s">
        <v>27</v>
      </c>
      <c r="D28" s="117">
        <v>33709626774</v>
      </c>
      <c r="E28" s="117">
        <v>4441502993</v>
      </c>
      <c r="F28" s="116">
        <v>13.2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7.25" customHeight="1" x14ac:dyDescent="0.25">
      <c r="A29" s="116">
        <v>2005</v>
      </c>
      <c r="B29" s="116" t="s">
        <v>33</v>
      </c>
      <c r="C29" s="116" t="s">
        <v>27</v>
      </c>
      <c r="D29" s="117">
        <v>45937784048</v>
      </c>
      <c r="E29" s="117">
        <v>13674614607</v>
      </c>
      <c r="F29" s="116">
        <v>29.8</v>
      </c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7.25" customHeight="1" x14ac:dyDescent="0.25">
      <c r="A30" s="116">
        <v>2005</v>
      </c>
      <c r="B30" s="116" t="s">
        <v>34</v>
      </c>
      <c r="C30" s="116" t="s">
        <v>35</v>
      </c>
      <c r="D30" s="117">
        <v>10613233407</v>
      </c>
      <c r="E30" s="117">
        <v>201961374</v>
      </c>
      <c r="F30" s="116">
        <v>1.9</v>
      </c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7.25" customHeight="1" x14ac:dyDescent="0.25">
      <c r="A31" s="116">
        <v>2005</v>
      </c>
      <c r="B31" s="116" t="s">
        <v>36</v>
      </c>
      <c r="C31" s="116" t="s">
        <v>35</v>
      </c>
      <c r="D31" s="117">
        <v>45220090206</v>
      </c>
      <c r="E31" s="117">
        <v>2344746299</v>
      </c>
      <c r="F31" s="116">
        <v>5.2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7.25" customHeight="1" x14ac:dyDescent="0.25">
      <c r="A32" s="116">
        <v>2005</v>
      </c>
      <c r="B32" s="116" t="s">
        <v>37</v>
      </c>
      <c r="C32" s="116" t="s">
        <v>35</v>
      </c>
      <c r="D32" s="117">
        <v>4737054934</v>
      </c>
      <c r="E32" s="117">
        <v>645951980</v>
      </c>
      <c r="F32" s="116">
        <v>13.6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7.25" customHeight="1" x14ac:dyDescent="0.25">
      <c r="A33" s="116">
        <v>2005</v>
      </c>
      <c r="B33" s="116" t="s">
        <v>38</v>
      </c>
      <c r="C33" s="116" t="s">
        <v>35</v>
      </c>
      <c r="D33" s="117">
        <v>8005683188</v>
      </c>
      <c r="E33" s="117">
        <v>242220401</v>
      </c>
      <c r="F33" s="116">
        <v>3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7.25" customHeight="1" x14ac:dyDescent="0.25">
      <c r="A34" s="116">
        <v>2005</v>
      </c>
      <c r="B34" s="116" t="s">
        <v>39</v>
      </c>
      <c r="C34" s="116" t="s">
        <v>35</v>
      </c>
      <c r="D34" s="117">
        <v>20350041708</v>
      </c>
      <c r="E34" s="117">
        <v>1644651013</v>
      </c>
      <c r="F34" s="116">
        <v>8.1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7.25" customHeight="1" x14ac:dyDescent="0.25">
      <c r="A35" s="116">
        <v>2005</v>
      </c>
      <c r="B35" s="116" t="s">
        <v>40</v>
      </c>
      <c r="C35" s="116" t="s">
        <v>41</v>
      </c>
      <c r="D35" s="117">
        <v>5461619387</v>
      </c>
      <c r="E35" s="117">
        <v>226409193</v>
      </c>
      <c r="F35" s="116">
        <v>4.0999999999999996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7.25" customHeight="1" x14ac:dyDescent="0.25">
      <c r="A36" s="116">
        <v>2005</v>
      </c>
      <c r="B36" s="116" t="s">
        <v>42</v>
      </c>
      <c r="C36" s="116" t="s">
        <v>41</v>
      </c>
      <c r="D36" s="117">
        <v>4858002805</v>
      </c>
      <c r="E36" s="117">
        <v>495777877</v>
      </c>
      <c r="F36" s="116">
        <v>10.199999999999999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7.25" customHeight="1" x14ac:dyDescent="0.25">
      <c r="A37" s="116">
        <v>2005</v>
      </c>
      <c r="B37" s="116" t="s">
        <v>43</v>
      </c>
      <c r="C37" s="116" t="s">
        <v>41</v>
      </c>
      <c r="D37" s="117">
        <v>8964039074</v>
      </c>
      <c r="E37" s="117">
        <v>328270933</v>
      </c>
      <c r="F37" s="116">
        <v>3.7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7.25" customHeight="1" x14ac:dyDescent="0.25">
      <c r="A38" s="116">
        <v>2005</v>
      </c>
      <c r="B38" s="116" t="s">
        <v>44</v>
      </c>
      <c r="C38" s="116" t="s">
        <v>41</v>
      </c>
      <c r="D38" s="117">
        <v>10626309864</v>
      </c>
      <c r="E38" s="117">
        <v>638375423</v>
      </c>
      <c r="F38" s="116">
        <v>6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7.25" customHeight="1" x14ac:dyDescent="0.25">
      <c r="A39" s="116">
        <v>2005</v>
      </c>
      <c r="B39" s="116" t="s">
        <v>45</v>
      </c>
      <c r="C39" s="116" t="s">
        <v>41</v>
      </c>
      <c r="D39" s="117">
        <v>20988214252</v>
      </c>
      <c r="E39" s="117">
        <v>1644754113</v>
      </c>
      <c r="F39" s="116">
        <v>7.8</v>
      </c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7.25" customHeight="1" x14ac:dyDescent="0.25">
      <c r="A40" s="116">
        <v>2005</v>
      </c>
      <c r="B40" s="116" t="s">
        <v>46</v>
      </c>
      <c r="C40" s="116" t="s">
        <v>47</v>
      </c>
      <c r="D40" s="117">
        <v>20380884736</v>
      </c>
      <c r="E40" s="117">
        <v>6549804713</v>
      </c>
      <c r="F40" s="116">
        <v>32.1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7.25" customHeight="1" x14ac:dyDescent="0.25">
      <c r="A41" s="116">
        <v>2005</v>
      </c>
      <c r="B41" s="116" t="s">
        <v>48</v>
      </c>
      <c r="C41" s="116" t="s">
        <v>47</v>
      </c>
      <c r="D41" s="117">
        <v>168676602346</v>
      </c>
      <c r="E41" s="117">
        <v>29651527715</v>
      </c>
      <c r="F41" s="116">
        <v>17.600000000000001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7.25" customHeight="1" x14ac:dyDescent="0.25">
      <c r="A42" s="116">
        <v>2006</v>
      </c>
      <c r="B42" s="116" t="s">
        <v>3</v>
      </c>
      <c r="C42" s="116" t="s">
        <v>4</v>
      </c>
      <c r="D42" s="117">
        <v>23555704244</v>
      </c>
      <c r="E42" s="117">
        <v>6225677641</v>
      </c>
      <c r="F42" s="116">
        <v>26.4</v>
      </c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7.25" customHeight="1" x14ac:dyDescent="0.25">
      <c r="A43" s="116">
        <v>2006</v>
      </c>
      <c r="B43" s="116" t="s">
        <v>5</v>
      </c>
      <c r="C43" s="116" t="s">
        <v>4</v>
      </c>
      <c r="D43" s="117">
        <v>44246347857</v>
      </c>
      <c r="E43" s="117">
        <v>1674479740</v>
      </c>
      <c r="F43" s="116">
        <v>3.8</v>
      </c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7.25" customHeight="1" x14ac:dyDescent="0.25">
      <c r="A44" s="116">
        <v>2006</v>
      </c>
      <c r="B44" s="116" t="s">
        <v>6</v>
      </c>
      <c r="C44" s="116" t="s">
        <v>4</v>
      </c>
      <c r="D44" s="117">
        <v>8787556297</v>
      </c>
      <c r="E44" s="117">
        <v>263820016</v>
      </c>
      <c r="F44" s="116">
        <v>3</v>
      </c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7.25" customHeight="1" x14ac:dyDescent="0.25">
      <c r="A45" s="116">
        <v>2006</v>
      </c>
      <c r="B45" s="116" t="s">
        <v>7</v>
      </c>
      <c r="C45" s="116" t="s">
        <v>4</v>
      </c>
      <c r="D45" s="117">
        <v>15862310177</v>
      </c>
      <c r="E45" s="117">
        <v>3748357146</v>
      </c>
      <c r="F45" s="116">
        <v>23.6</v>
      </c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7.25" customHeight="1" x14ac:dyDescent="0.25">
      <c r="A46" s="116">
        <v>2006</v>
      </c>
      <c r="B46" s="116" t="s">
        <v>8</v>
      </c>
      <c r="C46" s="116" t="s">
        <v>4</v>
      </c>
      <c r="D46" s="117">
        <v>4250005261</v>
      </c>
      <c r="E46" s="117">
        <v>41837869</v>
      </c>
      <c r="F46" s="116">
        <v>1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7.25" customHeight="1" x14ac:dyDescent="0.25">
      <c r="A47" s="116">
        <v>2006</v>
      </c>
      <c r="B47" s="116" t="s">
        <v>9</v>
      </c>
      <c r="C47" s="116" t="s">
        <v>4</v>
      </c>
      <c r="D47" s="117">
        <v>83334619550</v>
      </c>
      <c r="E47" s="117">
        <v>15474658426</v>
      </c>
      <c r="F47" s="116">
        <v>18.600000000000001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7.25" customHeight="1" x14ac:dyDescent="0.25">
      <c r="A48" s="116">
        <v>2006</v>
      </c>
      <c r="B48" s="116" t="s">
        <v>10</v>
      </c>
      <c r="C48" s="116" t="s">
        <v>4</v>
      </c>
      <c r="D48" s="117">
        <v>511821579</v>
      </c>
      <c r="E48" s="117">
        <v>4085929</v>
      </c>
      <c r="F48" s="116">
        <v>0.8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7.25" customHeight="1" x14ac:dyDescent="0.25">
      <c r="A49" s="116">
        <v>2006</v>
      </c>
      <c r="B49" s="116" t="s">
        <v>11</v>
      </c>
      <c r="C49" s="116" t="s">
        <v>4</v>
      </c>
      <c r="D49" s="117">
        <v>5511642267</v>
      </c>
      <c r="E49" s="117">
        <v>1131398396</v>
      </c>
      <c r="F49" s="116">
        <v>20.5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.25" customHeight="1" x14ac:dyDescent="0.25">
      <c r="A50" s="116">
        <v>2006</v>
      </c>
      <c r="B50" s="116" t="s">
        <v>12</v>
      </c>
      <c r="C50" s="116" t="s">
        <v>4</v>
      </c>
      <c r="D50" s="117">
        <v>5915114929</v>
      </c>
      <c r="E50" s="117">
        <v>1125738411</v>
      </c>
      <c r="F50" s="116">
        <v>19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.25" customHeight="1" x14ac:dyDescent="0.25">
      <c r="A51" s="116">
        <v>2006</v>
      </c>
      <c r="B51" s="116" t="s">
        <v>13</v>
      </c>
      <c r="C51" s="116" t="s">
        <v>4</v>
      </c>
      <c r="D51" s="117">
        <v>10731510611</v>
      </c>
      <c r="E51" s="117">
        <v>548832267</v>
      </c>
      <c r="F51" s="116">
        <v>5.0999999999999996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.25" customHeight="1" x14ac:dyDescent="0.25">
      <c r="A52" s="116">
        <v>2006</v>
      </c>
      <c r="B52" s="116" t="s">
        <v>14</v>
      </c>
      <c r="C52" s="116" t="s">
        <v>4</v>
      </c>
      <c r="D52" s="117">
        <v>3594710603</v>
      </c>
      <c r="E52" s="117">
        <v>192973076</v>
      </c>
      <c r="F52" s="116">
        <v>5.4</v>
      </c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.25" customHeight="1" x14ac:dyDescent="0.25">
      <c r="A53" s="116">
        <v>2006</v>
      </c>
      <c r="B53" s="116" t="s">
        <v>15</v>
      </c>
      <c r="C53" s="116" t="s">
        <v>4</v>
      </c>
      <c r="D53" s="117">
        <v>9793278250</v>
      </c>
      <c r="E53" s="117">
        <v>940128920</v>
      </c>
      <c r="F53" s="116">
        <v>9.6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.25" customHeight="1" x14ac:dyDescent="0.25">
      <c r="A54" s="116">
        <v>2006</v>
      </c>
      <c r="B54" s="116" t="s">
        <v>16</v>
      </c>
      <c r="C54" s="116" t="s">
        <v>17</v>
      </c>
      <c r="D54" s="117">
        <v>1389268972</v>
      </c>
      <c r="E54" s="117">
        <v>54967983</v>
      </c>
      <c r="F54" s="116">
        <v>4</v>
      </c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.25" customHeight="1" x14ac:dyDescent="0.25">
      <c r="A55" s="116">
        <v>2006</v>
      </c>
      <c r="B55" s="116" t="s">
        <v>18</v>
      </c>
      <c r="C55" s="116" t="s">
        <v>17</v>
      </c>
      <c r="D55" s="117">
        <v>3470664330</v>
      </c>
      <c r="E55" s="117">
        <v>378730762</v>
      </c>
      <c r="F55" s="116">
        <v>10.9</v>
      </c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.25" customHeight="1" x14ac:dyDescent="0.25">
      <c r="A56" s="116">
        <v>2006</v>
      </c>
      <c r="B56" s="116" t="s">
        <v>19</v>
      </c>
      <c r="C56" s="116" t="s">
        <v>17</v>
      </c>
      <c r="D56" s="117">
        <v>11361873501</v>
      </c>
      <c r="E56" s="117">
        <v>1894860740</v>
      </c>
      <c r="F56" s="116">
        <v>16.7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.25" customHeight="1" x14ac:dyDescent="0.25">
      <c r="A57" s="116">
        <v>2006</v>
      </c>
      <c r="B57" s="116" t="s">
        <v>20</v>
      </c>
      <c r="C57" s="116" t="s">
        <v>17</v>
      </c>
      <c r="D57" s="117">
        <v>3976455496</v>
      </c>
      <c r="E57" s="117">
        <v>473545705</v>
      </c>
      <c r="F57" s="116">
        <v>11.9</v>
      </c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.25" customHeight="1" x14ac:dyDescent="0.25">
      <c r="A58" s="116">
        <v>2006</v>
      </c>
      <c r="B58" s="116" t="s">
        <v>21</v>
      </c>
      <c r="C58" s="116" t="s">
        <v>17</v>
      </c>
      <c r="D58" s="117">
        <v>3989486941</v>
      </c>
      <c r="E58" s="117">
        <v>410511402</v>
      </c>
      <c r="F58" s="116">
        <v>10.3</v>
      </c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.25" customHeight="1" x14ac:dyDescent="0.25">
      <c r="A59" s="116">
        <v>2006</v>
      </c>
      <c r="B59" s="116" t="s">
        <v>22</v>
      </c>
      <c r="C59" s="116" t="s">
        <v>17</v>
      </c>
      <c r="D59" s="117">
        <v>8384251657</v>
      </c>
      <c r="E59" s="117">
        <v>931604897</v>
      </c>
      <c r="F59" s="116">
        <v>11.1</v>
      </c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.25" customHeight="1" x14ac:dyDescent="0.25">
      <c r="A60" s="116">
        <v>2006</v>
      </c>
      <c r="B60" s="116" t="s">
        <v>23</v>
      </c>
      <c r="C60" s="116" t="s">
        <v>17</v>
      </c>
      <c r="D60" s="117">
        <v>4474357595</v>
      </c>
      <c r="E60" s="117">
        <v>257345290</v>
      </c>
      <c r="F60" s="116">
        <v>5.8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.25" customHeight="1" x14ac:dyDescent="0.25">
      <c r="A61" s="116">
        <v>2006</v>
      </c>
      <c r="B61" s="116" t="s">
        <v>24</v>
      </c>
      <c r="C61" s="116" t="s">
        <v>17</v>
      </c>
      <c r="D61" s="117">
        <v>47592420552</v>
      </c>
      <c r="E61" s="117">
        <v>782827686</v>
      </c>
      <c r="F61" s="116">
        <v>1.6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.25" customHeight="1" x14ac:dyDescent="0.25">
      <c r="A62" s="116">
        <v>2006</v>
      </c>
      <c r="B62" s="116" t="s">
        <v>25</v>
      </c>
      <c r="C62" s="116" t="s">
        <v>17</v>
      </c>
      <c r="D62" s="117">
        <v>5505180173</v>
      </c>
      <c r="E62" s="117">
        <v>323308266</v>
      </c>
      <c r="F62" s="116">
        <v>5.9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.25" customHeight="1" x14ac:dyDescent="0.25">
      <c r="A63" s="116">
        <v>2006</v>
      </c>
      <c r="B63" s="116" t="s">
        <v>26</v>
      </c>
      <c r="C63" s="116" t="s">
        <v>27</v>
      </c>
      <c r="D63" s="117">
        <v>57852817132</v>
      </c>
      <c r="E63" s="117">
        <v>14229373199</v>
      </c>
      <c r="F63" s="116">
        <v>24.6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.25" customHeight="1" x14ac:dyDescent="0.25">
      <c r="A64" s="116">
        <v>2006</v>
      </c>
      <c r="B64" s="116" t="s">
        <v>28</v>
      </c>
      <c r="C64" s="116" t="s">
        <v>27</v>
      </c>
      <c r="D64" s="117">
        <v>71661658934</v>
      </c>
      <c r="E64" s="117">
        <v>18549315457</v>
      </c>
      <c r="F64" s="116">
        <v>25.9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.25" customHeight="1" x14ac:dyDescent="0.25">
      <c r="A65" s="116">
        <v>2006</v>
      </c>
      <c r="B65" s="116" t="s">
        <v>29</v>
      </c>
      <c r="C65" s="116" t="s">
        <v>27</v>
      </c>
      <c r="D65" s="117">
        <v>30390219669</v>
      </c>
      <c r="E65" s="117">
        <v>5267247867</v>
      </c>
      <c r="F65" s="116">
        <v>17.3</v>
      </c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.25" customHeight="1" x14ac:dyDescent="0.25">
      <c r="A66" s="116">
        <v>2006</v>
      </c>
      <c r="B66" s="116" t="s">
        <v>30</v>
      </c>
      <c r="C66" s="116" t="s">
        <v>27</v>
      </c>
      <c r="D66" s="117">
        <v>66473566855</v>
      </c>
      <c r="E66" s="117">
        <v>11716461274</v>
      </c>
      <c r="F66" s="116">
        <v>17.600000000000001</v>
      </c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.25" customHeight="1" x14ac:dyDescent="0.25">
      <c r="A67" s="116">
        <v>2006</v>
      </c>
      <c r="B67" s="116" t="s">
        <v>31</v>
      </c>
      <c r="C67" s="116" t="s">
        <v>27</v>
      </c>
      <c r="D67" s="117">
        <v>19292290932</v>
      </c>
      <c r="E67" s="117">
        <v>5509904929</v>
      </c>
      <c r="F67" s="116">
        <v>28.6</v>
      </c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.25" customHeight="1" x14ac:dyDescent="0.25">
      <c r="A68" s="116">
        <v>2006</v>
      </c>
      <c r="B68" s="116" t="s">
        <v>32</v>
      </c>
      <c r="C68" s="116" t="s">
        <v>27</v>
      </c>
      <c r="D68" s="117">
        <v>32328528616</v>
      </c>
      <c r="E68" s="117">
        <v>4582660383</v>
      </c>
      <c r="F68" s="116">
        <v>14.2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.25" customHeight="1" x14ac:dyDescent="0.25">
      <c r="A69" s="116">
        <v>2006</v>
      </c>
      <c r="B69" s="116" t="s">
        <v>33</v>
      </c>
      <c r="C69" s="116" t="s">
        <v>27</v>
      </c>
      <c r="D69" s="117">
        <v>48864716991</v>
      </c>
      <c r="E69" s="117">
        <v>14230121272</v>
      </c>
      <c r="F69" s="116">
        <v>29.1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.25" customHeight="1" x14ac:dyDescent="0.25">
      <c r="A70" s="116">
        <v>2006</v>
      </c>
      <c r="B70" s="116" t="s">
        <v>34</v>
      </c>
      <c r="C70" s="116" t="s">
        <v>35</v>
      </c>
      <c r="D70" s="117">
        <v>10420730001</v>
      </c>
      <c r="E70" s="117">
        <v>224650682</v>
      </c>
      <c r="F70" s="116">
        <v>2.2000000000000002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.25" customHeight="1" x14ac:dyDescent="0.25">
      <c r="A71" s="116">
        <v>2006</v>
      </c>
      <c r="B71" s="116" t="s">
        <v>36</v>
      </c>
      <c r="C71" s="116" t="s">
        <v>35</v>
      </c>
      <c r="D71" s="117">
        <v>44056757230</v>
      </c>
      <c r="E71" s="117">
        <v>2549136774</v>
      </c>
      <c r="F71" s="116">
        <v>5.8</v>
      </c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.25" customHeight="1" x14ac:dyDescent="0.25">
      <c r="A72" s="116">
        <v>2006</v>
      </c>
      <c r="B72" s="116" t="s">
        <v>37</v>
      </c>
      <c r="C72" s="116" t="s">
        <v>35</v>
      </c>
      <c r="D72" s="117">
        <v>4727850732</v>
      </c>
      <c r="E72" s="117">
        <v>661848471</v>
      </c>
      <c r="F72" s="116">
        <v>14</v>
      </c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.25" customHeight="1" x14ac:dyDescent="0.25">
      <c r="A73" s="116">
        <v>2006</v>
      </c>
      <c r="B73" s="116" t="s">
        <v>38</v>
      </c>
      <c r="C73" s="116" t="s">
        <v>35</v>
      </c>
      <c r="D73" s="117">
        <v>8113138222</v>
      </c>
      <c r="E73" s="117">
        <v>274346330</v>
      </c>
      <c r="F73" s="116">
        <v>3.4</v>
      </c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.25" customHeight="1" x14ac:dyDescent="0.25">
      <c r="A74" s="116">
        <v>2006</v>
      </c>
      <c r="B74" s="116" t="s">
        <v>39</v>
      </c>
      <c r="C74" s="116" t="s">
        <v>35</v>
      </c>
      <c r="D74" s="117">
        <v>20730473225</v>
      </c>
      <c r="E74" s="117">
        <v>1764071511</v>
      </c>
      <c r="F74" s="116">
        <v>8.5</v>
      </c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.25" customHeight="1" x14ac:dyDescent="0.25">
      <c r="A75" s="116">
        <v>2006</v>
      </c>
      <c r="B75" s="116" t="s">
        <v>40</v>
      </c>
      <c r="C75" s="116" t="s">
        <v>41</v>
      </c>
      <c r="D75" s="117">
        <v>5762897099</v>
      </c>
      <c r="E75" s="117">
        <v>250836266</v>
      </c>
      <c r="F75" s="116">
        <v>4.4000000000000004</v>
      </c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.25" customHeight="1" x14ac:dyDescent="0.25">
      <c r="A76" s="116">
        <v>2006</v>
      </c>
      <c r="B76" s="116" t="s">
        <v>42</v>
      </c>
      <c r="C76" s="116" t="s">
        <v>41</v>
      </c>
      <c r="D76" s="117">
        <v>5055267762</v>
      </c>
      <c r="E76" s="117">
        <v>531443875</v>
      </c>
      <c r="F76" s="116">
        <v>10.5</v>
      </c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.25" customHeight="1" x14ac:dyDescent="0.25">
      <c r="A77" s="116">
        <v>2006</v>
      </c>
      <c r="B77" s="116" t="s">
        <v>43</v>
      </c>
      <c r="C77" s="116" t="s">
        <v>41</v>
      </c>
      <c r="D77" s="117">
        <v>8982546053</v>
      </c>
      <c r="E77" s="117">
        <v>356699563</v>
      </c>
      <c r="F77" s="116">
        <v>4</v>
      </c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.25" customHeight="1" x14ac:dyDescent="0.25">
      <c r="A78" s="116">
        <v>2006</v>
      </c>
      <c r="B78" s="116" t="s">
        <v>44</v>
      </c>
      <c r="C78" s="116" t="s">
        <v>41</v>
      </c>
      <c r="D78" s="117">
        <v>10659863372</v>
      </c>
      <c r="E78" s="117">
        <v>681555581</v>
      </c>
      <c r="F78" s="116">
        <v>6.4</v>
      </c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.25" customHeight="1" x14ac:dyDescent="0.25">
      <c r="A79" s="116">
        <v>2006</v>
      </c>
      <c r="B79" s="116" t="s">
        <v>45</v>
      </c>
      <c r="C79" s="116" t="s">
        <v>41</v>
      </c>
      <c r="D79" s="117">
        <v>21785131138</v>
      </c>
      <c r="E79" s="117">
        <v>1800106134</v>
      </c>
      <c r="F79" s="116">
        <v>8.3000000000000007</v>
      </c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.25" customHeight="1" x14ac:dyDescent="0.25">
      <c r="A80" s="116">
        <v>2006</v>
      </c>
      <c r="B80" s="116" t="s">
        <v>46</v>
      </c>
      <c r="C80" s="116" t="s">
        <v>47</v>
      </c>
      <c r="D80" s="117">
        <v>21243673222</v>
      </c>
      <c r="E80" s="117">
        <v>6789196311</v>
      </c>
      <c r="F80" s="116">
        <v>32</v>
      </c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.25" customHeight="1" x14ac:dyDescent="0.25">
      <c r="A81" s="116">
        <v>2006</v>
      </c>
      <c r="B81" s="116" t="s">
        <v>48</v>
      </c>
      <c r="C81" s="116" t="s">
        <v>47</v>
      </c>
      <c r="D81" s="117">
        <v>170789284898</v>
      </c>
      <c r="E81" s="117">
        <v>30441927247</v>
      </c>
      <c r="F81" s="116">
        <v>17.8</v>
      </c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.25" customHeight="1" x14ac:dyDescent="0.25">
      <c r="A82" s="116">
        <v>2007</v>
      </c>
      <c r="B82" s="116" t="s">
        <v>3</v>
      </c>
      <c r="C82" s="116" t="s">
        <v>4</v>
      </c>
      <c r="D82" s="117">
        <v>23904263302</v>
      </c>
      <c r="E82" s="117">
        <v>6467530694</v>
      </c>
      <c r="F82" s="116">
        <v>27.1</v>
      </c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.25" customHeight="1" x14ac:dyDescent="0.25">
      <c r="A83" s="116">
        <v>2007</v>
      </c>
      <c r="B83" s="116" t="s">
        <v>5</v>
      </c>
      <c r="C83" s="116" t="s">
        <v>4</v>
      </c>
      <c r="D83" s="117">
        <v>48554350198</v>
      </c>
      <c r="E83" s="117">
        <v>2084610814</v>
      </c>
      <c r="F83" s="116">
        <v>4.3</v>
      </c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.25" customHeight="1" x14ac:dyDescent="0.25">
      <c r="A84" s="116">
        <v>2007</v>
      </c>
      <c r="B84" s="116" t="s">
        <v>6</v>
      </c>
      <c r="C84" s="116" t="s">
        <v>4</v>
      </c>
      <c r="D84" s="117">
        <v>8954440139</v>
      </c>
      <c r="E84" s="117">
        <v>314296127</v>
      </c>
      <c r="F84" s="116">
        <v>3.5</v>
      </c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.25" customHeight="1" x14ac:dyDescent="0.25">
      <c r="A85" s="116">
        <v>2007</v>
      </c>
      <c r="B85" s="116" t="s">
        <v>7</v>
      </c>
      <c r="C85" s="116" t="s">
        <v>4</v>
      </c>
      <c r="D85" s="117">
        <v>15859853703</v>
      </c>
      <c r="E85" s="117">
        <v>3682915454</v>
      </c>
      <c r="F85" s="116">
        <v>23.2</v>
      </c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.25" customHeight="1" x14ac:dyDescent="0.25">
      <c r="A86" s="116">
        <v>2007</v>
      </c>
      <c r="B86" s="116" t="s">
        <v>8</v>
      </c>
      <c r="C86" s="116" t="s">
        <v>4</v>
      </c>
      <c r="D86" s="117">
        <v>4415025743</v>
      </c>
      <c r="E86" s="117">
        <v>58629379</v>
      </c>
      <c r="F86" s="116">
        <v>1.3</v>
      </c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.25" customHeight="1" x14ac:dyDescent="0.25">
      <c r="A87" s="116">
        <v>2007</v>
      </c>
      <c r="B87" s="116" t="s">
        <v>9</v>
      </c>
      <c r="C87" s="116" t="s">
        <v>4</v>
      </c>
      <c r="D87" s="117">
        <v>82827206571</v>
      </c>
      <c r="E87" s="117">
        <v>16577108370</v>
      </c>
      <c r="F87" s="116">
        <v>20</v>
      </c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.25" customHeight="1" x14ac:dyDescent="0.25">
      <c r="A88" s="116">
        <v>2007</v>
      </c>
      <c r="B88" s="116" t="s">
        <v>10</v>
      </c>
      <c r="C88" s="116" t="s">
        <v>4</v>
      </c>
      <c r="D88" s="117">
        <v>525527960</v>
      </c>
      <c r="E88" s="117">
        <v>5492168</v>
      </c>
      <c r="F88" s="116">
        <v>1</v>
      </c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.25" customHeight="1" x14ac:dyDescent="0.25">
      <c r="A89" s="116">
        <v>2007</v>
      </c>
      <c r="B89" s="116" t="s">
        <v>11</v>
      </c>
      <c r="C89" s="116" t="s">
        <v>4</v>
      </c>
      <c r="D89" s="117">
        <v>5654896903</v>
      </c>
      <c r="E89" s="117">
        <v>1175718111</v>
      </c>
      <c r="F89" s="116">
        <v>20.8</v>
      </c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.25" customHeight="1" x14ac:dyDescent="0.25">
      <c r="A90" s="116">
        <v>2007</v>
      </c>
      <c r="B90" s="116" t="s">
        <v>12</v>
      </c>
      <c r="C90" s="116" t="s">
        <v>4</v>
      </c>
      <c r="D90" s="117">
        <v>6169578339</v>
      </c>
      <c r="E90" s="117">
        <v>1220503449</v>
      </c>
      <c r="F90" s="116">
        <v>19.8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.25" customHeight="1" x14ac:dyDescent="0.25">
      <c r="A91" s="116">
        <v>2007</v>
      </c>
      <c r="B91" s="116" t="s">
        <v>13</v>
      </c>
      <c r="C91" s="116" t="s">
        <v>4</v>
      </c>
      <c r="D91" s="117">
        <v>10682525308</v>
      </c>
      <c r="E91" s="117">
        <v>667948130</v>
      </c>
      <c r="F91" s="116">
        <v>6.3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.25" customHeight="1" x14ac:dyDescent="0.25">
      <c r="A92" s="116">
        <v>2007</v>
      </c>
      <c r="B92" s="116" t="s">
        <v>14</v>
      </c>
      <c r="C92" s="116" t="s">
        <v>4</v>
      </c>
      <c r="D92" s="117">
        <v>4087994857</v>
      </c>
      <c r="E92" s="117">
        <v>238828955</v>
      </c>
      <c r="F92" s="116">
        <v>5.8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.25" customHeight="1" x14ac:dyDescent="0.25">
      <c r="A93" s="116">
        <v>2007</v>
      </c>
      <c r="B93" s="116" t="s">
        <v>15</v>
      </c>
      <c r="C93" s="116" t="s">
        <v>4</v>
      </c>
      <c r="D93" s="117">
        <v>9705824275</v>
      </c>
      <c r="E93" s="117">
        <v>1006893076</v>
      </c>
      <c r="F93" s="116">
        <v>10.4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.25" customHeight="1" x14ac:dyDescent="0.25">
      <c r="A94" s="116">
        <v>2007</v>
      </c>
      <c r="B94" s="116" t="s">
        <v>16</v>
      </c>
      <c r="C94" s="116" t="s">
        <v>17</v>
      </c>
      <c r="D94" s="117">
        <v>1417999224</v>
      </c>
      <c r="E94" s="117">
        <v>64021552</v>
      </c>
      <c r="F94" s="116">
        <v>4.5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.25" customHeight="1" x14ac:dyDescent="0.25">
      <c r="A95" s="116">
        <v>2007</v>
      </c>
      <c r="B95" s="116" t="s">
        <v>18</v>
      </c>
      <c r="C95" s="116" t="s">
        <v>17</v>
      </c>
      <c r="D95" s="117">
        <v>3479136451</v>
      </c>
      <c r="E95" s="117">
        <v>403144466</v>
      </c>
      <c r="F95" s="116">
        <v>11.6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.25" customHeight="1" x14ac:dyDescent="0.25">
      <c r="A96" s="116">
        <v>2007</v>
      </c>
      <c r="B96" s="116" t="s">
        <v>19</v>
      </c>
      <c r="C96" s="116" t="s">
        <v>17</v>
      </c>
      <c r="D96" s="117">
        <v>11114068141</v>
      </c>
      <c r="E96" s="117">
        <v>1930741057</v>
      </c>
      <c r="F96" s="116">
        <v>17.399999999999999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.25" customHeight="1" x14ac:dyDescent="0.25">
      <c r="A97" s="116">
        <v>2007</v>
      </c>
      <c r="B97" s="116" t="s">
        <v>20</v>
      </c>
      <c r="C97" s="116" t="s">
        <v>17</v>
      </c>
      <c r="D97" s="117">
        <v>3508634560</v>
      </c>
      <c r="E97" s="117">
        <v>467805331</v>
      </c>
      <c r="F97" s="116">
        <v>13.3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.25" customHeight="1" x14ac:dyDescent="0.25">
      <c r="A98" s="116">
        <v>2007</v>
      </c>
      <c r="B98" s="116" t="s">
        <v>21</v>
      </c>
      <c r="C98" s="116" t="s">
        <v>17</v>
      </c>
      <c r="D98" s="117">
        <v>4173521548</v>
      </c>
      <c r="E98" s="117">
        <v>455201272</v>
      </c>
      <c r="F98" s="116">
        <v>10.9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.25" customHeight="1" x14ac:dyDescent="0.25">
      <c r="A99" s="116">
        <v>2007</v>
      </c>
      <c r="B99" s="116" t="s">
        <v>22</v>
      </c>
      <c r="C99" s="116" t="s">
        <v>17</v>
      </c>
      <c r="D99" s="117">
        <v>5899311927</v>
      </c>
      <c r="E99" s="117">
        <v>686788895</v>
      </c>
      <c r="F99" s="116">
        <v>11.6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.25" customHeight="1" x14ac:dyDescent="0.25">
      <c r="A100" s="116">
        <v>2007</v>
      </c>
      <c r="B100" s="116" t="s">
        <v>23</v>
      </c>
      <c r="C100" s="116" t="s">
        <v>17</v>
      </c>
      <c r="D100" s="117">
        <v>4206300508</v>
      </c>
      <c r="E100" s="117">
        <v>282368245</v>
      </c>
      <c r="F100" s="116">
        <v>6.7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.25" customHeight="1" x14ac:dyDescent="0.25">
      <c r="A101" s="116">
        <v>2007</v>
      </c>
      <c r="B101" s="116" t="s">
        <v>24</v>
      </c>
      <c r="C101" s="116" t="s">
        <v>17</v>
      </c>
      <c r="D101" s="117">
        <v>46988487518</v>
      </c>
      <c r="E101" s="117">
        <v>1000745986</v>
      </c>
      <c r="F101" s="116">
        <v>2.1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.25" customHeight="1" x14ac:dyDescent="0.25">
      <c r="A102" s="116">
        <v>2007</v>
      </c>
      <c r="B102" s="116" t="s">
        <v>25</v>
      </c>
      <c r="C102" s="116" t="s">
        <v>17</v>
      </c>
      <c r="D102" s="117">
        <v>5313693552</v>
      </c>
      <c r="E102" s="117">
        <v>346099420</v>
      </c>
      <c r="F102" s="116">
        <v>6.5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.25" customHeight="1" x14ac:dyDescent="0.25">
      <c r="A103" s="116">
        <v>2007</v>
      </c>
      <c r="B103" s="116" t="s">
        <v>26</v>
      </c>
      <c r="C103" s="116" t="s">
        <v>27</v>
      </c>
      <c r="D103" s="117">
        <v>56554054930</v>
      </c>
      <c r="E103" s="117">
        <v>14445720798</v>
      </c>
      <c r="F103" s="116">
        <v>25.5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.25" customHeight="1" x14ac:dyDescent="0.25">
      <c r="A104" s="116">
        <v>2007</v>
      </c>
      <c r="B104" s="116" t="s">
        <v>28</v>
      </c>
      <c r="C104" s="116" t="s">
        <v>27</v>
      </c>
      <c r="D104" s="117">
        <v>71085053525</v>
      </c>
      <c r="E104" s="117">
        <v>18535421462</v>
      </c>
      <c r="F104" s="116">
        <v>26.1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.25" customHeight="1" x14ac:dyDescent="0.25">
      <c r="A105" s="116">
        <v>2007</v>
      </c>
      <c r="B105" s="116" t="s">
        <v>29</v>
      </c>
      <c r="C105" s="116" t="s">
        <v>27</v>
      </c>
      <c r="D105" s="117">
        <v>29106182664</v>
      </c>
      <c r="E105" s="117">
        <v>5250596156</v>
      </c>
      <c r="F105" s="116">
        <v>18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.25" customHeight="1" x14ac:dyDescent="0.25">
      <c r="A106" s="116">
        <v>2007</v>
      </c>
      <c r="B106" s="116" t="s">
        <v>30</v>
      </c>
      <c r="C106" s="116" t="s">
        <v>27</v>
      </c>
      <c r="D106" s="117">
        <v>63857366196</v>
      </c>
      <c r="E106" s="117">
        <v>12216148669</v>
      </c>
      <c r="F106" s="116">
        <v>19.100000000000001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.25" customHeight="1" x14ac:dyDescent="0.25">
      <c r="A107" s="116">
        <v>2007</v>
      </c>
      <c r="B107" s="116" t="s">
        <v>31</v>
      </c>
      <c r="C107" s="116" t="s">
        <v>27</v>
      </c>
      <c r="D107" s="117">
        <v>19162627446</v>
      </c>
      <c r="E107" s="117">
        <v>5706060262</v>
      </c>
      <c r="F107" s="116">
        <v>29.8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.25" customHeight="1" x14ac:dyDescent="0.25">
      <c r="A108" s="116">
        <v>2007</v>
      </c>
      <c r="B108" s="116" t="s">
        <v>32</v>
      </c>
      <c r="C108" s="116" t="s">
        <v>27</v>
      </c>
      <c r="D108" s="117">
        <v>30382407195</v>
      </c>
      <c r="E108" s="117">
        <v>4801161924</v>
      </c>
      <c r="F108" s="116">
        <v>15.8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.25" customHeight="1" x14ac:dyDescent="0.25">
      <c r="A109" s="116">
        <v>2007</v>
      </c>
      <c r="B109" s="116" t="s">
        <v>33</v>
      </c>
      <c r="C109" s="116" t="s">
        <v>27</v>
      </c>
      <c r="D109" s="117">
        <v>53557006106</v>
      </c>
      <c r="E109" s="117">
        <v>15103812038</v>
      </c>
      <c r="F109" s="116">
        <v>28.2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.25" customHeight="1" x14ac:dyDescent="0.25">
      <c r="A110" s="116">
        <v>2007</v>
      </c>
      <c r="B110" s="116" t="s">
        <v>34</v>
      </c>
      <c r="C110" s="116" t="s">
        <v>35</v>
      </c>
      <c r="D110" s="117">
        <v>10142480283</v>
      </c>
      <c r="E110" s="117">
        <v>262518244</v>
      </c>
      <c r="F110" s="116">
        <v>2.6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.25" customHeight="1" x14ac:dyDescent="0.25">
      <c r="A111" s="116">
        <v>2007</v>
      </c>
      <c r="B111" s="116" t="s">
        <v>36</v>
      </c>
      <c r="C111" s="116" t="s">
        <v>35</v>
      </c>
      <c r="D111" s="117">
        <v>42404096459</v>
      </c>
      <c r="E111" s="117">
        <v>2882615612</v>
      </c>
      <c r="F111" s="116">
        <v>6.8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.25" customHeight="1" x14ac:dyDescent="0.25">
      <c r="A112" s="116">
        <v>2007</v>
      </c>
      <c r="B112" s="116" t="s">
        <v>37</v>
      </c>
      <c r="C112" s="116" t="s">
        <v>35</v>
      </c>
      <c r="D112" s="117">
        <v>4715732897</v>
      </c>
      <c r="E112" s="117">
        <v>687150670</v>
      </c>
      <c r="F112" s="116">
        <v>14.6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.25" customHeight="1" x14ac:dyDescent="0.25">
      <c r="A113" s="116">
        <v>2007</v>
      </c>
      <c r="B113" s="116" t="s">
        <v>38</v>
      </c>
      <c r="C113" s="116" t="s">
        <v>35</v>
      </c>
      <c r="D113" s="117">
        <v>8281837001</v>
      </c>
      <c r="E113" s="117">
        <v>328955069</v>
      </c>
      <c r="F113" s="116">
        <v>4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.25" customHeight="1" x14ac:dyDescent="0.25">
      <c r="A114" s="116">
        <v>2007</v>
      </c>
      <c r="B114" s="116" t="s">
        <v>39</v>
      </c>
      <c r="C114" s="116" t="s">
        <v>35</v>
      </c>
      <c r="D114" s="117">
        <v>21321988041</v>
      </c>
      <c r="E114" s="117">
        <v>1958606661</v>
      </c>
      <c r="F114" s="116">
        <v>9.1999999999999993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.25" customHeight="1" x14ac:dyDescent="0.25">
      <c r="A115" s="116">
        <v>2007</v>
      </c>
      <c r="B115" s="116" t="s">
        <v>40</v>
      </c>
      <c r="C115" s="116" t="s">
        <v>41</v>
      </c>
      <c r="D115" s="117">
        <v>6240741139</v>
      </c>
      <c r="E115" s="117">
        <v>291443544</v>
      </c>
      <c r="F115" s="116">
        <v>4.7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.25" customHeight="1" x14ac:dyDescent="0.25">
      <c r="A116" s="116">
        <v>2007</v>
      </c>
      <c r="B116" s="116" t="s">
        <v>42</v>
      </c>
      <c r="C116" s="116" t="s">
        <v>41</v>
      </c>
      <c r="D116" s="117">
        <v>5364169017</v>
      </c>
      <c r="E116" s="117">
        <v>588967023</v>
      </c>
      <c r="F116" s="116">
        <v>11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.25" customHeight="1" x14ac:dyDescent="0.25">
      <c r="A117" s="116">
        <v>2007</v>
      </c>
      <c r="B117" s="116" t="s">
        <v>43</v>
      </c>
      <c r="C117" s="116" t="s">
        <v>41</v>
      </c>
      <c r="D117" s="117">
        <v>9014056372</v>
      </c>
      <c r="E117" s="117">
        <v>403075261</v>
      </c>
      <c r="F117" s="116">
        <v>4.5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.25" customHeight="1" x14ac:dyDescent="0.25">
      <c r="A118" s="116">
        <v>2007</v>
      </c>
      <c r="B118" s="116" t="s">
        <v>44</v>
      </c>
      <c r="C118" s="116" t="s">
        <v>41</v>
      </c>
      <c r="D118" s="117">
        <v>10714622831</v>
      </c>
      <c r="E118" s="117">
        <v>750741097</v>
      </c>
      <c r="F118" s="116">
        <v>7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.25" customHeight="1" x14ac:dyDescent="0.25">
      <c r="A119" s="116">
        <v>2007</v>
      </c>
      <c r="B119" s="116" t="s">
        <v>45</v>
      </c>
      <c r="C119" s="116" t="s">
        <v>41</v>
      </c>
      <c r="D119" s="117">
        <v>23035934978</v>
      </c>
      <c r="E119" s="117">
        <v>2056644484</v>
      </c>
      <c r="F119" s="116">
        <v>8.9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.25" customHeight="1" x14ac:dyDescent="0.25">
      <c r="A120" s="116">
        <v>2007</v>
      </c>
      <c r="B120" s="116" t="s">
        <v>46</v>
      </c>
      <c r="C120" s="116" t="s">
        <v>47</v>
      </c>
      <c r="D120" s="117">
        <v>22593162930</v>
      </c>
      <c r="E120" s="117">
        <v>7161443903</v>
      </c>
      <c r="F120" s="116">
        <v>31.7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.25" customHeight="1" x14ac:dyDescent="0.25">
      <c r="A121" s="116">
        <v>2007</v>
      </c>
      <c r="B121" s="116" t="s">
        <v>48</v>
      </c>
      <c r="C121" s="116" t="s">
        <v>47</v>
      </c>
      <c r="D121" s="117">
        <v>174010678613</v>
      </c>
      <c r="E121" s="117">
        <v>31659130218</v>
      </c>
      <c r="F121" s="116">
        <v>18.2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.25" customHeight="1" x14ac:dyDescent="0.25">
      <c r="A122" s="116">
        <v>2008</v>
      </c>
      <c r="B122" s="116" t="s">
        <v>3</v>
      </c>
      <c r="C122" s="116" t="s">
        <v>4</v>
      </c>
      <c r="D122" s="117">
        <v>24398438043</v>
      </c>
      <c r="E122" s="117">
        <v>6818554736</v>
      </c>
      <c r="F122" s="116">
        <v>27.9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.25" customHeight="1" x14ac:dyDescent="0.25">
      <c r="A123" s="116">
        <v>2008</v>
      </c>
      <c r="B123" s="116" t="s">
        <v>5</v>
      </c>
      <c r="C123" s="116" t="s">
        <v>4</v>
      </c>
      <c r="D123" s="117">
        <v>54909460043</v>
      </c>
      <c r="E123" s="117">
        <v>2766707940</v>
      </c>
      <c r="F123" s="116">
        <v>5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.25" customHeight="1" x14ac:dyDescent="0.25">
      <c r="A124" s="116">
        <v>2008</v>
      </c>
      <c r="B124" s="116" t="s">
        <v>6</v>
      </c>
      <c r="C124" s="116" t="s">
        <v>4</v>
      </c>
      <c r="D124" s="117">
        <v>9194346539</v>
      </c>
      <c r="E124" s="117">
        <v>396872529</v>
      </c>
      <c r="F124" s="116">
        <v>4.3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.25" customHeight="1" x14ac:dyDescent="0.25">
      <c r="A125" s="116">
        <v>2008</v>
      </c>
      <c r="B125" s="116" t="s">
        <v>7</v>
      </c>
      <c r="C125" s="116" t="s">
        <v>4</v>
      </c>
      <c r="D125" s="117">
        <v>15858680433</v>
      </c>
      <c r="E125" s="117">
        <v>3597325247</v>
      </c>
      <c r="F125" s="116">
        <v>22.7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.25" customHeight="1" x14ac:dyDescent="0.25">
      <c r="A126" s="116">
        <v>2008</v>
      </c>
      <c r="B126" s="116" t="s">
        <v>8</v>
      </c>
      <c r="C126" s="116" t="s">
        <v>4</v>
      </c>
      <c r="D126" s="117">
        <v>4651000903</v>
      </c>
      <c r="E126" s="117">
        <v>90004263</v>
      </c>
      <c r="F126" s="116">
        <v>1.9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.25" customHeight="1" x14ac:dyDescent="0.25">
      <c r="A127" s="116">
        <v>2008</v>
      </c>
      <c r="B127" s="116" t="s">
        <v>9</v>
      </c>
      <c r="C127" s="116" t="s">
        <v>4</v>
      </c>
      <c r="D127" s="117">
        <v>82344491873</v>
      </c>
      <c r="E127" s="117">
        <v>18189955866</v>
      </c>
      <c r="F127" s="116">
        <v>22.1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.25" customHeight="1" x14ac:dyDescent="0.25">
      <c r="A128" s="116">
        <v>2008</v>
      </c>
      <c r="B128" s="116" t="s">
        <v>10</v>
      </c>
      <c r="C128" s="116" t="s">
        <v>4</v>
      </c>
      <c r="D128" s="117">
        <v>544908883</v>
      </c>
      <c r="E128" s="117">
        <v>8075600</v>
      </c>
      <c r="F128" s="116">
        <v>1.5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.25" customHeight="1" x14ac:dyDescent="0.25">
      <c r="A129" s="116">
        <v>2008</v>
      </c>
      <c r="B129" s="116" t="s">
        <v>11</v>
      </c>
      <c r="C129" s="116" t="s">
        <v>4</v>
      </c>
      <c r="D129" s="117">
        <v>5854852051</v>
      </c>
      <c r="E129" s="117">
        <v>1240780559</v>
      </c>
      <c r="F129" s="116">
        <v>21.2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.25" customHeight="1" x14ac:dyDescent="0.25">
      <c r="A130" s="116">
        <v>2008</v>
      </c>
      <c r="B130" s="116" t="s">
        <v>12</v>
      </c>
      <c r="C130" s="116" t="s">
        <v>4</v>
      </c>
      <c r="D130" s="117">
        <v>6529454837</v>
      </c>
      <c r="E130" s="117">
        <v>1360348746</v>
      </c>
      <c r="F130" s="116">
        <v>20.8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.25" customHeight="1" x14ac:dyDescent="0.25">
      <c r="A131" s="116">
        <v>2008</v>
      </c>
      <c r="B131" s="116" t="s">
        <v>13</v>
      </c>
      <c r="C131" s="116" t="s">
        <v>4</v>
      </c>
      <c r="D131" s="117">
        <v>10658522142</v>
      </c>
      <c r="E131" s="117">
        <v>864379713</v>
      </c>
      <c r="F131" s="116">
        <v>8.1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.25" customHeight="1" x14ac:dyDescent="0.25">
      <c r="A132" s="116">
        <v>2008</v>
      </c>
      <c r="B132" s="116" t="s">
        <v>14</v>
      </c>
      <c r="C132" s="116" t="s">
        <v>4</v>
      </c>
      <c r="D132" s="117">
        <v>4838786281</v>
      </c>
      <c r="E132" s="117">
        <v>314582585</v>
      </c>
      <c r="F132" s="116">
        <v>6.5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.25" customHeight="1" x14ac:dyDescent="0.25">
      <c r="A133" s="116">
        <v>2008</v>
      </c>
      <c r="B133" s="116" t="s">
        <v>15</v>
      </c>
      <c r="C133" s="116" t="s">
        <v>4</v>
      </c>
      <c r="D133" s="117">
        <v>9600878770</v>
      </c>
      <c r="E133" s="117">
        <v>1103989859</v>
      </c>
      <c r="F133" s="116">
        <v>11.5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.25" customHeight="1" x14ac:dyDescent="0.25">
      <c r="A134" s="116">
        <v>2008</v>
      </c>
      <c r="B134" s="116" t="s">
        <v>16</v>
      </c>
      <c r="C134" s="116" t="s">
        <v>17</v>
      </c>
      <c r="D134" s="117">
        <v>1458681388</v>
      </c>
      <c r="E134" s="117">
        <v>78081247</v>
      </c>
      <c r="F134" s="116">
        <v>5.4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.25" customHeight="1" x14ac:dyDescent="0.25">
      <c r="A135" s="116">
        <v>2008</v>
      </c>
      <c r="B135" s="116" t="s">
        <v>18</v>
      </c>
      <c r="C135" s="116" t="s">
        <v>17</v>
      </c>
      <c r="D135" s="117">
        <v>3492758490</v>
      </c>
      <c r="E135" s="117">
        <v>437912358</v>
      </c>
      <c r="F135" s="116">
        <v>12.5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.25" customHeight="1" x14ac:dyDescent="0.25">
      <c r="A136" s="116">
        <v>2008</v>
      </c>
      <c r="B136" s="116" t="s">
        <v>19</v>
      </c>
      <c r="C136" s="116" t="s">
        <v>17</v>
      </c>
      <c r="D136" s="117">
        <v>10802183258</v>
      </c>
      <c r="E136" s="117">
        <v>1985769288</v>
      </c>
      <c r="F136" s="116">
        <v>18.399999999999999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.25" customHeight="1" x14ac:dyDescent="0.25">
      <c r="A137" s="116">
        <v>2008</v>
      </c>
      <c r="B137" s="116" t="s">
        <v>20</v>
      </c>
      <c r="C137" s="116" t="s">
        <v>17</v>
      </c>
      <c r="D137" s="117">
        <v>2970474051</v>
      </c>
      <c r="E137" s="117">
        <v>464479446</v>
      </c>
      <c r="F137" s="116">
        <v>15.6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.25" customHeight="1" x14ac:dyDescent="0.25">
      <c r="A138" s="116">
        <v>2008</v>
      </c>
      <c r="B138" s="116" t="s">
        <v>21</v>
      </c>
      <c r="C138" s="116" t="s">
        <v>17</v>
      </c>
      <c r="D138" s="117">
        <v>4432994188</v>
      </c>
      <c r="E138" s="117">
        <v>521647219</v>
      </c>
      <c r="F138" s="116">
        <v>11.8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.25" customHeight="1" x14ac:dyDescent="0.25">
      <c r="A139" s="116">
        <v>2008</v>
      </c>
      <c r="B139" s="116" t="s">
        <v>22</v>
      </c>
      <c r="C139" s="116" t="s">
        <v>17</v>
      </c>
      <c r="D139" s="117">
        <v>3576926277</v>
      </c>
      <c r="E139" s="117">
        <v>453450158</v>
      </c>
      <c r="F139" s="116">
        <v>12.7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.25" customHeight="1" x14ac:dyDescent="0.25">
      <c r="A140" s="116">
        <v>2008</v>
      </c>
      <c r="B140" s="116" t="s">
        <v>23</v>
      </c>
      <c r="C140" s="116" t="s">
        <v>17</v>
      </c>
      <c r="D140" s="117">
        <v>3879576311</v>
      </c>
      <c r="E140" s="117">
        <v>319258902</v>
      </c>
      <c r="F140" s="116">
        <v>8.1999999999999993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.25" customHeight="1" x14ac:dyDescent="0.25">
      <c r="A141" s="116">
        <v>2008</v>
      </c>
      <c r="B141" s="116" t="s">
        <v>24</v>
      </c>
      <c r="C141" s="116" t="s">
        <v>17</v>
      </c>
      <c r="D141" s="117">
        <v>46283366541</v>
      </c>
      <c r="E141" s="117">
        <v>1372187439</v>
      </c>
      <c r="F141" s="116">
        <v>3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.25" customHeight="1" x14ac:dyDescent="0.25">
      <c r="A142" s="116">
        <v>2008</v>
      </c>
      <c r="B142" s="116" t="s">
        <v>25</v>
      </c>
      <c r="C142" s="116" t="s">
        <v>17</v>
      </c>
      <c r="D142" s="117">
        <v>5073503491</v>
      </c>
      <c r="E142" s="117">
        <v>379798804</v>
      </c>
      <c r="F142" s="116">
        <v>7.5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.25" customHeight="1" x14ac:dyDescent="0.25">
      <c r="A143" s="116">
        <v>2008</v>
      </c>
      <c r="B143" s="116" t="s">
        <v>26</v>
      </c>
      <c r="C143" s="116" t="s">
        <v>27</v>
      </c>
      <c r="D143" s="117">
        <v>54896990876</v>
      </c>
      <c r="E143" s="117">
        <v>14738640332</v>
      </c>
      <c r="F143" s="116">
        <v>26.8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.25" customHeight="1" x14ac:dyDescent="0.25">
      <c r="A144" s="116">
        <v>2008</v>
      </c>
      <c r="B144" s="116" t="s">
        <v>28</v>
      </c>
      <c r="C144" s="116" t="s">
        <v>27</v>
      </c>
      <c r="D144" s="117">
        <v>70325370538</v>
      </c>
      <c r="E144" s="117">
        <v>18518071320</v>
      </c>
      <c r="F144" s="116">
        <v>26.3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.25" customHeight="1" x14ac:dyDescent="0.25">
      <c r="A145" s="116">
        <v>2008</v>
      </c>
      <c r="B145" s="116" t="s">
        <v>29</v>
      </c>
      <c r="C145" s="116" t="s">
        <v>27</v>
      </c>
      <c r="D145" s="117">
        <v>27486668834</v>
      </c>
      <c r="E145" s="117">
        <v>5235681218</v>
      </c>
      <c r="F145" s="116">
        <v>19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.25" customHeight="1" x14ac:dyDescent="0.25">
      <c r="A146" s="116">
        <v>2008</v>
      </c>
      <c r="B146" s="116" t="s">
        <v>30</v>
      </c>
      <c r="C146" s="116" t="s">
        <v>27</v>
      </c>
      <c r="D146" s="117">
        <v>60636721536</v>
      </c>
      <c r="E146" s="117">
        <v>12913613536</v>
      </c>
      <c r="F146" s="116">
        <v>21.3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.25" customHeight="1" x14ac:dyDescent="0.25">
      <c r="A147" s="116">
        <v>2008</v>
      </c>
      <c r="B147" s="116" t="s">
        <v>31</v>
      </c>
      <c r="C147" s="116" t="s">
        <v>27</v>
      </c>
      <c r="D147" s="117">
        <v>19013012953</v>
      </c>
      <c r="E147" s="117">
        <v>5980600951</v>
      </c>
      <c r="F147" s="116">
        <v>31.5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.25" customHeight="1" x14ac:dyDescent="0.25">
      <c r="A148" s="116">
        <v>2008</v>
      </c>
      <c r="B148" s="116" t="s">
        <v>32</v>
      </c>
      <c r="C148" s="116" t="s">
        <v>27</v>
      </c>
      <c r="D148" s="117">
        <v>28026711317</v>
      </c>
      <c r="E148" s="117">
        <v>5106462892</v>
      </c>
      <c r="F148" s="116">
        <v>18.2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.25" customHeight="1" x14ac:dyDescent="0.25">
      <c r="A149" s="116">
        <v>2008</v>
      </c>
      <c r="B149" s="116" t="s">
        <v>33</v>
      </c>
      <c r="C149" s="116" t="s">
        <v>27</v>
      </c>
      <c r="D149" s="117">
        <v>60460294598</v>
      </c>
      <c r="E149" s="117">
        <v>16354282383</v>
      </c>
      <c r="F149" s="116">
        <v>27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.25" customHeight="1" x14ac:dyDescent="0.25">
      <c r="A150" s="116">
        <v>2008</v>
      </c>
      <c r="B150" s="116" t="s">
        <v>34</v>
      </c>
      <c r="C150" s="116" t="s">
        <v>35</v>
      </c>
      <c r="D150" s="117">
        <v>9793081525</v>
      </c>
      <c r="E150" s="117">
        <v>321541405</v>
      </c>
      <c r="F150" s="116">
        <v>3.3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.25" customHeight="1" x14ac:dyDescent="0.25">
      <c r="A151" s="116">
        <v>2008</v>
      </c>
      <c r="B151" s="116" t="s">
        <v>36</v>
      </c>
      <c r="C151" s="116" t="s">
        <v>35</v>
      </c>
      <c r="D151" s="117">
        <v>40385796656</v>
      </c>
      <c r="E151" s="117">
        <v>3385786248</v>
      </c>
      <c r="F151" s="116">
        <v>8.4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.25" customHeight="1" x14ac:dyDescent="0.25">
      <c r="A152" s="116">
        <v>2008</v>
      </c>
      <c r="B152" s="116" t="s">
        <v>37</v>
      </c>
      <c r="C152" s="116" t="s">
        <v>35</v>
      </c>
      <c r="D152" s="117">
        <v>4703215316</v>
      </c>
      <c r="E152" s="117">
        <v>724067292</v>
      </c>
      <c r="F152" s="116">
        <v>15.4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.25" customHeight="1" x14ac:dyDescent="0.25">
      <c r="A153" s="116">
        <v>2008</v>
      </c>
      <c r="B153" s="116" t="s">
        <v>38</v>
      </c>
      <c r="C153" s="116" t="s">
        <v>35</v>
      </c>
      <c r="D153" s="117">
        <v>8523540705</v>
      </c>
      <c r="E153" s="117">
        <v>416324682</v>
      </c>
      <c r="F153" s="116">
        <v>4.9000000000000004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.25" customHeight="1" x14ac:dyDescent="0.25">
      <c r="A154" s="116">
        <v>2008</v>
      </c>
      <c r="B154" s="116" t="s">
        <v>39</v>
      </c>
      <c r="C154" s="116" t="s">
        <v>35</v>
      </c>
      <c r="D154" s="117">
        <v>22155678903</v>
      </c>
      <c r="E154" s="117">
        <v>2251912563</v>
      </c>
      <c r="F154" s="116">
        <v>10.199999999999999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.25" customHeight="1" x14ac:dyDescent="0.25">
      <c r="A155" s="116">
        <v>2008</v>
      </c>
      <c r="B155" s="116" t="s">
        <v>40</v>
      </c>
      <c r="C155" s="116" t="s">
        <v>41</v>
      </c>
      <c r="D155" s="117">
        <v>6932905860</v>
      </c>
      <c r="E155" s="117">
        <v>354381631</v>
      </c>
      <c r="F155" s="116">
        <v>5.0999999999999996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.25" customHeight="1" x14ac:dyDescent="0.25">
      <c r="A156" s="116">
        <v>2008</v>
      </c>
      <c r="B156" s="116" t="s">
        <v>42</v>
      </c>
      <c r="C156" s="116" t="s">
        <v>41</v>
      </c>
      <c r="D156" s="117">
        <v>5803340238</v>
      </c>
      <c r="E156" s="117">
        <v>674342790</v>
      </c>
      <c r="F156" s="116">
        <v>11.6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.25" customHeight="1" x14ac:dyDescent="0.25">
      <c r="A157" s="116">
        <v>2008</v>
      </c>
      <c r="B157" s="116" t="s">
        <v>43</v>
      </c>
      <c r="C157" s="116" t="s">
        <v>41</v>
      </c>
      <c r="D157" s="117">
        <v>9064230111</v>
      </c>
      <c r="E157" s="117">
        <v>473035346</v>
      </c>
      <c r="F157" s="116">
        <v>5.2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.25" customHeight="1" x14ac:dyDescent="0.25">
      <c r="A158" s="116">
        <v>2008</v>
      </c>
      <c r="B158" s="116" t="s">
        <v>44</v>
      </c>
      <c r="C158" s="116" t="s">
        <v>41</v>
      </c>
      <c r="D158" s="117">
        <v>10797100637</v>
      </c>
      <c r="E158" s="117">
        <v>852425837</v>
      </c>
      <c r="F158" s="116">
        <v>7.9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.25" customHeight="1" x14ac:dyDescent="0.25">
      <c r="A159" s="116">
        <v>2008</v>
      </c>
      <c r="B159" s="116" t="s">
        <v>45</v>
      </c>
      <c r="C159" s="116" t="s">
        <v>41</v>
      </c>
      <c r="D159" s="117">
        <v>24821681467</v>
      </c>
      <c r="E159" s="117">
        <v>2450750015</v>
      </c>
      <c r="F159" s="116">
        <v>9.9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.25" customHeight="1" x14ac:dyDescent="0.25">
      <c r="A160" s="116">
        <v>2008</v>
      </c>
      <c r="B160" s="116" t="s">
        <v>46</v>
      </c>
      <c r="C160" s="116" t="s">
        <v>47</v>
      </c>
      <c r="D160" s="117">
        <v>24507863150</v>
      </c>
      <c r="E160" s="117">
        <v>7685061778</v>
      </c>
      <c r="F160" s="116">
        <v>31.4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.25" customHeight="1" x14ac:dyDescent="0.25">
      <c r="A161" s="116">
        <v>2008</v>
      </c>
      <c r="B161" s="116" t="s">
        <v>48</v>
      </c>
      <c r="C161" s="116" t="s">
        <v>47</v>
      </c>
      <c r="D161" s="117">
        <v>178412762420</v>
      </c>
      <c r="E161" s="117">
        <v>33346959727</v>
      </c>
      <c r="F161" s="116">
        <v>18.7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.25" customHeight="1" x14ac:dyDescent="0.25">
      <c r="A162" s="116">
        <v>2009</v>
      </c>
      <c r="B162" s="116" t="s">
        <v>3</v>
      </c>
      <c r="C162" s="116" t="s">
        <v>4</v>
      </c>
      <c r="D162" s="117">
        <v>22835228184</v>
      </c>
      <c r="E162" s="117">
        <v>7311696720</v>
      </c>
      <c r="F162" s="116">
        <v>32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.25" customHeight="1" x14ac:dyDescent="0.25">
      <c r="A163" s="116">
        <v>2009</v>
      </c>
      <c r="B163" s="116" t="s">
        <v>5</v>
      </c>
      <c r="C163" s="116" t="s">
        <v>4</v>
      </c>
      <c r="D163" s="117">
        <v>61801952418</v>
      </c>
      <c r="E163" s="117">
        <v>3901056597</v>
      </c>
      <c r="F163" s="116">
        <v>6.3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.25" customHeight="1" x14ac:dyDescent="0.25">
      <c r="A164" s="116">
        <v>2009</v>
      </c>
      <c r="B164" s="116" t="s">
        <v>6</v>
      </c>
      <c r="C164" s="116" t="s">
        <v>4</v>
      </c>
      <c r="D164" s="117">
        <v>9120168879</v>
      </c>
      <c r="E164" s="117">
        <v>532560975</v>
      </c>
      <c r="F164" s="116">
        <v>5.8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.25" customHeight="1" x14ac:dyDescent="0.25">
      <c r="A165" s="116">
        <v>2009</v>
      </c>
      <c r="B165" s="116" t="s">
        <v>7</v>
      </c>
      <c r="C165" s="116" t="s">
        <v>4</v>
      </c>
      <c r="D165" s="117">
        <v>17216829245</v>
      </c>
      <c r="E165" s="117">
        <v>3493055529</v>
      </c>
      <c r="F165" s="116">
        <v>20.3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.25" customHeight="1" x14ac:dyDescent="0.25">
      <c r="A166" s="116">
        <v>2009</v>
      </c>
      <c r="B166" s="116" t="s">
        <v>8</v>
      </c>
      <c r="C166" s="116" t="s">
        <v>4</v>
      </c>
      <c r="D166" s="117">
        <v>4973584490</v>
      </c>
      <c r="E166" s="117">
        <v>150211616</v>
      </c>
      <c r="F166" s="116">
        <v>3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.25" customHeight="1" x14ac:dyDescent="0.25">
      <c r="A167" s="116">
        <v>2009</v>
      </c>
      <c r="B167" s="116" t="s">
        <v>9</v>
      </c>
      <c r="C167" s="116" t="s">
        <v>4</v>
      </c>
      <c r="D167" s="117">
        <v>86924413735</v>
      </c>
      <c r="E167" s="117">
        <v>20473209528</v>
      </c>
      <c r="F167" s="116">
        <v>23.6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.25" customHeight="1" x14ac:dyDescent="0.25">
      <c r="A168" s="116">
        <v>2009</v>
      </c>
      <c r="B168" s="116" t="s">
        <v>10</v>
      </c>
      <c r="C168" s="116" t="s">
        <v>4</v>
      </c>
      <c r="D168" s="117">
        <v>564118907</v>
      </c>
      <c r="E168" s="117">
        <v>12968842</v>
      </c>
      <c r="F168" s="116">
        <v>2.2999999999999998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.25" customHeight="1" x14ac:dyDescent="0.25">
      <c r="A169" s="116">
        <v>2009</v>
      </c>
      <c r="B169" s="116" t="s">
        <v>11</v>
      </c>
      <c r="C169" s="116" t="s">
        <v>4</v>
      </c>
      <c r="D169" s="117">
        <v>5378207637</v>
      </c>
      <c r="E169" s="117">
        <v>1334952055</v>
      </c>
      <c r="F169" s="116">
        <v>24.8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.25" customHeight="1" x14ac:dyDescent="0.25">
      <c r="A170" s="116">
        <v>2009</v>
      </c>
      <c r="B170" s="116" t="s">
        <v>12</v>
      </c>
      <c r="C170" s="116" t="s">
        <v>4</v>
      </c>
      <c r="D170" s="117">
        <v>6744239871</v>
      </c>
      <c r="E170" s="117">
        <v>1560905054</v>
      </c>
      <c r="F170" s="116">
        <v>23.1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.25" customHeight="1" x14ac:dyDescent="0.25">
      <c r="A171" s="116">
        <v>2009</v>
      </c>
      <c r="B171" s="116" t="s">
        <v>13</v>
      </c>
      <c r="C171" s="116" t="s">
        <v>4</v>
      </c>
      <c r="D171" s="117">
        <v>10017846982</v>
      </c>
      <c r="E171" s="117">
        <v>1190618080</v>
      </c>
      <c r="F171" s="116">
        <v>11.9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.25" customHeight="1" x14ac:dyDescent="0.25">
      <c r="A172" s="116">
        <v>2009</v>
      </c>
      <c r="B172" s="116" t="s">
        <v>14</v>
      </c>
      <c r="C172" s="116" t="s">
        <v>4</v>
      </c>
      <c r="D172" s="117">
        <v>4690947283</v>
      </c>
      <c r="E172" s="117">
        <v>439478770</v>
      </c>
      <c r="F172" s="116">
        <v>9.4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.25" customHeight="1" x14ac:dyDescent="0.25">
      <c r="A173" s="116">
        <v>2009</v>
      </c>
      <c r="B173" s="116" t="s">
        <v>15</v>
      </c>
      <c r="C173" s="116" t="s">
        <v>4</v>
      </c>
      <c r="D173" s="117">
        <v>9455109359</v>
      </c>
      <c r="E173" s="117">
        <v>1240271588</v>
      </c>
      <c r="F173" s="116">
        <v>13.1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.25" customHeight="1" x14ac:dyDescent="0.25">
      <c r="A174" s="116">
        <v>2009</v>
      </c>
      <c r="B174" s="116" t="s">
        <v>16</v>
      </c>
      <c r="C174" s="116" t="s">
        <v>17</v>
      </c>
      <c r="D174" s="117">
        <v>1417855507</v>
      </c>
      <c r="E174" s="117">
        <v>99515468</v>
      </c>
      <c r="F174" s="116">
        <v>7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.25" customHeight="1" x14ac:dyDescent="0.25">
      <c r="A175" s="116">
        <v>2009</v>
      </c>
      <c r="B175" s="116" t="s">
        <v>18</v>
      </c>
      <c r="C175" s="116" t="s">
        <v>17</v>
      </c>
      <c r="D175" s="117">
        <v>3158693808</v>
      </c>
      <c r="E175" s="117">
        <v>485330141</v>
      </c>
      <c r="F175" s="116">
        <v>15.4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.25" customHeight="1" x14ac:dyDescent="0.25">
      <c r="A176" s="116">
        <v>2009</v>
      </c>
      <c r="B176" s="116" t="s">
        <v>19</v>
      </c>
      <c r="C176" s="116" t="s">
        <v>17</v>
      </c>
      <c r="D176" s="117">
        <v>10274475285</v>
      </c>
      <c r="E176" s="117">
        <v>2068025188</v>
      </c>
      <c r="F176" s="116">
        <v>20.100000000000001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.25" customHeight="1" x14ac:dyDescent="0.25">
      <c r="A177" s="116">
        <v>2009</v>
      </c>
      <c r="B177" s="116" t="s">
        <v>20</v>
      </c>
      <c r="C177" s="116" t="s">
        <v>17</v>
      </c>
      <c r="D177" s="117">
        <v>2541454383</v>
      </c>
      <c r="E177" s="117">
        <v>466876316</v>
      </c>
      <c r="F177" s="116">
        <v>18.399999999999999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.25" customHeight="1" x14ac:dyDescent="0.25">
      <c r="A178" s="116">
        <v>2009</v>
      </c>
      <c r="B178" s="116" t="s">
        <v>21</v>
      </c>
      <c r="C178" s="116" t="s">
        <v>17</v>
      </c>
      <c r="D178" s="117">
        <v>3837150854</v>
      </c>
      <c r="E178" s="117">
        <v>617507857</v>
      </c>
      <c r="F178" s="116">
        <v>16.100000000000001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.25" customHeight="1" x14ac:dyDescent="0.25">
      <c r="A179" s="116">
        <v>2009</v>
      </c>
      <c r="B179" s="116" t="s">
        <v>22</v>
      </c>
      <c r="C179" s="116" t="s">
        <v>17</v>
      </c>
      <c r="D179" s="117">
        <v>2888012700</v>
      </c>
      <c r="E179" s="117">
        <v>270270445</v>
      </c>
      <c r="F179" s="116">
        <v>9.4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.25" customHeight="1" x14ac:dyDescent="0.25">
      <c r="A180" s="116">
        <v>2009</v>
      </c>
      <c r="B180" s="116" t="s">
        <v>23</v>
      </c>
      <c r="C180" s="116" t="s">
        <v>17</v>
      </c>
      <c r="D180" s="117">
        <v>3264309519</v>
      </c>
      <c r="E180" s="117">
        <v>371903179</v>
      </c>
      <c r="F180" s="116">
        <v>11.4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.25" customHeight="1" x14ac:dyDescent="0.25">
      <c r="A181" s="116">
        <v>2009</v>
      </c>
      <c r="B181" s="116" t="s">
        <v>24</v>
      </c>
      <c r="C181" s="116" t="s">
        <v>17</v>
      </c>
      <c r="D181" s="117">
        <v>35070527360</v>
      </c>
      <c r="E181" s="117">
        <v>2008822094</v>
      </c>
      <c r="F181" s="116">
        <v>5.7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.25" customHeight="1" x14ac:dyDescent="0.25">
      <c r="A182" s="116">
        <v>2009</v>
      </c>
      <c r="B182" s="116" t="s">
        <v>25</v>
      </c>
      <c r="C182" s="116" t="s">
        <v>17</v>
      </c>
      <c r="D182" s="117">
        <v>3461034991</v>
      </c>
      <c r="E182" s="117">
        <v>428082317</v>
      </c>
      <c r="F182" s="116">
        <v>12.4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.25" customHeight="1" x14ac:dyDescent="0.25">
      <c r="A183" s="116">
        <v>2009</v>
      </c>
      <c r="B183" s="116" t="s">
        <v>26</v>
      </c>
      <c r="C183" s="116" t="s">
        <v>27</v>
      </c>
      <c r="D183" s="117">
        <v>52159785888</v>
      </c>
      <c r="E183" s="117">
        <v>15112333104</v>
      </c>
      <c r="F183" s="116">
        <v>29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.25" customHeight="1" x14ac:dyDescent="0.25">
      <c r="A184" s="116">
        <v>2009</v>
      </c>
      <c r="B184" s="116" t="s">
        <v>28</v>
      </c>
      <c r="C184" s="116" t="s">
        <v>27</v>
      </c>
      <c r="D184" s="117">
        <v>65830765918</v>
      </c>
      <c r="E184" s="117">
        <v>18498339972</v>
      </c>
      <c r="F184" s="116">
        <v>28.1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.25" customHeight="1" x14ac:dyDescent="0.25">
      <c r="A185" s="116">
        <v>2009</v>
      </c>
      <c r="B185" s="116" t="s">
        <v>29</v>
      </c>
      <c r="C185" s="116" t="s">
        <v>27</v>
      </c>
      <c r="D185" s="117">
        <v>25565414400</v>
      </c>
      <c r="E185" s="117">
        <v>5229101223</v>
      </c>
      <c r="F185" s="116">
        <v>20.5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customHeight="1" x14ac:dyDescent="0.25">
      <c r="A186" s="116">
        <v>2009</v>
      </c>
      <c r="B186" s="116" t="s">
        <v>30</v>
      </c>
      <c r="C186" s="116" t="s">
        <v>27</v>
      </c>
      <c r="D186" s="117">
        <v>56689701816</v>
      </c>
      <c r="E186" s="117">
        <v>13840131136</v>
      </c>
      <c r="F186" s="116">
        <v>24.4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.25" customHeight="1" x14ac:dyDescent="0.25">
      <c r="A187" s="116">
        <v>2009</v>
      </c>
      <c r="B187" s="116" t="s">
        <v>31</v>
      </c>
      <c r="C187" s="116" t="s">
        <v>27</v>
      </c>
      <c r="D187" s="117">
        <v>17527588226</v>
      </c>
      <c r="E187" s="117">
        <v>6346787240</v>
      </c>
      <c r="F187" s="116">
        <v>36.200000000000003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customHeight="1" x14ac:dyDescent="0.25">
      <c r="A188" s="116">
        <v>2009</v>
      </c>
      <c r="B188" s="116" t="s">
        <v>32</v>
      </c>
      <c r="C188" s="116" t="s">
        <v>27</v>
      </c>
      <c r="D188" s="117">
        <v>26478097443</v>
      </c>
      <c r="E188" s="117">
        <v>5512486843</v>
      </c>
      <c r="F188" s="116">
        <v>20.8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.25" customHeight="1" x14ac:dyDescent="0.25">
      <c r="A189" s="116">
        <v>2009</v>
      </c>
      <c r="B189" s="116" t="s">
        <v>33</v>
      </c>
      <c r="C189" s="116" t="s">
        <v>27</v>
      </c>
      <c r="D189" s="117">
        <v>54400813036</v>
      </c>
      <c r="E189" s="117">
        <v>18072444293</v>
      </c>
      <c r="F189" s="116">
        <v>33.200000000000003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.25" customHeight="1" x14ac:dyDescent="0.25">
      <c r="A190" s="116">
        <v>2009</v>
      </c>
      <c r="B190" s="116" t="s">
        <v>34</v>
      </c>
      <c r="C190" s="116" t="s">
        <v>35</v>
      </c>
      <c r="D190" s="117">
        <v>9134756610</v>
      </c>
      <c r="E190" s="117">
        <v>411951945</v>
      </c>
      <c r="F190" s="116">
        <v>4.5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.25" customHeight="1" x14ac:dyDescent="0.25">
      <c r="A191" s="116">
        <v>2009</v>
      </c>
      <c r="B191" s="116" t="s">
        <v>36</v>
      </c>
      <c r="C191" s="116" t="s">
        <v>35</v>
      </c>
      <c r="D191" s="117">
        <v>40495595841</v>
      </c>
      <c r="E191" s="117">
        <v>4125220696</v>
      </c>
      <c r="F191" s="116">
        <v>10.199999999999999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.25" customHeight="1" x14ac:dyDescent="0.25">
      <c r="A192" s="116">
        <v>2009</v>
      </c>
      <c r="B192" s="116" t="s">
        <v>37</v>
      </c>
      <c r="C192" s="116" t="s">
        <v>35</v>
      </c>
      <c r="D192" s="117">
        <v>4575854253</v>
      </c>
      <c r="E192" s="117">
        <v>776242064</v>
      </c>
      <c r="F192" s="116">
        <v>17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.25" customHeight="1" x14ac:dyDescent="0.25">
      <c r="A193" s="116">
        <v>2009</v>
      </c>
      <c r="B193" s="116" t="s">
        <v>38</v>
      </c>
      <c r="C193" s="116" t="s">
        <v>35</v>
      </c>
      <c r="D193" s="117">
        <v>8326390288</v>
      </c>
      <c r="E193" s="117">
        <v>554673116</v>
      </c>
      <c r="F193" s="116">
        <v>6.7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.25" customHeight="1" x14ac:dyDescent="0.25">
      <c r="A194" s="116">
        <v>2009</v>
      </c>
      <c r="B194" s="116" t="s">
        <v>39</v>
      </c>
      <c r="C194" s="116" t="s">
        <v>35</v>
      </c>
      <c r="D194" s="117">
        <v>18850009623</v>
      </c>
      <c r="E194" s="117">
        <v>2683764576</v>
      </c>
      <c r="F194" s="116">
        <v>14.2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.25" customHeight="1" x14ac:dyDescent="0.25">
      <c r="A195" s="116">
        <v>2009</v>
      </c>
      <c r="B195" s="116" t="s">
        <v>40</v>
      </c>
      <c r="C195" s="116" t="s">
        <v>41</v>
      </c>
      <c r="D195" s="117">
        <v>8092418672</v>
      </c>
      <c r="E195" s="117">
        <v>450101676</v>
      </c>
      <c r="F195" s="116">
        <v>5.6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.25" customHeight="1" x14ac:dyDescent="0.25">
      <c r="A196" s="116">
        <v>2009</v>
      </c>
      <c r="B196" s="116" t="s">
        <v>42</v>
      </c>
      <c r="C196" s="116" t="s">
        <v>41</v>
      </c>
      <c r="D196" s="117">
        <v>5148813911</v>
      </c>
      <c r="E196" s="117">
        <v>797228443</v>
      </c>
      <c r="F196" s="116">
        <v>15.5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.25" customHeight="1" x14ac:dyDescent="0.25">
      <c r="A197" s="116">
        <v>2009</v>
      </c>
      <c r="B197" s="116" t="s">
        <v>43</v>
      </c>
      <c r="C197" s="116" t="s">
        <v>41</v>
      </c>
      <c r="D197" s="117">
        <v>7629640786</v>
      </c>
      <c r="E197" s="117">
        <v>575826744</v>
      </c>
      <c r="F197" s="116">
        <v>7.5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.25" customHeight="1" x14ac:dyDescent="0.25">
      <c r="A198" s="116">
        <v>2009</v>
      </c>
      <c r="B198" s="116" t="s">
        <v>44</v>
      </c>
      <c r="C198" s="116" t="s">
        <v>41</v>
      </c>
      <c r="D198" s="117">
        <v>9206319269</v>
      </c>
      <c r="E198" s="117">
        <v>996882925</v>
      </c>
      <c r="F198" s="116">
        <v>10.8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.25" customHeight="1" x14ac:dyDescent="0.25">
      <c r="A199" s="116">
        <v>2009</v>
      </c>
      <c r="B199" s="116" t="s">
        <v>45</v>
      </c>
      <c r="C199" s="116" t="s">
        <v>41</v>
      </c>
      <c r="D199" s="117">
        <v>21023683070</v>
      </c>
      <c r="E199" s="117">
        <v>3044136383</v>
      </c>
      <c r="F199" s="116">
        <v>14.5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.25" customHeight="1" x14ac:dyDescent="0.25">
      <c r="A200" s="116">
        <v>2009</v>
      </c>
      <c r="B200" s="116" t="s">
        <v>46</v>
      </c>
      <c r="C200" s="116" t="s">
        <v>47</v>
      </c>
      <c r="D200" s="117">
        <v>23278233995</v>
      </c>
      <c r="E200" s="117">
        <v>8387571252</v>
      </c>
      <c r="F200" s="116">
        <v>36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.25" customHeight="1" x14ac:dyDescent="0.25">
      <c r="A201" s="116">
        <v>2009</v>
      </c>
      <c r="B201" s="116" t="s">
        <v>48</v>
      </c>
      <c r="C201" s="116" t="s">
        <v>47</v>
      </c>
      <c r="D201" s="117">
        <v>231979443474</v>
      </c>
      <c r="E201" s="117">
        <v>89779576556</v>
      </c>
      <c r="F201" s="116">
        <v>38.700000000000003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.25" customHeight="1" x14ac:dyDescent="0.25">
      <c r="A202" s="116">
        <v>2010</v>
      </c>
      <c r="B202" s="116" t="s">
        <v>3</v>
      </c>
      <c r="C202" s="116" t="s">
        <v>4</v>
      </c>
      <c r="D202" s="117">
        <v>27822553085</v>
      </c>
      <c r="E202" s="117">
        <v>9085105827</v>
      </c>
      <c r="F202" s="116">
        <v>32.700000000000003</v>
      </c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.25" customHeight="1" x14ac:dyDescent="0.25">
      <c r="A203" s="116">
        <v>2010</v>
      </c>
      <c r="B203" s="116" t="s">
        <v>5</v>
      </c>
      <c r="C203" s="116" t="s">
        <v>4</v>
      </c>
      <c r="D203" s="117">
        <v>76469151761</v>
      </c>
      <c r="E203" s="117">
        <v>6773334427</v>
      </c>
      <c r="F203" s="116">
        <v>8.9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.25" customHeight="1" x14ac:dyDescent="0.25">
      <c r="A204" s="116">
        <v>2010</v>
      </c>
      <c r="B204" s="116" t="s">
        <v>6</v>
      </c>
      <c r="C204" s="116" t="s">
        <v>4</v>
      </c>
      <c r="D204" s="117">
        <v>11239865265</v>
      </c>
      <c r="E204" s="117">
        <v>712082243</v>
      </c>
      <c r="F204" s="116">
        <v>6.3</v>
      </c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.25" customHeight="1" x14ac:dyDescent="0.25">
      <c r="A205" s="116">
        <v>2010</v>
      </c>
      <c r="B205" s="116" t="s">
        <v>7</v>
      </c>
      <c r="C205" s="116" t="s">
        <v>4</v>
      </c>
      <c r="D205" s="117">
        <v>20564906937</v>
      </c>
      <c r="E205" s="117">
        <v>4968635858</v>
      </c>
      <c r="F205" s="116">
        <v>24.2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.25" customHeight="1" x14ac:dyDescent="0.25">
      <c r="A206" s="116">
        <v>2010</v>
      </c>
      <c r="B206" s="116" t="s">
        <v>8</v>
      </c>
      <c r="C206" s="116" t="s">
        <v>4</v>
      </c>
      <c r="D206" s="117">
        <v>7358319180</v>
      </c>
      <c r="E206" s="117">
        <v>274791982</v>
      </c>
      <c r="F206" s="116">
        <v>3.7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.25" customHeight="1" x14ac:dyDescent="0.25">
      <c r="A207" s="116">
        <v>2010</v>
      </c>
      <c r="B207" s="116" t="s">
        <v>9</v>
      </c>
      <c r="C207" s="116" t="s">
        <v>4</v>
      </c>
      <c r="D207" s="117">
        <v>98501428510</v>
      </c>
      <c r="E207" s="117">
        <v>24631752371</v>
      </c>
      <c r="F207" s="116">
        <v>25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.25" customHeight="1" x14ac:dyDescent="0.25">
      <c r="A208" s="116">
        <v>2010</v>
      </c>
      <c r="B208" s="116" t="s">
        <v>10</v>
      </c>
      <c r="C208" s="116" t="s">
        <v>4</v>
      </c>
      <c r="D208" s="117">
        <v>635279336</v>
      </c>
      <c r="E208" s="117">
        <v>17803468</v>
      </c>
      <c r="F208" s="116">
        <v>2.8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.25" customHeight="1" x14ac:dyDescent="0.25">
      <c r="A209" s="116">
        <v>2010</v>
      </c>
      <c r="B209" s="116" t="s">
        <v>11</v>
      </c>
      <c r="C209" s="116" t="s">
        <v>4</v>
      </c>
      <c r="D209" s="117">
        <v>7013845425</v>
      </c>
      <c r="E209" s="117">
        <v>1990580926</v>
      </c>
      <c r="F209" s="116">
        <v>28.4</v>
      </c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.25" customHeight="1" x14ac:dyDescent="0.25">
      <c r="A210" s="116">
        <v>2010</v>
      </c>
      <c r="B210" s="116" t="s">
        <v>12</v>
      </c>
      <c r="C210" s="116" t="s">
        <v>4</v>
      </c>
      <c r="D210" s="117">
        <v>8914969073</v>
      </c>
      <c r="E210" s="117">
        <v>2225425374</v>
      </c>
      <c r="F210" s="116">
        <v>25</v>
      </c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.25" customHeight="1" x14ac:dyDescent="0.25">
      <c r="A211" s="116">
        <v>2010</v>
      </c>
      <c r="B211" s="116" t="s">
        <v>13</v>
      </c>
      <c r="C211" s="116" t="s">
        <v>4</v>
      </c>
      <c r="D211" s="117">
        <v>12753860116</v>
      </c>
      <c r="E211" s="117">
        <v>1667176209</v>
      </c>
      <c r="F211" s="116">
        <v>13.1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.25" customHeight="1" x14ac:dyDescent="0.25">
      <c r="A212" s="116">
        <v>2010</v>
      </c>
      <c r="B212" s="116" t="s">
        <v>14</v>
      </c>
      <c r="C212" s="116" t="s">
        <v>4</v>
      </c>
      <c r="D212" s="117">
        <v>6079271907</v>
      </c>
      <c r="E212" s="117">
        <v>642303561</v>
      </c>
      <c r="F212" s="116">
        <v>10.6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.25" customHeight="1" x14ac:dyDescent="0.25">
      <c r="A213" s="116">
        <v>2010</v>
      </c>
      <c r="B213" s="116" t="s">
        <v>15</v>
      </c>
      <c r="C213" s="116" t="s">
        <v>4</v>
      </c>
      <c r="D213" s="117">
        <v>10111278531</v>
      </c>
      <c r="E213" s="117">
        <v>1630755943</v>
      </c>
      <c r="F213" s="116">
        <v>16.100000000000001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.25" customHeight="1" x14ac:dyDescent="0.25">
      <c r="A214" s="116">
        <v>2010</v>
      </c>
      <c r="B214" s="116" t="s">
        <v>16</v>
      </c>
      <c r="C214" s="116" t="s">
        <v>17</v>
      </c>
      <c r="D214" s="117">
        <v>1378792489</v>
      </c>
      <c r="E214" s="117">
        <v>150793701</v>
      </c>
      <c r="F214" s="116">
        <v>10.9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.25" customHeight="1" x14ac:dyDescent="0.25">
      <c r="A215" s="116">
        <v>2010</v>
      </c>
      <c r="B215" s="116" t="s">
        <v>18</v>
      </c>
      <c r="C215" s="116" t="s">
        <v>17</v>
      </c>
      <c r="D215" s="117">
        <v>3077801125</v>
      </c>
      <c r="E215" s="117">
        <v>617356899</v>
      </c>
      <c r="F215" s="116">
        <v>20.100000000000001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.25" customHeight="1" x14ac:dyDescent="0.25">
      <c r="A216" s="116">
        <v>2010</v>
      </c>
      <c r="B216" s="116" t="s">
        <v>19</v>
      </c>
      <c r="C216" s="116" t="s">
        <v>17</v>
      </c>
      <c r="D216" s="117">
        <v>10005003287</v>
      </c>
      <c r="E216" s="117">
        <v>2148073001</v>
      </c>
      <c r="F216" s="116">
        <v>21.5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.25" customHeight="1" x14ac:dyDescent="0.25">
      <c r="A217" s="116">
        <v>2010</v>
      </c>
      <c r="B217" s="116" t="s">
        <v>20</v>
      </c>
      <c r="C217" s="116" t="s">
        <v>17</v>
      </c>
      <c r="D217" s="117">
        <v>2626167810</v>
      </c>
      <c r="E217" s="117">
        <v>578461089</v>
      </c>
      <c r="F217" s="116">
        <v>22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.25" customHeight="1" x14ac:dyDescent="0.25">
      <c r="A218" s="116">
        <v>2010</v>
      </c>
      <c r="B218" s="116" t="s">
        <v>21</v>
      </c>
      <c r="C218" s="116" t="s">
        <v>17</v>
      </c>
      <c r="D218" s="117">
        <v>4383600966</v>
      </c>
      <c r="E218" s="117">
        <v>819906144</v>
      </c>
      <c r="F218" s="116">
        <v>18.7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.25" customHeight="1" x14ac:dyDescent="0.25">
      <c r="A219" s="116">
        <v>2010</v>
      </c>
      <c r="B219" s="116" t="s">
        <v>22</v>
      </c>
      <c r="C219" s="116" t="s">
        <v>17</v>
      </c>
      <c r="D219" s="117">
        <v>2934685765</v>
      </c>
      <c r="E219" s="117">
        <v>377063172</v>
      </c>
      <c r="F219" s="116">
        <v>12.8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.25" customHeight="1" x14ac:dyDescent="0.25">
      <c r="A220" s="116">
        <v>2010</v>
      </c>
      <c r="B220" s="116" t="s">
        <v>23</v>
      </c>
      <c r="C220" s="116" t="s">
        <v>17</v>
      </c>
      <c r="D220" s="117">
        <v>3412797127</v>
      </c>
      <c r="E220" s="117">
        <v>489627393</v>
      </c>
      <c r="F220" s="116">
        <v>14.3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.25" customHeight="1" x14ac:dyDescent="0.25">
      <c r="A221" s="116">
        <v>2010</v>
      </c>
      <c r="B221" s="116" t="s">
        <v>24</v>
      </c>
      <c r="C221" s="116" t="s">
        <v>17</v>
      </c>
      <c r="D221" s="117">
        <v>40373869944</v>
      </c>
      <c r="E221" s="117">
        <v>3426988138</v>
      </c>
      <c r="F221" s="116">
        <v>8.5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.25" customHeight="1" x14ac:dyDescent="0.25">
      <c r="A222" s="116">
        <v>2010</v>
      </c>
      <c r="B222" s="116" t="s">
        <v>25</v>
      </c>
      <c r="C222" s="116" t="s">
        <v>17</v>
      </c>
      <c r="D222" s="117">
        <v>3743822754</v>
      </c>
      <c r="E222" s="117">
        <v>555555019</v>
      </c>
      <c r="F222" s="116">
        <v>14.8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.25" customHeight="1" x14ac:dyDescent="0.25">
      <c r="A223" s="116">
        <v>2010</v>
      </c>
      <c r="B223" s="116" t="s">
        <v>26</v>
      </c>
      <c r="C223" s="116" t="s">
        <v>27</v>
      </c>
      <c r="D223" s="117">
        <v>51887808722</v>
      </c>
      <c r="E223" s="117">
        <v>16475482134</v>
      </c>
      <c r="F223" s="116">
        <v>31.8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.25" customHeight="1" x14ac:dyDescent="0.25">
      <c r="A224" s="116">
        <v>2010</v>
      </c>
      <c r="B224" s="116" t="s">
        <v>28</v>
      </c>
      <c r="C224" s="116" t="s">
        <v>27</v>
      </c>
      <c r="D224" s="117">
        <v>66295315858</v>
      </c>
      <c r="E224" s="117">
        <v>19921049861</v>
      </c>
      <c r="F224" s="116">
        <v>30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.25" customHeight="1" x14ac:dyDescent="0.25">
      <c r="A225" s="116">
        <v>2010</v>
      </c>
      <c r="B225" s="116" t="s">
        <v>29</v>
      </c>
      <c r="C225" s="116" t="s">
        <v>27</v>
      </c>
      <c r="D225" s="117">
        <v>25368446111</v>
      </c>
      <c r="E225" s="117">
        <v>5920872560</v>
      </c>
      <c r="F225" s="116">
        <v>23.3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.25" customHeight="1" x14ac:dyDescent="0.25">
      <c r="A226" s="116">
        <v>2010</v>
      </c>
      <c r="B226" s="116" t="s">
        <v>30</v>
      </c>
      <c r="C226" s="116" t="s">
        <v>27</v>
      </c>
      <c r="D226" s="117">
        <v>54328538041</v>
      </c>
      <c r="E226" s="117">
        <v>14302196748</v>
      </c>
      <c r="F226" s="116">
        <v>26.3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.25" customHeight="1" x14ac:dyDescent="0.25">
      <c r="A227" s="116">
        <v>2010</v>
      </c>
      <c r="B227" s="116" t="s">
        <v>31</v>
      </c>
      <c r="C227" s="116" t="s">
        <v>27</v>
      </c>
      <c r="D227" s="117">
        <v>17640906292</v>
      </c>
      <c r="E227" s="117">
        <v>6949040519</v>
      </c>
      <c r="F227" s="116">
        <v>39.4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.25" customHeight="1" x14ac:dyDescent="0.25">
      <c r="A228" s="116">
        <v>2010</v>
      </c>
      <c r="B228" s="116" t="s">
        <v>32</v>
      </c>
      <c r="C228" s="116" t="s">
        <v>27</v>
      </c>
      <c r="D228" s="117">
        <v>26308713445</v>
      </c>
      <c r="E228" s="117">
        <v>6529153859</v>
      </c>
      <c r="F228" s="116">
        <v>24.8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.25" customHeight="1" x14ac:dyDescent="0.25">
      <c r="A229" s="116">
        <v>2010</v>
      </c>
      <c r="B229" s="116" t="s">
        <v>33</v>
      </c>
      <c r="C229" s="116" t="s">
        <v>27</v>
      </c>
      <c r="D229" s="117">
        <v>56248188727</v>
      </c>
      <c r="E229" s="117">
        <v>20119817516</v>
      </c>
      <c r="F229" s="116">
        <v>35.799999999999997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.25" customHeight="1" x14ac:dyDescent="0.25">
      <c r="A230" s="116">
        <v>2010</v>
      </c>
      <c r="B230" s="116" t="s">
        <v>34</v>
      </c>
      <c r="C230" s="116" t="s">
        <v>35</v>
      </c>
      <c r="D230" s="117">
        <v>9529447067</v>
      </c>
      <c r="E230" s="117">
        <v>626452550</v>
      </c>
      <c r="F230" s="116">
        <v>6.6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.25" customHeight="1" x14ac:dyDescent="0.25">
      <c r="A231" s="116">
        <v>2010</v>
      </c>
      <c r="B231" s="116" t="s">
        <v>36</v>
      </c>
      <c r="C231" s="116" t="s">
        <v>35</v>
      </c>
      <c r="D231" s="117">
        <v>41631254893</v>
      </c>
      <c r="E231" s="117">
        <v>5249878000</v>
      </c>
      <c r="F231" s="116">
        <v>12.6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.25" customHeight="1" x14ac:dyDescent="0.25">
      <c r="A232" s="116">
        <v>2010</v>
      </c>
      <c r="B232" s="116" t="s">
        <v>37</v>
      </c>
      <c r="C232" s="116" t="s">
        <v>35</v>
      </c>
      <c r="D232" s="117">
        <v>4831785982</v>
      </c>
      <c r="E232" s="117">
        <v>946233368</v>
      </c>
      <c r="F232" s="116">
        <v>19.600000000000001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.25" customHeight="1" x14ac:dyDescent="0.25">
      <c r="A233" s="116">
        <v>2010</v>
      </c>
      <c r="B233" s="116" t="s">
        <v>38</v>
      </c>
      <c r="C233" s="116" t="s">
        <v>35</v>
      </c>
      <c r="D233" s="117">
        <v>9233683302</v>
      </c>
      <c r="E233" s="117">
        <v>982648541</v>
      </c>
      <c r="F233" s="116">
        <v>10.6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.25" customHeight="1" x14ac:dyDescent="0.25">
      <c r="A234" s="116">
        <v>2010</v>
      </c>
      <c r="B234" s="116" t="s">
        <v>39</v>
      </c>
      <c r="C234" s="116" t="s">
        <v>35</v>
      </c>
      <c r="D234" s="117">
        <v>21694690981</v>
      </c>
      <c r="E234" s="117">
        <v>3516276678</v>
      </c>
      <c r="F234" s="116">
        <v>16.2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.25" customHeight="1" x14ac:dyDescent="0.25">
      <c r="A235" s="116">
        <v>2010</v>
      </c>
      <c r="B235" s="116" t="s">
        <v>40</v>
      </c>
      <c r="C235" s="116" t="s">
        <v>41</v>
      </c>
      <c r="D235" s="117">
        <v>8398682081</v>
      </c>
      <c r="E235" s="117">
        <v>590376562</v>
      </c>
      <c r="F235" s="116">
        <v>7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.25" customHeight="1" x14ac:dyDescent="0.25">
      <c r="A236" s="116">
        <v>2010</v>
      </c>
      <c r="B236" s="116" t="s">
        <v>42</v>
      </c>
      <c r="C236" s="116" t="s">
        <v>41</v>
      </c>
      <c r="D236" s="117">
        <v>5399878072</v>
      </c>
      <c r="E236" s="117">
        <v>879941354</v>
      </c>
      <c r="F236" s="116">
        <v>16.3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.25" customHeight="1" x14ac:dyDescent="0.25">
      <c r="A237" s="116">
        <v>2010</v>
      </c>
      <c r="B237" s="116" t="s">
        <v>43</v>
      </c>
      <c r="C237" s="116" t="s">
        <v>41</v>
      </c>
      <c r="D237" s="117">
        <v>7862496185</v>
      </c>
      <c r="E237" s="117">
        <v>770288236</v>
      </c>
      <c r="F237" s="116">
        <v>9.8000000000000007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.25" customHeight="1" x14ac:dyDescent="0.25">
      <c r="A238" s="116">
        <v>2010</v>
      </c>
      <c r="B238" s="116" t="s">
        <v>44</v>
      </c>
      <c r="C238" s="116" t="s">
        <v>41</v>
      </c>
      <c r="D238" s="117">
        <v>9579052147</v>
      </c>
      <c r="E238" s="117">
        <v>1178779983</v>
      </c>
      <c r="F238" s="116">
        <v>12.3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.25" customHeight="1" x14ac:dyDescent="0.25">
      <c r="A239" s="116">
        <v>2010</v>
      </c>
      <c r="B239" s="116" t="s">
        <v>45</v>
      </c>
      <c r="C239" s="116" t="s">
        <v>41</v>
      </c>
      <c r="D239" s="117">
        <v>23047165983</v>
      </c>
      <c r="E239" s="117">
        <v>4064700988</v>
      </c>
      <c r="F239" s="116">
        <v>17.600000000000001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.25" customHeight="1" x14ac:dyDescent="0.25">
      <c r="A240" s="116">
        <v>2010</v>
      </c>
      <c r="B240" s="116" t="s">
        <v>46</v>
      </c>
      <c r="C240" s="116" t="s">
        <v>47</v>
      </c>
      <c r="D240" s="117">
        <v>28216453567</v>
      </c>
      <c r="E240" s="117">
        <v>10208632828</v>
      </c>
      <c r="F240" s="116">
        <v>36.200000000000003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.25" customHeight="1" x14ac:dyDescent="0.25">
      <c r="A241" s="116">
        <v>2010</v>
      </c>
      <c r="B241" s="116" t="s">
        <v>48</v>
      </c>
      <c r="C241" s="116" t="s">
        <v>47</v>
      </c>
      <c r="D241" s="117">
        <v>254705582643</v>
      </c>
      <c r="E241" s="117">
        <v>99999370441</v>
      </c>
      <c r="F241" s="116">
        <v>39.299999999999997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.25" customHeight="1" x14ac:dyDescent="0.25">
      <c r="A242" s="116">
        <v>2011</v>
      </c>
      <c r="B242" s="116" t="s">
        <v>3</v>
      </c>
      <c r="C242" s="116" t="s">
        <v>4</v>
      </c>
      <c r="D242" s="117">
        <v>33707772181</v>
      </c>
      <c r="E242" s="117">
        <v>11341425257</v>
      </c>
      <c r="F242" s="116">
        <v>33.6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.25" customHeight="1" x14ac:dyDescent="0.25">
      <c r="A243" s="116">
        <v>2011</v>
      </c>
      <c r="B243" s="116" t="s">
        <v>5</v>
      </c>
      <c r="C243" s="116" t="s">
        <v>4</v>
      </c>
      <c r="D243" s="117">
        <v>91339166671</v>
      </c>
      <c r="E243" s="117">
        <v>10129166104</v>
      </c>
      <c r="F243" s="116">
        <v>11.1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.25" customHeight="1" x14ac:dyDescent="0.25">
      <c r="A244" s="116">
        <v>2011</v>
      </c>
      <c r="B244" s="116" t="s">
        <v>6</v>
      </c>
      <c r="C244" s="116" t="s">
        <v>4</v>
      </c>
      <c r="D244" s="117">
        <v>13104402818</v>
      </c>
      <c r="E244" s="117">
        <v>923769805</v>
      </c>
      <c r="F244" s="116">
        <v>7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.25" customHeight="1" x14ac:dyDescent="0.25">
      <c r="A245" s="116">
        <v>2011</v>
      </c>
      <c r="B245" s="116" t="s">
        <v>7</v>
      </c>
      <c r="C245" s="116" t="s">
        <v>4</v>
      </c>
      <c r="D245" s="117">
        <v>22437388186</v>
      </c>
      <c r="E245" s="117">
        <v>6132711960</v>
      </c>
      <c r="F245" s="116">
        <v>27.3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.25" customHeight="1" x14ac:dyDescent="0.25">
      <c r="A246" s="116">
        <v>2011</v>
      </c>
      <c r="B246" s="116" t="s">
        <v>8</v>
      </c>
      <c r="C246" s="116" t="s">
        <v>4</v>
      </c>
      <c r="D246" s="117">
        <v>9844796637</v>
      </c>
      <c r="E246" s="117">
        <v>469959720</v>
      </c>
      <c r="F246" s="116">
        <v>4.8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.25" customHeight="1" x14ac:dyDescent="0.25">
      <c r="A247" s="116">
        <v>2011</v>
      </c>
      <c r="B247" s="116" t="s">
        <v>9</v>
      </c>
      <c r="C247" s="116" t="s">
        <v>4</v>
      </c>
      <c r="D247" s="117">
        <v>104800283699</v>
      </c>
      <c r="E247" s="117">
        <v>28622384774</v>
      </c>
      <c r="F247" s="116">
        <v>27.3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.25" customHeight="1" x14ac:dyDescent="0.25">
      <c r="A248" s="116">
        <v>2011</v>
      </c>
      <c r="B248" s="116" t="s">
        <v>10</v>
      </c>
      <c r="C248" s="116" t="s">
        <v>4</v>
      </c>
      <c r="D248" s="117">
        <v>776049474</v>
      </c>
      <c r="E248" s="117">
        <v>24733903</v>
      </c>
      <c r="F248" s="116">
        <v>3.2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.25" customHeight="1" x14ac:dyDescent="0.25">
      <c r="A249" s="116">
        <v>2011</v>
      </c>
      <c r="B249" s="116" t="s">
        <v>11</v>
      </c>
      <c r="C249" s="116" t="s">
        <v>4</v>
      </c>
      <c r="D249" s="117">
        <v>8477351056</v>
      </c>
      <c r="E249" s="117">
        <v>2475301705</v>
      </c>
      <c r="F249" s="116">
        <v>29.2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.25" customHeight="1" x14ac:dyDescent="0.25">
      <c r="A250" s="116">
        <v>2011</v>
      </c>
      <c r="B250" s="116" t="s">
        <v>12</v>
      </c>
      <c r="C250" s="116" t="s">
        <v>4</v>
      </c>
      <c r="D250" s="117">
        <v>9760790904</v>
      </c>
      <c r="E250" s="117">
        <v>2541605701</v>
      </c>
      <c r="F250" s="116">
        <v>26</v>
      </c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.25" customHeight="1" x14ac:dyDescent="0.25">
      <c r="A251" s="116">
        <v>2011</v>
      </c>
      <c r="B251" s="116" t="s">
        <v>13</v>
      </c>
      <c r="C251" s="116" t="s">
        <v>4</v>
      </c>
      <c r="D251" s="117">
        <v>14414025730</v>
      </c>
      <c r="E251" s="117">
        <v>2391129978</v>
      </c>
      <c r="F251" s="116">
        <v>16.600000000000001</v>
      </c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.25" customHeight="1" x14ac:dyDescent="0.25">
      <c r="A252" s="116">
        <v>2011</v>
      </c>
      <c r="B252" s="116" t="s">
        <v>14</v>
      </c>
      <c r="C252" s="116" t="s">
        <v>4</v>
      </c>
      <c r="D252" s="117">
        <v>7064299789</v>
      </c>
      <c r="E252" s="117">
        <v>820232259</v>
      </c>
      <c r="F252" s="116">
        <v>11.6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.25" customHeight="1" x14ac:dyDescent="0.25">
      <c r="A253" s="116">
        <v>2011</v>
      </c>
      <c r="B253" s="116" t="s">
        <v>15</v>
      </c>
      <c r="C253" s="116" t="s">
        <v>4</v>
      </c>
      <c r="D253" s="117">
        <v>11410450666</v>
      </c>
      <c r="E253" s="117">
        <v>2167533916</v>
      </c>
      <c r="F253" s="116">
        <v>19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.25" customHeight="1" x14ac:dyDescent="0.25">
      <c r="A254" s="116">
        <v>2011</v>
      </c>
      <c r="B254" s="116" t="s">
        <v>16</v>
      </c>
      <c r="C254" s="116" t="s">
        <v>17</v>
      </c>
      <c r="D254" s="117">
        <v>1427256282</v>
      </c>
      <c r="E254" s="117">
        <v>195999575</v>
      </c>
      <c r="F254" s="116">
        <v>13.7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.25" customHeight="1" x14ac:dyDescent="0.25">
      <c r="A255" s="116">
        <v>2011</v>
      </c>
      <c r="B255" s="116" t="s">
        <v>18</v>
      </c>
      <c r="C255" s="116" t="s">
        <v>17</v>
      </c>
      <c r="D255" s="117">
        <v>3357420388</v>
      </c>
      <c r="E255" s="117">
        <v>769114116</v>
      </c>
      <c r="F255" s="116">
        <v>22.9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.25" customHeight="1" x14ac:dyDescent="0.25">
      <c r="A256" s="116">
        <v>2011</v>
      </c>
      <c r="B256" s="116" t="s">
        <v>19</v>
      </c>
      <c r="C256" s="116" t="s">
        <v>17</v>
      </c>
      <c r="D256" s="117">
        <v>10250227712</v>
      </c>
      <c r="E256" s="117">
        <v>2281026783</v>
      </c>
      <c r="F256" s="116">
        <v>22.3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.25" customHeight="1" x14ac:dyDescent="0.25">
      <c r="A257" s="116">
        <v>2011</v>
      </c>
      <c r="B257" s="116" t="s">
        <v>20</v>
      </c>
      <c r="C257" s="116" t="s">
        <v>17</v>
      </c>
      <c r="D257" s="117">
        <v>2798191950</v>
      </c>
      <c r="E257" s="117">
        <v>646395175</v>
      </c>
      <c r="F257" s="116">
        <v>23.1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.25" customHeight="1" x14ac:dyDescent="0.25">
      <c r="A258" s="116">
        <v>2011</v>
      </c>
      <c r="B258" s="116" t="s">
        <v>21</v>
      </c>
      <c r="C258" s="116" t="s">
        <v>17</v>
      </c>
      <c r="D258" s="117">
        <v>4799167700</v>
      </c>
      <c r="E258" s="117">
        <v>1027670863</v>
      </c>
      <c r="F258" s="116">
        <v>21.4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.25" customHeight="1" x14ac:dyDescent="0.25">
      <c r="A259" s="116">
        <v>2011</v>
      </c>
      <c r="B259" s="116" t="s">
        <v>22</v>
      </c>
      <c r="C259" s="116" t="s">
        <v>17</v>
      </c>
      <c r="D259" s="117">
        <v>4250959401</v>
      </c>
      <c r="E259" s="117">
        <v>507783775</v>
      </c>
      <c r="F259" s="116">
        <v>11.9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.25" customHeight="1" x14ac:dyDescent="0.25">
      <c r="A260" s="116">
        <v>2011</v>
      </c>
      <c r="B260" s="116" t="s">
        <v>23</v>
      </c>
      <c r="C260" s="116" t="s">
        <v>17</v>
      </c>
      <c r="D260" s="117">
        <v>3486284770</v>
      </c>
      <c r="E260" s="117">
        <v>567966403</v>
      </c>
      <c r="F260" s="116">
        <v>16.3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.25" customHeight="1" x14ac:dyDescent="0.25">
      <c r="A261" s="116">
        <v>2011</v>
      </c>
      <c r="B261" s="116" t="s">
        <v>24</v>
      </c>
      <c r="C261" s="116" t="s">
        <v>17</v>
      </c>
      <c r="D261" s="117">
        <v>42416367019</v>
      </c>
      <c r="E261" s="117">
        <v>5194668095</v>
      </c>
      <c r="F261" s="116">
        <v>12.2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.25" customHeight="1" x14ac:dyDescent="0.25">
      <c r="A262" s="116">
        <v>2011</v>
      </c>
      <c r="B262" s="116" t="s">
        <v>25</v>
      </c>
      <c r="C262" s="116" t="s">
        <v>17</v>
      </c>
      <c r="D262" s="117">
        <v>4433361675</v>
      </c>
      <c r="E262" s="117">
        <v>758853452</v>
      </c>
      <c r="F262" s="116">
        <v>17.100000000000001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.25" customHeight="1" x14ac:dyDescent="0.25">
      <c r="A263" s="116">
        <v>2011</v>
      </c>
      <c r="B263" s="116" t="s">
        <v>26</v>
      </c>
      <c r="C263" s="116" t="s">
        <v>27</v>
      </c>
      <c r="D263" s="117">
        <v>54523679982</v>
      </c>
      <c r="E263" s="117">
        <v>18559302170</v>
      </c>
      <c r="F263" s="116">
        <v>34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.25" customHeight="1" x14ac:dyDescent="0.25">
      <c r="A264" s="116">
        <v>2011</v>
      </c>
      <c r="B264" s="116" t="s">
        <v>28</v>
      </c>
      <c r="C264" s="116" t="s">
        <v>27</v>
      </c>
      <c r="D264" s="117">
        <v>75854534521</v>
      </c>
      <c r="E264" s="117">
        <v>25318154687</v>
      </c>
      <c r="F264" s="116">
        <v>33.4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.25" customHeight="1" x14ac:dyDescent="0.25">
      <c r="A265" s="116">
        <v>2011</v>
      </c>
      <c r="B265" s="116" t="s">
        <v>29</v>
      </c>
      <c r="C265" s="116" t="s">
        <v>27</v>
      </c>
      <c r="D265" s="117">
        <v>28548040959</v>
      </c>
      <c r="E265" s="117">
        <v>7540125221</v>
      </c>
      <c r="F265" s="116">
        <v>26.4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.25" customHeight="1" x14ac:dyDescent="0.25">
      <c r="A266" s="116">
        <v>2011</v>
      </c>
      <c r="B266" s="116" t="s">
        <v>30</v>
      </c>
      <c r="C266" s="116" t="s">
        <v>27</v>
      </c>
      <c r="D266" s="117">
        <v>58797366785</v>
      </c>
      <c r="E266" s="117">
        <v>17605938748</v>
      </c>
      <c r="F266" s="116">
        <v>29.9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.25" customHeight="1" x14ac:dyDescent="0.25">
      <c r="A267" s="116">
        <v>2011</v>
      </c>
      <c r="B267" s="116" t="s">
        <v>31</v>
      </c>
      <c r="C267" s="116" t="s">
        <v>27</v>
      </c>
      <c r="D267" s="117">
        <v>19652490548</v>
      </c>
      <c r="E267" s="117">
        <v>9507718925</v>
      </c>
      <c r="F267" s="116">
        <v>48.4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.25" customHeight="1" x14ac:dyDescent="0.25">
      <c r="A268" s="116">
        <v>2011</v>
      </c>
      <c r="B268" s="116" t="s">
        <v>32</v>
      </c>
      <c r="C268" s="116" t="s">
        <v>27</v>
      </c>
      <c r="D268" s="117">
        <v>28023155266</v>
      </c>
      <c r="E268" s="117">
        <v>8089681209</v>
      </c>
      <c r="F268" s="116">
        <v>28.9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.25" customHeight="1" x14ac:dyDescent="0.25">
      <c r="A269" s="116">
        <v>2011</v>
      </c>
      <c r="B269" s="116" t="s">
        <v>33</v>
      </c>
      <c r="C269" s="116" t="s">
        <v>27</v>
      </c>
      <c r="D269" s="117">
        <v>55275457516</v>
      </c>
      <c r="E269" s="117">
        <v>27523290487</v>
      </c>
      <c r="F269" s="116">
        <v>49.8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.25" customHeight="1" x14ac:dyDescent="0.25">
      <c r="A270" s="116">
        <v>2011</v>
      </c>
      <c r="B270" s="116" t="s">
        <v>34</v>
      </c>
      <c r="C270" s="116" t="s">
        <v>35</v>
      </c>
      <c r="D270" s="117">
        <v>9797783465</v>
      </c>
      <c r="E270" s="117">
        <v>892870897</v>
      </c>
      <c r="F270" s="116">
        <v>9.1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.25" customHeight="1" x14ac:dyDescent="0.25">
      <c r="A271" s="116">
        <v>2011</v>
      </c>
      <c r="B271" s="116" t="s">
        <v>36</v>
      </c>
      <c r="C271" s="116" t="s">
        <v>35</v>
      </c>
      <c r="D271" s="117">
        <v>42231796879</v>
      </c>
      <c r="E271" s="117">
        <v>6613921181</v>
      </c>
      <c r="F271" s="116">
        <v>15.7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.25" customHeight="1" x14ac:dyDescent="0.25">
      <c r="A272" s="116">
        <v>2011</v>
      </c>
      <c r="B272" s="116" t="s">
        <v>37</v>
      </c>
      <c r="C272" s="116" t="s">
        <v>35</v>
      </c>
      <c r="D272" s="117">
        <v>5067704419</v>
      </c>
      <c r="E272" s="117">
        <v>1135478670</v>
      </c>
      <c r="F272" s="116">
        <v>22.4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.25" customHeight="1" x14ac:dyDescent="0.25">
      <c r="A273" s="116">
        <v>2011</v>
      </c>
      <c r="B273" s="116" t="s">
        <v>38</v>
      </c>
      <c r="C273" s="116" t="s">
        <v>35</v>
      </c>
      <c r="D273" s="117">
        <v>9809682734</v>
      </c>
      <c r="E273" s="117">
        <v>1435724048</v>
      </c>
      <c r="F273" s="116">
        <v>14.6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.25" customHeight="1" x14ac:dyDescent="0.25">
      <c r="A274" s="116">
        <v>2011</v>
      </c>
      <c r="B274" s="116" t="s">
        <v>39</v>
      </c>
      <c r="C274" s="116" t="s">
        <v>35</v>
      </c>
      <c r="D274" s="117">
        <v>22019735856</v>
      </c>
      <c r="E274" s="117">
        <v>4239828518</v>
      </c>
      <c r="F274" s="116">
        <v>19.3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.25" customHeight="1" x14ac:dyDescent="0.25">
      <c r="A275" s="116">
        <v>2011</v>
      </c>
      <c r="B275" s="116" t="s">
        <v>40</v>
      </c>
      <c r="C275" s="116" t="s">
        <v>41</v>
      </c>
      <c r="D275" s="117">
        <v>6312946666</v>
      </c>
      <c r="E275" s="117">
        <v>495280545</v>
      </c>
      <c r="F275" s="116">
        <v>7.8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.25" customHeight="1" x14ac:dyDescent="0.25">
      <c r="A276" s="116">
        <v>2011</v>
      </c>
      <c r="B276" s="116" t="s">
        <v>42</v>
      </c>
      <c r="C276" s="116" t="s">
        <v>41</v>
      </c>
      <c r="D276" s="117">
        <v>6642576703</v>
      </c>
      <c r="E276" s="117">
        <v>1149990163</v>
      </c>
      <c r="F276" s="116">
        <v>17.3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.25" customHeight="1" x14ac:dyDescent="0.25">
      <c r="A277" s="116">
        <v>2011</v>
      </c>
      <c r="B277" s="116" t="s">
        <v>43</v>
      </c>
      <c r="C277" s="116" t="s">
        <v>41</v>
      </c>
      <c r="D277" s="117">
        <v>7824385225</v>
      </c>
      <c r="E277" s="117">
        <v>924752693</v>
      </c>
      <c r="F277" s="116">
        <v>11.8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.25" customHeight="1" x14ac:dyDescent="0.25">
      <c r="A278" s="116">
        <v>2011</v>
      </c>
      <c r="B278" s="116" t="s">
        <v>44</v>
      </c>
      <c r="C278" s="116" t="s">
        <v>41</v>
      </c>
      <c r="D278" s="117">
        <v>9667993245</v>
      </c>
      <c r="E278" s="117">
        <v>1384178881</v>
      </c>
      <c r="F278" s="116">
        <v>14.3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.25" customHeight="1" x14ac:dyDescent="0.25">
      <c r="A279" s="116">
        <v>2011</v>
      </c>
      <c r="B279" s="116" t="s">
        <v>45</v>
      </c>
      <c r="C279" s="116" t="s">
        <v>41</v>
      </c>
      <c r="D279" s="117">
        <v>26015514494</v>
      </c>
      <c r="E279" s="117">
        <v>5160164214</v>
      </c>
      <c r="F279" s="116">
        <v>19.8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.25" customHeight="1" x14ac:dyDescent="0.25">
      <c r="A280" s="116">
        <v>2011</v>
      </c>
      <c r="B280" s="116" t="s">
        <v>46</v>
      </c>
      <c r="C280" s="116" t="s">
        <v>47</v>
      </c>
      <c r="D280" s="117">
        <v>33269695336</v>
      </c>
      <c r="E280" s="117">
        <v>11993039305</v>
      </c>
      <c r="F280" s="116">
        <v>36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.25" customHeight="1" x14ac:dyDescent="0.25">
      <c r="A281" s="116">
        <v>2011</v>
      </c>
      <c r="B281" s="116" t="s">
        <v>48</v>
      </c>
      <c r="C281" s="116" t="s">
        <v>47</v>
      </c>
      <c r="D281" s="117">
        <v>279632120158</v>
      </c>
      <c r="E281" s="117">
        <v>111700429153</v>
      </c>
      <c r="F281" s="116">
        <v>39.9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.25" customHeight="1" x14ac:dyDescent="0.25">
      <c r="A282" s="116">
        <v>2012</v>
      </c>
      <c r="B282" s="116" t="s">
        <v>3</v>
      </c>
      <c r="C282" s="116" t="s">
        <v>4</v>
      </c>
      <c r="D282" s="117">
        <v>34898150171</v>
      </c>
      <c r="E282" s="117">
        <v>12302276429</v>
      </c>
      <c r="F282" s="116">
        <v>35.299999999999997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.25" customHeight="1" x14ac:dyDescent="0.25">
      <c r="A283" s="116">
        <v>2012</v>
      </c>
      <c r="B283" s="116" t="s">
        <v>5</v>
      </c>
      <c r="C283" s="116" t="s">
        <v>4</v>
      </c>
      <c r="D283" s="117">
        <v>107924320431</v>
      </c>
      <c r="E283" s="117">
        <v>14321702319</v>
      </c>
      <c r="F283" s="116">
        <v>13.3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.25" customHeight="1" x14ac:dyDescent="0.25">
      <c r="A284" s="116">
        <v>2012</v>
      </c>
      <c r="B284" s="116" t="s">
        <v>6</v>
      </c>
      <c r="C284" s="116" t="s">
        <v>4</v>
      </c>
      <c r="D284" s="117">
        <v>13703613429</v>
      </c>
      <c r="E284" s="117">
        <v>1245731135</v>
      </c>
      <c r="F284" s="116">
        <v>9.1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.25" customHeight="1" x14ac:dyDescent="0.25">
      <c r="A285" s="116">
        <v>2012</v>
      </c>
      <c r="B285" s="116" t="s">
        <v>7</v>
      </c>
      <c r="C285" s="116" t="s">
        <v>4</v>
      </c>
      <c r="D285" s="117">
        <v>22394862659</v>
      </c>
      <c r="E285" s="117">
        <v>5948895699</v>
      </c>
      <c r="F285" s="116">
        <v>26.6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.25" customHeight="1" x14ac:dyDescent="0.25">
      <c r="A286" s="116">
        <v>2012</v>
      </c>
      <c r="B286" s="116" t="s">
        <v>8</v>
      </c>
      <c r="C286" s="116" t="s">
        <v>4</v>
      </c>
      <c r="D286" s="117">
        <v>10709669263</v>
      </c>
      <c r="E286" s="117">
        <v>784465121</v>
      </c>
      <c r="F286" s="116">
        <v>7.3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.25" customHeight="1" x14ac:dyDescent="0.25">
      <c r="A287" s="116">
        <v>2012</v>
      </c>
      <c r="B287" s="116" t="s">
        <v>9</v>
      </c>
      <c r="C287" s="116" t="s">
        <v>4</v>
      </c>
      <c r="D287" s="117">
        <v>105593825382</v>
      </c>
      <c r="E287" s="117">
        <v>32427913030</v>
      </c>
      <c r="F287" s="116">
        <v>30.7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.25" customHeight="1" x14ac:dyDescent="0.25">
      <c r="A288" s="116">
        <v>2012</v>
      </c>
      <c r="B288" s="116" t="s">
        <v>10</v>
      </c>
      <c r="C288" s="116" t="s">
        <v>4</v>
      </c>
      <c r="D288" s="117">
        <v>822790046</v>
      </c>
      <c r="E288" s="117">
        <v>41139503</v>
      </c>
      <c r="F288" s="116">
        <v>5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.25" customHeight="1" x14ac:dyDescent="0.25">
      <c r="A289" s="116">
        <v>2012</v>
      </c>
      <c r="B289" s="116" t="s">
        <v>11</v>
      </c>
      <c r="C289" s="116" t="s">
        <v>4</v>
      </c>
      <c r="D289" s="117">
        <v>9017429177</v>
      </c>
      <c r="E289" s="117">
        <v>2789436443</v>
      </c>
      <c r="F289" s="116">
        <v>30.9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.25" customHeight="1" x14ac:dyDescent="0.25">
      <c r="A290" s="116">
        <v>2012</v>
      </c>
      <c r="B290" s="116" t="s">
        <v>12</v>
      </c>
      <c r="C290" s="116" t="s">
        <v>4</v>
      </c>
      <c r="D290" s="117">
        <v>10581338025</v>
      </c>
      <c r="E290" s="117">
        <v>2960955118</v>
      </c>
      <c r="F290" s="116">
        <v>28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.25" customHeight="1" x14ac:dyDescent="0.25">
      <c r="A291" s="116">
        <v>2012</v>
      </c>
      <c r="B291" s="116" t="s">
        <v>13</v>
      </c>
      <c r="C291" s="116" t="s">
        <v>4</v>
      </c>
      <c r="D291" s="117">
        <v>15130892069</v>
      </c>
      <c r="E291" s="117">
        <v>3438797102</v>
      </c>
      <c r="F291" s="116">
        <v>22.7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.25" customHeight="1" x14ac:dyDescent="0.25">
      <c r="A292" s="116">
        <v>2012</v>
      </c>
      <c r="B292" s="116" t="s">
        <v>14</v>
      </c>
      <c r="C292" s="116" t="s">
        <v>4</v>
      </c>
      <c r="D292" s="117">
        <v>8757544910</v>
      </c>
      <c r="E292" s="117">
        <v>1144680324</v>
      </c>
      <c r="F292" s="116">
        <v>13.1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.25" customHeight="1" x14ac:dyDescent="0.25">
      <c r="A293" s="116">
        <v>2012</v>
      </c>
      <c r="B293" s="116" t="s">
        <v>15</v>
      </c>
      <c r="C293" s="116" t="s">
        <v>4</v>
      </c>
      <c r="D293" s="117">
        <v>11435325683</v>
      </c>
      <c r="E293" s="117">
        <v>2460755124</v>
      </c>
      <c r="F293" s="116">
        <v>21.5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.25" customHeight="1" x14ac:dyDescent="0.25">
      <c r="A294" s="116">
        <v>2012</v>
      </c>
      <c r="B294" s="116" t="s">
        <v>16</v>
      </c>
      <c r="C294" s="116" t="s">
        <v>17</v>
      </c>
      <c r="D294" s="117">
        <v>1511351635</v>
      </c>
      <c r="E294" s="117">
        <v>249833080</v>
      </c>
      <c r="F294" s="116">
        <v>16.5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.25" customHeight="1" x14ac:dyDescent="0.25">
      <c r="A295" s="116">
        <v>2012</v>
      </c>
      <c r="B295" s="116" t="s">
        <v>18</v>
      </c>
      <c r="C295" s="116" t="s">
        <v>17</v>
      </c>
      <c r="D295" s="117">
        <v>3419521766</v>
      </c>
      <c r="E295" s="117">
        <v>853457077</v>
      </c>
      <c r="F295" s="116">
        <v>25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.25" customHeight="1" x14ac:dyDescent="0.25">
      <c r="A296" s="116">
        <v>2012</v>
      </c>
      <c r="B296" s="116" t="s">
        <v>19</v>
      </c>
      <c r="C296" s="116" t="s">
        <v>17</v>
      </c>
      <c r="D296" s="117">
        <v>9983336772</v>
      </c>
      <c r="E296" s="117">
        <v>2412140334</v>
      </c>
      <c r="F296" s="116">
        <v>24.2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.25" customHeight="1" x14ac:dyDescent="0.25">
      <c r="A297" s="116">
        <v>2012</v>
      </c>
      <c r="B297" s="116" t="s">
        <v>20</v>
      </c>
      <c r="C297" s="116" t="s">
        <v>17</v>
      </c>
      <c r="D297" s="117">
        <v>2330047885</v>
      </c>
      <c r="E297" s="117">
        <v>651335642</v>
      </c>
      <c r="F297" s="116">
        <v>28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.25" customHeight="1" x14ac:dyDescent="0.25">
      <c r="A298" s="116">
        <v>2012</v>
      </c>
      <c r="B298" s="116" t="s">
        <v>21</v>
      </c>
      <c r="C298" s="116" t="s">
        <v>17</v>
      </c>
      <c r="D298" s="117">
        <v>5233866911</v>
      </c>
      <c r="E298" s="117">
        <v>1217636058</v>
      </c>
      <c r="F298" s="116">
        <v>23.3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.25" customHeight="1" x14ac:dyDescent="0.25">
      <c r="A299" s="116">
        <v>2012</v>
      </c>
      <c r="B299" s="116" t="s">
        <v>22</v>
      </c>
      <c r="C299" s="116" t="s">
        <v>17</v>
      </c>
      <c r="D299" s="117">
        <v>2168186819</v>
      </c>
      <c r="E299" s="117">
        <v>300223407</v>
      </c>
      <c r="F299" s="116">
        <v>13.8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.25" customHeight="1" x14ac:dyDescent="0.25">
      <c r="A300" s="116">
        <v>2012</v>
      </c>
      <c r="B300" s="116" t="s">
        <v>23</v>
      </c>
      <c r="C300" s="116" t="s">
        <v>17</v>
      </c>
      <c r="D300" s="117">
        <v>3240758385</v>
      </c>
      <c r="E300" s="117">
        <v>660475894</v>
      </c>
      <c r="F300" s="116">
        <v>20.399999999999999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.25" customHeight="1" x14ac:dyDescent="0.25">
      <c r="A301" s="116">
        <v>2012</v>
      </c>
      <c r="B301" s="116" t="s">
        <v>24</v>
      </c>
      <c r="C301" s="116" t="s">
        <v>17</v>
      </c>
      <c r="D301" s="117">
        <v>43737208222</v>
      </c>
      <c r="E301" s="117">
        <v>7604698539</v>
      </c>
      <c r="F301" s="116">
        <v>17.399999999999999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.25" customHeight="1" x14ac:dyDescent="0.25">
      <c r="A302" s="116">
        <v>2012</v>
      </c>
      <c r="B302" s="116" t="s">
        <v>25</v>
      </c>
      <c r="C302" s="116" t="s">
        <v>17</v>
      </c>
      <c r="D302" s="117">
        <v>4275127003</v>
      </c>
      <c r="E302" s="117">
        <v>853862350</v>
      </c>
      <c r="F302" s="116">
        <v>20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.25" customHeight="1" x14ac:dyDescent="0.25">
      <c r="A303" s="116">
        <v>2012</v>
      </c>
      <c r="B303" s="116" t="s">
        <v>26</v>
      </c>
      <c r="C303" s="116" t="s">
        <v>27</v>
      </c>
      <c r="D303" s="117">
        <v>52906790792</v>
      </c>
      <c r="E303" s="117">
        <v>19024243926</v>
      </c>
      <c r="F303" s="116">
        <v>36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.25" customHeight="1" x14ac:dyDescent="0.25">
      <c r="A304" s="116">
        <v>2012</v>
      </c>
      <c r="B304" s="116" t="s">
        <v>28</v>
      </c>
      <c r="C304" s="116" t="s">
        <v>27</v>
      </c>
      <c r="D304" s="117">
        <v>74915148845</v>
      </c>
      <c r="E304" s="117">
        <v>25271135264</v>
      </c>
      <c r="F304" s="116">
        <v>33.700000000000003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.25" customHeight="1" x14ac:dyDescent="0.25">
      <c r="A305" s="116">
        <v>2012</v>
      </c>
      <c r="B305" s="116" t="s">
        <v>29</v>
      </c>
      <c r="C305" s="116" t="s">
        <v>27</v>
      </c>
      <c r="D305" s="117">
        <v>26786234577</v>
      </c>
      <c r="E305" s="117">
        <v>7544638769</v>
      </c>
      <c r="F305" s="116">
        <v>28.2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.25" customHeight="1" x14ac:dyDescent="0.25">
      <c r="A306" s="116">
        <v>2012</v>
      </c>
      <c r="B306" s="116" t="s">
        <v>30</v>
      </c>
      <c r="C306" s="116" t="s">
        <v>27</v>
      </c>
      <c r="D306" s="117">
        <v>56156081940</v>
      </c>
      <c r="E306" s="117">
        <v>18871236047</v>
      </c>
      <c r="F306" s="116">
        <v>33.6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.25" customHeight="1" x14ac:dyDescent="0.25">
      <c r="A307" s="116">
        <v>2012</v>
      </c>
      <c r="B307" s="116" t="s">
        <v>31</v>
      </c>
      <c r="C307" s="116" t="s">
        <v>27</v>
      </c>
      <c r="D307" s="117">
        <v>19819453646</v>
      </c>
      <c r="E307" s="117">
        <v>10074389968</v>
      </c>
      <c r="F307" s="116">
        <v>50.8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.25" customHeight="1" x14ac:dyDescent="0.25">
      <c r="A308" s="116">
        <v>2012</v>
      </c>
      <c r="B308" s="116" t="s">
        <v>32</v>
      </c>
      <c r="C308" s="116" t="s">
        <v>27</v>
      </c>
      <c r="D308" s="117">
        <v>26071098002</v>
      </c>
      <c r="E308" s="117">
        <v>8729508695</v>
      </c>
      <c r="F308" s="116">
        <v>33.5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.25" customHeight="1" x14ac:dyDescent="0.25">
      <c r="A309" s="116">
        <v>2012</v>
      </c>
      <c r="B309" s="116" t="s">
        <v>33</v>
      </c>
      <c r="C309" s="116" t="s">
        <v>27</v>
      </c>
      <c r="D309" s="117">
        <v>63285267930</v>
      </c>
      <c r="E309" s="117">
        <v>30433461027</v>
      </c>
      <c r="F309" s="116">
        <v>48.1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.25" customHeight="1" x14ac:dyDescent="0.25">
      <c r="A310" s="116">
        <v>2012</v>
      </c>
      <c r="B310" s="116" t="s">
        <v>34</v>
      </c>
      <c r="C310" s="116" t="s">
        <v>35</v>
      </c>
      <c r="D310" s="117">
        <v>9589350117</v>
      </c>
      <c r="E310" s="117">
        <v>1144581205</v>
      </c>
      <c r="F310" s="116">
        <v>11.9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.25" customHeight="1" x14ac:dyDescent="0.25">
      <c r="A311" s="116">
        <v>2012</v>
      </c>
      <c r="B311" s="116" t="s">
        <v>36</v>
      </c>
      <c r="C311" s="116" t="s">
        <v>35</v>
      </c>
      <c r="D311" s="117">
        <v>40849915679</v>
      </c>
      <c r="E311" s="117">
        <v>8072565525</v>
      </c>
      <c r="F311" s="116">
        <v>19.8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.25" customHeight="1" x14ac:dyDescent="0.25">
      <c r="A312" s="116">
        <v>2012</v>
      </c>
      <c r="B312" s="116" t="s">
        <v>37</v>
      </c>
      <c r="C312" s="116" t="s">
        <v>35</v>
      </c>
      <c r="D312" s="117">
        <v>5128334919</v>
      </c>
      <c r="E312" s="117">
        <v>1256423951</v>
      </c>
      <c r="F312" s="116">
        <v>24.5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.25" customHeight="1" x14ac:dyDescent="0.25">
      <c r="A313" s="116">
        <v>2012</v>
      </c>
      <c r="B313" s="116" t="s">
        <v>38</v>
      </c>
      <c r="C313" s="116" t="s">
        <v>35</v>
      </c>
      <c r="D313" s="117">
        <v>10492339303</v>
      </c>
      <c r="E313" s="117">
        <v>1915248703</v>
      </c>
      <c r="F313" s="116">
        <v>18.3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.25" customHeight="1" x14ac:dyDescent="0.25">
      <c r="A314" s="116">
        <v>2012</v>
      </c>
      <c r="B314" s="116" t="s">
        <v>39</v>
      </c>
      <c r="C314" s="116" t="s">
        <v>35</v>
      </c>
      <c r="D314" s="117">
        <v>23494037589</v>
      </c>
      <c r="E314" s="117">
        <v>5093887696</v>
      </c>
      <c r="F314" s="116">
        <v>21.7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.25" customHeight="1" x14ac:dyDescent="0.25">
      <c r="A315" s="116">
        <v>2012</v>
      </c>
      <c r="B315" s="116" t="s">
        <v>40</v>
      </c>
      <c r="C315" s="116" t="s">
        <v>41</v>
      </c>
      <c r="D315" s="117">
        <v>7214850360</v>
      </c>
      <c r="E315" s="117">
        <v>628053427</v>
      </c>
      <c r="F315" s="116">
        <v>8.6999999999999993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.25" customHeight="1" x14ac:dyDescent="0.25">
      <c r="A316" s="116">
        <v>2012</v>
      </c>
      <c r="B316" s="116" t="s">
        <v>42</v>
      </c>
      <c r="C316" s="116" t="s">
        <v>41</v>
      </c>
      <c r="D316" s="117">
        <v>7368488547</v>
      </c>
      <c r="E316" s="117">
        <v>1367218776</v>
      </c>
      <c r="F316" s="116">
        <v>18.600000000000001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.25" customHeight="1" x14ac:dyDescent="0.25">
      <c r="A317" s="116">
        <v>2012</v>
      </c>
      <c r="B317" s="116" t="s">
        <v>43</v>
      </c>
      <c r="C317" s="116" t="s">
        <v>41</v>
      </c>
      <c r="D317" s="117">
        <v>8005986093</v>
      </c>
      <c r="E317" s="117">
        <v>1126171065</v>
      </c>
      <c r="F317" s="116">
        <v>14.1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.25" customHeight="1" x14ac:dyDescent="0.25">
      <c r="A318" s="116">
        <v>2012</v>
      </c>
      <c r="B318" s="116" t="s">
        <v>44</v>
      </c>
      <c r="C318" s="116" t="s">
        <v>41</v>
      </c>
      <c r="D318" s="117">
        <v>9885989217</v>
      </c>
      <c r="E318" s="117">
        <v>1622135281</v>
      </c>
      <c r="F318" s="116">
        <v>16.399999999999999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.25" customHeight="1" x14ac:dyDescent="0.25">
      <c r="A319" s="116">
        <v>2012</v>
      </c>
      <c r="B319" s="116" t="s">
        <v>45</v>
      </c>
      <c r="C319" s="116" t="s">
        <v>41</v>
      </c>
      <c r="D319" s="117">
        <v>29065847429</v>
      </c>
      <c r="E319" s="117">
        <v>6481222769</v>
      </c>
      <c r="F319" s="116">
        <v>22.3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.25" customHeight="1" x14ac:dyDescent="0.25">
      <c r="A320" s="116">
        <v>2012</v>
      </c>
      <c r="B320" s="116" t="s">
        <v>46</v>
      </c>
      <c r="C320" s="116" t="s">
        <v>47</v>
      </c>
      <c r="D320" s="117">
        <v>36764726111</v>
      </c>
      <c r="E320" s="117">
        <v>13090607058</v>
      </c>
      <c r="F320" s="116">
        <v>35.6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.25" customHeight="1" x14ac:dyDescent="0.25">
      <c r="A321" s="116">
        <v>2012</v>
      </c>
      <c r="B321" s="116" t="s">
        <v>48</v>
      </c>
      <c r="C321" s="116" t="s">
        <v>47</v>
      </c>
      <c r="D321" s="117">
        <v>292925051523</v>
      </c>
      <c r="E321" s="117">
        <v>121045165605</v>
      </c>
      <c r="F321" s="116">
        <v>41.3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.25" customHeight="1" x14ac:dyDescent="0.25">
      <c r="A322" s="116">
        <v>2013</v>
      </c>
      <c r="B322" s="116" t="s">
        <v>3</v>
      </c>
      <c r="C322" s="116" t="s">
        <v>4</v>
      </c>
      <c r="D322" s="117">
        <v>32502718621</v>
      </c>
      <c r="E322" s="117">
        <v>12049878540</v>
      </c>
      <c r="F322" s="116">
        <v>37.1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.25" customHeight="1" x14ac:dyDescent="0.25">
      <c r="A323" s="116">
        <v>2013</v>
      </c>
      <c r="B323" s="116" t="s">
        <v>5</v>
      </c>
      <c r="C323" s="116" t="s">
        <v>4</v>
      </c>
      <c r="D323" s="117">
        <v>117542874937</v>
      </c>
      <c r="E323" s="117">
        <v>19538627372</v>
      </c>
      <c r="F323" s="116">
        <v>16.600000000000001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.25" customHeight="1" x14ac:dyDescent="0.25">
      <c r="A324" s="116">
        <v>2013</v>
      </c>
      <c r="B324" s="116" t="s">
        <v>6</v>
      </c>
      <c r="C324" s="116" t="s">
        <v>4</v>
      </c>
      <c r="D324" s="117">
        <v>13035900282</v>
      </c>
      <c r="E324" s="117">
        <v>1305156206</v>
      </c>
      <c r="F324" s="116">
        <v>10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.25" customHeight="1" x14ac:dyDescent="0.25">
      <c r="A325" s="116">
        <v>2013</v>
      </c>
      <c r="B325" s="116" t="s">
        <v>7</v>
      </c>
      <c r="C325" s="116" t="s">
        <v>4</v>
      </c>
      <c r="D325" s="117">
        <v>22194593380</v>
      </c>
      <c r="E325" s="117">
        <v>6436561647</v>
      </c>
      <c r="F325" s="116">
        <v>29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.25" customHeight="1" x14ac:dyDescent="0.25">
      <c r="A326" s="116">
        <v>2013</v>
      </c>
      <c r="B326" s="116" t="s">
        <v>8</v>
      </c>
      <c r="C326" s="116" t="s">
        <v>4</v>
      </c>
      <c r="D326" s="117">
        <v>11604599417</v>
      </c>
      <c r="E326" s="117">
        <v>1019157127</v>
      </c>
      <c r="F326" s="116">
        <v>8.8000000000000007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.25" customHeight="1" x14ac:dyDescent="0.25">
      <c r="A327" s="116">
        <v>2013</v>
      </c>
      <c r="B327" s="116" t="s">
        <v>9</v>
      </c>
      <c r="C327" s="116" t="s">
        <v>4</v>
      </c>
      <c r="D327" s="117">
        <v>93300282212</v>
      </c>
      <c r="E327" s="117">
        <v>30878091821</v>
      </c>
      <c r="F327" s="116">
        <v>33.1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.25" customHeight="1" x14ac:dyDescent="0.25">
      <c r="A328" s="116">
        <v>2013</v>
      </c>
      <c r="B328" s="116" t="s">
        <v>10</v>
      </c>
      <c r="C328" s="116" t="s">
        <v>4</v>
      </c>
      <c r="D328" s="117">
        <v>1398816458</v>
      </c>
      <c r="E328" s="117">
        <v>101414193</v>
      </c>
      <c r="F328" s="116">
        <v>7.2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.25" customHeight="1" x14ac:dyDescent="0.25">
      <c r="A329" s="116">
        <v>2013</v>
      </c>
      <c r="B329" s="116" t="s">
        <v>11</v>
      </c>
      <c r="C329" s="116" t="s">
        <v>4</v>
      </c>
      <c r="D329" s="117">
        <v>9997185867</v>
      </c>
      <c r="E329" s="117">
        <v>3435130807</v>
      </c>
      <c r="F329" s="116">
        <v>34.4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.25" customHeight="1" x14ac:dyDescent="0.25">
      <c r="A330" s="116">
        <v>2013</v>
      </c>
      <c r="B330" s="116" t="s">
        <v>12</v>
      </c>
      <c r="C330" s="116" t="s">
        <v>4</v>
      </c>
      <c r="D330" s="117">
        <v>10505282390</v>
      </c>
      <c r="E330" s="117">
        <v>3139456073</v>
      </c>
      <c r="F330" s="116">
        <v>29.9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.25" customHeight="1" x14ac:dyDescent="0.25">
      <c r="A331" s="116">
        <v>2013</v>
      </c>
      <c r="B331" s="116" t="s">
        <v>13</v>
      </c>
      <c r="C331" s="116" t="s">
        <v>4</v>
      </c>
      <c r="D331" s="117">
        <v>14792410436</v>
      </c>
      <c r="E331" s="117">
        <v>3385944550</v>
      </c>
      <c r="F331" s="116">
        <v>22.9</v>
      </c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.25" customHeight="1" x14ac:dyDescent="0.25">
      <c r="A332" s="116">
        <v>2013</v>
      </c>
      <c r="B332" s="116" t="s">
        <v>14</v>
      </c>
      <c r="C332" s="116" t="s">
        <v>4</v>
      </c>
      <c r="D332" s="117">
        <v>9193950596</v>
      </c>
      <c r="E332" s="117">
        <v>1179074256</v>
      </c>
      <c r="F332" s="116">
        <v>12.8</v>
      </c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.25" customHeight="1" x14ac:dyDescent="0.25">
      <c r="A333" s="116">
        <v>2013</v>
      </c>
      <c r="B333" s="116" t="s">
        <v>15</v>
      </c>
      <c r="C333" s="116" t="s">
        <v>4</v>
      </c>
      <c r="D333" s="117">
        <v>12681772520</v>
      </c>
      <c r="E333" s="117">
        <v>3075462289</v>
      </c>
      <c r="F333" s="116">
        <v>24.3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.25" customHeight="1" x14ac:dyDescent="0.25">
      <c r="A334" s="116">
        <v>2013</v>
      </c>
      <c r="B334" s="116" t="s">
        <v>16</v>
      </c>
      <c r="C334" s="116" t="s">
        <v>17</v>
      </c>
      <c r="D334" s="117">
        <v>1481267323</v>
      </c>
      <c r="E334" s="117">
        <v>309080331</v>
      </c>
      <c r="F334" s="116">
        <v>20.9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.25" customHeight="1" x14ac:dyDescent="0.25">
      <c r="A335" s="116">
        <v>2013</v>
      </c>
      <c r="B335" s="116" t="s">
        <v>18</v>
      </c>
      <c r="C335" s="116" t="s">
        <v>17</v>
      </c>
      <c r="D335" s="117">
        <v>3094702549</v>
      </c>
      <c r="E335" s="117">
        <v>884715111</v>
      </c>
      <c r="F335" s="116">
        <v>28.6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.25" customHeight="1" x14ac:dyDescent="0.25">
      <c r="A336" s="116">
        <v>2013</v>
      </c>
      <c r="B336" s="116" t="s">
        <v>19</v>
      </c>
      <c r="C336" s="116" t="s">
        <v>17</v>
      </c>
      <c r="D336" s="117">
        <v>9017891069</v>
      </c>
      <c r="E336" s="117">
        <v>2312616006</v>
      </c>
      <c r="F336" s="116">
        <v>25.6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.25" customHeight="1" x14ac:dyDescent="0.25">
      <c r="A337" s="116">
        <v>2013</v>
      </c>
      <c r="B337" s="116" t="s">
        <v>20</v>
      </c>
      <c r="C337" s="116" t="s">
        <v>17</v>
      </c>
      <c r="D337" s="117">
        <v>2258954286</v>
      </c>
      <c r="E337" s="117">
        <v>724966844</v>
      </c>
      <c r="F337" s="116">
        <v>32.1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.25" customHeight="1" x14ac:dyDescent="0.25">
      <c r="A338" s="116">
        <v>2013</v>
      </c>
      <c r="B338" s="116" t="s">
        <v>21</v>
      </c>
      <c r="C338" s="116" t="s">
        <v>17</v>
      </c>
      <c r="D338" s="117">
        <v>5272155242</v>
      </c>
      <c r="E338" s="117">
        <v>1299050268</v>
      </c>
      <c r="F338" s="116">
        <v>24.6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.25" customHeight="1" x14ac:dyDescent="0.25">
      <c r="A339" s="116">
        <v>2013</v>
      </c>
      <c r="B339" s="116" t="s">
        <v>22</v>
      </c>
      <c r="C339" s="116" t="s">
        <v>17</v>
      </c>
      <c r="D339" s="117">
        <v>2049790356</v>
      </c>
      <c r="E339" s="117">
        <v>338584135</v>
      </c>
      <c r="F339" s="116">
        <v>16.5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.25" customHeight="1" x14ac:dyDescent="0.25">
      <c r="A340" s="116">
        <v>2013</v>
      </c>
      <c r="B340" s="116" t="s">
        <v>23</v>
      </c>
      <c r="C340" s="116" t="s">
        <v>17</v>
      </c>
      <c r="D340" s="117">
        <v>3148659245</v>
      </c>
      <c r="E340" s="117">
        <v>743899945</v>
      </c>
      <c r="F340" s="116">
        <v>23.6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.25" customHeight="1" x14ac:dyDescent="0.25">
      <c r="A341" s="116">
        <v>2013</v>
      </c>
      <c r="B341" s="116" t="s">
        <v>24</v>
      </c>
      <c r="C341" s="116" t="s">
        <v>17</v>
      </c>
      <c r="D341" s="117">
        <v>45106867226</v>
      </c>
      <c r="E341" s="117">
        <v>10689660159</v>
      </c>
      <c r="F341" s="116">
        <v>23.7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.25" customHeight="1" x14ac:dyDescent="0.25">
      <c r="A342" s="116">
        <v>2013</v>
      </c>
      <c r="B342" s="116" t="s">
        <v>25</v>
      </c>
      <c r="C342" s="116" t="s">
        <v>17</v>
      </c>
      <c r="D342" s="117">
        <v>4651041444</v>
      </c>
      <c r="E342" s="117">
        <v>838333411</v>
      </c>
      <c r="F342" s="116">
        <v>18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.25" customHeight="1" x14ac:dyDescent="0.25">
      <c r="A343" s="116">
        <v>2013</v>
      </c>
      <c r="B343" s="116" t="s">
        <v>26</v>
      </c>
      <c r="C343" s="116" t="s">
        <v>27</v>
      </c>
      <c r="D343" s="117">
        <v>55974527473</v>
      </c>
      <c r="E343" s="117">
        <v>20673684525</v>
      </c>
      <c r="F343" s="116">
        <v>36.9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.25" customHeight="1" x14ac:dyDescent="0.25">
      <c r="A344" s="116">
        <v>2013</v>
      </c>
      <c r="B344" s="116" t="s">
        <v>28</v>
      </c>
      <c r="C344" s="116" t="s">
        <v>27</v>
      </c>
      <c r="D344" s="117">
        <v>77624912810</v>
      </c>
      <c r="E344" s="117">
        <v>27318951786</v>
      </c>
      <c r="F344" s="116">
        <v>35.200000000000003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.25" customHeight="1" x14ac:dyDescent="0.25">
      <c r="A345" s="116">
        <v>2013</v>
      </c>
      <c r="B345" s="116" t="s">
        <v>29</v>
      </c>
      <c r="C345" s="116" t="s">
        <v>27</v>
      </c>
      <c r="D345" s="117">
        <v>27037525690</v>
      </c>
      <c r="E345" s="117">
        <v>8200863349</v>
      </c>
      <c r="F345" s="116">
        <v>30.3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.25" customHeight="1" x14ac:dyDescent="0.25">
      <c r="A346" s="116">
        <v>2013</v>
      </c>
      <c r="B346" s="116" t="s">
        <v>30</v>
      </c>
      <c r="C346" s="116" t="s">
        <v>27</v>
      </c>
      <c r="D346" s="117">
        <v>60697421119</v>
      </c>
      <c r="E346" s="117">
        <v>21646946555</v>
      </c>
      <c r="F346" s="116">
        <v>35.700000000000003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.25" customHeight="1" x14ac:dyDescent="0.25">
      <c r="A347" s="116">
        <v>2013</v>
      </c>
      <c r="B347" s="116" t="s">
        <v>31</v>
      </c>
      <c r="C347" s="116" t="s">
        <v>27</v>
      </c>
      <c r="D347" s="117">
        <v>20718872895</v>
      </c>
      <c r="E347" s="117">
        <v>10862475143</v>
      </c>
      <c r="F347" s="116">
        <v>52.4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.25" customHeight="1" x14ac:dyDescent="0.25">
      <c r="A348" s="116">
        <v>2013</v>
      </c>
      <c r="B348" s="116" t="s">
        <v>32</v>
      </c>
      <c r="C348" s="116" t="s">
        <v>27</v>
      </c>
      <c r="D348" s="117">
        <v>27053987840</v>
      </c>
      <c r="E348" s="117">
        <v>10281825669</v>
      </c>
      <c r="F348" s="116">
        <v>38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.25" customHeight="1" x14ac:dyDescent="0.25">
      <c r="A349" s="116">
        <v>2013</v>
      </c>
      <c r="B349" s="116" t="s">
        <v>33</v>
      </c>
      <c r="C349" s="116" t="s">
        <v>27</v>
      </c>
      <c r="D349" s="117">
        <v>66640690079</v>
      </c>
      <c r="E349" s="117">
        <v>32874159636</v>
      </c>
      <c r="F349" s="116">
        <v>49.3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.25" customHeight="1" x14ac:dyDescent="0.25">
      <c r="A350" s="116">
        <v>2013</v>
      </c>
      <c r="B350" s="116" t="s">
        <v>34</v>
      </c>
      <c r="C350" s="116" t="s">
        <v>35</v>
      </c>
      <c r="D350" s="117">
        <v>8546958306</v>
      </c>
      <c r="E350" s="117">
        <v>1390690265</v>
      </c>
      <c r="F350" s="116">
        <v>16.3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.25" customHeight="1" x14ac:dyDescent="0.25">
      <c r="A351" s="116">
        <v>2013</v>
      </c>
      <c r="B351" s="116" t="s">
        <v>36</v>
      </c>
      <c r="C351" s="116" t="s">
        <v>35</v>
      </c>
      <c r="D351" s="117">
        <v>35984886785</v>
      </c>
      <c r="E351" s="117">
        <v>8295193927</v>
      </c>
      <c r="F351" s="116">
        <v>23.1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.25" customHeight="1" x14ac:dyDescent="0.25">
      <c r="A352" s="116">
        <v>2013</v>
      </c>
      <c r="B352" s="116" t="s">
        <v>37</v>
      </c>
      <c r="C352" s="116" t="s">
        <v>35</v>
      </c>
      <c r="D352" s="117">
        <v>5299435566</v>
      </c>
      <c r="E352" s="117">
        <v>1469357356</v>
      </c>
      <c r="F352" s="116">
        <v>27.7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.25" customHeight="1" x14ac:dyDescent="0.25">
      <c r="A353" s="116">
        <v>2013</v>
      </c>
      <c r="B353" s="116" t="s">
        <v>38</v>
      </c>
      <c r="C353" s="116" t="s">
        <v>35</v>
      </c>
      <c r="D353" s="117">
        <v>10548000000</v>
      </c>
      <c r="E353" s="117">
        <v>2318596494</v>
      </c>
      <c r="F353" s="116">
        <v>22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.25" customHeight="1" x14ac:dyDescent="0.25">
      <c r="A354" s="116">
        <v>2013</v>
      </c>
      <c r="B354" s="116" t="s">
        <v>39</v>
      </c>
      <c r="C354" s="116" t="s">
        <v>35</v>
      </c>
      <c r="D354" s="117">
        <v>25919000000</v>
      </c>
      <c r="E354" s="117">
        <v>6303140000</v>
      </c>
      <c r="F354" s="116">
        <v>24.3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.25" customHeight="1" x14ac:dyDescent="0.25">
      <c r="A355" s="116">
        <v>2013</v>
      </c>
      <c r="B355" s="116" t="s">
        <v>40</v>
      </c>
      <c r="C355" s="116" t="s">
        <v>41</v>
      </c>
      <c r="D355" s="117">
        <v>7449323966</v>
      </c>
      <c r="E355" s="117">
        <v>702309697</v>
      </c>
      <c r="F355" s="116">
        <v>9.4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.25" customHeight="1" x14ac:dyDescent="0.25">
      <c r="A356" s="116">
        <v>2013</v>
      </c>
      <c r="B356" s="116" t="s">
        <v>42</v>
      </c>
      <c r="C356" s="116" t="s">
        <v>41</v>
      </c>
      <c r="D356" s="117">
        <v>8092318249</v>
      </c>
      <c r="E356" s="117">
        <v>1609752365</v>
      </c>
      <c r="F356" s="116">
        <v>19.899999999999999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.25" customHeight="1" x14ac:dyDescent="0.25">
      <c r="A357" s="116">
        <v>2013</v>
      </c>
      <c r="B357" s="116" t="s">
        <v>43</v>
      </c>
      <c r="C357" s="116" t="s">
        <v>41</v>
      </c>
      <c r="D357" s="117">
        <v>7917011200</v>
      </c>
      <c r="E357" s="117">
        <v>1385113886</v>
      </c>
      <c r="F357" s="116">
        <v>17.5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.25" customHeight="1" x14ac:dyDescent="0.25">
      <c r="A358" s="116">
        <v>2013</v>
      </c>
      <c r="B358" s="116" t="s">
        <v>44</v>
      </c>
      <c r="C358" s="116" t="s">
        <v>41</v>
      </c>
      <c r="D358" s="117">
        <v>10183996811</v>
      </c>
      <c r="E358" s="117">
        <v>1908452676</v>
      </c>
      <c r="F358" s="116">
        <v>18.7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.25" customHeight="1" x14ac:dyDescent="0.25">
      <c r="A359" s="116">
        <v>2013</v>
      </c>
      <c r="B359" s="116" t="s">
        <v>45</v>
      </c>
      <c r="C359" s="116" t="s">
        <v>41</v>
      </c>
      <c r="D359" s="117">
        <v>32299183505</v>
      </c>
      <c r="E359" s="117">
        <v>8000847751</v>
      </c>
      <c r="F359" s="116">
        <v>24.8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.25" customHeight="1" x14ac:dyDescent="0.25">
      <c r="A360" s="116">
        <v>2013</v>
      </c>
      <c r="B360" s="116" t="s">
        <v>46</v>
      </c>
      <c r="C360" s="116" t="s">
        <v>47</v>
      </c>
      <c r="D360" s="117">
        <v>35968843943</v>
      </c>
      <c r="E360" s="117">
        <v>13366976374</v>
      </c>
      <c r="F360" s="116">
        <v>37.200000000000003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.25" customHeight="1" x14ac:dyDescent="0.25">
      <c r="A361" s="116">
        <v>2013</v>
      </c>
      <c r="B361" s="116" t="s">
        <v>48</v>
      </c>
      <c r="C361" s="116" t="s">
        <v>47</v>
      </c>
      <c r="D361" s="117">
        <v>307706161071</v>
      </c>
      <c r="E361" s="117">
        <v>132431794805</v>
      </c>
      <c r="F361" s="116">
        <v>43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.25" customHeight="1" x14ac:dyDescent="0.25">
      <c r="A362" s="116">
        <v>2014</v>
      </c>
      <c r="B362" s="116" t="s">
        <v>3</v>
      </c>
      <c r="C362" s="116" t="s">
        <v>4</v>
      </c>
      <c r="D362" s="117">
        <v>31311526940</v>
      </c>
      <c r="E362" s="117">
        <v>11862473392</v>
      </c>
      <c r="F362" s="116">
        <v>37.9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.25" customHeight="1" x14ac:dyDescent="0.25">
      <c r="A363" s="116">
        <v>2014</v>
      </c>
      <c r="B363" s="116" t="s">
        <v>5</v>
      </c>
      <c r="C363" s="116" t="s">
        <v>4</v>
      </c>
      <c r="D363" s="117">
        <v>130212485754</v>
      </c>
      <c r="E363" s="117">
        <v>30414770748</v>
      </c>
      <c r="F363" s="116">
        <v>23.4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.25" customHeight="1" x14ac:dyDescent="0.25">
      <c r="A364" s="116">
        <v>2014</v>
      </c>
      <c r="B364" s="116" t="s">
        <v>6</v>
      </c>
      <c r="C364" s="116" t="s">
        <v>4</v>
      </c>
      <c r="D364" s="117">
        <v>13625079668</v>
      </c>
      <c r="E364" s="117">
        <v>1478296074</v>
      </c>
      <c r="F364" s="116">
        <v>10.8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.25" customHeight="1" x14ac:dyDescent="0.25">
      <c r="A365" s="116">
        <v>2014</v>
      </c>
      <c r="B365" s="116" t="s">
        <v>7</v>
      </c>
      <c r="C365" s="116" t="s">
        <v>4</v>
      </c>
      <c r="D365" s="117">
        <v>24516180502</v>
      </c>
      <c r="E365" s="117">
        <v>7789611521</v>
      </c>
      <c r="F365" s="116">
        <v>31.8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.25" customHeight="1" x14ac:dyDescent="0.25">
      <c r="A366" s="116">
        <v>2014</v>
      </c>
      <c r="B366" s="116" t="s">
        <v>8</v>
      </c>
      <c r="C366" s="116" t="s">
        <v>4</v>
      </c>
      <c r="D366" s="117">
        <v>11974814532</v>
      </c>
      <c r="E366" s="117">
        <v>1295011198</v>
      </c>
      <c r="F366" s="116">
        <v>10.8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customHeight="1" x14ac:dyDescent="0.25">
      <c r="A367" s="116">
        <v>2014</v>
      </c>
      <c r="B367" s="116" t="s">
        <v>9</v>
      </c>
      <c r="C367" s="116" t="s">
        <v>4</v>
      </c>
      <c r="D367" s="117">
        <v>92820326933</v>
      </c>
      <c r="E367" s="117">
        <v>32387648042</v>
      </c>
      <c r="F367" s="116">
        <v>34.9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.25" customHeight="1" x14ac:dyDescent="0.25">
      <c r="A368" s="116">
        <v>2014</v>
      </c>
      <c r="B368" s="116" t="s">
        <v>10</v>
      </c>
      <c r="C368" s="116" t="s">
        <v>4</v>
      </c>
      <c r="D368" s="117">
        <v>1713482469</v>
      </c>
      <c r="E368" s="117">
        <v>154213423</v>
      </c>
      <c r="F368" s="116">
        <v>9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customHeight="1" x14ac:dyDescent="0.25">
      <c r="A369" s="116">
        <v>2014</v>
      </c>
      <c r="B369" s="116" t="s">
        <v>11</v>
      </c>
      <c r="C369" s="116" t="s">
        <v>4</v>
      </c>
      <c r="D369" s="117">
        <v>9997076242</v>
      </c>
      <c r="E369" s="117">
        <v>3518183950</v>
      </c>
      <c r="F369" s="116">
        <v>35.200000000000003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.25" customHeight="1" x14ac:dyDescent="0.25">
      <c r="A370" s="116">
        <v>2014</v>
      </c>
      <c r="B370" s="116" t="s">
        <v>12</v>
      </c>
      <c r="C370" s="116" t="s">
        <v>4</v>
      </c>
      <c r="D370" s="117">
        <v>10844805340</v>
      </c>
      <c r="E370" s="117">
        <v>3431080249</v>
      </c>
      <c r="F370" s="116">
        <v>31.6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.25" customHeight="1" x14ac:dyDescent="0.25">
      <c r="A371" s="116">
        <v>2014</v>
      </c>
      <c r="B371" s="116" t="s">
        <v>13</v>
      </c>
      <c r="C371" s="116" t="s">
        <v>4</v>
      </c>
      <c r="D371" s="117">
        <v>15572460759</v>
      </c>
      <c r="E371" s="117">
        <v>4106921483</v>
      </c>
      <c r="F371" s="116">
        <v>26.4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.25" customHeight="1" x14ac:dyDescent="0.25">
      <c r="A372" s="116">
        <v>2014</v>
      </c>
      <c r="B372" s="116" t="s">
        <v>14</v>
      </c>
      <c r="C372" s="116" t="s">
        <v>4</v>
      </c>
      <c r="D372" s="117">
        <v>9573022396</v>
      </c>
      <c r="E372" s="117">
        <v>1381244159</v>
      </c>
      <c r="F372" s="116">
        <v>14.4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.25" customHeight="1" x14ac:dyDescent="0.25">
      <c r="A373" s="116">
        <v>2014</v>
      </c>
      <c r="B373" s="116" t="s">
        <v>15</v>
      </c>
      <c r="C373" s="116" t="s">
        <v>4</v>
      </c>
      <c r="D373" s="117">
        <v>11811948487</v>
      </c>
      <c r="E373" s="117">
        <v>3147523065</v>
      </c>
      <c r="F373" s="116">
        <v>26.6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.25" customHeight="1" x14ac:dyDescent="0.25">
      <c r="A374" s="116">
        <v>2014</v>
      </c>
      <c r="B374" s="116" t="s">
        <v>16</v>
      </c>
      <c r="C374" s="116" t="s">
        <v>17</v>
      </c>
      <c r="D374" s="117">
        <v>1404211092</v>
      </c>
      <c r="E374" s="117">
        <v>299341826</v>
      </c>
      <c r="F374" s="116">
        <v>21.3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.25" customHeight="1" x14ac:dyDescent="0.25">
      <c r="A375" s="116">
        <v>2014</v>
      </c>
      <c r="B375" s="116" t="s">
        <v>18</v>
      </c>
      <c r="C375" s="116" t="s">
        <v>17</v>
      </c>
      <c r="D375" s="117">
        <v>3154488641</v>
      </c>
      <c r="E375" s="117">
        <v>927977419</v>
      </c>
      <c r="F375" s="116">
        <v>29.4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.25" customHeight="1" x14ac:dyDescent="0.25">
      <c r="A376" s="116">
        <v>2014</v>
      </c>
      <c r="B376" s="116" t="s">
        <v>19</v>
      </c>
      <c r="C376" s="116" t="s">
        <v>17</v>
      </c>
      <c r="D376" s="117">
        <v>6743358017</v>
      </c>
      <c r="E376" s="117">
        <v>1282512384</v>
      </c>
      <c r="F376" s="116">
        <v>19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.25" customHeight="1" x14ac:dyDescent="0.25">
      <c r="A377" s="116">
        <v>2014</v>
      </c>
      <c r="B377" s="116" t="s">
        <v>20</v>
      </c>
      <c r="C377" s="116" t="s">
        <v>17</v>
      </c>
      <c r="D377" s="117">
        <v>2335105879</v>
      </c>
      <c r="E377" s="117">
        <v>784418716</v>
      </c>
      <c r="F377" s="116">
        <v>33.6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.25" customHeight="1" x14ac:dyDescent="0.25">
      <c r="A378" s="116">
        <v>2014</v>
      </c>
      <c r="B378" s="116" t="s">
        <v>21</v>
      </c>
      <c r="C378" s="116" t="s">
        <v>17</v>
      </c>
      <c r="D378" s="117">
        <v>5670447431</v>
      </c>
      <c r="E378" s="117">
        <v>1685522644</v>
      </c>
      <c r="F378" s="116">
        <v>29.7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.25" customHeight="1" x14ac:dyDescent="0.25">
      <c r="A379" s="116">
        <v>2014</v>
      </c>
      <c r="B379" s="116" t="s">
        <v>22</v>
      </c>
      <c r="C379" s="116" t="s">
        <v>17</v>
      </c>
      <c r="D379" s="117">
        <v>2098147455</v>
      </c>
      <c r="E379" s="117">
        <v>404539094</v>
      </c>
      <c r="F379" s="116">
        <v>19.3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.25" customHeight="1" x14ac:dyDescent="0.25">
      <c r="A380" s="116">
        <v>2014</v>
      </c>
      <c r="B380" s="116" t="s">
        <v>23</v>
      </c>
      <c r="C380" s="116" t="s">
        <v>17</v>
      </c>
      <c r="D380" s="117">
        <v>2799493770</v>
      </c>
      <c r="E380" s="117">
        <v>801311696</v>
      </c>
      <c r="F380" s="116">
        <v>28.6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.25" customHeight="1" x14ac:dyDescent="0.25">
      <c r="A381" s="116">
        <v>2014</v>
      </c>
      <c r="B381" s="116" t="s">
        <v>24</v>
      </c>
      <c r="C381" s="116" t="s">
        <v>17</v>
      </c>
      <c r="D381" s="117">
        <v>26367939168</v>
      </c>
      <c r="E381" s="117">
        <v>6450639049</v>
      </c>
      <c r="F381" s="116">
        <v>24.5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.25" customHeight="1" x14ac:dyDescent="0.25">
      <c r="A382" s="116">
        <v>2014</v>
      </c>
      <c r="B382" s="116" t="s">
        <v>25</v>
      </c>
      <c r="C382" s="116" t="s">
        <v>17</v>
      </c>
      <c r="D382" s="117">
        <v>3423587131</v>
      </c>
      <c r="E382" s="117">
        <v>594359605</v>
      </c>
      <c r="F382" s="116">
        <v>17.399999999999999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.25" customHeight="1" x14ac:dyDescent="0.25">
      <c r="A383" s="116">
        <v>2014</v>
      </c>
      <c r="B383" s="116" t="s">
        <v>26</v>
      </c>
      <c r="C383" s="116" t="s">
        <v>27</v>
      </c>
      <c r="D383" s="117">
        <v>56733209972</v>
      </c>
      <c r="E383" s="117">
        <v>20944032683</v>
      </c>
      <c r="F383" s="116">
        <v>36.9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.25" customHeight="1" x14ac:dyDescent="0.25">
      <c r="A384" s="116">
        <v>2014</v>
      </c>
      <c r="B384" s="116" t="s">
        <v>28</v>
      </c>
      <c r="C384" s="116" t="s">
        <v>27</v>
      </c>
      <c r="D384" s="117">
        <v>76969871032</v>
      </c>
      <c r="E384" s="117">
        <v>28771227047</v>
      </c>
      <c r="F384" s="116">
        <v>37.4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.25" customHeight="1" x14ac:dyDescent="0.25">
      <c r="A385" s="116">
        <v>2014</v>
      </c>
      <c r="B385" s="116" t="s">
        <v>29</v>
      </c>
      <c r="C385" s="116" t="s">
        <v>27</v>
      </c>
      <c r="D385" s="117">
        <v>27501804466</v>
      </c>
      <c r="E385" s="117">
        <v>8887180326</v>
      </c>
      <c r="F385" s="116">
        <v>32.299999999999997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.25" customHeight="1" x14ac:dyDescent="0.25">
      <c r="A386" s="116">
        <v>2014</v>
      </c>
      <c r="B386" s="116" t="s">
        <v>30</v>
      </c>
      <c r="C386" s="116" t="s">
        <v>27</v>
      </c>
      <c r="D386" s="117">
        <v>61573296614</v>
      </c>
      <c r="E386" s="117">
        <v>22906649241</v>
      </c>
      <c r="F386" s="116">
        <v>37.200000000000003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.25" customHeight="1" x14ac:dyDescent="0.25">
      <c r="A387" s="116">
        <v>2014</v>
      </c>
      <c r="B387" s="116" t="s">
        <v>31</v>
      </c>
      <c r="C387" s="116" t="s">
        <v>27</v>
      </c>
      <c r="D387" s="117">
        <v>20041771595</v>
      </c>
      <c r="E387" s="117">
        <v>10751518031</v>
      </c>
      <c r="F387" s="116">
        <v>53.6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.25" customHeight="1" x14ac:dyDescent="0.25">
      <c r="A388" s="116">
        <v>2014</v>
      </c>
      <c r="B388" s="116" t="s">
        <v>32</v>
      </c>
      <c r="C388" s="116" t="s">
        <v>27</v>
      </c>
      <c r="D388" s="117">
        <v>28330858340</v>
      </c>
      <c r="E388" s="117">
        <v>11335293062</v>
      </c>
      <c r="F388" s="116">
        <v>40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.25" customHeight="1" x14ac:dyDescent="0.25">
      <c r="A389" s="116">
        <v>2014</v>
      </c>
      <c r="B389" s="116" t="s">
        <v>33</v>
      </c>
      <c r="C389" s="116" t="s">
        <v>27</v>
      </c>
      <c r="D389" s="117">
        <v>72389241512</v>
      </c>
      <c r="E389" s="117">
        <v>38980795455</v>
      </c>
      <c r="F389" s="116">
        <v>53.8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.25" customHeight="1" x14ac:dyDescent="0.25">
      <c r="A390" s="116">
        <v>2014</v>
      </c>
      <c r="B390" s="116" t="s">
        <v>34</v>
      </c>
      <c r="C390" s="116" t="s">
        <v>35</v>
      </c>
      <c r="D390" s="117">
        <v>6109921776</v>
      </c>
      <c r="E390" s="117">
        <v>1194648539</v>
      </c>
      <c r="F390" s="116">
        <v>19.600000000000001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.25" customHeight="1" x14ac:dyDescent="0.25">
      <c r="A391" s="116">
        <v>2014</v>
      </c>
      <c r="B391" s="116" t="s">
        <v>36</v>
      </c>
      <c r="C391" s="116" t="s">
        <v>35</v>
      </c>
      <c r="D391" s="117">
        <v>28017109363</v>
      </c>
      <c r="E391" s="117">
        <v>7306500520</v>
      </c>
      <c r="F391" s="116">
        <v>26.1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.25" customHeight="1" x14ac:dyDescent="0.25">
      <c r="A392" s="116">
        <v>2014</v>
      </c>
      <c r="B392" s="116" t="s">
        <v>37</v>
      </c>
      <c r="C392" s="116" t="s">
        <v>35</v>
      </c>
      <c r="D392" s="117">
        <v>4865792756</v>
      </c>
      <c r="E392" s="117">
        <v>1443047336</v>
      </c>
      <c r="F392" s="116">
        <v>29.7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.25" customHeight="1" x14ac:dyDescent="0.25">
      <c r="A393" s="116">
        <v>2014</v>
      </c>
      <c r="B393" s="116" t="s">
        <v>38</v>
      </c>
      <c r="C393" s="116" t="s">
        <v>35</v>
      </c>
      <c r="D393" s="117">
        <v>10324042445</v>
      </c>
      <c r="E393" s="117">
        <v>2664256416</v>
      </c>
      <c r="F393" s="116">
        <v>25.8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.25" customHeight="1" x14ac:dyDescent="0.25">
      <c r="A394" s="116">
        <v>2014</v>
      </c>
      <c r="B394" s="116" t="s">
        <v>39</v>
      </c>
      <c r="C394" s="116" t="s">
        <v>35</v>
      </c>
      <c r="D394" s="117">
        <v>26909655707</v>
      </c>
      <c r="E394" s="117">
        <v>7282401118</v>
      </c>
      <c r="F394" s="116">
        <v>27.1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.25" customHeight="1" x14ac:dyDescent="0.25">
      <c r="A395" s="116">
        <v>2014</v>
      </c>
      <c r="B395" s="116" t="s">
        <v>40</v>
      </c>
      <c r="C395" s="116" t="s">
        <v>41</v>
      </c>
      <c r="D395" s="117">
        <v>7688222935</v>
      </c>
      <c r="E395" s="117">
        <v>816916915</v>
      </c>
      <c r="F395" s="116">
        <v>10.6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.25" customHeight="1" x14ac:dyDescent="0.25">
      <c r="A396" s="116">
        <v>2014</v>
      </c>
      <c r="B396" s="116" t="s">
        <v>42</v>
      </c>
      <c r="C396" s="116" t="s">
        <v>41</v>
      </c>
      <c r="D396" s="117">
        <v>9000930958</v>
      </c>
      <c r="E396" s="117">
        <v>1944575280</v>
      </c>
      <c r="F396" s="116">
        <v>21.6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.25" customHeight="1" x14ac:dyDescent="0.25">
      <c r="A397" s="116">
        <v>2014</v>
      </c>
      <c r="B397" s="116" t="s">
        <v>43</v>
      </c>
      <c r="C397" s="116" t="s">
        <v>41</v>
      </c>
      <c r="D397" s="117">
        <v>8365999445</v>
      </c>
      <c r="E397" s="117">
        <v>1668204527</v>
      </c>
      <c r="F397" s="116">
        <v>19.899999999999999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.25" customHeight="1" x14ac:dyDescent="0.25">
      <c r="A398" s="116">
        <v>2014</v>
      </c>
      <c r="B398" s="116" t="s">
        <v>44</v>
      </c>
      <c r="C398" s="116" t="s">
        <v>41</v>
      </c>
      <c r="D398" s="117">
        <v>10995717767</v>
      </c>
      <c r="E398" s="117">
        <v>2317463068</v>
      </c>
      <c r="F398" s="116">
        <v>21.1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.25" customHeight="1" x14ac:dyDescent="0.25">
      <c r="A399" s="116">
        <v>2014</v>
      </c>
      <c r="B399" s="116" t="s">
        <v>45</v>
      </c>
      <c r="C399" s="116" t="s">
        <v>41</v>
      </c>
      <c r="D399" s="117">
        <v>35095689669</v>
      </c>
      <c r="E399" s="117">
        <v>9779359532</v>
      </c>
      <c r="F399" s="116">
        <v>27.9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.25" customHeight="1" x14ac:dyDescent="0.25">
      <c r="A400" s="116">
        <v>2014</v>
      </c>
      <c r="B400" s="116" t="s">
        <v>46</v>
      </c>
      <c r="C400" s="116" t="s">
        <v>47</v>
      </c>
      <c r="D400" s="117">
        <v>35013996968</v>
      </c>
      <c r="E400" s="117">
        <v>13452773314</v>
      </c>
      <c r="F400" s="116">
        <v>38.4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.25" customHeight="1" x14ac:dyDescent="0.25">
      <c r="A401" s="116">
        <v>2014</v>
      </c>
      <c r="B401" s="116" t="s">
        <v>48</v>
      </c>
      <c r="C401" s="116" t="s">
        <v>47</v>
      </c>
      <c r="D401" s="117">
        <v>323780578902</v>
      </c>
      <c r="E401" s="117">
        <v>140665137270</v>
      </c>
      <c r="F401" s="116">
        <v>43.4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.25" customHeight="1" x14ac:dyDescent="0.25">
      <c r="A402" s="116">
        <v>2015</v>
      </c>
      <c r="B402" s="116" t="s">
        <v>3</v>
      </c>
      <c r="C402" s="116" t="s">
        <v>4</v>
      </c>
      <c r="D402" s="117">
        <v>28320601824</v>
      </c>
      <c r="E402" s="117">
        <v>11137414434</v>
      </c>
      <c r="F402" s="116">
        <v>39.299999999999997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.25" customHeight="1" x14ac:dyDescent="0.25">
      <c r="A403" s="116">
        <v>2015</v>
      </c>
      <c r="B403" s="116" t="s">
        <v>5</v>
      </c>
      <c r="C403" s="116" t="s">
        <v>4</v>
      </c>
      <c r="D403" s="117">
        <v>139008498838</v>
      </c>
      <c r="E403" s="117">
        <v>41830260027</v>
      </c>
      <c r="F403" s="116">
        <v>30.1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.25" customHeight="1" x14ac:dyDescent="0.25">
      <c r="A404" s="116">
        <v>2015</v>
      </c>
      <c r="B404" s="116" t="s">
        <v>6</v>
      </c>
      <c r="C404" s="116" t="s">
        <v>4</v>
      </c>
      <c r="D404" s="117">
        <v>12970178960</v>
      </c>
      <c r="E404" s="117">
        <v>1579579023</v>
      </c>
      <c r="F404" s="116">
        <v>12.2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.25" customHeight="1" x14ac:dyDescent="0.25">
      <c r="A405" s="116">
        <v>2015</v>
      </c>
      <c r="B405" s="116" t="s">
        <v>7</v>
      </c>
      <c r="C405" s="116" t="s">
        <v>4</v>
      </c>
      <c r="D405" s="117">
        <v>25096528006</v>
      </c>
      <c r="E405" s="117">
        <v>8604904196</v>
      </c>
      <c r="F405" s="116">
        <v>34.299999999999997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.25" customHeight="1" x14ac:dyDescent="0.25">
      <c r="A406" s="116">
        <v>2015</v>
      </c>
      <c r="B406" s="116" t="s">
        <v>8</v>
      </c>
      <c r="C406" s="116" t="s">
        <v>4</v>
      </c>
      <c r="D406" s="117">
        <v>11170993597</v>
      </c>
      <c r="E406" s="117">
        <v>1608339654</v>
      </c>
      <c r="F406" s="116">
        <v>14.4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.25" customHeight="1" x14ac:dyDescent="0.25">
      <c r="A407" s="116">
        <v>2015</v>
      </c>
      <c r="B407" s="116" t="s">
        <v>9</v>
      </c>
      <c r="C407" s="116" t="s">
        <v>4</v>
      </c>
      <c r="D407" s="117">
        <v>85583357590</v>
      </c>
      <c r="E407" s="117">
        <v>31189488928</v>
      </c>
      <c r="F407" s="116">
        <v>36.4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.25" customHeight="1" x14ac:dyDescent="0.25">
      <c r="A408" s="116">
        <v>2015</v>
      </c>
      <c r="B408" s="116" t="s">
        <v>10</v>
      </c>
      <c r="C408" s="116" t="s">
        <v>4</v>
      </c>
      <c r="D408" s="117">
        <v>1661516099</v>
      </c>
      <c r="E408" s="117">
        <v>199381932</v>
      </c>
      <c r="F408" s="116">
        <v>12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.25" customHeight="1" x14ac:dyDescent="0.25">
      <c r="A409" s="116">
        <v>2015</v>
      </c>
      <c r="B409" s="116" t="s">
        <v>11</v>
      </c>
      <c r="C409" s="116" t="s">
        <v>4</v>
      </c>
      <c r="D409" s="117">
        <v>8589812151</v>
      </c>
      <c r="E409" s="117">
        <v>3086933204</v>
      </c>
      <c r="F409" s="116">
        <v>35.9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.25" customHeight="1" x14ac:dyDescent="0.25">
      <c r="A410" s="116">
        <v>2015</v>
      </c>
      <c r="B410" s="116" t="s">
        <v>12</v>
      </c>
      <c r="C410" s="116" t="s">
        <v>4</v>
      </c>
      <c r="D410" s="117">
        <v>9869166474</v>
      </c>
      <c r="E410" s="117">
        <v>3398165611</v>
      </c>
      <c r="F410" s="116">
        <v>34.4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.25" customHeight="1" x14ac:dyDescent="0.25">
      <c r="A411" s="116">
        <v>2015</v>
      </c>
      <c r="B411" s="116" t="s">
        <v>13</v>
      </c>
      <c r="C411" s="116" t="s">
        <v>4</v>
      </c>
      <c r="D411" s="117">
        <v>14224914506</v>
      </c>
      <c r="E411" s="117">
        <v>4371669424</v>
      </c>
      <c r="F411" s="116">
        <v>30.7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.25" customHeight="1" x14ac:dyDescent="0.25">
      <c r="A412" s="116">
        <v>2015</v>
      </c>
      <c r="B412" s="116" t="s">
        <v>14</v>
      </c>
      <c r="C412" s="116" t="s">
        <v>4</v>
      </c>
      <c r="D412" s="117">
        <v>9175702798</v>
      </c>
      <c r="E412" s="117">
        <v>1486372022</v>
      </c>
      <c r="F412" s="116">
        <v>16.2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.25" customHeight="1" x14ac:dyDescent="0.25">
      <c r="A413" s="116">
        <v>2015</v>
      </c>
      <c r="B413" s="116" t="s">
        <v>15</v>
      </c>
      <c r="C413" s="116" t="s">
        <v>4</v>
      </c>
      <c r="D413" s="117">
        <v>12313782141</v>
      </c>
      <c r="E413" s="117">
        <v>3608220111</v>
      </c>
      <c r="F413" s="116">
        <v>29.3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.25" customHeight="1" x14ac:dyDescent="0.25">
      <c r="A414" s="116">
        <v>2015</v>
      </c>
      <c r="B414" s="116" t="s">
        <v>16</v>
      </c>
      <c r="C414" s="116" t="s">
        <v>17</v>
      </c>
      <c r="D414" s="117">
        <v>1186485265</v>
      </c>
      <c r="E414" s="117">
        <v>307114412</v>
      </c>
      <c r="F414" s="116">
        <v>25.9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.25" customHeight="1" x14ac:dyDescent="0.25">
      <c r="A415" s="116">
        <v>2015</v>
      </c>
      <c r="B415" s="116" t="s">
        <v>18</v>
      </c>
      <c r="C415" s="116" t="s">
        <v>17</v>
      </c>
      <c r="D415" s="117">
        <v>2867422279</v>
      </c>
      <c r="E415" s="117">
        <v>877783054</v>
      </c>
      <c r="F415" s="116">
        <v>30.6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.25" customHeight="1" x14ac:dyDescent="0.25">
      <c r="A416" s="116">
        <v>2015</v>
      </c>
      <c r="B416" s="116" t="s">
        <v>19</v>
      </c>
      <c r="C416" s="116" t="s">
        <v>17</v>
      </c>
      <c r="D416" s="117">
        <v>6450972514</v>
      </c>
      <c r="E416" s="117">
        <v>1295499201</v>
      </c>
      <c r="F416" s="116">
        <v>20.100000000000001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.25" customHeight="1" x14ac:dyDescent="0.25">
      <c r="A417" s="116">
        <v>2015</v>
      </c>
      <c r="B417" s="116" t="s">
        <v>20</v>
      </c>
      <c r="C417" s="116" t="s">
        <v>17</v>
      </c>
      <c r="D417" s="117">
        <v>2137606977</v>
      </c>
      <c r="E417" s="117">
        <v>832300290</v>
      </c>
      <c r="F417" s="116">
        <v>38.9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.25" customHeight="1" x14ac:dyDescent="0.25">
      <c r="A418" s="116">
        <v>2015</v>
      </c>
      <c r="B418" s="116" t="s">
        <v>21</v>
      </c>
      <c r="C418" s="116" t="s">
        <v>17</v>
      </c>
      <c r="D418" s="117">
        <v>5082195099</v>
      </c>
      <c r="E418" s="117">
        <v>1712716949</v>
      </c>
      <c r="F418" s="116">
        <v>33.700000000000003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.25" customHeight="1" x14ac:dyDescent="0.25">
      <c r="A419" s="116">
        <v>2015</v>
      </c>
      <c r="B419" s="116" t="s">
        <v>22</v>
      </c>
      <c r="C419" s="116" t="s">
        <v>17</v>
      </c>
      <c r="D419" s="117">
        <v>1764892077</v>
      </c>
      <c r="E419" s="117">
        <v>621450381</v>
      </c>
      <c r="F419" s="116">
        <v>35.200000000000003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.25" customHeight="1" x14ac:dyDescent="0.25">
      <c r="A420" s="116">
        <v>2015</v>
      </c>
      <c r="B420" s="116" t="s">
        <v>23</v>
      </c>
      <c r="C420" s="116" t="s">
        <v>17</v>
      </c>
      <c r="D420" s="117">
        <v>2667860788</v>
      </c>
      <c r="E420" s="117">
        <v>844792124</v>
      </c>
      <c r="F420" s="116">
        <v>31.7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.25" customHeight="1" x14ac:dyDescent="0.25">
      <c r="A421" s="116">
        <v>2015</v>
      </c>
      <c r="B421" s="116" t="s">
        <v>24</v>
      </c>
      <c r="C421" s="116" t="s">
        <v>17</v>
      </c>
      <c r="D421" s="117">
        <v>25207533186</v>
      </c>
      <c r="E421" s="117">
        <v>7317956437</v>
      </c>
      <c r="F421" s="116">
        <v>29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.25" customHeight="1" x14ac:dyDescent="0.25">
      <c r="A422" s="116">
        <v>2015</v>
      </c>
      <c r="B422" s="116" t="s">
        <v>25</v>
      </c>
      <c r="C422" s="116" t="s">
        <v>17</v>
      </c>
      <c r="D422" s="117">
        <v>2270648913</v>
      </c>
      <c r="E422" s="117">
        <v>471193158</v>
      </c>
      <c r="F422" s="116">
        <v>20.8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.25" customHeight="1" x14ac:dyDescent="0.25">
      <c r="A423" s="116">
        <v>2015</v>
      </c>
      <c r="B423" s="116" t="s">
        <v>26</v>
      </c>
      <c r="C423" s="116" t="s">
        <v>27</v>
      </c>
      <c r="D423" s="117">
        <v>48091250546</v>
      </c>
      <c r="E423" s="117">
        <v>18759286243</v>
      </c>
      <c r="F423" s="116">
        <v>39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.25" customHeight="1" x14ac:dyDescent="0.25">
      <c r="A424" s="116">
        <v>2015</v>
      </c>
      <c r="B424" s="116" t="s">
        <v>28</v>
      </c>
      <c r="C424" s="116" t="s">
        <v>27</v>
      </c>
      <c r="D424" s="117">
        <v>67949512313</v>
      </c>
      <c r="E424" s="117">
        <v>26189795093</v>
      </c>
      <c r="F424" s="116">
        <v>38.5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.25" customHeight="1" x14ac:dyDescent="0.25">
      <c r="A425" s="116">
        <v>2015</v>
      </c>
      <c r="B425" s="116" t="s">
        <v>29</v>
      </c>
      <c r="C425" s="116" t="s">
        <v>27</v>
      </c>
      <c r="D425" s="117">
        <v>24268955470</v>
      </c>
      <c r="E425" s="117">
        <v>8256080118</v>
      </c>
      <c r="F425" s="116">
        <v>34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.25" customHeight="1" x14ac:dyDescent="0.25">
      <c r="A426" s="116">
        <v>2015</v>
      </c>
      <c r="B426" s="116" t="s">
        <v>30</v>
      </c>
      <c r="C426" s="116" t="s">
        <v>27</v>
      </c>
      <c r="D426" s="117">
        <v>54574165772</v>
      </c>
      <c r="E426" s="117">
        <v>21421560405</v>
      </c>
      <c r="F426" s="116">
        <v>39.299999999999997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.25" customHeight="1" x14ac:dyDescent="0.25">
      <c r="A427" s="116">
        <v>2015</v>
      </c>
      <c r="B427" s="116" t="s">
        <v>31</v>
      </c>
      <c r="C427" s="116" t="s">
        <v>27</v>
      </c>
      <c r="D427" s="117">
        <v>17176623180</v>
      </c>
      <c r="E427" s="117">
        <v>9761738239</v>
      </c>
      <c r="F427" s="116">
        <v>56.8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.25" customHeight="1" x14ac:dyDescent="0.25">
      <c r="A428" s="116">
        <v>2015</v>
      </c>
      <c r="B428" s="116" t="s">
        <v>32</v>
      </c>
      <c r="C428" s="116" t="s">
        <v>27</v>
      </c>
      <c r="D428" s="117">
        <v>24867458270</v>
      </c>
      <c r="E428" s="117">
        <v>10374234143</v>
      </c>
      <c r="F428" s="116">
        <v>41.7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.25" customHeight="1" x14ac:dyDescent="0.25">
      <c r="A429" s="116">
        <v>2015</v>
      </c>
      <c r="B429" s="116" t="s">
        <v>33</v>
      </c>
      <c r="C429" s="116" t="s">
        <v>27</v>
      </c>
      <c r="D429" s="117">
        <v>68026761402</v>
      </c>
      <c r="E429" s="117">
        <v>38328327122</v>
      </c>
      <c r="F429" s="116">
        <v>56.3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.25" customHeight="1" x14ac:dyDescent="0.25">
      <c r="A430" s="116">
        <v>2015</v>
      </c>
      <c r="B430" s="116" t="s">
        <v>34</v>
      </c>
      <c r="C430" s="116" t="s">
        <v>35</v>
      </c>
      <c r="D430" s="117">
        <v>5535475264</v>
      </c>
      <c r="E430" s="117">
        <v>1180053450</v>
      </c>
      <c r="F430" s="116">
        <v>21.3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.25" customHeight="1" x14ac:dyDescent="0.25">
      <c r="A431" s="116">
        <v>2015</v>
      </c>
      <c r="B431" s="116" t="s">
        <v>36</v>
      </c>
      <c r="C431" s="116" t="s">
        <v>35</v>
      </c>
      <c r="D431" s="117">
        <v>18531615317</v>
      </c>
      <c r="E431" s="117">
        <v>5662614611</v>
      </c>
      <c r="F431" s="116">
        <v>30.6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.25" customHeight="1" x14ac:dyDescent="0.25">
      <c r="A432" s="116">
        <v>2015</v>
      </c>
      <c r="B432" s="116" t="s">
        <v>37</v>
      </c>
      <c r="C432" s="116" t="s">
        <v>35</v>
      </c>
      <c r="D432" s="117">
        <v>4498013573</v>
      </c>
      <c r="E432" s="117">
        <v>1395699580</v>
      </c>
      <c r="F432" s="116">
        <v>31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.25" customHeight="1" x14ac:dyDescent="0.25">
      <c r="A433" s="116">
        <v>2015</v>
      </c>
      <c r="B433" s="116" t="s">
        <v>38</v>
      </c>
      <c r="C433" s="116" t="s">
        <v>35</v>
      </c>
      <c r="D433" s="117">
        <v>7791829462</v>
      </c>
      <c r="E433" s="117">
        <v>2174525211</v>
      </c>
      <c r="F433" s="116">
        <v>27.9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.25" customHeight="1" x14ac:dyDescent="0.25">
      <c r="A434" s="116">
        <v>2015</v>
      </c>
      <c r="B434" s="116" t="s">
        <v>39</v>
      </c>
      <c r="C434" s="116" t="s">
        <v>35</v>
      </c>
      <c r="D434" s="117">
        <v>23862699230</v>
      </c>
      <c r="E434" s="117">
        <v>7005398531</v>
      </c>
      <c r="F434" s="116">
        <v>29.4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.25" customHeight="1" x14ac:dyDescent="0.25">
      <c r="A435" s="116">
        <v>2015</v>
      </c>
      <c r="B435" s="116" t="s">
        <v>40</v>
      </c>
      <c r="C435" s="116" t="s">
        <v>41</v>
      </c>
      <c r="D435" s="117">
        <v>6431332495</v>
      </c>
      <c r="E435" s="117">
        <v>754626136</v>
      </c>
      <c r="F435" s="116">
        <v>11.7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.25" customHeight="1" x14ac:dyDescent="0.25">
      <c r="A436" s="116">
        <v>2015</v>
      </c>
      <c r="B436" s="116" t="s">
        <v>42</v>
      </c>
      <c r="C436" s="116" t="s">
        <v>41</v>
      </c>
      <c r="D436" s="117">
        <v>9416217231</v>
      </c>
      <c r="E436" s="117">
        <v>2176568424</v>
      </c>
      <c r="F436" s="116">
        <v>23.1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.25" customHeight="1" x14ac:dyDescent="0.25">
      <c r="A437" s="116">
        <v>2015</v>
      </c>
      <c r="B437" s="116" t="s">
        <v>43</v>
      </c>
      <c r="C437" s="116" t="s">
        <v>41</v>
      </c>
      <c r="D437" s="117">
        <v>8618307812</v>
      </c>
      <c r="E437" s="117">
        <v>1905816286</v>
      </c>
      <c r="F437" s="116">
        <v>22.1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.25" customHeight="1" x14ac:dyDescent="0.25">
      <c r="A438" s="116">
        <v>2015</v>
      </c>
      <c r="B438" s="116" t="s">
        <v>44</v>
      </c>
      <c r="C438" s="116" t="s">
        <v>41</v>
      </c>
      <c r="D438" s="117">
        <v>11713656400</v>
      </c>
      <c r="E438" s="117">
        <v>2735043722</v>
      </c>
      <c r="F438" s="116">
        <v>23.3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.25" customHeight="1" x14ac:dyDescent="0.25">
      <c r="A439" s="116">
        <v>2015</v>
      </c>
      <c r="B439" s="116" t="s">
        <v>45</v>
      </c>
      <c r="C439" s="116" t="s">
        <v>41</v>
      </c>
      <c r="D439" s="117">
        <v>35028361015</v>
      </c>
      <c r="E439" s="117">
        <v>10410221661</v>
      </c>
      <c r="F439" s="116">
        <v>29.7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.25" customHeight="1" x14ac:dyDescent="0.25">
      <c r="A440" s="116">
        <v>2015</v>
      </c>
      <c r="B440" s="116" t="s">
        <v>46</v>
      </c>
      <c r="C440" s="116" t="s">
        <v>47</v>
      </c>
      <c r="D440" s="117">
        <v>30542786607</v>
      </c>
      <c r="E440" s="117">
        <v>11654087254</v>
      </c>
      <c r="F440" s="116">
        <v>38.200000000000003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.25" customHeight="1" x14ac:dyDescent="0.25">
      <c r="A441" s="116">
        <v>2015</v>
      </c>
      <c r="B441" s="116" t="s">
        <v>48</v>
      </c>
      <c r="C441" s="116" t="s">
        <v>47</v>
      </c>
      <c r="D441" s="117">
        <v>335429923271</v>
      </c>
      <c r="E441" s="117">
        <v>150262948879</v>
      </c>
      <c r="F441" s="116">
        <v>44.8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.25" customHeight="1" x14ac:dyDescent="0.25">
      <c r="A442" s="116">
        <v>2016</v>
      </c>
      <c r="B442" s="116" t="s">
        <v>3</v>
      </c>
      <c r="C442" s="116" t="s">
        <v>4</v>
      </c>
      <c r="D442" s="117">
        <v>36809001016</v>
      </c>
      <c r="E442" s="117">
        <v>14946718627</v>
      </c>
      <c r="F442" s="116">
        <v>40.6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.25" customHeight="1" x14ac:dyDescent="0.25">
      <c r="A443" s="116">
        <v>2016</v>
      </c>
      <c r="B443" s="116" t="s">
        <v>5</v>
      </c>
      <c r="C443" s="116" t="s">
        <v>4</v>
      </c>
      <c r="D443" s="117">
        <v>138455456687</v>
      </c>
      <c r="E443" s="117">
        <v>51228355910</v>
      </c>
      <c r="F443" s="116">
        <v>37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.25" customHeight="1" x14ac:dyDescent="0.25">
      <c r="A444" s="116">
        <v>2016</v>
      </c>
      <c r="B444" s="116" t="s">
        <v>6</v>
      </c>
      <c r="C444" s="116" t="s">
        <v>4</v>
      </c>
      <c r="D444" s="117">
        <v>12088184323</v>
      </c>
      <c r="E444" s="117">
        <v>1721993803</v>
      </c>
      <c r="F444" s="116">
        <v>14.2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.25" customHeight="1" x14ac:dyDescent="0.25">
      <c r="A445" s="116">
        <v>2016</v>
      </c>
      <c r="B445" s="116" t="s">
        <v>7</v>
      </c>
      <c r="C445" s="116" t="s">
        <v>4</v>
      </c>
      <c r="D445" s="117">
        <v>28019825380</v>
      </c>
      <c r="E445" s="117">
        <v>10276945942</v>
      </c>
      <c r="F445" s="116">
        <v>36.700000000000003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.25" customHeight="1" x14ac:dyDescent="0.25">
      <c r="A446" s="116">
        <v>2016</v>
      </c>
      <c r="B446" s="116" t="s">
        <v>8</v>
      </c>
      <c r="C446" s="116" t="s">
        <v>4</v>
      </c>
      <c r="D446" s="117">
        <v>11677762813</v>
      </c>
      <c r="E446" s="117">
        <v>2305539161</v>
      </c>
      <c r="F446" s="116">
        <v>19.7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.25" customHeight="1" x14ac:dyDescent="0.25">
      <c r="A447" s="116">
        <v>2016</v>
      </c>
      <c r="B447" s="116" t="s">
        <v>9</v>
      </c>
      <c r="C447" s="116" t="s">
        <v>4</v>
      </c>
      <c r="D447" s="117">
        <v>95582492348</v>
      </c>
      <c r="E447" s="117">
        <v>36393935723</v>
      </c>
      <c r="F447" s="116">
        <v>38.1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.25" customHeight="1" x14ac:dyDescent="0.25">
      <c r="A448" s="116">
        <v>2016</v>
      </c>
      <c r="B448" s="116" t="s">
        <v>10</v>
      </c>
      <c r="C448" s="116" t="s">
        <v>4</v>
      </c>
      <c r="D448" s="117">
        <v>1641172767</v>
      </c>
      <c r="E448" s="117">
        <v>246175915</v>
      </c>
      <c r="F448" s="116">
        <v>15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.25" customHeight="1" x14ac:dyDescent="0.25">
      <c r="A449" s="116">
        <v>2016</v>
      </c>
      <c r="B449" s="116" t="s">
        <v>11</v>
      </c>
      <c r="C449" s="116" t="s">
        <v>4</v>
      </c>
      <c r="D449" s="117">
        <v>8414280175</v>
      </c>
      <c r="E449" s="117">
        <v>3371011375</v>
      </c>
      <c r="F449" s="116">
        <v>40.1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.25" customHeight="1" x14ac:dyDescent="0.25">
      <c r="A450" s="116">
        <v>2016</v>
      </c>
      <c r="B450" s="116" t="s">
        <v>12</v>
      </c>
      <c r="C450" s="116" t="s">
        <v>4</v>
      </c>
      <c r="D450" s="117">
        <v>11254363824</v>
      </c>
      <c r="E450" s="117">
        <v>4189952774</v>
      </c>
      <c r="F450" s="116">
        <v>37.200000000000003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.25" customHeight="1" x14ac:dyDescent="0.25">
      <c r="A451" s="116">
        <v>2016</v>
      </c>
      <c r="B451" s="116" t="s">
        <v>13</v>
      </c>
      <c r="C451" s="116" t="s">
        <v>4</v>
      </c>
      <c r="D451" s="117">
        <v>14800889974</v>
      </c>
      <c r="E451" s="117">
        <v>5034270837</v>
      </c>
      <c r="F451" s="116">
        <v>34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.25" customHeight="1" x14ac:dyDescent="0.25">
      <c r="A452" s="116">
        <v>2016</v>
      </c>
      <c r="B452" s="116" t="s">
        <v>14</v>
      </c>
      <c r="C452" s="116" t="s">
        <v>4</v>
      </c>
      <c r="D452" s="117">
        <v>9093067018</v>
      </c>
      <c r="E452" s="117">
        <v>1687109588</v>
      </c>
      <c r="F452" s="116">
        <v>18.600000000000001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.25" customHeight="1" x14ac:dyDescent="0.25">
      <c r="A453" s="116">
        <v>2016</v>
      </c>
      <c r="B453" s="116" t="s">
        <v>15</v>
      </c>
      <c r="C453" s="116" t="s">
        <v>4</v>
      </c>
      <c r="D453" s="117">
        <v>12434703829</v>
      </c>
      <c r="E453" s="117">
        <v>3936150619</v>
      </c>
      <c r="F453" s="116">
        <v>31.7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.25" customHeight="1" x14ac:dyDescent="0.25">
      <c r="A454" s="116">
        <v>2016</v>
      </c>
      <c r="B454" s="116" t="s">
        <v>16</v>
      </c>
      <c r="C454" s="116" t="s">
        <v>17</v>
      </c>
      <c r="D454" s="117">
        <v>1319378328</v>
      </c>
      <c r="E454" s="117">
        <v>368848018</v>
      </c>
      <c r="F454" s="116">
        <v>28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.25" customHeight="1" x14ac:dyDescent="0.25">
      <c r="A455" s="116">
        <v>2016</v>
      </c>
      <c r="B455" s="116" t="s">
        <v>18</v>
      </c>
      <c r="C455" s="116" t="s">
        <v>17</v>
      </c>
      <c r="D455" s="117">
        <v>3094066684</v>
      </c>
      <c r="E455" s="117">
        <v>1049001969</v>
      </c>
      <c r="F455" s="116">
        <v>33.9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.25" customHeight="1" x14ac:dyDescent="0.25">
      <c r="A456" s="116">
        <v>2016</v>
      </c>
      <c r="B456" s="116" t="s">
        <v>19</v>
      </c>
      <c r="C456" s="116" t="s">
        <v>17</v>
      </c>
      <c r="D456" s="117">
        <v>6926477837</v>
      </c>
      <c r="E456" s="117">
        <v>1525881833</v>
      </c>
      <c r="F456" s="116">
        <v>22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.25" customHeight="1" x14ac:dyDescent="0.25">
      <c r="A457" s="116">
        <v>2016</v>
      </c>
      <c r="B457" s="116" t="s">
        <v>20</v>
      </c>
      <c r="C457" s="116" t="s">
        <v>17</v>
      </c>
      <c r="D457" s="117">
        <v>2326224448</v>
      </c>
      <c r="E457" s="117">
        <v>1005029236</v>
      </c>
      <c r="F457" s="116">
        <v>43.2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.25" customHeight="1" x14ac:dyDescent="0.25">
      <c r="A458" s="116">
        <v>2016</v>
      </c>
      <c r="B458" s="116" t="s">
        <v>21</v>
      </c>
      <c r="C458" s="116" t="s">
        <v>17</v>
      </c>
      <c r="D458" s="117">
        <v>5161023833</v>
      </c>
      <c r="E458" s="117">
        <v>1828360200</v>
      </c>
      <c r="F458" s="116">
        <v>35.4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.25" customHeight="1" x14ac:dyDescent="0.25">
      <c r="A459" s="116">
        <v>2016</v>
      </c>
      <c r="B459" s="116" t="s">
        <v>22</v>
      </c>
      <c r="C459" s="116" t="s">
        <v>17</v>
      </c>
      <c r="D459" s="117">
        <v>1871267180</v>
      </c>
      <c r="E459" s="117">
        <v>742409268</v>
      </c>
      <c r="F459" s="116">
        <v>39.700000000000003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.25" customHeight="1" x14ac:dyDescent="0.25">
      <c r="A460" s="116">
        <v>2016</v>
      </c>
      <c r="B460" s="116" t="s">
        <v>23</v>
      </c>
      <c r="C460" s="116" t="s">
        <v>17</v>
      </c>
      <c r="D460" s="117">
        <v>2854916164</v>
      </c>
      <c r="E460" s="117">
        <v>993855530</v>
      </c>
      <c r="F460" s="116">
        <v>34.799999999999997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.25" customHeight="1" x14ac:dyDescent="0.25">
      <c r="A461" s="116">
        <v>2016</v>
      </c>
      <c r="B461" s="116" t="s">
        <v>24</v>
      </c>
      <c r="C461" s="116" t="s">
        <v>17</v>
      </c>
      <c r="D461" s="117">
        <v>26473289743</v>
      </c>
      <c r="E461" s="117">
        <v>9211392828</v>
      </c>
      <c r="F461" s="116">
        <v>34.799999999999997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.25" customHeight="1" x14ac:dyDescent="0.25">
      <c r="A462" s="116">
        <v>2016</v>
      </c>
      <c r="B462" s="116" t="s">
        <v>25</v>
      </c>
      <c r="C462" s="116" t="s">
        <v>17</v>
      </c>
      <c r="D462" s="117">
        <v>2260665247</v>
      </c>
      <c r="E462" s="117">
        <v>522527800</v>
      </c>
      <c r="F462" s="116">
        <v>23.1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.25" customHeight="1" x14ac:dyDescent="0.25">
      <c r="A463" s="116">
        <v>2016</v>
      </c>
      <c r="B463" s="116" t="s">
        <v>26</v>
      </c>
      <c r="C463" s="116" t="s">
        <v>27</v>
      </c>
      <c r="D463" s="117">
        <v>47913159052</v>
      </c>
      <c r="E463" s="117">
        <v>19700037947</v>
      </c>
      <c r="F463" s="116">
        <v>41.1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.25" customHeight="1" x14ac:dyDescent="0.25">
      <c r="A464" s="116">
        <v>2016</v>
      </c>
      <c r="B464" s="116" t="s">
        <v>28</v>
      </c>
      <c r="C464" s="116" t="s">
        <v>27</v>
      </c>
      <c r="D464" s="117">
        <v>67790585724</v>
      </c>
      <c r="E464" s="117">
        <v>27140433397</v>
      </c>
      <c r="F464" s="116">
        <v>40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.25" customHeight="1" x14ac:dyDescent="0.25">
      <c r="A465" s="116">
        <v>2016</v>
      </c>
      <c r="B465" s="116" t="s">
        <v>29</v>
      </c>
      <c r="C465" s="116" t="s">
        <v>27</v>
      </c>
      <c r="D465" s="117">
        <v>23869889193</v>
      </c>
      <c r="E465" s="117">
        <v>8587719005</v>
      </c>
      <c r="F465" s="116">
        <v>36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.25" customHeight="1" x14ac:dyDescent="0.25">
      <c r="A466" s="116">
        <v>2016</v>
      </c>
      <c r="B466" s="116" t="s">
        <v>30</v>
      </c>
      <c r="C466" s="116" t="s">
        <v>27</v>
      </c>
      <c r="D466" s="117">
        <v>56885819818</v>
      </c>
      <c r="E466" s="117">
        <v>24010937178</v>
      </c>
      <c r="F466" s="116">
        <v>42.2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.25" customHeight="1" x14ac:dyDescent="0.25">
      <c r="A467" s="116">
        <v>2016</v>
      </c>
      <c r="B467" s="116" t="s">
        <v>31</v>
      </c>
      <c r="C467" s="116" t="s">
        <v>27</v>
      </c>
      <c r="D467" s="117">
        <v>21292633452</v>
      </c>
      <c r="E467" s="117">
        <v>11194321073</v>
      </c>
      <c r="F467" s="116">
        <v>52.6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.25" customHeight="1" x14ac:dyDescent="0.25">
      <c r="A468" s="116">
        <v>2016</v>
      </c>
      <c r="B468" s="116" t="s">
        <v>32</v>
      </c>
      <c r="C468" s="116" t="s">
        <v>27</v>
      </c>
      <c r="D468" s="117">
        <v>26846302407</v>
      </c>
      <c r="E468" s="117">
        <v>11375840964</v>
      </c>
      <c r="F468" s="116">
        <v>42.4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.25" customHeight="1" x14ac:dyDescent="0.25">
      <c r="A469" s="116">
        <v>2016</v>
      </c>
      <c r="B469" s="116" t="s">
        <v>33</v>
      </c>
      <c r="C469" s="116" t="s">
        <v>27</v>
      </c>
      <c r="D469" s="117">
        <v>61426609347</v>
      </c>
      <c r="E469" s="117">
        <v>35672920484</v>
      </c>
      <c r="F469" s="116">
        <v>58.1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.25" customHeight="1" x14ac:dyDescent="0.25">
      <c r="A470" s="116">
        <v>2016</v>
      </c>
      <c r="B470" s="116" t="s">
        <v>34</v>
      </c>
      <c r="C470" s="116" t="s">
        <v>35</v>
      </c>
      <c r="D470" s="117">
        <v>4116769997</v>
      </c>
      <c r="E470" s="117">
        <v>1011353324</v>
      </c>
      <c r="F470" s="116">
        <v>24.6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.25" customHeight="1" x14ac:dyDescent="0.25">
      <c r="A471" s="116">
        <v>2016</v>
      </c>
      <c r="B471" s="116" t="s">
        <v>36</v>
      </c>
      <c r="C471" s="116" t="s">
        <v>35</v>
      </c>
      <c r="D471" s="117">
        <v>17468850190</v>
      </c>
      <c r="E471" s="117">
        <v>6085445129</v>
      </c>
      <c r="F471" s="116">
        <v>34.799999999999997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.25" customHeight="1" x14ac:dyDescent="0.25">
      <c r="A472" s="116">
        <v>2016</v>
      </c>
      <c r="B472" s="116" t="s">
        <v>37</v>
      </c>
      <c r="C472" s="116" t="s">
        <v>35</v>
      </c>
      <c r="D472" s="117">
        <v>4658942048</v>
      </c>
      <c r="E472" s="117">
        <v>1544625370</v>
      </c>
      <c r="F472" s="116">
        <v>33.200000000000003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.25" customHeight="1" x14ac:dyDescent="0.25">
      <c r="A473" s="116">
        <v>2016</v>
      </c>
      <c r="B473" s="116" t="s">
        <v>38</v>
      </c>
      <c r="C473" s="116" t="s">
        <v>35</v>
      </c>
      <c r="D473" s="117">
        <v>7460711546</v>
      </c>
      <c r="E473" s="117">
        <v>2312289364</v>
      </c>
      <c r="F473" s="116">
        <v>31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.25" customHeight="1" x14ac:dyDescent="0.25">
      <c r="A474" s="116">
        <v>2016</v>
      </c>
      <c r="B474" s="116" t="s">
        <v>39</v>
      </c>
      <c r="C474" s="116" t="s">
        <v>35</v>
      </c>
      <c r="D474" s="117">
        <v>21873666453</v>
      </c>
      <c r="E474" s="117">
        <v>6828190041</v>
      </c>
      <c r="F474" s="116">
        <v>31.2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.25" customHeight="1" x14ac:dyDescent="0.25">
      <c r="A475" s="116">
        <v>2016</v>
      </c>
      <c r="B475" s="116" t="s">
        <v>40</v>
      </c>
      <c r="C475" s="116" t="s">
        <v>41</v>
      </c>
      <c r="D475" s="117">
        <v>4752859551</v>
      </c>
      <c r="E475" s="117">
        <v>568781695</v>
      </c>
      <c r="F475" s="116">
        <v>12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.25" customHeight="1" x14ac:dyDescent="0.25">
      <c r="A476" s="116">
        <v>2016</v>
      </c>
      <c r="B476" s="116" t="s">
        <v>42</v>
      </c>
      <c r="C476" s="116" t="s">
        <v>41</v>
      </c>
      <c r="D476" s="117">
        <v>10292755671</v>
      </c>
      <c r="E476" s="117">
        <v>2539995240</v>
      </c>
      <c r="F476" s="116">
        <v>24.7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.25" customHeight="1" x14ac:dyDescent="0.25">
      <c r="A477" s="116">
        <v>2016</v>
      </c>
      <c r="B477" s="116" t="s">
        <v>43</v>
      </c>
      <c r="C477" s="116" t="s">
        <v>41</v>
      </c>
      <c r="D477" s="117">
        <v>10212168569</v>
      </c>
      <c r="E477" s="117">
        <v>2384670806</v>
      </c>
      <c r="F477" s="116">
        <v>23.4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.25" customHeight="1" x14ac:dyDescent="0.25">
      <c r="A478" s="116">
        <v>2016</v>
      </c>
      <c r="B478" s="116" t="s">
        <v>44</v>
      </c>
      <c r="C478" s="116" t="s">
        <v>41</v>
      </c>
      <c r="D478" s="117">
        <v>12403060831</v>
      </c>
      <c r="E478" s="117">
        <v>3188655031</v>
      </c>
      <c r="F478" s="116">
        <v>25.7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.25" customHeight="1" x14ac:dyDescent="0.25">
      <c r="A479" s="116">
        <v>2016</v>
      </c>
      <c r="B479" s="116" t="s">
        <v>45</v>
      </c>
      <c r="C479" s="116" t="s">
        <v>41</v>
      </c>
      <c r="D479" s="117">
        <v>34831936841</v>
      </c>
      <c r="E479" s="117">
        <v>10872267926</v>
      </c>
      <c r="F479" s="116">
        <v>31.2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.25" customHeight="1" x14ac:dyDescent="0.25">
      <c r="A480" s="116">
        <v>2016</v>
      </c>
      <c r="B480" s="116" t="s">
        <v>46</v>
      </c>
      <c r="C480" s="116" t="s">
        <v>47</v>
      </c>
      <c r="D480" s="117">
        <v>31501368756</v>
      </c>
      <c r="E480" s="117">
        <v>12490511734</v>
      </c>
      <c r="F480" s="116">
        <v>39.700000000000003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.25" customHeight="1" x14ac:dyDescent="0.25">
      <c r="A481" s="116">
        <v>2016</v>
      </c>
      <c r="B481" s="116" t="s">
        <v>48</v>
      </c>
      <c r="C481" s="116" t="s">
        <v>47</v>
      </c>
      <c r="D481" s="117">
        <v>349549087914</v>
      </c>
      <c r="E481" s="117">
        <v>165272760776</v>
      </c>
      <c r="F481" s="116">
        <v>47.3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.25" customHeight="1" x14ac:dyDescent="0.25">
      <c r="A482" s="116">
        <v>2017</v>
      </c>
      <c r="B482" s="116" t="s">
        <v>3</v>
      </c>
      <c r="C482" s="116" t="s">
        <v>4</v>
      </c>
      <c r="D482" s="117">
        <v>32762525516</v>
      </c>
      <c r="E482" s="117">
        <v>13673711797</v>
      </c>
      <c r="F482" s="116">
        <v>41.7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.25" customHeight="1" x14ac:dyDescent="0.25">
      <c r="A483" s="116">
        <v>2017</v>
      </c>
      <c r="B483" s="116" t="s">
        <v>5</v>
      </c>
      <c r="C483" s="116" t="s">
        <v>4</v>
      </c>
      <c r="D483" s="117">
        <v>151136318464</v>
      </c>
      <c r="E483" s="117">
        <v>67290322689</v>
      </c>
      <c r="F483" s="116">
        <v>44.5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.25" customHeight="1" x14ac:dyDescent="0.25">
      <c r="A484" s="116">
        <v>2017</v>
      </c>
      <c r="B484" s="116" t="s">
        <v>6</v>
      </c>
      <c r="C484" s="116" t="s">
        <v>4</v>
      </c>
      <c r="D484" s="117">
        <v>12234649197</v>
      </c>
      <c r="E484" s="117">
        <v>2026641261</v>
      </c>
      <c r="F484" s="116">
        <v>16.600000000000001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.25" customHeight="1" x14ac:dyDescent="0.25">
      <c r="A485" s="116">
        <v>2017</v>
      </c>
      <c r="B485" s="116" t="s">
        <v>7</v>
      </c>
      <c r="C485" s="116" t="s">
        <v>4</v>
      </c>
      <c r="D485" s="117">
        <v>31153853975</v>
      </c>
      <c r="E485" s="117">
        <v>12418144950</v>
      </c>
      <c r="F485" s="116">
        <v>39.9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.25" customHeight="1" x14ac:dyDescent="0.25">
      <c r="A486" s="116">
        <v>2017</v>
      </c>
      <c r="B486" s="116" t="s">
        <v>8</v>
      </c>
      <c r="C486" s="116" t="s">
        <v>4</v>
      </c>
      <c r="D486" s="117">
        <v>12804450914</v>
      </c>
      <c r="E486" s="117">
        <v>3423763072</v>
      </c>
      <c r="F486" s="116">
        <v>26.7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.25" customHeight="1" x14ac:dyDescent="0.25">
      <c r="A487" s="116">
        <v>2017</v>
      </c>
      <c r="B487" s="116" t="s">
        <v>9</v>
      </c>
      <c r="C487" s="116" t="s">
        <v>4</v>
      </c>
      <c r="D487" s="117">
        <v>95710442003</v>
      </c>
      <c r="E487" s="117">
        <v>38143646797</v>
      </c>
      <c r="F487" s="116">
        <v>39.9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.25" customHeight="1" x14ac:dyDescent="0.25">
      <c r="A488" s="116">
        <v>2017</v>
      </c>
      <c r="B488" s="116" t="s">
        <v>10</v>
      </c>
      <c r="C488" s="116" t="s">
        <v>4</v>
      </c>
      <c r="D488" s="117">
        <v>1857877581</v>
      </c>
      <c r="E488" s="117">
        <v>325128577</v>
      </c>
      <c r="F488" s="116">
        <v>17.5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.25" customHeight="1" x14ac:dyDescent="0.25">
      <c r="A489" s="116">
        <v>2017</v>
      </c>
      <c r="B489" s="116" t="s">
        <v>11</v>
      </c>
      <c r="C489" s="116" t="s">
        <v>4</v>
      </c>
      <c r="D489" s="117">
        <v>9148525816</v>
      </c>
      <c r="E489" s="117">
        <v>4097107683</v>
      </c>
      <c r="F489" s="116">
        <v>44.8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.25" customHeight="1" x14ac:dyDescent="0.25">
      <c r="A490" s="116">
        <v>2017</v>
      </c>
      <c r="B490" s="116" t="s">
        <v>12</v>
      </c>
      <c r="C490" s="116" t="s">
        <v>4</v>
      </c>
      <c r="D490" s="117">
        <v>11670488505</v>
      </c>
      <c r="E490" s="117">
        <v>4600616299</v>
      </c>
      <c r="F490" s="116">
        <v>39.4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.25" customHeight="1" x14ac:dyDescent="0.25">
      <c r="A491" s="116">
        <v>2017</v>
      </c>
      <c r="B491" s="116" t="s">
        <v>13</v>
      </c>
      <c r="C491" s="116" t="s">
        <v>4</v>
      </c>
      <c r="D491" s="117">
        <v>15142265110</v>
      </c>
      <c r="E491" s="117">
        <v>5559133684</v>
      </c>
      <c r="F491" s="116">
        <v>36.700000000000003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.25" customHeight="1" x14ac:dyDescent="0.25">
      <c r="A492" s="116">
        <v>2017</v>
      </c>
      <c r="B492" s="116" t="s">
        <v>14</v>
      </c>
      <c r="C492" s="116" t="s">
        <v>4</v>
      </c>
      <c r="D492" s="117">
        <v>10039054122</v>
      </c>
      <c r="E492" s="117">
        <v>2118183052</v>
      </c>
      <c r="F492" s="116">
        <v>21.1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.25" customHeight="1" x14ac:dyDescent="0.25">
      <c r="A493" s="116">
        <v>2017</v>
      </c>
      <c r="B493" s="116" t="s">
        <v>15</v>
      </c>
      <c r="C493" s="116" t="s">
        <v>4</v>
      </c>
      <c r="D493" s="117">
        <v>13936617096</v>
      </c>
      <c r="E493" s="117">
        <v>4689421284</v>
      </c>
      <c r="F493" s="116">
        <v>33.6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.25" customHeight="1" x14ac:dyDescent="0.25">
      <c r="A494" s="116">
        <v>2017</v>
      </c>
      <c r="B494" s="116" t="s">
        <v>16</v>
      </c>
      <c r="C494" s="116" t="s">
        <v>17</v>
      </c>
      <c r="D494" s="117">
        <v>1507142323</v>
      </c>
      <c r="E494" s="117">
        <v>469963328</v>
      </c>
      <c r="F494" s="116">
        <v>31.2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.25" customHeight="1" x14ac:dyDescent="0.25">
      <c r="A495" s="116">
        <v>2017</v>
      </c>
      <c r="B495" s="116" t="s">
        <v>18</v>
      </c>
      <c r="C495" s="116" t="s">
        <v>17</v>
      </c>
      <c r="D495" s="117">
        <v>2853193534</v>
      </c>
      <c r="E495" s="117">
        <v>1304823882</v>
      </c>
      <c r="F495" s="116">
        <v>45.7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.25" customHeight="1" x14ac:dyDescent="0.25">
      <c r="A496" s="116">
        <v>2017</v>
      </c>
      <c r="B496" s="116" t="s">
        <v>19</v>
      </c>
      <c r="C496" s="116" t="s">
        <v>17</v>
      </c>
      <c r="D496" s="117">
        <v>4491747138</v>
      </c>
      <c r="E496" s="117">
        <v>1259584248</v>
      </c>
      <c r="F496" s="116">
        <v>28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.25" customHeight="1" x14ac:dyDescent="0.25">
      <c r="A497" s="116">
        <v>2017</v>
      </c>
      <c r="B497" s="116" t="s">
        <v>20</v>
      </c>
      <c r="C497" s="116" t="s">
        <v>17</v>
      </c>
      <c r="D497" s="117">
        <v>2011576970</v>
      </c>
      <c r="E497" s="117">
        <v>1049695005</v>
      </c>
      <c r="F497" s="116">
        <v>52.2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.25" customHeight="1" x14ac:dyDescent="0.25">
      <c r="A498" s="116">
        <v>2017</v>
      </c>
      <c r="B498" s="116" t="s">
        <v>21</v>
      </c>
      <c r="C498" s="116" t="s">
        <v>17</v>
      </c>
      <c r="D498" s="117">
        <v>4347960081</v>
      </c>
      <c r="E498" s="117">
        <v>1683624191</v>
      </c>
      <c r="F498" s="116">
        <v>38.700000000000003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.25" customHeight="1" x14ac:dyDescent="0.25">
      <c r="A499" s="116">
        <v>2017</v>
      </c>
      <c r="B499" s="116" t="s">
        <v>22</v>
      </c>
      <c r="C499" s="116" t="s">
        <v>17</v>
      </c>
      <c r="D499" s="117">
        <v>1899773557</v>
      </c>
      <c r="E499" s="117">
        <v>823130206</v>
      </c>
      <c r="F499" s="116">
        <v>43.3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.25" customHeight="1" x14ac:dyDescent="0.25">
      <c r="A500" s="116">
        <v>2017</v>
      </c>
      <c r="B500" s="116" t="s">
        <v>23</v>
      </c>
      <c r="C500" s="116" t="s">
        <v>17</v>
      </c>
      <c r="D500" s="117">
        <v>2226161131</v>
      </c>
      <c r="E500" s="117">
        <v>941378976</v>
      </c>
      <c r="F500" s="116">
        <v>42.3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.25" customHeight="1" x14ac:dyDescent="0.25">
      <c r="A501" s="116">
        <v>2017</v>
      </c>
      <c r="B501" s="116" t="s">
        <v>24</v>
      </c>
      <c r="C501" s="116" t="s">
        <v>17</v>
      </c>
      <c r="D501" s="117">
        <v>34672512035</v>
      </c>
      <c r="E501" s="117">
        <v>12333470808</v>
      </c>
      <c r="F501" s="116">
        <v>35.6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.25" customHeight="1" x14ac:dyDescent="0.25">
      <c r="A502" s="116">
        <v>2017</v>
      </c>
      <c r="B502" s="116" t="s">
        <v>25</v>
      </c>
      <c r="C502" s="116" t="s">
        <v>17</v>
      </c>
      <c r="D502" s="117">
        <v>2307747104</v>
      </c>
      <c r="E502" s="117">
        <v>597439598</v>
      </c>
      <c r="F502" s="116">
        <v>25.9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.25" customHeight="1" x14ac:dyDescent="0.25">
      <c r="A503" s="116">
        <v>2017</v>
      </c>
      <c r="B503" s="116" t="s">
        <v>26</v>
      </c>
      <c r="C503" s="116" t="s">
        <v>27</v>
      </c>
      <c r="D503" s="117">
        <v>51249382627</v>
      </c>
      <c r="E503" s="117">
        <v>22085549436</v>
      </c>
      <c r="F503" s="116">
        <v>43.1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.25" customHeight="1" x14ac:dyDescent="0.25">
      <c r="A504" s="116">
        <v>2017</v>
      </c>
      <c r="B504" s="116" t="s">
        <v>28</v>
      </c>
      <c r="C504" s="116" t="s">
        <v>27</v>
      </c>
      <c r="D504" s="117">
        <v>72216650704</v>
      </c>
      <c r="E504" s="117">
        <v>30247891417</v>
      </c>
      <c r="F504" s="116">
        <v>41.9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.25" customHeight="1" x14ac:dyDescent="0.25">
      <c r="A505" s="116">
        <v>2017</v>
      </c>
      <c r="B505" s="116" t="s">
        <v>29</v>
      </c>
      <c r="C505" s="116" t="s">
        <v>27</v>
      </c>
      <c r="D505" s="117">
        <v>25798017161</v>
      </c>
      <c r="E505" s="117">
        <v>9688418294</v>
      </c>
      <c r="F505" s="116">
        <v>37.6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.25" customHeight="1" x14ac:dyDescent="0.25">
      <c r="A506" s="116">
        <v>2017</v>
      </c>
      <c r="B506" s="116" t="s">
        <v>30</v>
      </c>
      <c r="C506" s="116" t="s">
        <v>27</v>
      </c>
      <c r="D506" s="117">
        <v>63083598470</v>
      </c>
      <c r="E506" s="117">
        <v>27859302128</v>
      </c>
      <c r="F506" s="116">
        <v>44.2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.25" customHeight="1" x14ac:dyDescent="0.25">
      <c r="A507" s="116">
        <v>2017</v>
      </c>
      <c r="B507" s="116" t="s">
        <v>31</v>
      </c>
      <c r="C507" s="116" t="s">
        <v>27</v>
      </c>
      <c r="D507" s="117">
        <v>23816082974</v>
      </c>
      <c r="E507" s="117">
        <v>14216726406</v>
      </c>
      <c r="F507" s="116">
        <v>59.7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.25" customHeight="1" x14ac:dyDescent="0.25">
      <c r="A508" s="116">
        <v>2017</v>
      </c>
      <c r="B508" s="116" t="s">
        <v>32</v>
      </c>
      <c r="C508" s="116" t="s">
        <v>27</v>
      </c>
      <c r="D508" s="117">
        <v>29933506329</v>
      </c>
      <c r="E508" s="117">
        <v>12844836043</v>
      </c>
      <c r="F508" s="116">
        <v>42.9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.25" customHeight="1" x14ac:dyDescent="0.25">
      <c r="A509" s="116">
        <v>2017</v>
      </c>
      <c r="B509" s="116" t="s">
        <v>33</v>
      </c>
      <c r="C509" s="116" t="s">
        <v>27</v>
      </c>
      <c r="D509" s="117">
        <v>61631482059</v>
      </c>
      <c r="E509" s="117">
        <v>37737221586</v>
      </c>
      <c r="F509" s="116">
        <v>61.2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.25" customHeight="1" x14ac:dyDescent="0.25">
      <c r="A510" s="116">
        <v>2017</v>
      </c>
      <c r="B510" s="116" t="s">
        <v>34</v>
      </c>
      <c r="C510" s="116" t="s">
        <v>35</v>
      </c>
      <c r="D510" s="117">
        <v>3591286370</v>
      </c>
      <c r="E510" s="117">
        <v>970708200</v>
      </c>
      <c r="F510" s="116">
        <v>27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.25" customHeight="1" x14ac:dyDescent="0.25">
      <c r="A511" s="116">
        <v>2017</v>
      </c>
      <c r="B511" s="116" t="s">
        <v>36</v>
      </c>
      <c r="C511" s="116" t="s">
        <v>35</v>
      </c>
      <c r="D511" s="117">
        <v>19352008480</v>
      </c>
      <c r="E511" s="117">
        <v>7527046315</v>
      </c>
      <c r="F511" s="116">
        <v>38.9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.25" customHeight="1" x14ac:dyDescent="0.25">
      <c r="A512" s="116">
        <v>2017</v>
      </c>
      <c r="B512" s="116" t="s">
        <v>37</v>
      </c>
      <c r="C512" s="116" t="s">
        <v>35</v>
      </c>
      <c r="D512" s="117">
        <v>5343964340</v>
      </c>
      <c r="E512" s="117">
        <v>1918831364</v>
      </c>
      <c r="F512" s="116">
        <v>35.9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.25" customHeight="1" x14ac:dyDescent="0.25">
      <c r="A513" s="116">
        <v>2017</v>
      </c>
      <c r="B513" s="116" t="s">
        <v>38</v>
      </c>
      <c r="C513" s="116" t="s">
        <v>35</v>
      </c>
      <c r="D513" s="117">
        <v>8021809614</v>
      </c>
      <c r="E513" s="117">
        <v>2649959297</v>
      </c>
      <c r="F513" s="116">
        <v>33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.25" customHeight="1" x14ac:dyDescent="0.25">
      <c r="A514" s="116">
        <v>2017</v>
      </c>
      <c r="B514" s="116" t="s">
        <v>39</v>
      </c>
      <c r="C514" s="116" t="s">
        <v>35</v>
      </c>
      <c r="D514" s="117">
        <v>23062177188</v>
      </c>
      <c r="E514" s="117">
        <v>7717462987</v>
      </c>
      <c r="F514" s="116">
        <v>33.5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.25" customHeight="1" x14ac:dyDescent="0.25">
      <c r="A515" s="116">
        <v>2017</v>
      </c>
      <c r="B515" s="116" t="s">
        <v>40</v>
      </c>
      <c r="C515" s="116" t="s">
        <v>41</v>
      </c>
      <c r="D515" s="117">
        <v>3067771978</v>
      </c>
      <c r="E515" s="117">
        <v>403614922</v>
      </c>
      <c r="F515" s="116">
        <v>13.2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.25" customHeight="1" x14ac:dyDescent="0.25">
      <c r="A516" s="116">
        <v>2017</v>
      </c>
      <c r="B516" s="116" t="s">
        <v>42</v>
      </c>
      <c r="C516" s="116" t="s">
        <v>41</v>
      </c>
      <c r="D516" s="117">
        <v>10761822188</v>
      </c>
      <c r="E516" s="117">
        <v>2846237281</v>
      </c>
      <c r="F516" s="116">
        <v>26.4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.25" customHeight="1" x14ac:dyDescent="0.25">
      <c r="A517" s="116">
        <v>2017</v>
      </c>
      <c r="B517" s="116" t="s">
        <v>43</v>
      </c>
      <c r="C517" s="116" t="s">
        <v>41</v>
      </c>
      <c r="D517" s="117">
        <v>10556091498</v>
      </c>
      <c r="E517" s="117">
        <v>2725231419</v>
      </c>
      <c r="F517" s="116">
        <v>25.8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.25" customHeight="1" x14ac:dyDescent="0.25">
      <c r="A518" s="116">
        <v>2017</v>
      </c>
      <c r="B518" s="116" t="s">
        <v>44</v>
      </c>
      <c r="C518" s="116" t="s">
        <v>41</v>
      </c>
      <c r="D518" s="117">
        <v>13566289071</v>
      </c>
      <c r="E518" s="117">
        <v>3882807323</v>
      </c>
      <c r="F518" s="116">
        <v>28.6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.25" customHeight="1" x14ac:dyDescent="0.25">
      <c r="A519" s="116">
        <v>2017</v>
      </c>
      <c r="B519" s="116" t="s">
        <v>45</v>
      </c>
      <c r="C519" s="116" t="s">
        <v>41</v>
      </c>
      <c r="D519" s="117">
        <v>36686475107</v>
      </c>
      <c r="E519" s="117">
        <v>12244229012</v>
      </c>
      <c r="F519" s="116">
        <v>33.4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.25" customHeight="1" x14ac:dyDescent="0.25">
      <c r="A520" s="116">
        <v>2017</v>
      </c>
      <c r="B520" s="116" t="s">
        <v>46</v>
      </c>
      <c r="C520" s="116" t="s">
        <v>47</v>
      </c>
      <c r="D520" s="117">
        <v>34322144559</v>
      </c>
      <c r="E520" s="117">
        <v>14233545522</v>
      </c>
      <c r="F520" s="116">
        <v>41.5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.25" customHeight="1" x14ac:dyDescent="0.25">
      <c r="A521" s="116">
        <v>2017</v>
      </c>
      <c r="B521" s="116" t="s">
        <v>48</v>
      </c>
      <c r="C521" s="116" t="s">
        <v>47</v>
      </c>
      <c r="D521" s="117">
        <v>367261779599</v>
      </c>
      <c r="E521" s="117">
        <v>179039055722</v>
      </c>
      <c r="F521" s="116">
        <v>48.7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.25" customHeight="1" x14ac:dyDescent="0.25">
      <c r="A522" s="116">
        <v>2018</v>
      </c>
      <c r="B522" s="116" t="s">
        <v>3</v>
      </c>
      <c r="C522" s="116" t="s">
        <v>4</v>
      </c>
      <c r="D522" s="117">
        <v>33817758312</v>
      </c>
      <c r="E522" s="117">
        <v>14725111695</v>
      </c>
      <c r="F522" s="116">
        <v>43.5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.25" customHeight="1" x14ac:dyDescent="0.25">
      <c r="A523" s="116">
        <v>2018</v>
      </c>
      <c r="B523" s="116" t="s">
        <v>5</v>
      </c>
      <c r="C523" s="116" t="s">
        <v>4</v>
      </c>
      <c r="D523" s="117">
        <v>170565279030</v>
      </c>
      <c r="E523" s="117">
        <v>85063200202</v>
      </c>
      <c r="F523" s="116">
        <v>49.9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.25" customHeight="1" x14ac:dyDescent="0.25">
      <c r="A524" s="116">
        <v>2018</v>
      </c>
      <c r="B524" s="116" t="s">
        <v>6</v>
      </c>
      <c r="C524" s="116" t="s">
        <v>4</v>
      </c>
      <c r="D524" s="117">
        <v>13516634505</v>
      </c>
      <c r="E524" s="117">
        <v>2534707250</v>
      </c>
      <c r="F524" s="116">
        <v>18.8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.25" customHeight="1" x14ac:dyDescent="0.25">
      <c r="A525" s="116">
        <v>2018</v>
      </c>
      <c r="B525" s="116" t="s">
        <v>7</v>
      </c>
      <c r="C525" s="116" t="s">
        <v>4</v>
      </c>
      <c r="D525" s="117">
        <v>32522133635</v>
      </c>
      <c r="E525" s="117">
        <v>13821745128</v>
      </c>
      <c r="F525" s="116">
        <v>42.5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.25" customHeight="1" x14ac:dyDescent="0.25">
      <c r="A526" s="116">
        <v>2018</v>
      </c>
      <c r="B526" s="116" t="s">
        <v>8</v>
      </c>
      <c r="C526" s="116" t="s">
        <v>4</v>
      </c>
      <c r="D526" s="117">
        <v>13291708989</v>
      </c>
      <c r="E526" s="117">
        <v>4173132929</v>
      </c>
      <c r="F526" s="116">
        <v>31.4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.25" customHeight="1" x14ac:dyDescent="0.25">
      <c r="A527" s="116">
        <v>2018</v>
      </c>
      <c r="B527" s="116" t="s">
        <v>9</v>
      </c>
      <c r="C527" s="116" t="s">
        <v>4</v>
      </c>
      <c r="D527" s="117">
        <v>101827586962</v>
      </c>
      <c r="E527" s="117">
        <v>42861913237</v>
      </c>
      <c r="F527" s="116">
        <v>42.1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.25" customHeight="1" x14ac:dyDescent="0.25">
      <c r="A528" s="116">
        <v>2018</v>
      </c>
      <c r="B528" s="116" t="s">
        <v>10</v>
      </c>
      <c r="C528" s="116" t="s">
        <v>4</v>
      </c>
      <c r="D528" s="117">
        <v>2194950602</v>
      </c>
      <c r="E528" s="117">
        <v>438990120</v>
      </c>
      <c r="F528" s="116">
        <v>20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.25" customHeight="1" x14ac:dyDescent="0.25">
      <c r="A529" s="116">
        <v>2018</v>
      </c>
      <c r="B529" s="116" t="s">
        <v>11</v>
      </c>
      <c r="C529" s="116" t="s">
        <v>4</v>
      </c>
      <c r="D529" s="117">
        <v>9137998595</v>
      </c>
      <c r="E529" s="117">
        <v>3725907299</v>
      </c>
      <c r="F529" s="116">
        <v>40.799999999999997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.25" customHeight="1" x14ac:dyDescent="0.25">
      <c r="A530" s="116">
        <v>2018</v>
      </c>
      <c r="B530" s="116" t="s">
        <v>12</v>
      </c>
      <c r="C530" s="116" t="s">
        <v>4</v>
      </c>
      <c r="D530" s="117">
        <v>12456787187</v>
      </c>
      <c r="E530" s="117">
        <v>5245338863</v>
      </c>
      <c r="F530" s="116">
        <v>42.1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.25" customHeight="1" x14ac:dyDescent="0.25">
      <c r="A531" s="116">
        <v>2018</v>
      </c>
      <c r="B531" s="116" t="s">
        <v>13</v>
      </c>
      <c r="C531" s="116" t="s">
        <v>4</v>
      </c>
      <c r="D531" s="117">
        <v>20088891341</v>
      </c>
      <c r="E531" s="117">
        <v>8316133280</v>
      </c>
      <c r="F531" s="116">
        <v>41.4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.25" customHeight="1" x14ac:dyDescent="0.25">
      <c r="A532" s="116">
        <v>2018</v>
      </c>
      <c r="B532" s="116" t="s">
        <v>14</v>
      </c>
      <c r="C532" s="116" t="s">
        <v>4</v>
      </c>
      <c r="D532" s="117">
        <v>11571908012</v>
      </c>
      <c r="E532" s="117">
        <v>3154122839</v>
      </c>
      <c r="F532" s="116">
        <v>27.3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.25" customHeight="1" x14ac:dyDescent="0.25">
      <c r="A533" s="116">
        <v>2018</v>
      </c>
      <c r="B533" s="116" t="s">
        <v>15</v>
      </c>
      <c r="C533" s="116" t="s">
        <v>4</v>
      </c>
      <c r="D533" s="117">
        <v>17009195959</v>
      </c>
      <c r="E533" s="117">
        <v>6006894441</v>
      </c>
      <c r="F533" s="116">
        <v>35.299999999999997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.25" customHeight="1" x14ac:dyDescent="0.25">
      <c r="A534" s="116">
        <v>2018</v>
      </c>
      <c r="B534" s="116" t="s">
        <v>16</v>
      </c>
      <c r="C534" s="116" t="s">
        <v>17</v>
      </c>
      <c r="D534" s="117">
        <v>1213527956</v>
      </c>
      <c r="E534" s="117">
        <v>360621875</v>
      </c>
      <c r="F534" s="116">
        <v>29.7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.25" customHeight="1" x14ac:dyDescent="0.25">
      <c r="A535" s="116">
        <v>2018</v>
      </c>
      <c r="B535" s="116" t="s">
        <v>18</v>
      </c>
      <c r="C535" s="116" t="s">
        <v>17</v>
      </c>
      <c r="D535" s="117">
        <v>3720395754</v>
      </c>
      <c r="E535" s="117">
        <v>1920186656</v>
      </c>
      <c r="F535" s="116">
        <v>51.6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.25" customHeight="1" x14ac:dyDescent="0.25">
      <c r="A536" s="116">
        <v>2018</v>
      </c>
      <c r="B536" s="116" t="s">
        <v>19</v>
      </c>
      <c r="C536" s="116" t="s">
        <v>17</v>
      </c>
      <c r="D536" s="117">
        <v>5949648286</v>
      </c>
      <c r="E536" s="117">
        <v>2070228015</v>
      </c>
      <c r="F536" s="116">
        <v>34.799999999999997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.25" customHeight="1" x14ac:dyDescent="0.25">
      <c r="A537" s="116">
        <v>2018</v>
      </c>
      <c r="B537" s="116" t="s">
        <v>20</v>
      </c>
      <c r="C537" s="116" t="s">
        <v>17</v>
      </c>
      <c r="D537" s="117">
        <v>3810668468</v>
      </c>
      <c r="E537" s="117">
        <v>2827330416</v>
      </c>
      <c r="F537" s="116">
        <v>74.2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.25" customHeight="1" x14ac:dyDescent="0.25">
      <c r="A538" s="116">
        <v>2018</v>
      </c>
      <c r="B538" s="116" t="s">
        <v>21</v>
      </c>
      <c r="C538" s="116" t="s">
        <v>17</v>
      </c>
      <c r="D538" s="117">
        <v>4641774875</v>
      </c>
      <c r="E538" s="117">
        <v>1795558585</v>
      </c>
      <c r="F538" s="116">
        <v>38.700000000000003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.25" customHeight="1" x14ac:dyDescent="0.25">
      <c r="A539" s="116">
        <v>2018</v>
      </c>
      <c r="B539" s="116" t="s">
        <v>22</v>
      </c>
      <c r="C539" s="116" t="s">
        <v>17</v>
      </c>
      <c r="D539" s="117">
        <v>2068455652</v>
      </c>
      <c r="E539" s="117">
        <v>912038685</v>
      </c>
      <c r="F539" s="116">
        <v>44.1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.25" customHeight="1" x14ac:dyDescent="0.25">
      <c r="A540" s="116">
        <v>2018</v>
      </c>
      <c r="B540" s="116" t="s">
        <v>23</v>
      </c>
      <c r="C540" s="116" t="s">
        <v>17</v>
      </c>
      <c r="D540" s="117">
        <v>1749591735</v>
      </c>
      <c r="E540" s="117">
        <v>504841465</v>
      </c>
      <c r="F540" s="116">
        <v>28.9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.25" customHeight="1" x14ac:dyDescent="0.25">
      <c r="A541" s="116">
        <v>2018</v>
      </c>
      <c r="B541" s="116" t="s">
        <v>24</v>
      </c>
      <c r="C541" s="116" t="s">
        <v>17</v>
      </c>
      <c r="D541" s="117">
        <v>35599501299</v>
      </c>
      <c r="E541" s="117">
        <v>13360236371</v>
      </c>
      <c r="F541" s="116">
        <v>37.5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.25" customHeight="1" x14ac:dyDescent="0.25">
      <c r="A542" s="116">
        <v>2018</v>
      </c>
      <c r="B542" s="116" t="s">
        <v>25</v>
      </c>
      <c r="C542" s="116" t="s">
        <v>17</v>
      </c>
      <c r="D542" s="117">
        <v>2369909107</v>
      </c>
      <c r="E542" s="117">
        <v>717785657</v>
      </c>
      <c r="F542" s="116">
        <v>30.3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.25" customHeight="1" x14ac:dyDescent="0.25">
      <c r="A543" s="116">
        <v>2018</v>
      </c>
      <c r="B543" s="116" t="s">
        <v>26</v>
      </c>
      <c r="C543" s="116" t="s">
        <v>27</v>
      </c>
      <c r="D543" s="117">
        <v>56348771776</v>
      </c>
      <c r="E543" s="117">
        <v>25109504035</v>
      </c>
      <c r="F543" s="116">
        <v>44.6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.25" customHeight="1" x14ac:dyDescent="0.25">
      <c r="A544" s="116">
        <v>2018</v>
      </c>
      <c r="B544" s="116" t="s">
        <v>28</v>
      </c>
      <c r="C544" s="116" t="s">
        <v>27</v>
      </c>
      <c r="D544" s="117">
        <v>74264423121</v>
      </c>
      <c r="E544" s="117">
        <v>32244049769</v>
      </c>
      <c r="F544" s="116">
        <v>43.4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.25" customHeight="1" x14ac:dyDescent="0.25">
      <c r="A545" s="116">
        <v>2018</v>
      </c>
      <c r="B545" s="116" t="s">
        <v>29</v>
      </c>
      <c r="C545" s="116" t="s">
        <v>27</v>
      </c>
      <c r="D545" s="117">
        <v>28489965046</v>
      </c>
      <c r="E545" s="117">
        <v>11668940775</v>
      </c>
      <c r="F545" s="116">
        <v>41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.25" customHeight="1" x14ac:dyDescent="0.25">
      <c r="A546" s="116">
        <v>2018</v>
      </c>
      <c r="B546" s="116" t="s">
        <v>30</v>
      </c>
      <c r="C546" s="116" t="s">
        <v>27</v>
      </c>
      <c r="D546" s="117">
        <v>68758255945</v>
      </c>
      <c r="E546" s="117">
        <v>32201680181</v>
      </c>
      <c r="F546" s="116">
        <v>46.8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customHeight="1" x14ac:dyDescent="0.25">
      <c r="A547" s="116">
        <v>2018</v>
      </c>
      <c r="B547" s="116" t="s">
        <v>31</v>
      </c>
      <c r="C547" s="116" t="s">
        <v>27</v>
      </c>
      <c r="D547" s="117">
        <v>26519013799</v>
      </c>
      <c r="E547" s="117">
        <v>16498772349</v>
      </c>
      <c r="F547" s="116">
        <v>62.2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.25" customHeight="1" x14ac:dyDescent="0.25">
      <c r="A548" s="116">
        <v>2018</v>
      </c>
      <c r="B548" s="116" t="s">
        <v>32</v>
      </c>
      <c r="C548" s="116" t="s">
        <v>27</v>
      </c>
      <c r="D548" s="117">
        <v>33024209033</v>
      </c>
      <c r="E548" s="117">
        <v>14641859663</v>
      </c>
      <c r="F548" s="116">
        <v>44.3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customHeight="1" x14ac:dyDescent="0.25">
      <c r="A549" s="116">
        <v>2018</v>
      </c>
      <c r="B549" s="116" t="s">
        <v>33</v>
      </c>
      <c r="C549" s="116" t="s">
        <v>27</v>
      </c>
      <c r="D549" s="117">
        <v>65906549112</v>
      </c>
      <c r="E549" s="117">
        <v>44127336768</v>
      </c>
      <c r="F549" s="116">
        <v>67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.25" customHeight="1" x14ac:dyDescent="0.25">
      <c r="A550" s="116">
        <v>2018</v>
      </c>
      <c r="B550" s="116" t="s">
        <v>34</v>
      </c>
      <c r="C550" s="116" t="s">
        <v>35</v>
      </c>
      <c r="D550" s="117">
        <v>4432763514</v>
      </c>
      <c r="E550" s="117">
        <v>1360858399</v>
      </c>
      <c r="F550" s="116">
        <v>30.7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.25" customHeight="1" x14ac:dyDescent="0.25">
      <c r="A551" s="116">
        <v>2018</v>
      </c>
      <c r="B551" s="116" t="s">
        <v>36</v>
      </c>
      <c r="C551" s="116" t="s">
        <v>35</v>
      </c>
      <c r="D551" s="117">
        <v>17989526135</v>
      </c>
      <c r="E551" s="117">
        <v>7283692454</v>
      </c>
      <c r="F551" s="116">
        <v>40.5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.25" customHeight="1" x14ac:dyDescent="0.25">
      <c r="A552" s="116">
        <v>2018</v>
      </c>
      <c r="B552" s="116" t="s">
        <v>37</v>
      </c>
      <c r="C552" s="116" t="s">
        <v>35</v>
      </c>
      <c r="D552" s="117">
        <v>4968416248</v>
      </c>
      <c r="E552" s="117">
        <v>1919084023</v>
      </c>
      <c r="F552" s="116">
        <v>38.6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.25" customHeight="1" x14ac:dyDescent="0.25">
      <c r="A553" s="116">
        <v>2018</v>
      </c>
      <c r="B553" s="116" t="s">
        <v>38</v>
      </c>
      <c r="C553" s="116" t="s">
        <v>35</v>
      </c>
      <c r="D553" s="117">
        <v>7897048576</v>
      </c>
      <c r="E553" s="117">
        <v>2711117541</v>
      </c>
      <c r="F553" s="116">
        <v>34.299999999999997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.25" customHeight="1" x14ac:dyDescent="0.25">
      <c r="A554" s="116">
        <v>2018</v>
      </c>
      <c r="B554" s="116" t="s">
        <v>39</v>
      </c>
      <c r="C554" s="116" t="s">
        <v>35</v>
      </c>
      <c r="D554" s="117">
        <v>23112935277</v>
      </c>
      <c r="E554" s="117">
        <v>8358038084</v>
      </c>
      <c r="F554" s="116">
        <v>36.200000000000003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.25" customHeight="1" x14ac:dyDescent="0.25">
      <c r="A555" s="116">
        <v>2018</v>
      </c>
      <c r="B555" s="116" t="s">
        <v>40</v>
      </c>
      <c r="C555" s="116" t="s">
        <v>41</v>
      </c>
      <c r="D555" s="117">
        <v>3626899572</v>
      </c>
      <c r="E555" s="117">
        <v>666644126</v>
      </c>
      <c r="F555" s="116">
        <v>18.399999999999999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.25" customHeight="1" x14ac:dyDescent="0.25">
      <c r="A556" s="116">
        <v>2018</v>
      </c>
      <c r="B556" s="116" t="s">
        <v>42</v>
      </c>
      <c r="C556" s="116" t="s">
        <v>41</v>
      </c>
      <c r="D556" s="117">
        <v>10731975744</v>
      </c>
      <c r="E556" s="117">
        <v>3127370534</v>
      </c>
      <c r="F556" s="116">
        <v>29.1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.25" customHeight="1" x14ac:dyDescent="0.25">
      <c r="A557" s="116">
        <v>2018</v>
      </c>
      <c r="B557" s="116" t="s">
        <v>43</v>
      </c>
      <c r="C557" s="116" t="s">
        <v>41</v>
      </c>
      <c r="D557" s="117">
        <v>11139815418</v>
      </c>
      <c r="E557" s="117">
        <v>3176537328</v>
      </c>
      <c r="F557" s="116">
        <v>28.5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.25" customHeight="1" x14ac:dyDescent="0.25">
      <c r="A558" s="116">
        <v>2018</v>
      </c>
      <c r="B558" s="116" t="s">
        <v>44</v>
      </c>
      <c r="C558" s="116" t="s">
        <v>41</v>
      </c>
      <c r="D558" s="117">
        <v>14578830702</v>
      </c>
      <c r="E558" s="117">
        <v>4872458406</v>
      </c>
      <c r="F558" s="116">
        <v>33.4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.25" customHeight="1" x14ac:dyDescent="0.25">
      <c r="A559" s="116">
        <v>2018</v>
      </c>
      <c r="B559" s="116" t="s">
        <v>45</v>
      </c>
      <c r="C559" s="116" t="s">
        <v>41</v>
      </c>
      <c r="D559" s="117">
        <v>38514488980</v>
      </c>
      <c r="E559" s="117">
        <v>13883312873</v>
      </c>
      <c r="F559" s="116">
        <v>36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.25" customHeight="1" x14ac:dyDescent="0.25">
      <c r="A560" s="116">
        <v>2018</v>
      </c>
      <c r="B560" s="116" t="s">
        <v>46</v>
      </c>
      <c r="C560" s="116" t="s">
        <v>47</v>
      </c>
      <c r="D560" s="117">
        <v>38062045207</v>
      </c>
      <c r="E560" s="117">
        <v>19133493212</v>
      </c>
      <c r="F560" s="116">
        <v>50.3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.25" customHeight="1" x14ac:dyDescent="0.25">
      <c r="A561" s="116">
        <v>2018</v>
      </c>
      <c r="B561" s="116" t="s">
        <v>48</v>
      </c>
      <c r="C561" s="116" t="s">
        <v>47</v>
      </c>
      <c r="D561" s="117">
        <v>390723418563</v>
      </c>
      <c r="E561" s="117">
        <v>198816787869</v>
      </c>
      <c r="F561" s="116">
        <v>50.9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.25" customHeight="1" x14ac:dyDescent="0.25">
      <c r="A562" s="116">
        <v>2019</v>
      </c>
      <c r="B562" s="116" t="s">
        <v>3</v>
      </c>
      <c r="C562" s="116" t="s">
        <v>4</v>
      </c>
      <c r="D562" s="117">
        <v>32237138360</v>
      </c>
      <c r="E562" s="117">
        <v>14712786497</v>
      </c>
      <c r="F562" s="116">
        <v>45.6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.25" customHeight="1" x14ac:dyDescent="0.25">
      <c r="A563" s="116">
        <v>2019</v>
      </c>
      <c r="B563" s="116" t="s">
        <v>5</v>
      </c>
      <c r="C563" s="116" t="s">
        <v>4</v>
      </c>
      <c r="D563" s="117">
        <v>175046818910</v>
      </c>
      <c r="E563" s="117">
        <v>96595553962</v>
      </c>
      <c r="F563" s="116">
        <v>55.2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.25" customHeight="1" x14ac:dyDescent="0.25">
      <c r="A564" s="116">
        <v>2019</v>
      </c>
      <c r="B564" s="116" t="s">
        <v>6</v>
      </c>
      <c r="C564" s="116" t="s">
        <v>4</v>
      </c>
      <c r="D564" s="117">
        <v>12681632188</v>
      </c>
      <c r="E564" s="117">
        <v>2650966430</v>
      </c>
      <c r="F564" s="116">
        <v>20.9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.25" customHeight="1" x14ac:dyDescent="0.25">
      <c r="A565" s="116">
        <v>2019</v>
      </c>
      <c r="B565" s="116" t="s">
        <v>7</v>
      </c>
      <c r="C565" s="116" t="s">
        <v>4</v>
      </c>
      <c r="D565" s="117">
        <v>32560468953</v>
      </c>
      <c r="E565" s="117">
        <v>14734274035</v>
      </c>
      <c r="F565" s="116">
        <v>45.3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.25" customHeight="1" x14ac:dyDescent="0.25">
      <c r="A566" s="116">
        <v>2019</v>
      </c>
      <c r="B566" s="116" t="s">
        <v>8</v>
      </c>
      <c r="C566" s="116" t="s">
        <v>4</v>
      </c>
      <c r="D566" s="117">
        <v>14428617956</v>
      </c>
      <c r="E566" s="117">
        <v>5587389158</v>
      </c>
      <c r="F566" s="116">
        <v>38.700000000000003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.25" customHeight="1" x14ac:dyDescent="0.25">
      <c r="A567" s="116">
        <v>2019</v>
      </c>
      <c r="B567" s="116" t="s">
        <v>9</v>
      </c>
      <c r="C567" s="116" t="s">
        <v>4</v>
      </c>
      <c r="D567" s="117">
        <v>108213792588</v>
      </c>
      <c r="E567" s="117">
        <v>47221711537</v>
      </c>
      <c r="F567" s="116">
        <v>43.6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.25" customHeight="1" x14ac:dyDescent="0.25">
      <c r="A568" s="116">
        <v>2019</v>
      </c>
      <c r="B568" s="116" t="s">
        <v>10</v>
      </c>
      <c r="C568" s="116" t="s">
        <v>4</v>
      </c>
      <c r="D568" s="117">
        <v>2135328834</v>
      </c>
      <c r="E568" s="117">
        <v>726011804</v>
      </c>
      <c r="F568" s="116">
        <v>34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.25" customHeight="1" x14ac:dyDescent="0.25">
      <c r="A569" s="116">
        <v>2019</v>
      </c>
      <c r="B569" s="116" t="s">
        <v>11</v>
      </c>
      <c r="C569" s="116" t="s">
        <v>4</v>
      </c>
      <c r="D569" s="117">
        <v>9337215500</v>
      </c>
      <c r="E569" s="117">
        <v>4192945822</v>
      </c>
      <c r="F569" s="116">
        <v>44.9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.25" customHeight="1" x14ac:dyDescent="0.25">
      <c r="A570" s="116">
        <v>2019</v>
      </c>
      <c r="B570" s="116" t="s">
        <v>12</v>
      </c>
      <c r="C570" s="116" t="s">
        <v>4</v>
      </c>
      <c r="D570" s="117">
        <v>13001977623</v>
      </c>
      <c r="E570" s="117">
        <v>5645101272</v>
      </c>
      <c r="F570" s="116">
        <v>43.4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.25" customHeight="1" x14ac:dyDescent="0.25">
      <c r="A571" s="116">
        <v>2019</v>
      </c>
      <c r="B571" s="116" t="s">
        <v>13</v>
      </c>
      <c r="C571" s="116" t="s">
        <v>4</v>
      </c>
      <c r="D571" s="117">
        <v>19242446088</v>
      </c>
      <c r="E571" s="117">
        <v>8671216102</v>
      </c>
      <c r="F571" s="116">
        <v>45.1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.25" customHeight="1" x14ac:dyDescent="0.25">
      <c r="A572" s="116">
        <v>2019</v>
      </c>
      <c r="B572" s="116" t="s">
        <v>14</v>
      </c>
      <c r="C572" s="116" t="s">
        <v>4</v>
      </c>
      <c r="D572" s="117">
        <v>11771141660</v>
      </c>
      <c r="E572" s="117">
        <v>3530100228</v>
      </c>
      <c r="F572" s="116">
        <v>30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.25" customHeight="1" x14ac:dyDescent="0.25">
      <c r="A573" s="116">
        <v>2019</v>
      </c>
      <c r="B573" s="116" t="s">
        <v>15</v>
      </c>
      <c r="C573" s="116" t="s">
        <v>4</v>
      </c>
      <c r="D573" s="117">
        <v>17038226248</v>
      </c>
      <c r="E573" s="117">
        <v>6191713086</v>
      </c>
      <c r="F573" s="116">
        <v>36.299999999999997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.25" customHeight="1" x14ac:dyDescent="0.25">
      <c r="A574" s="116">
        <v>2019</v>
      </c>
      <c r="B574" s="116" t="s">
        <v>16</v>
      </c>
      <c r="C574" s="116" t="s">
        <v>17</v>
      </c>
      <c r="D574" s="117">
        <v>1227444167</v>
      </c>
      <c r="E574" s="117">
        <v>398431703</v>
      </c>
      <c r="F574" s="116">
        <v>32.5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.25" customHeight="1" x14ac:dyDescent="0.25">
      <c r="A575" s="116">
        <v>2019</v>
      </c>
      <c r="B575" s="116" t="s">
        <v>18</v>
      </c>
      <c r="C575" s="116" t="s">
        <v>17</v>
      </c>
      <c r="D575" s="117">
        <v>3675251206</v>
      </c>
      <c r="E575" s="117">
        <v>1987573583</v>
      </c>
      <c r="F575" s="116">
        <v>54.1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.25" customHeight="1" x14ac:dyDescent="0.25">
      <c r="A576" s="116">
        <v>2019</v>
      </c>
      <c r="B576" s="116" t="s">
        <v>19</v>
      </c>
      <c r="C576" s="116" t="s">
        <v>17</v>
      </c>
      <c r="D576" s="117">
        <v>5841694144</v>
      </c>
      <c r="E576" s="117">
        <v>2180174587</v>
      </c>
      <c r="F576" s="116">
        <v>37.299999999999997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.25" customHeight="1" x14ac:dyDescent="0.25">
      <c r="A577" s="116">
        <v>2019</v>
      </c>
      <c r="B577" s="116" t="s">
        <v>20</v>
      </c>
      <c r="C577" s="116" t="s">
        <v>17</v>
      </c>
      <c r="D577" s="117">
        <v>4556358370</v>
      </c>
      <c r="E577" s="117">
        <v>3638026002</v>
      </c>
      <c r="F577" s="116">
        <v>79.8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.25" customHeight="1" x14ac:dyDescent="0.25">
      <c r="A578" s="116">
        <v>2019</v>
      </c>
      <c r="B578" s="116" t="s">
        <v>21</v>
      </c>
      <c r="C578" s="116" t="s">
        <v>17</v>
      </c>
      <c r="D578" s="117">
        <v>4890852173</v>
      </c>
      <c r="E578" s="117">
        <v>2062773423</v>
      </c>
      <c r="F578" s="116">
        <v>42.2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.25" customHeight="1" x14ac:dyDescent="0.25">
      <c r="A579" s="116">
        <v>2019</v>
      </c>
      <c r="B579" s="116" t="s">
        <v>22</v>
      </c>
      <c r="C579" s="116" t="s">
        <v>17</v>
      </c>
      <c r="D579" s="117">
        <v>2085903087</v>
      </c>
      <c r="E579" s="117">
        <v>1036817072</v>
      </c>
      <c r="F579" s="116">
        <v>49.7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.25" customHeight="1" x14ac:dyDescent="0.25">
      <c r="A580" s="116">
        <v>2019</v>
      </c>
      <c r="B580" s="116" t="s">
        <v>23</v>
      </c>
      <c r="C580" s="116" t="s">
        <v>17</v>
      </c>
      <c r="D580" s="117">
        <v>1829292133</v>
      </c>
      <c r="E580" s="117">
        <v>596636625</v>
      </c>
      <c r="F580" s="116">
        <v>32.6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.25" customHeight="1" x14ac:dyDescent="0.25">
      <c r="A581" s="116">
        <v>2019</v>
      </c>
      <c r="B581" s="116" t="s">
        <v>24</v>
      </c>
      <c r="C581" s="116" t="s">
        <v>17</v>
      </c>
      <c r="D581" s="117">
        <v>36710854067</v>
      </c>
      <c r="E581" s="117">
        <v>13885625271</v>
      </c>
      <c r="F581" s="116">
        <v>37.799999999999997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.25" customHeight="1" x14ac:dyDescent="0.25">
      <c r="A582" s="116">
        <v>2019</v>
      </c>
      <c r="B582" s="116" t="s">
        <v>25</v>
      </c>
      <c r="C582" s="116" t="s">
        <v>17</v>
      </c>
      <c r="D582" s="117">
        <v>2566268777</v>
      </c>
      <c r="E582" s="117">
        <v>887067595</v>
      </c>
      <c r="F582" s="116">
        <v>34.6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.25" customHeight="1" x14ac:dyDescent="0.25">
      <c r="A583" s="116">
        <v>2019</v>
      </c>
      <c r="B583" s="116" t="s">
        <v>26</v>
      </c>
      <c r="C583" s="116" t="s">
        <v>27</v>
      </c>
      <c r="D583" s="117">
        <v>55050264686</v>
      </c>
      <c r="E583" s="117">
        <v>25397505994</v>
      </c>
      <c r="F583" s="116">
        <v>46.1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.25" customHeight="1" x14ac:dyDescent="0.25">
      <c r="A584" s="116">
        <v>2019</v>
      </c>
      <c r="B584" s="116" t="s">
        <v>28</v>
      </c>
      <c r="C584" s="116" t="s">
        <v>27</v>
      </c>
      <c r="D584" s="117">
        <v>71704908912</v>
      </c>
      <c r="E584" s="117">
        <v>35195375153</v>
      </c>
      <c r="F584" s="116">
        <v>49.1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.25" customHeight="1" x14ac:dyDescent="0.25">
      <c r="A585" s="116">
        <v>2019</v>
      </c>
      <c r="B585" s="116" t="s">
        <v>29</v>
      </c>
      <c r="C585" s="116" t="s">
        <v>27</v>
      </c>
      <c r="D585" s="117">
        <v>27224609802</v>
      </c>
      <c r="E585" s="117">
        <v>11669742913</v>
      </c>
      <c r="F585" s="116">
        <v>42.9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.25" customHeight="1" x14ac:dyDescent="0.25">
      <c r="A586" s="116">
        <v>2019</v>
      </c>
      <c r="B586" s="116" t="s">
        <v>30</v>
      </c>
      <c r="C586" s="116" t="s">
        <v>27</v>
      </c>
      <c r="D586" s="117">
        <v>67222387532</v>
      </c>
      <c r="E586" s="117">
        <v>34845096749</v>
      </c>
      <c r="F586" s="116">
        <v>51.8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.25" customHeight="1" x14ac:dyDescent="0.25">
      <c r="A587" s="116">
        <v>2019</v>
      </c>
      <c r="B587" s="116" t="s">
        <v>31</v>
      </c>
      <c r="C587" s="116" t="s">
        <v>27</v>
      </c>
      <c r="D587" s="117">
        <v>21195857772</v>
      </c>
      <c r="E587" s="117">
        <v>14767660943</v>
      </c>
      <c r="F587" s="116">
        <v>69.7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.25" customHeight="1" x14ac:dyDescent="0.25">
      <c r="A588" s="116">
        <v>2019</v>
      </c>
      <c r="B588" s="116" t="s">
        <v>32</v>
      </c>
      <c r="C588" s="116" t="s">
        <v>27</v>
      </c>
      <c r="D588" s="117">
        <v>33181001395</v>
      </c>
      <c r="E588" s="117">
        <v>15124744825</v>
      </c>
      <c r="F588" s="116">
        <v>45.6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.25" customHeight="1" x14ac:dyDescent="0.25">
      <c r="A589" s="116">
        <v>2019</v>
      </c>
      <c r="B589" s="116" t="s">
        <v>33</v>
      </c>
      <c r="C589" s="116" t="s">
        <v>27</v>
      </c>
      <c r="D589" s="117">
        <v>60896237001</v>
      </c>
      <c r="E589" s="117">
        <v>44409876505</v>
      </c>
      <c r="F589" s="116">
        <v>72.900000000000006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.25" customHeight="1" x14ac:dyDescent="0.25">
      <c r="A590" s="116">
        <v>2019</v>
      </c>
      <c r="B590" s="116" t="s">
        <v>34</v>
      </c>
      <c r="C590" s="116" t="s">
        <v>35</v>
      </c>
      <c r="D590" s="117">
        <v>4937624961</v>
      </c>
      <c r="E590" s="117">
        <v>1557062921</v>
      </c>
      <c r="F590" s="116">
        <v>31.5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.25" customHeight="1" x14ac:dyDescent="0.25">
      <c r="A591" s="116">
        <v>2019</v>
      </c>
      <c r="B591" s="116" t="s">
        <v>36</v>
      </c>
      <c r="C591" s="116" t="s">
        <v>35</v>
      </c>
      <c r="D591" s="117">
        <v>19120609190</v>
      </c>
      <c r="E591" s="117">
        <v>8214474842</v>
      </c>
      <c r="F591" s="116">
        <v>43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.25" customHeight="1" x14ac:dyDescent="0.25">
      <c r="A592" s="116">
        <v>2019</v>
      </c>
      <c r="B592" s="116" t="s">
        <v>37</v>
      </c>
      <c r="C592" s="116" t="s">
        <v>35</v>
      </c>
      <c r="D592" s="117">
        <v>4633143794</v>
      </c>
      <c r="E592" s="117">
        <v>1880737629</v>
      </c>
      <c r="F592" s="116">
        <v>40.6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.25" customHeight="1" x14ac:dyDescent="0.25">
      <c r="A593" s="116">
        <v>2019</v>
      </c>
      <c r="B593" s="116" t="s">
        <v>38</v>
      </c>
      <c r="C593" s="116" t="s">
        <v>35</v>
      </c>
      <c r="D593" s="117">
        <v>8277603265</v>
      </c>
      <c r="E593" s="117">
        <v>3064723165</v>
      </c>
      <c r="F593" s="116">
        <v>37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.25" customHeight="1" x14ac:dyDescent="0.25">
      <c r="A594" s="116">
        <v>2019</v>
      </c>
      <c r="B594" s="116" t="s">
        <v>39</v>
      </c>
      <c r="C594" s="116" t="s">
        <v>35</v>
      </c>
      <c r="D594" s="117">
        <v>24359499406</v>
      </c>
      <c r="E594" s="117">
        <v>8977796734</v>
      </c>
      <c r="F594" s="116">
        <v>36.9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.25" customHeight="1" x14ac:dyDescent="0.25">
      <c r="A595" s="116">
        <v>2019</v>
      </c>
      <c r="B595" s="116" t="s">
        <v>40</v>
      </c>
      <c r="C595" s="116" t="s">
        <v>41</v>
      </c>
      <c r="D595" s="117">
        <v>4292000497</v>
      </c>
      <c r="E595" s="117">
        <v>1055112423</v>
      </c>
      <c r="F595" s="116">
        <v>24.6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.25" customHeight="1" x14ac:dyDescent="0.25">
      <c r="A596" s="116">
        <v>2019</v>
      </c>
      <c r="B596" s="116" t="s">
        <v>42</v>
      </c>
      <c r="C596" s="116" t="s">
        <v>41</v>
      </c>
      <c r="D596" s="117">
        <v>11402149265</v>
      </c>
      <c r="E596" s="117">
        <v>3741466037</v>
      </c>
      <c r="F596" s="116">
        <v>32.799999999999997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.25" customHeight="1" x14ac:dyDescent="0.25">
      <c r="A597" s="116">
        <v>2019</v>
      </c>
      <c r="B597" s="116" t="s">
        <v>43</v>
      </c>
      <c r="C597" s="116" t="s">
        <v>41</v>
      </c>
      <c r="D597" s="117">
        <v>12200838523</v>
      </c>
      <c r="E597" s="117">
        <v>3867923045</v>
      </c>
      <c r="F597" s="116">
        <v>31.7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.25" customHeight="1" x14ac:dyDescent="0.25">
      <c r="A598" s="116">
        <v>2019</v>
      </c>
      <c r="B598" s="116" t="s">
        <v>44</v>
      </c>
      <c r="C598" s="116" t="s">
        <v>41</v>
      </c>
      <c r="D598" s="117">
        <v>16226107938</v>
      </c>
      <c r="E598" s="117">
        <v>5949185283</v>
      </c>
      <c r="F598" s="116">
        <v>36.700000000000003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.25" customHeight="1" x14ac:dyDescent="0.25">
      <c r="A599" s="116">
        <v>2019</v>
      </c>
      <c r="B599" s="116" t="s">
        <v>45</v>
      </c>
      <c r="C599" s="116" t="s">
        <v>41</v>
      </c>
      <c r="D599" s="117">
        <v>37885415363</v>
      </c>
      <c r="E599" s="117">
        <v>14405617323</v>
      </c>
      <c r="F599" s="116">
        <v>38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.25" customHeight="1" x14ac:dyDescent="0.25">
      <c r="A600" s="116">
        <v>2019</v>
      </c>
      <c r="B600" s="116" t="s">
        <v>46</v>
      </c>
      <c r="C600" s="116" t="s">
        <v>47</v>
      </c>
      <c r="D600" s="117">
        <v>39304114543</v>
      </c>
      <c r="E600" s="117">
        <v>20944984116</v>
      </c>
      <c r="F600" s="116">
        <v>53.3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.25" customHeight="1" x14ac:dyDescent="0.25">
      <c r="A601" s="116">
        <v>2019</v>
      </c>
      <c r="B601" s="116" t="s">
        <v>48</v>
      </c>
      <c r="C601" s="116" t="s">
        <v>47</v>
      </c>
      <c r="D601" s="117">
        <v>405952099255</v>
      </c>
      <c r="E601" s="117">
        <v>214978315974</v>
      </c>
      <c r="F601" s="116">
        <v>53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.25" customHeight="1" x14ac:dyDescent="0.25">
      <c r="A602" s="116">
        <v>2020</v>
      </c>
      <c r="B602" s="116" t="s">
        <v>3</v>
      </c>
      <c r="C602" s="116" t="s">
        <v>4</v>
      </c>
      <c r="D602" s="117">
        <v>14368287211</v>
      </c>
      <c r="E602" s="117">
        <v>7239610191</v>
      </c>
      <c r="F602" s="116">
        <v>50.4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.25" customHeight="1" x14ac:dyDescent="0.25">
      <c r="A603" s="116">
        <v>2020</v>
      </c>
      <c r="B603" s="116" t="s">
        <v>5</v>
      </c>
      <c r="C603" s="116" t="s">
        <v>4</v>
      </c>
      <c r="D603" s="117">
        <v>117147511595</v>
      </c>
      <c r="E603" s="117">
        <v>73002082196</v>
      </c>
      <c r="F603" s="116">
        <v>62.3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.25" customHeight="1" x14ac:dyDescent="0.25">
      <c r="A604" s="116">
        <v>2020</v>
      </c>
      <c r="B604" s="116" t="s">
        <v>6</v>
      </c>
      <c r="C604" s="116" t="s">
        <v>4</v>
      </c>
      <c r="D604" s="117">
        <v>2689297758</v>
      </c>
      <c r="E604" s="117">
        <v>653273544</v>
      </c>
      <c r="F604" s="116">
        <v>24.3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.25" customHeight="1" x14ac:dyDescent="0.25">
      <c r="A605" s="116">
        <v>2020</v>
      </c>
      <c r="B605" s="116" t="s">
        <v>7</v>
      </c>
      <c r="C605" s="116" t="s">
        <v>4</v>
      </c>
      <c r="D605" s="117">
        <v>10209174335</v>
      </c>
      <c r="E605" s="117">
        <v>4890810921</v>
      </c>
      <c r="F605" s="116">
        <v>47.9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.25" customHeight="1" x14ac:dyDescent="0.25">
      <c r="A606" s="116">
        <v>2020</v>
      </c>
      <c r="B606" s="116" t="s">
        <v>8</v>
      </c>
      <c r="C606" s="116" t="s">
        <v>4</v>
      </c>
      <c r="D606" s="117">
        <v>5078117971</v>
      </c>
      <c r="E606" s="117">
        <v>2162880822</v>
      </c>
      <c r="F606" s="116">
        <v>42.6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.25" customHeight="1" x14ac:dyDescent="0.25">
      <c r="A607" s="116">
        <v>2020</v>
      </c>
      <c r="B607" s="116" t="s">
        <v>9</v>
      </c>
      <c r="C607" s="116" t="s">
        <v>4</v>
      </c>
      <c r="D607" s="117">
        <v>50400337498</v>
      </c>
      <c r="E607" s="117">
        <v>23286417339</v>
      </c>
      <c r="F607" s="116">
        <v>46.2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.25" customHeight="1" x14ac:dyDescent="0.25">
      <c r="A608" s="116">
        <v>2020</v>
      </c>
      <c r="B608" s="116" t="s">
        <v>10</v>
      </c>
      <c r="C608" s="116" t="s">
        <v>4</v>
      </c>
      <c r="D608" s="117">
        <v>446438078</v>
      </c>
      <c r="E608" s="117">
        <v>172325098</v>
      </c>
      <c r="F608" s="116">
        <v>38.6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.25" customHeight="1" x14ac:dyDescent="0.25">
      <c r="A609" s="116">
        <v>2020</v>
      </c>
      <c r="B609" s="116" t="s">
        <v>11</v>
      </c>
      <c r="C609" s="116" t="s">
        <v>4</v>
      </c>
      <c r="D609" s="117">
        <v>2919331328</v>
      </c>
      <c r="E609" s="117">
        <v>1240966390</v>
      </c>
      <c r="F609" s="116">
        <v>42.5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.25" customHeight="1" x14ac:dyDescent="0.25">
      <c r="A610" s="116">
        <v>2020</v>
      </c>
      <c r="B610" s="116" t="s">
        <v>12</v>
      </c>
      <c r="C610" s="116" t="s">
        <v>4</v>
      </c>
      <c r="D610" s="117">
        <v>2835772128</v>
      </c>
      <c r="E610" s="117">
        <v>1489069974</v>
      </c>
      <c r="F610" s="116">
        <v>52.5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.25" customHeight="1" x14ac:dyDescent="0.25">
      <c r="A611" s="116">
        <v>2020</v>
      </c>
      <c r="B611" s="116" t="s">
        <v>13</v>
      </c>
      <c r="C611" s="116" t="s">
        <v>4</v>
      </c>
      <c r="D611" s="117">
        <v>6595862187</v>
      </c>
      <c r="E611" s="117">
        <v>3505863455</v>
      </c>
      <c r="F611" s="116">
        <v>53.2</v>
      </c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.25" customHeight="1" x14ac:dyDescent="0.25">
      <c r="A612" s="116">
        <v>2020</v>
      </c>
      <c r="B612" s="116" t="s">
        <v>14</v>
      </c>
      <c r="C612" s="116" t="s">
        <v>4</v>
      </c>
      <c r="D612" s="117">
        <v>5762335809</v>
      </c>
      <c r="E612" s="117">
        <v>2117400577</v>
      </c>
      <c r="F612" s="116">
        <v>36.700000000000003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.25" customHeight="1" x14ac:dyDescent="0.25">
      <c r="A613" s="116">
        <v>2020</v>
      </c>
      <c r="B613" s="116" t="s">
        <v>15</v>
      </c>
      <c r="C613" s="116" t="s">
        <v>4</v>
      </c>
      <c r="D613" s="117">
        <v>4772669830</v>
      </c>
      <c r="E613" s="117">
        <v>1897044160</v>
      </c>
      <c r="F613" s="116">
        <v>39.700000000000003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.25" customHeight="1" x14ac:dyDescent="0.25">
      <c r="A614" s="116">
        <v>2020</v>
      </c>
      <c r="B614" s="116" t="s">
        <v>16</v>
      </c>
      <c r="C614" s="116" t="s">
        <v>17</v>
      </c>
      <c r="D614" s="117">
        <v>468308348</v>
      </c>
      <c r="E614" s="117">
        <v>174957802</v>
      </c>
      <c r="F614" s="116">
        <v>37.4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.25" customHeight="1" x14ac:dyDescent="0.25">
      <c r="A615" s="116">
        <v>2020</v>
      </c>
      <c r="B615" s="116" t="s">
        <v>18</v>
      </c>
      <c r="C615" s="116" t="s">
        <v>17</v>
      </c>
      <c r="D615" s="117">
        <v>1665453637</v>
      </c>
      <c r="E615" s="117">
        <v>837259887</v>
      </c>
      <c r="F615" s="116">
        <v>50.3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.25" customHeight="1" x14ac:dyDescent="0.25">
      <c r="A616" s="116">
        <v>2020</v>
      </c>
      <c r="B616" s="116" t="s">
        <v>19</v>
      </c>
      <c r="C616" s="116" t="s">
        <v>17</v>
      </c>
      <c r="D616" s="117">
        <v>2037566041</v>
      </c>
      <c r="E616" s="117">
        <v>798802575</v>
      </c>
      <c r="F616" s="116">
        <v>39.200000000000003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.25" customHeight="1" x14ac:dyDescent="0.25">
      <c r="A617" s="116">
        <v>2020</v>
      </c>
      <c r="B617" s="116" t="s">
        <v>20</v>
      </c>
      <c r="C617" s="116" t="s">
        <v>17</v>
      </c>
      <c r="D617" s="117">
        <v>1829443774</v>
      </c>
      <c r="E617" s="117">
        <v>1477604144</v>
      </c>
      <c r="F617" s="116">
        <v>80.8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.25" customHeight="1" x14ac:dyDescent="0.25">
      <c r="A618" s="116">
        <v>2020</v>
      </c>
      <c r="B618" s="116" t="s">
        <v>21</v>
      </c>
      <c r="C618" s="116" t="s">
        <v>17</v>
      </c>
      <c r="D618" s="117">
        <v>2414656425</v>
      </c>
      <c r="E618" s="117">
        <v>980270546</v>
      </c>
      <c r="F618" s="116">
        <v>40.6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.25" customHeight="1" x14ac:dyDescent="0.25">
      <c r="A619" s="116">
        <v>2020</v>
      </c>
      <c r="B619" s="116" t="s">
        <v>22</v>
      </c>
      <c r="C619" s="116" t="s">
        <v>17</v>
      </c>
      <c r="D619" s="117">
        <v>914310682</v>
      </c>
      <c r="E619" s="117">
        <v>469953294</v>
      </c>
      <c r="F619" s="116">
        <v>51.4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.25" customHeight="1" x14ac:dyDescent="0.25">
      <c r="A620" s="116">
        <v>2020</v>
      </c>
      <c r="B620" s="116" t="s">
        <v>23</v>
      </c>
      <c r="C620" s="116" t="s">
        <v>17</v>
      </c>
      <c r="D620" s="117">
        <v>732446612</v>
      </c>
      <c r="E620" s="117">
        <v>294545643</v>
      </c>
      <c r="F620" s="116">
        <v>40.200000000000003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.25" customHeight="1" x14ac:dyDescent="0.25">
      <c r="A621" s="116">
        <v>2020</v>
      </c>
      <c r="B621" s="116" t="s">
        <v>24</v>
      </c>
      <c r="C621" s="116" t="s">
        <v>17</v>
      </c>
      <c r="D621" s="117">
        <v>17218486757</v>
      </c>
      <c r="E621" s="117">
        <v>8044488130</v>
      </c>
      <c r="F621" s="116">
        <v>46.7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.25" customHeight="1" x14ac:dyDescent="0.25">
      <c r="A622" s="116">
        <v>2020</v>
      </c>
      <c r="B622" s="116" t="s">
        <v>25</v>
      </c>
      <c r="C622" s="116" t="s">
        <v>17</v>
      </c>
      <c r="D622" s="117">
        <v>1291331113</v>
      </c>
      <c r="E622" s="117">
        <v>488623196</v>
      </c>
      <c r="F622" s="116">
        <v>37.799999999999997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.25" customHeight="1" x14ac:dyDescent="0.25">
      <c r="A623" s="116">
        <v>2020</v>
      </c>
      <c r="B623" s="116" t="s">
        <v>26</v>
      </c>
      <c r="C623" s="116" t="s">
        <v>27</v>
      </c>
      <c r="D623" s="117">
        <v>24075055579</v>
      </c>
      <c r="E623" s="117">
        <v>11310101522</v>
      </c>
      <c r="F623" s="116">
        <v>47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.25" customHeight="1" x14ac:dyDescent="0.25">
      <c r="A624" s="116">
        <v>2020</v>
      </c>
      <c r="B624" s="116" t="s">
        <v>28</v>
      </c>
      <c r="C624" s="116" t="s">
        <v>27</v>
      </c>
      <c r="D624" s="117">
        <v>30531761890</v>
      </c>
      <c r="E624" s="117">
        <v>16238507721</v>
      </c>
      <c r="F624" s="116">
        <v>53.2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.25" customHeight="1" x14ac:dyDescent="0.25">
      <c r="A625" s="116">
        <v>2020</v>
      </c>
      <c r="B625" s="116" t="s">
        <v>29</v>
      </c>
      <c r="C625" s="116" t="s">
        <v>27</v>
      </c>
      <c r="D625" s="117">
        <v>8104664472</v>
      </c>
      <c r="E625" s="117">
        <v>3928777865</v>
      </c>
      <c r="F625" s="116">
        <v>48.5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.25" customHeight="1" x14ac:dyDescent="0.25">
      <c r="A626" s="116">
        <v>2020</v>
      </c>
      <c r="B626" s="116" t="s">
        <v>30</v>
      </c>
      <c r="C626" s="116" t="s">
        <v>27</v>
      </c>
      <c r="D626" s="117">
        <v>29371646356</v>
      </c>
      <c r="E626" s="117">
        <v>14931560933</v>
      </c>
      <c r="F626" s="116">
        <v>50.8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.25" customHeight="1" x14ac:dyDescent="0.25">
      <c r="A627" s="116">
        <v>2020</v>
      </c>
      <c r="B627" s="116" t="s">
        <v>31</v>
      </c>
      <c r="C627" s="116" t="s">
        <v>27</v>
      </c>
      <c r="D627" s="117">
        <v>9191822540</v>
      </c>
      <c r="E627" s="117">
        <v>6585779466</v>
      </c>
      <c r="F627" s="116">
        <v>71.599999999999994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.25" customHeight="1" x14ac:dyDescent="0.25">
      <c r="A628" s="116">
        <v>2020</v>
      </c>
      <c r="B628" s="116" t="s">
        <v>32</v>
      </c>
      <c r="C628" s="116" t="s">
        <v>27</v>
      </c>
      <c r="D628" s="117">
        <v>9288368265</v>
      </c>
      <c r="E628" s="117">
        <v>4718670633</v>
      </c>
      <c r="F628" s="116">
        <v>50.8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.25" customHeight="1" x14ac:dyDescent="0.25">
      <c r="A629" s="116">
        <v>2020</v>
      </c>
      <c r="B629" s="116" t="s">
        <v>33</v>
      </c>
      <c r="C629" s="116" t="s">
        <v>27</v>
      </c>
      <c r="D629" s="117">
        <v>18551766341</v>
      </c>
      <c r="E629" s="117">
        <v>13715758582</v>
      </c>
      <c r="F629" s="116">
        <v>73.900000000000006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.25" customHeight="1" x14ac:dyDescent="0.25">
      <c r="A630" s="116">
        <v>2020</v>
      </c>
      <c r="B630" s="116" t="s">
        <v>34</v>
      </c>
      <c r="C630" s="116" t="s">
        <v>35</v>
      </c>
      <c r="D630" s="117">
        <v>1589241436</v>
      </c>
      <c r="E630" s="117">
        <v>535464219</v>
      </c>
      <c r="F630" s="116">
        <v>33.700000000000003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.25" customHeight="1" x14ac:dyDescent="0.25">
      <c r="A631" s="116">
        <v>2020</v>
      </c>
      <c r="B631" s="116" t="s">
        <v>36</v>
      </c>
      <c r="C631" s="116" t="s">
        <v>35</v>
      </c>
      <c r="D631" s="117">
        <v>7308242211</v>
      </c>
      <c r="E631" s="117">
        <v>3418594782</v>
      </c>
      <c r="F631" s="116">
        <v>46.8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.25" customHeight="1" x14ac:dyDescent="0.25">
      <c r="A632" s="116">
        <v>2020</v>
      </c>
      <c r="B632" s="116" t="s">
        <v>37</v>
      </c>
      <c r="C632" s="116" t="s">
        <v>35</v>
      </c>
      <c r="D632" s="117">
        <v>2310681773</v>
      </c>
      <c r="E632" s="117">
        <v>971171653</v>
      </c>
      <c r="F632" s="116">
        <v>42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.25" customHeight="1" x14ac:dyDescent="0.25">
      <c r="A633" s="116">
        <v>2020</v>
      </c>
      <c r="B633" s="116" t="s">
        <v>38</v>
      </c>
      <c r="C633" s="116" t="s">
        <v>35</v>
      </c>
      <c r="D633" s="117">
        <v>2264803469</v>
      </c>
      <c r="E633" s="117">
        <v>940490641</v>
      </c>
      <c r="F633" s="116">
        <v>41.5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.25" customHeight="1" x14ac:dyDescent="0.25">
      <c r="A634" s="116">
        <v>2020</v>
      </c>
      <c r="B634" s="116" t="s">
        <v>39</v>
      </c>
      <c r="C634" s="116" t="s">
        <v>35</v>
      </c>
      <c r="D634" s="117">
        <v>11361150666</v>
      </c>
      <c r="E634" s="117">
        <v>4831725591</v>
      </c>
      <c r="F634" s="116">
        <v>42.5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.25" customHeight="1" x14ac:dyDescent="0.25">
      <c r="A635" s="116">
        <v>2020</v>
      </c>
      <c r="B635" s="116" t="s">
        <v>40</v>
      </c>
      <c r="C635" s="116" t="s">
        <v>41</v>
      </c>
      <c r="D635" s="117">
        <v>2332159645</v>
      </c>
      <c r="E635" s="117">
        <v>764919423</v>
      </c>
      <c r="F635" s="116">
        <v>32.799999999999997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.25" customHeight="1" x14ac:dyDescent="0.25">
      <c r="A636" s="116">
        <v>2020</v>
      </c>
      <c r="B636" s="116" t="s">
        <v>42</v>
      </c>
      <c r="C636" s="116" t="s">
        <v>41</v>
      </c>
      <c r="D636" s="117">
        <v>2782424655</v>
      </c>
      <c r="E636" s="117">
        <v>1030530000</v>
      </c>
      <c r="F636" s="116">
        <v>37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.25" customHeight="1" x14ac:dyDescent="0.25">
      <c r="A637" s="116">
        <v>2020</v>
      </c>
      <c r="B637" s="116" t="s">
        <v>43</v>
      </c>
      <c r="C637" s="116" t="s">
        <v>41</v>
      </c>
      <c r="D637" s="117">
        <v>3706242912</v>
      </c>
      <c r="E637" s="117">
        <v>1282207604</v>
      </c>
      <c r="F637" s="116">
        <v>34.6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.25" customHeight="1" x14ac:dyDescent="0.25">
      <c r="A638" s="116">
        <v>2020</v>
      </c>
      <c r="B638" s="116" t="s">
        <v>44</v>
      </c>
      <c r="C638" s="116" t="s">
        <v>41</v>
      </c>
      <c r="D638" s="117">
        <v>5489495728</v>
      </c>
      <c r="E638" s="117">
        <v>2163119602</v>
      </c>
      <c r="F638" s="116">
        <v>39.4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.25" customHeight="1" x14ac:dyDescent="0.25">
      <c r="A639" s="116">
        <v>2020</v>
      </c>
      <c r="B639" s="116" t="s">
        <v>45</v>
      </c>
      <c r="C639" s="116" t="s">
        <v>41</v>
      </c>
      <c r="D639" s="117">
        <v>10227256427</v>
      </c>
      <c r="E639" s="117">
        <v>4551533259</v>
      </c>
      <c r="F639" s="116">
        <v>44.5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.25" customHeight="1" x14ac:dyDescent="0.25">
      <c r="A640" s="116">
        <v>2020</v>
      </c>
      <c r="B640" s="116" t="s">
        <v>46</v>
      </c>
      <c r="C640" s="116" t="s">
        <v>47</v>
      </c>
      <c r="D640" s="117">
        <v>14965626047</v>
      </c>
      <c r="E640" s="117">
        <v>7717762492</v>
      </c>
      <c r="F640" s="116">
        <v>51.6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.25" customHeight="1" x14ac:dyDescent="0.25">
      <c r="A641" s="116">
        <v>2020</v>
      </c>
      <c r="B641" s="116" t="s">
        <v>48</v>
      </c>
      <c r="C641" s="116" t="s">
        <v>47</v>
      </c>
      <c r="D641" s="117">
        <v>163215947592</v>
      </c>
      <c r="E641" s="117">
        <v>94408089464</v>
      </c>
      <c r="F641" s="116">
        <v>57.8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.25" customHeight="1" x14ac:dyDescent="0.25">
      <c r="A642" s="116">
        <v>2021</v>
      </c>
      <c r="B642" s="116" t="s">
        <v>3</v>
      </c>
      <c r="C642" s="116" t="s">
        <v>4</v>
      </c>
      <c r="D642" s="117">
        <v>15923671068</v>
      </c>
      <c r="E642" s="117">
        <v>8674213259</v>
      </c>
      <c r="F642" s="116">
        <v>54.5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.25" customHeight="1" x14ac:dyDescent="0.25">
      <c r="A643" s="116">
        <v>2021</v>
      </c>
      <c r="B643" s="116" t="s">
        <v>5</v>
      </c>
      <c r="C643" s="116" t="s">
        <v>4</v>
      </c>
      <c r="D643" s="117">
        <v>114004712418</v>
      </c>
      <c r="E643" s="117">
        <v>73795148177</v>
      </c>
      <c r="F643" s="116">
        <v>64.7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.25" customHeight="1" x14ac:dyDescent="0.25">
      <c r="A644" s="116">
        <v>2021</v>
      </c>
      <c r="B644" s="116" t="s">
        <v>6</v>
      </c>
      <c r="C644" s="116" t="s">
        <v>4</v>
      </c>
      <c r="D644" s="117">
        <v>2313783548</v>
      </c>
      <c r="E644" s="117">
        <v>600811101</v>
      </c>
      <c r="F644" s="116">
        <v>26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.25" customHeight="1" x14ac:dyDescent="0.25">
      <c r="A645" s="116">
        <v>2021</v>
      </c>
      <c r="B645" s="116" t="s">
        <v>7</v>
      </c>
      <c r="C645" s="116" t="s">
        <v>4</v>
      </c>
      <c r="D645" s="117">
        <v>19658491264</v>
      </c>
      <c r="E645" s="117">
        <v>10592923776</v>
      </c>
      <c r="F645" s="116">
        <v>53.9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.25" customHeight="1" x14ac:dyDescent="0.25">
      <c r="A646" s="116">
        <v>2021</v>
      </c>
      <c r="B646" s="116" t="s">
        <v>8</v>
      </c>
      <c r="C646" s="116" t="s">
        <v>4</v>
      </c>
      <c r="D646" s="117">
        <v>4266749967</v>
      </c>
      <c r="E646" s="117">
        <v>1920780279</v>
      </c>
      <c r="F646" s="116">
        <v>45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.25" customHeight="1" x14ac:dyDescent="0.25">
      <c r="A647" s="116">
        <v>2021</v>
      </c>
      <c r="B647" s="116" t="s">
        <v>9</v>
      </c>
      <c r="C647" s="116" t="s">
        <v>4</v>
      </c>
      <c r="D647" s="117">
        <v>40981407513</v>
      </c>
      <c r="E647" s="117">
        <v>20345187589</v>
      </c>
      <c r="F647" s="116">
        <v>49.6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.25" customHeight="1" x14ac:dyDescent="0.25">
      <c r="A648" s="116">
        <v>2021</v>
      </c>
      <c r="B648" s="116" t="s">
        <v>10</v>
      </c>
      <c r="C648" s="116" t="s">
        <v>4</v>
      </c>
      <c r="D648" s="117">
        <v>732135623</v>
      </c>
      <c r="E648" s="117">
        <v>317746860</v>
      </c>
      <c r="F648" s="116">
        <v>43.4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.25" customHeight="1" x14ac:dyDescent="0.25">
      <c r="A649" s="116">
        <v>2021</v>
      </c>
      <c r="B649" s="116" t="s">
        <v>11</v>
      </c>
      <c r="C649" s="116" t="s">
        <v>4</v>
      </c>
      <c r="D649" s="117">
        <v>1941627035</v>
      </c>
      <c r="E649" s="117">
        <v>835422470</v>
      </c>
      <c r="F649" s="116">
        <v>43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.25" customHeight="1" x14ac:dyDescent="0.25">
      <c r="A650" s="116">
        <v>2021</v>
      </c>
      <c r="B650" s="116" t="s">
        <v>12</v>
      </c>
      <c r="C650" s="116" t="s">
        <v>4</v>
      </c>
      <c r="D650" s="117">
        <v>2161585953</v>
      </c>
      <c r="E650" s="117">
        <v>1208749561</v>
      </c>
      <c r="F650" s="116">
        <v>55.9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.25" customHeight="1" x14ac:dyDescent="0.25">
      <c r="A651" s="116">
        <v>2021</v>
      </c>
      <c r="B651" s="116" t="s">
        <v>13</v>
      </c>
      <c r="C651" s="116" t="s">
        <v>4</v>
      </c>
      <c r="D651" s="117">
        <v>6556644504</v>
      </c>
      <c r="E651" s="117">
        <v>3713024213</v>
      </c>
      <c r="F651" s="116">
        <v>56.6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.25" customHeight="1" x14ac:dyDescent="0.25">
      <c r="A652" s="116">
        <v>2021</v>
      </c>
      <c r="B652" s="116" t="s">
        <v>14</v>
      </c>
      <c r="C652" s="116" t="s">
        <v>4</v>
      </c>
      <c r="D652" s="117">
        <v>2153358176</v>
      </c>
      <c r="E652" s="117">
        <v>1110034384</v>
      </c>
      <c r="F652" s="116">
        <v>51.5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.25" customHeight="1" x14ac:dyDescent="0.25">
      <c r="A653" s="116">
        <v>2021</v>
      </c>
      <c r="B653" s="116" t="s">
        <v>15</v>
      </c>
      <c r="C653" s="116" t="s">
        <v>4</v>
      </c>
      <c r="D653" s="117">
        <v>1309870284</v>
      </c>
      <c r="E653" s="117">
        <v>618650682</v>
      </c>
      <c r="F653" s="116">
        <v>47.2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.25" customHeight="1" x14ac:dyDescent="0.25">
      <c r="A654" s="116">
        <v>2021</v>
      </c>
      <c r="B654" s="116" t="s">
        <v>16</v>
      </c>
      <c r="C654" s="116" t="s">
        <v>17</v>
      </c>
      <c r="D654" s="117">
        <v>665499764</v>
      </c>
      <c r="E654" s="117">
        <v>276515773</v>
      </c>
      <c r="F654" s="116">
        <v>41.6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.25" customHeight="1" x14ac:dyDescent="0.25">
      <c r="A655" s="116">
        <v>2021</v>
      </c>
      <c r="B655" s="116" t="s">
        <v>18</v>
      </c>
      <c r="C655" s="116" t="s">
        <v>17</v>
      </c>
      <c r="D655" s="117">
        <v>1806732874</v>
      </c>
      <c r="E655" s="117">
        <v>1046233576</v>
      </c>
      <c r="F655" s="116">
        <v>57.9</v>
      </c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.25" customHeight="1" x14ac:dyDescent="0.25">
      <c r="A656" s="116">
        <v>2021</v>
      </c>
      <c r="B656" s="116" t="s">
        <v>19</v>
      </c>
      <c r="C656" s="116" t="s">
        <v>17</v>
      </c>
      <c r="D656" s="117">
        <v>3965191056</v>
      </c>
      <c r="E656" s="117">
        <v>1852683052</v>
      </c>
      <c r="F656" s="116">
        <v>46.7</v>
      </c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.25" customHeight="1" x14ac:dyDescent="0.25">
      <c r="A657" s="116">
        <v>2021</v>
      </c>
      <c r="B657" s="116" t="s">
        <v>20</v>
      </c>
      <c r="C657" s="116" t="s">
        <v>17</v>
      </c>
      <c r="D657" s="117">
        <v>2551603582</v>
      </c>
      <c r="E657" s="117">
        <v>2132328309</v>
      </c>
      <c r="F657" s="116">
        <v>83.6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.25" customHeight="1" x14ac:dyDescent="0.25">
      <c r="A658" s="116">
        <v>2021</v>
      </c>
      <c r="B658" s="116" t="s">
        <v>21</v>
      </c>
      <c r="C658" s="116" t="s">
        <v>17</v>
      </c>
      <c r="D658" s="117">
        <v>2946477124</v>
      </c>
      <c r="E658" s="117">
        <v>1352741934</v>
      </c>
      <c r="F658" s="116">
        <v>45.9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.25" customHeight="1" x14ac:dyDescent="0.25">
      <c r="A659" s="116">
        <v>2021</v>
      </c>
      <c r="B659" s="116" t="s">
        <v>22</v>
      </c>
      <c r="C659" s="116" t="s">
        <v>17</v>
      </c>
      <c r="D659" s="117">
        <v>1176968114</v>
      </c>
      <c r="E659" s="117">
        <v>667063710</v>
      </c>
      <c r="F659" s="116">
        <v>56.7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.25" customHeight="1" x14ac:dyDescent="0.25">
      <c r="A660" s="116">
        <v>2021</v>
      </c>
      <c r="B660" s="116" t="s">
        <v>23</v>
      </c>
      <c r="C660" s="116" t="s">
        <v>17</v>
      </c>
      <c r="D660" s="117">
        <v>1214043730</v>
      </c>
      <c r="E660" s="117">
        <v>583664975</v>
      </c>
      <c r="F660" s="116">
        <v>48.1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.25" customHeight="1" x14ac:dyDescent="0.25">
      <c r="A661" s="116">
        <v>2021</v>
      </c>
      <c r="B661" s="116" t="s">
        <v>24</v>
      </c>
      <c r="C661" s="116" t="s">
        <v>17</v>
      </c>
      <c r="D661" s="117">
        <v>24960276648</v>
      </c>
      <c r="E661" s="117">
        <v>12163592014</v>
      </c>
      <c r="F661" s="116">
        <v>48.7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.25" customHeight="1" x14ac:dyDescent="0.25">
      <c r="A662" s="116">
        <v>2021</v>
      </c>
      <c r="B662" s="116" t="s">
        <v>25</v>
      </c>
      <c r="C662" s="116" t="s">
        <v>17</v>
      </c>
      <c r="D662" s="117">
        <v>1407020237</v>
      </c>
      <c r="E662" s="117">
        <v>567134385</v>
      </c>
      <c r="F662" s="116">
        <v>40.299999999999997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.25" customHeight="1" x14ac:dyDescent="0.25">
      <c r="A663" s="116">
        <v>2021</v>
      </c>
      <c r="B663" s="116" t="s">
        <v>26</v>
      </c>
      <c r="C663" s="116" t="s">
        <v>27</v>
      </c>
      <c r="D663" s="117">
        <v>35727224959</v>
      </c>
      <c r="E663" s="117">
        <v>16905333385</v>
      </c>
      <c r="F663" s="116">
        <v>47.3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.25" customHeight="1" x14ac:dyDescent="0.25">
      <c r="A664" s="116">
        <v>2021</v>
      </c>
      <c r="B664" s="116" t="s">
        <v>28</v>
      </c>
      <c r="C664" s="116" t="s">
        <v>27</v>
      </c>
      <c r="D664" s="117">
        <v>34566294410</v>
      </c>
      <c r="E664" s="117">
        <v>19323738858</v>
      </c>
      <c r="F664" s="116">
        <v>55.9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.25" customHeight="1" x14ac:dyDescent="0.25">
      <c r="A665" s="116">
        <v>2021</v>
      </c>
      <c r="B665" s="116" t="s">
        <v>29</v>
      </c>
      <c r="C665" s="116" t="s">
        <v>27</v>
      </c>
      <c r="D665" s="117">
        <v>14254299974</v>
      </c>
      <c r="E665" s="117">
        <v>7285110982</v>
      </c>
      <c r="F665" s="116">
        <v>51.1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.25" customHeight="1" x14ac:dyDescent="0.25">
      <c r="A666" s="116">
        <v>2021</v>
      </c>
      <c r="B666" s="116" t="s">
        <v>30</v>
      </c>
      <c r="C666" s="116" t="s">
        <v>27</v>
      </c>
      <c r="D666" s="117">
        <v>38400838924</v>
      </c>
      <c r="E666" s="117">
        <v>22269600997</v>
      </c>
      <c r="F666" s="116">
        <v>58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.25" customHeight="1" x14ac:dyDescent="0.25">
      <c r="A667" s="116">
        <v>2021</v>
      </c>
      <c r="B667" s="116" t="s">
        <v>31</v>
      </c>
      <c r="C667" s="116" t="s">
        <v>27</v>
      </c>
      <c r="D667" s="117">
        <v>10285264789</v>
      </c>
      <c r="E667" s="117">
        <v>7051047798</v>
      </c>
      <c r="F667" s="116">
        <v>68.599999999999994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.25" customHeight="1" x14ac:dyDescent="0.25">
      <c r="A668" s="116">
        <v>2021</v>
      </c>
      <c r="B668" s="116" t="s">
        <v>32</v>
      </c>
      <c r="C668" s="116" t="s">
        <v>27</v>
      </c>
      <c r="D668" s="117">
        <v>16287663692</v>
      </c>
      <c r="E668" s="117">
        <v>8780718161</v>
      </c>
      <c r="F668" s="116">
        <v>53.9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.25" customHeight="1" x14ac:dyDescent="0.25">
      <c r="A669" s="116">
        <v>2021</v>
      </c>
      <c r="B669" s="116" t="s">
        <v>33</v>
      </c>
      <c r="C669" s="116" t="s">
        <v>27</v>
      </c>
      <c r="D669" s="117">
        <v>25120821874</v>
      </c>
      <c r="E669" s="117">
        <v>18189886386</v>
      </c>
      <c r="F669" s="116">
        <v>72.400000000000006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.25" customHeight="1" x14ac:dyDescent="0.25">
      <c r="A670" s="116">
        <v>2021</v>
      </c>
      <c r="B670" s="116" t="s">
        <v>34</v>
      </c>
      <c r="C670" s="116" t="s">
        <v>35</v>
      </c>
      <c r="D670" s="117">
        <v>2701400241</v>
      </c>
      <c r="E670" s="117">
        <v>950892885</v>
      </c>
      <c r="F670" s="116">
        <v>35.200000000000003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.25" customHeight="1" x14ac:dyDescent="0.25">
      <c r="A671" s="116">
        <v>2021</v>
      </c>
      <c r="B671" s="116" t="s">
        <v>36</v>
      </c>
      <c r="C671" s="116" t="s">
        <v>35</v>
      </c>
      <c r="D671" s="117">
        <v>9792211525</v>
      </c>
      <c r="E671" s="117">
        <v>4638088275</v>
      </c>
      <c r="F671" s="116">
        <v>47.4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.25" customHeight="1" x14ac:dyDescent="0.25">
      <c r="A672" s="116">
        <v>2021</v>
      </c>
      <c r="B672" s="116" t="s">
        <v>37</v>
      </c>
      <c r="C672" s="116" t="s">
        <v>35</v>
      </c>
      <c r="D672" s="117">
        <v>2586631095</v>
      </c>
      <c r="E672" s="117">
        <v>1116879506</v>
      </c>
      <c r="F672" s="116">
        <v>43.2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.25" customHeight="1" x14ac:dyDescent="0.25">
      <c r="A673" s="116">
        <v>2021</v>
      </c>
      <c r="B673" s="116" t="s">
        <v>38</v>
      </c>
      <c r="C673" s="116" t="s">
        <v>35</v>
      </c>
      <c r="D673" s="117">
        <v>3479910004</v>
      </c>
      <c r="E673" s="117">
        <v>1473895002</v>
      </c>
      <c r="F673" s="116">
        <v>42.4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.25" customHeight="1" x14ac:dyDescent="0.25">
      <c r="A674" s="116">
        <v>2021</v>
      </c>
      <c r="B674" s="116" t="s">
        <v>39</v>
      </c>
      <c r="C674" s="116" t="s">
        <v>35</v>
      </c>
      <c r="D674" s="117">
        <v>19183706792</v>
      </c>
      <c r="E674" s="117">
        <v>8852438644</v>
      </c>
      <c r="F674" s="116">
        <v>46.1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.25" customHeight="1" x14ac:dyDescent="0.25">
      <c r="A675" s="116">
        <v>2021</v>
      </c>
      <c r="B675" s="116" t="s">
        <v>40</v>
      </c>
      <c r="C675" s="116" t="s">
        <v>41</v>
      </c>
      <c r="D675" s="117">
        <v>1837382757</v>
      </c>
      <c r="E675" s="117">
        <v>579662648</v>
      </c>
      <c r="F675" s="116">
        <v>31.5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.25" customHeight="1" x14ac:dyDescent="0.25">
      <c r="A676" s="116">
        <v>2021</v>
      </c>
      <c r="B676" s="116" t="s">
        <v>42</v>
      </c>
      <c r="C676" s="116" t="s">
        <v>41</v>
      </c>
      <c r="D676" s="117">
        <v>7512811339</v>
      </c>
      <c r="E676" s="117">
        <v>2951662232</v>
      </c>
      <c r="F676" s="116">
        <v>39.299999999999997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.25" customHeight="1" x14ac:dyDescent="0.25">
      <c r="A677" s="116">
        <v>2021</v>
      </c>
      <c r="B677" s="116" t="s">
        <v>43</v>
      </c>
      <c r="C677" s="116" t="s">
        <v>41</v>
      </c>
      <c r="D677" s="117">
        <v>5454440245</v>
      </c>
      <c r="E677" s="117">
        <v>2014591225</v>
      </c>
      <c r="F677" s="116">
        <v>36.9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.25" customHeight="1" x14ac:dyDescent="0.25">
      <c r="A678" s="116">
        <v>2021</v>
      </c>
      <c r="B678" s="116" t="s">
        <v>44</v>
      </c>
      <c r="C678" s="116" t="s">
        <v>41</v>
      </c>
      <c r="D678" s="117">
        <v>7114609817</v>
      </c>
      <c r="E678" s="117">
        <v>2883590455</v>
      </c>
      <c r="F678" s="116">
        <v>40.5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.25" customHeight="1" x14ac:dyDescent="0.25">
      <c r="A679" s="116">
        <v>2021</v>
      </c>
      <c r="B679" s="116" t="s">
        <v>45</v>
      </c>
      <c r="C679" s="116" t="s">
        <v>41</v>
      </c>
      <c r="D679" s="117">
        <v>20018130280</v>
      </c>
      <c r="E679" s="117">
        <v>9126415622</v>
      </c>
      <c r="F679" s="116">
        <v>45.6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.25" customHeight="1" x14ac:dyDescent="0.25">
      <c r="A680" s="116">
        <v>2021</v>
      </c>
      <c r="B680" s="116" t="s">
        <v>46</v>
      </c>
      <c r="C680" s="116" t="s">
        <v>47</v>
      </c>
      <c r="D680" s="117">
        <v>15847002381</v>
      </c>
      <c r="E680" s="117">
        <v>8743758592</v>
      </c>
      <c r="F680" s="116">
        <v>55.2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.25" customHeight="1" x14ac:dyDescent="0.25">
      <c r="A681" s="116">
        <v>2021</v>
      </c>
      <c r="B681" s="116" t="s">
        <v>48</v>
      </c>
      <c r="C681" s="116" t="s">
        <v>47</v>
      </c>
      <c r="D681" s="117">
        <v>280992468030</v>
      </c>
      <c r="E681" s="117">
        <v>183666393178</v>
      </c>
      <c r="F681" s="116">
        <v>65.400000000000006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.25" customHeight="1" x14ac:dyDescent="0.25">
      <c r="A682" s="116">
        <v>2022</v>
      </c>
      <c r="B682" s="116" t="s">
        <v>3</v>
      </c>
      <c r="C682" s="116" t="s">
        <v>4</v>
      </c>
      <c r="D682" s="117">
        <v>29461509649</v>
      </c>
      <c r="E682" s="117">
        <v>16424841838</v>
      </c>
      <c r="F682" s="116">
        <v>55.8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.25" customHeight="1" x14ac:dyDescent="0.25">
      <c r="A683" s="116">
        <v>2022</v>
      </c>
      <c r="B683" s="116" t="s">
        <v>5</v>
      </c>
      <c r="C683" s="116" t="s">
        <v>4</v>
      </c>
      <c r="D683" s="117">
        <v>89505476658</v>
      </c>
      <c r="E683" s="117">
        <v>60495319795</v>
      </c>
      <c r="F683" s="116">
        <v>67.599999999999994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.25" customHeight="1" x14ac:dyDescent="0.25">
      <c r="A684" s="116">
        <v>2022</v>
      </c>
      <c r="B684" s="116" t="s">
        <v>6</v>
      </c>
      <c r="C684" s="116" t="s">
        <v>4</v>
      </c>
      <c r="D684" s="117">
        <v>4220065852</v>
      </c>
      <c r="E684" s="117">
        <v>1218065409</v>
      </c>
      <c r="F684" s="116">
        <v>28.9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.25" customHeight="1" x14ac:dyDescent="0.25">
      <c r="A685" s="116">
        <v>2022</v>
      </c>
      <c r="B685" s="116" t="s">
        <v>7</v>
      </c>
      <c r="C685" s="116" t="s">
        <v>4</v>
      </c>
      <c r="D685" s="117">
        <v>33881587767</v>
      </c>
      <c r="E685" s="117">
        <v>18327526441</v>
      </c>
      <c r="F685" s="116">
        <v>54.1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.25" customHeight="1" x14ac:dyDescent="0.25">
      <c r="A686" s="116">
        <v>2022</v>
      </c>
      <c r="B686" s="116" t="s">
        <v>8</v>
      </c>
      <c r="C686" s="116" t="s">
        <v>4</v>
      </c>
      <c r="D686" s="117">
        <v>8141833260</v>
      </c>
      <c r="E686" s="117">
        <v>4383751629</v>
      </c>
      <c r="F686" s="116">
        <v>53.8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.25" customHeight="1" x14ac:dyDescent="0.25">
      <c r="A687" s="116">
        <v>2022</v>
      </c>
      <c r="B687" s="116" t="s">
        <v>9</v>
      </c>
      <c r="C687" s="116" t="s">
        <v>4</v>
      </c>
      <c r="D687" s="117">
        <v>62781749251</v>
      </c>
      <c r="E687" s="117">
        <v>33167962335</v>
      </c>
      <c r="F687" s="116">
        <v>52.8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.25" customHeight="1" x14ac:dyDescent="0.25">
      <c r="A688" s="116">
        <v>2022</v>
      </c>
      <c r="B688" s="116" t="s">
        <v>10</v>
      </c>
      <c r="C688" s="116" t="s">
        <v>4</v>
      </c>
      <c r="D688" s="117">
        <v>465436680</v>
      </c>
      <c r="E688" s="117">
        <v>232718340</v>
      </c>
      <c r="F688" s="116">
        <v>50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.25" customHeight="1" x14ac:dyDescent="0.25">
      <c r="A689" s="116">
        <v>2022</v>
      </c>
      <c r="B689" s="116" t="s">
        <v>11</v>
      </c>
      <c r="C689" s="116" t="s">
        <v>4</v>
      </c>
      <c r="D689" s="117">
        <v>6064946550</v>
      </c>
      <c r="E689" s="117">
        <v>3366788228</v>
      </c>
      <c r="F689" s="116">
        <v>55.5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.25" customHeight="1" x14ac:dyDescent="0.25">
      <c r="A690" s="116">
        <v>2022</v>
      </c>
      <c r="B690" s="116" t="s">
        <v>12</v>
      </c>
      <c r="C690" s="116" t="s">
        <v>4</v>
      </c>
      <c r="D690" s="117">
        <v>10294638023</v>
      </c>
      <c r="E690" s="117">
        <v>6435012343</v>
      </c>
      <c r="F690" s="116">
        <v>62.5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.25" customHeight="1" x14ac:dyDescent="0.25">
      <c r="A691" s="116">
        <v>2022</v>
      </c>
      <c r="B691" s="116" t="s">
        <v>13</v>
      </c>
      <c r="C691" s="116" t="s">
        <v>4</v>
      </c>
      <c r="D691" s="117">
        <v>12007112993</v>
      </c>
      <c r="E691" s="117">
        <v>6378480466</v>
      </c>
      <c r="F691" s="116">
        <v>53.1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.25" customHeight="1" x14ac:dyDescent="0.25">
      <c r="A692" s="116">
        <v>2022</v>
      </c>
      <c r="B692" s="116" t="s">
        <v>14</v>
      </c>
      <c r="C692" s="116" t="s">
        <v>4</v>
      </c>
      <c r="D692" s="117">
        <v>3915973990</v>
      </c>
      <c r="E692" s="117">
        <v>1796327242</v>
      </c>
      <c r="F692" s="116">
        <v>45.9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.25" customHeight="1" x14ac:dyDescent="0.25">
      <c r="A693" s="116">
        <v>2022</v>
      </c>
      <c r="B693" s="116" t="s">
        <v>15</v>
      </c>
      <c r="C693" s="116" t="s">
        <v>4</v>
      </c>
      <c r="D693" s="117">
        <v>6925808956</v>
      </c>
      <c r="E693" s="117">
        <v>3519013256</v>
      </c>
      <c r="F693" s="116">
        <v>50.8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.25" customHeight="1" x14ac:dyDescent="0.25">
      <c r="A694" s="116">
        <v>2022</v>
      </c>
      <c r="B694" s="116" t="s">
        <v>16</v>
      </c>
      <c r="C694" s="116" t="s">
        <v>17</v>
      </c>
      <c r="D694" s="117">
        <v>1083121455</v>
      </c>
      <c r="E694" s="117">
        <v>477595715</v>
      </c>
      <c r="F694" s="116">
        <v>44.1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.25" customHeight="1" x14ac:dyDescent="0.25">
      <c r="A695" s="116">
        <v>2022</v>
      </c>
      <c r="B695" s="116" t="s">
        <v>18</v>
      </c>
      <c r="C695" s="116" t="s">
        <v>17</v>
      </c>
      <c r="D695" s="117">
        <v>3140332573</v>
      </c>
      <c r="E695" s="117">
        <v>1949025465</v>
      </c>
      <c r="F695" s="116">
        <v>62.1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.25" customHeight="1" x14ac:dyDescent="0.25">
      <c r="A696" s="116">
        <v>2022</v>
      </c>
      <c r="B696" s="116" t="s">
        <v>19</v>
      </c>
      <c r="C696" s="116" t="s">
        <v>17</v>
      </c>
      <c r="D696" s="117">
        <v>7123000022</v>
      </c>
      <c r="E696" s="117">
        <v>3536844874</v>
      </c>
      <c r="F696" s="116">
        <v>49.7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.25" customHeight="1" x14ac:dyDescent="0.25">
      <c r="A697" s="116">
        <v>2022</v>
      </c>
      <c r="B697" s="116" t="s">
        <v>20</v>
      </c>
      <c r="C697" s="116" t="s">
        <v>17</v>
      </c>
      <c r="D697" s="117">
        <v>5002786033</v>
      </c>
      <c r="E697" s="117">
        <v>4475744908</v>
      </c>
      <c r="F697" s="116">
        <v>89.5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.25" customHeight="1" x14ac:dyDescent="0.25">
      <c r="A698" s="116">
        <v>2022</v>
      </c>
      <c r="B698" s="116" t="s">
        <v>21</v>
      </c>
      <c r="C698" s="116" t="s">
        <v>17</v>
      </c>
      <c r="D698" s="117">
        <v>4530959139</v>
      </c>
      <c r="E698" s="117">
        <v>2321262217</v>
      </c>
      <c r="F698" s="116">
        <v>51.2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.25" customHeight="1" x14ac:dyDescent="0.25">
      <c r="A699" s="116">
        <v>2022</v>
      </c>
      <c r="B699" s="116" t="s">
        <v>22</v>
      </c>
      <c r="C699" s="116" t="s">
        <v>17</v>
      </c>
      <c r="D699" s="117">
        <v>1941676157</v>
      </c>
      <c r="E699" s="117">
        <v>1177313692</v>
      </c>
      <c r="F699" s="116">
        <v>60.6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.25" customHeight="1" x14ac:dyDescent="0.25">
      <c r="A700" s="116">
        <v>2022</v>
      </c>
      <c r="B700" s="116" t="s">
        <v>23</v>
      </c>
      <c r="C700" s="116" t="s">
        <v>17</v>
      </c>
      <c r="D700" s="117">
        <v>1607181937</v>
      </c>
      <c r="E700" s="117">
        <v>828460225</v>
      </c>
      <c r="F700" s="116">
        <v>51.5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.25" customHeight="1" x14ac:dyDescent="0.25">
      <c r="A701" s="116">
        <v>2022</v>
      </c>
      <c r="B701" s="116" t="s">
        <v>24</v>
      </c>
      <c r="C701" s="116" t="s">
        <v>17</v>
      </c>
      <c r="D701" s="117">
        <v>27456637824</v>
      </c>
      <c r="E701" s="117">
        <v>12765805513</v>
      </c>
      <c r="F701" s="116">
        <v>46.5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.25" customHeight="1" x14ac:dyDescent="0.25">
      <c r="A702" s="116">
        <v>2022</v>
      </c>
      <c r="B702" s="116" t="s">
        <v>25</v>
      </c>
      <c r="C702" s="116" t="s">
        <v>17</v>
      </c>
      <c r="D702" s="116">
        <v>0</v>
      </c>
      <c r="E702" s="116">
        <v>0</v>
      </c>
      <c r="F702" s="116">
        <v>0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.25" customHeight="1" x14ac:dyDescent="0.25">
      <c r="A703" s="116">
        <v>2022</v>
      </c>
      <c r="B703" s="116" t="s">
        <v>26</v>
      </c>
      <c r="C703" s="116" t="s">
        <v>27</v>
      </c>
      <c r="D703" s="117">
        <v>52559323202</v>
      </c>
      <c r="E703" s="117">
        <v>27200660388</v>
      </c>
      <c r="F703" s="116">
        <v>51.8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.25" customHeight="1" x14ac:dyDescent="0.25">
      <c r="A704" s="116">
        <v>2022</v>
      </c>
      <c r="B704" s="116" t="s">
        <v>28</v>
      </c>
      <c r="C704" s="116" t="s">
        <v>27</v>
      </c>
      <c r="D704" s="117">
        <v>60816789356</v>
      </c>
      <c r="E704" s="117">
        <v>35795234499</v>
      </c>
      <c r="F704" s="116">
        <v>58.9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.25" customHeight="1" x14ac:dyDescent="0.25">
      <c r="A705" s="116">
        <v>2022</v>
      </c>
      <c r="B705" s="116" t="s">
        <v>29</v>
      </c>
      <c r="C705" s="116" t="s">
        <v>27</v>
      </c>
      <c r="D705" s="117">
        <v>21002322592</v>
      </c>
      <c r="E705" s="117">
        <v>11240836705</v>
      </c>
      <c r="F705" s="116">
        <v>53.5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.25" customHeight="1" x14ac:dyDescent="0.25">
      <c r="A706" s="116">
        <v>2022</v>
      </c>
      <c r="B706" s="116" t="s">
        <v>30</v>
      </c>
      <c r="C706" s="116" t="s">
        <v>27</v>
      </c>
      <c r="D706" s="117">
        <v>61445419490</v>
      </c>
      <c r="E706" s="117">
        <v>38491840185</v>
      </c>
      <c r="F706" s="116">
        <v>62.6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.25" customHeight="1" x14ac:dyDescent="0.25">
      <c r="A707" s="116">
        <v>2022</v>
      </c>
      <c r="B707" s="116" t="s">
        <v>31</v>
      </c>
      <c r="C707" s="116" t="s">
        <v>27</v>
      </c>
      <c r="D707" s="117">
        <v>15618999988</v>
      </c>
      <c r="E707" s="117">
        <v>11930428633</v>
      </c>
      <c r="F707" s="116">
        <v>76.400000000000006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.25" customHeight="1" x14ac:dyDescent="0.25">
      <c r="A708" s="116">
        <v>2022</v>
      </c>
      <c r="B708" s="116" t="s">
        <v>32</v>
      </c>
      <c r="C708" s="116" t="s">
        <v>27</v>
      </c>
      <c r="D708" s="117">
        <v>26644066159</v>
      </c>
      <c r="E708" s="117">
        <v>15463186165</v>
      </c>
      <c r="F708" s="116">
        <v>58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.25" customHeight="1" x14ac:dyDescent="0.25">
      <c r="A709" s="116">
        <v>2022</v>
      </c>
      <c r="B709" s="116" t="s">
        <v>33</v>
      </c>
      <c r="C709" s="116" t="s">
        <v>27</v>
      </c>
      <c r="D709" s="117">
        <v>48930947452</v>
      </c>
      <c r="E709" s="117">
        <v>39862331274</v>
      </c>
      <c r="F709" s="116">
        <v>81.5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.25" customHeight="1" x14ac:dyDescent="0.25">
      <c r="A710" s="116">
        <v>2022</v>
      </c>
      <c r="B710" s="116" t="s">
        <v>34</v>
      </c>
      <c r="C710" s="116" t="s">
        <v>35</v>
      </c>
      <c r="D710" s="117">
        <v>6492927298</v>
      </c>
      <c r="E710" s="117">
        <v>2511027131</v>
      </c>
      <c r="F710" s="116">
        <v>38.700000000000003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.25" customHeight="1" x14ac:dyDescent="0.25">
      <c r="A711" s="116">
        <v>2022</v>
      </c>
      <c r="B711" s="116" t="s">
        <v>36</v>
      </c>
      <c r="C711" s="116" t="s">
        <v>35</v>
      </c>
      <c r="D711" s="117">
        <v>15853078697</v>
      </c>
      <c r="E711" s="117">
        <v>7709190289</v>
      </c>
      <c r="F711" s="116">
        <v>48.6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.25" customHeight="1" x14ac:dyDescent="0.25">
      <c r="A712" s="116">
        <v>2022</v>
      </c>
      <c r="B712" s="116" t="s">
        <v>37</v>
      </c>
      <c r="C712" s="116" t="s">
        <v>35</v>
      </c>
      <c r="D712" s="117">
        <v>3167354968</v>
      </c>
      <c r="E712" s="117">
        <v>1432381656</v>
      </c>
      <c r="F712" s="116">
        <v>45.2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.25" customHeight="1" x14ac:dyDescent="0.25">
      <c r="A713" s="116">
        <v>2022</v>
      </c>
      <c r="B713" s="116" t="s">
        <v>38</v>
      </c>
      <c r="C713" s="116" t="s">
        <v>35</v>
      </c>
      <c r="D713" s="117">
        <v>4412345123</v>
      </c>
      <c r="E713" s="117">
        <v>1914174692</v>
      </c>
      <c r="F713" s="116">
        <v>43.4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.25" customHeight="1" x14ac:dyDescent="0.25">
      <c r="A714" s="116">
        <v>2022</v>
      </c>
      <c r="B714" s="116" t="s">
        <v>39</v>
      </c>
      <c r="C714" s="116" t="s">
        <v>35</v>
      </c>
      <c r="D714" s="117">
        <v>24583567540</v>
      </c>
      <c r="E714" s="117">
        <v>11657553054</v>
      </c>
      <c r="F714" s="116">
        <v>47.4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.25" customHeight="1" x14ac:dyDescent="0.25">
      <c r="A715" s="116">
        <v>2022</v>
      </c>
      <c r="B715" s="116" t="s">
        <v>40</v>
      </c>
      <c r="C715" s="116" t="s">
        <v>41</v>
      </c>
      <c r="D715" s="117">
        <v>2991736331</v>
      </c>
      <c r="E715" s="117">
        <v>1045323114</v>
      </c>
      <c r="F715" s="116">
        <v>34.9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.25" customHeight="1" x14ac:dyDescent="0.25">
      <c r="A716" s="116">
        <v>2022</v>
      </c>
      <c r="B716" s="116" t="s">
        <v>42</v>
      </c>
      <c r="C716" s="116" t="s">
        <v>41</v>
      </c>
      <c r="D716" s="117">
        <v>14798157590</v>
      </c>
      <c r="E716" s="117">
        <v>6285761472</v>
      </c>
      <c r="F716" s="116">
        <v>42.5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.25" customHeight="1" x14ac:dyDescent="0.25">
      <c r="A717" s="116">
        <v>2022</v>
      </c>
      <c r="B717" s="116" t="s">
        <v>43</v>
      </c>
      <c r="C717" s="116" t="s">
        <v>41</v>
      </c>
      <c r="D717" s="117">
        <v>8346033120</v>
      </c>
      <c r="E717" s="117">
        <v>3319459952</v>
      </c>
      <c r="F717" s="116">
        <v>39.799999999999997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.25" customHeight="1" x14ac:dyDescent="0.25">
      <c r="A718" s="116">
        <v>2022</v>
      </c>
      <c r="B718" s="116" t="s">
        <v>44</v>
      </c>
      <c r="C718" s="116" t="s">
        <v>41</v>
      </c>
      <c r="D718" s="117">
        <v>14704115252</v>
      </c>
      <c r="E718" s="117">
        <v>6406417537</v>
      </c>
      <c r="F718" s="116">
        <v>43.6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.25" customHeight="1" x14ac:dyDescent="0.25">
      <c r="A719" s="116">
        <v>2022</v>
      </c>
      <c r="B719" s="116" t="s">
        <v>45</v>
      </c>
      <c r="C719" s="116" t="s">
        <v>41</v>
      </c>
      <c r="D719" s="117">
        <v>39941652215</v>
      </c>
      <c r="E719" s="117">
        <v>18204202887</v>
      </c>
      <c r="F719" s="116">
        <v>45.6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.25" customHeight="1" x14ac:dyDescent="0.25">
      <c r="A720" s="116">
        <v>2022</v>
      </c>
      <c r="B720" s="116" t="s">
        <v>46</v>
      </c>
      <c r="C720" s="116" t="s">
        <v>47</v>
      </c>
      <c r="D720" s="117">
        <v>31572309935</v>
      </c>
      <c r="E720" s="117">
        <v>18923840638</v>
      </c>
      <c r="F720" s="116">
        <v>59.9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.25" customHeight="1" x14ac:dyDescent="0.25">
      <c r="A721" s="116">
        <v>2022</v>
      </c>
      <c r="B721" s="116" t="s">
        <v>48</v>
      </c>
      <c r="C721" s="116" t="s">
        <v>47</v>
      </c>
      <c r="D721" s="117">
        <v>421550845561</v>
      </c>
      <c r="E721" s="117">
        <v>265773080541</v>
      </c>
      <c r="F721" s="116">
        <v>63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.25" customHeight="1" x14ac:dyDescent="0.25">
      <c r="A722" s="116">
        <v>2023</v>
      </c>
      <c r="B722" s="116" t="s">
        <v>3</v>
      </c>
      <c r="C722" s="116" t="s">
        <v>4</v>
      </c>
      <c r="D722" s="117">
        <v>35590478470</v>
      </c>
      <c r="E722" s="117">
        <v>20460465263</v>
      </c>
      <c r="F722" s="116">
        <v>57.5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.25" customHeight="1" x14ac:dyDescent="0.25">
      <c r="A723" s="116">
        <v>2023</v>
      </c>
      <c r="B723" s="116" t="s">
        <v>5</v>
      </c>
      <c r="C723" s="116" t="s">
        <v>4</v>
      </c>
      <c r="D723" s="117">
        <v>142670095702</v>
      </c>
      <c r="E723" s="117">
        <v>101002726575</v>
      </c>
      <c r="F723" s="116">
        <v>70.8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.25" customHeight="1" x14ac:dyDescent="0.25">
      <c r="A724" s="116">
        <v>2023</v>
      </c>
      <c r="B724" s="116" t="s">
        <v>6</v>
      </c>
      <c r="C724" s="116" t="s">
        <v>4</v>
      </c>
      <c r="D724" s="117">
        <v>11340657050</v>
      </c>
      <c r="E724" s="117">
        <v>4143206769</v>
      </c>
      <c r="F724" s="116">
        <v>36.5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.25" customHeight="1" x14ac:dyDescent="0.25">
      <c r="A725" s="116">
        <v>2023</v>
      </c>
      <c r="B725" s="116" t="s">
        <v>7</v>
      </c>
      <c r="C725" s="116" t="s">
        <v>4</v>
      </c>
      <c r="D725" s="117">
        <v>37822825094</v>
      </c>
      <c r="E725" s="117">
        <v>20902892235</v>
      </c>
      <c r="F725" s="116">
        <v>55.3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.25" customHeight="1" x14ac:dyDescent="0.25">
      <c r="A726" s="116">
        <v>2023</v>
      </c>
      <c r="B726" s="116" t="s">
        <v>8</v>
      </c>
      <c r="C726" s="116" t="s">
        <v>4</v>
      </c>
      <c r="D726" s="117">
        <v>12353173134</v>
      </c>
      <c r="E726" s="117">
        <v>7283534126</v>
      </c>
      <c r="F726" s="116">
        <v>59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.25" customHeight="1" x14ac:dyDescent="0.25">
      <c r="A727" s="116">
        <v>2023</v>
      </c>
      <c r="B727" s="116" t="s">
        <v>9</v>
      </c>
      <c r="C727" s="116" t="s">
        <v>4</v>
      </c>
      <c r="D727" s="117">
        <v>85093596291</v>
      </c>
      <c r="E727" s="117">
        <v>46403320674</v>
      </c>
      <c r="F727" s="116">
        <v>54.5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.25" customHeight="1" x14ac:dyDescent="0.25">
      <c r="A728" s="116">
        <v>2023</v>
      </c>
      <c r="B728" s="116" t="s">
        <v>10</v>
      </c>
      <c r="C728" s="116" t="s">
        <v>4</v>
      </c>
      <c r="D728" s="117">
        <v>2316738825</v>
      </c>
      <c r="E728" s="117">
        <v>1297373742</v>
      </c>
      <c r="F728" s="116">
        <v>56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.25" customHeight="1" x14ac:dyDescent="0.25">
      <c r="A729" s="116">
        <v>2023</v>
      </c>
      <c r="B729" s="116" t="s">
        <v>11</v>
      </c>
      <c r="C729" s="116" t="s">
        <v>4</v>
      </c>
      <c r="D729" s="117">
        <v>9651660457</v>
      </c>
      <c r="E729" s="117">
        <v>6331543682</v>
      </c>
      <c r="F729" s="116">
        <v>65.599999999999994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.25" customHeight="1" x14ac:dyDescent="0.25">
      <c r="A730" s="116">
        <v>2023</v>
      </c>
      <c r="B730" s="116" t="s">
        <v>12</v>
      </c>
      <c r="C730" s="116" t="s">
        <v>4</v>
      </c>
      <c r="D730" s="117">
        <v>14991172860</v>
      </c>
      <c r="E730" s="117">
        <v>9859522628</v>
      </c>
      <c r="F730" s="116">
        <v>65.8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.25" customHeight="1" x14ac:dyDescent="0.25">
      <c r="A731" s="116">
        <v>2023</v>
      </c>
      <c r="B731" s="116" t="s">
        <v>13</v>
      </c>
      <c r="C731" s="116" t="s">
        <v>4</v>
      </c>
      <c r="D731" s="117">
        <v>19945579766</v>
      </c>
      <c r="E731" s="117">
        <v>11085466758</v>
      </c>
      <c r="F731" s="116">
        <v>55.6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customHeight="1" x14ac:dyDescent="0.25">
      <c r="A732" s="116">
        <v>2023</v>
      </c>
      <c r="B732" s="116" t="s">
        <v>14</v>
      </c>
      <c r="C732" s="116" t="s">
        <v>4</v>
      </c>
      <c r="D732" s="117">
        <v>10885177978</v>
      </c>
      <c r="E732" s="117">
        <v>4776870896</v>
      </c>
      <c r="F732" s="116">
        <v>43.9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.25" customHeight="1" x14ac:dyDescent="0.25">
      <c r="A733" s="116">
        <v>2023</v>
      </c>
      <c r="B733" s="116" t="s">
        <v>15</v>
      </c>
      <c r="C733" s="116" t="s">
        <v>4</v>
      </c>
      <c r="D733" s="117">
        <v>12835788599</v>
      </c>
      <c r="E733" s="117">
        <v>7325920630</v>
      </c>
      <c r="F733" s="116">
        <v>57.1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customHeight="1" x14ac:dyDescent="0.25">
      <c r="A734" s="116">
        <v>2023</v>
      </c>
      <c r="B734" s="116" t="s">
        <v>16</v>
      </c>
      <c r="C734" s="116" t="s">
        <v>17</v>
      </c>
      <c r="D734" s="117">
        <v>1366750065</v>
      </c>
      <c r="E734" s="117">
        <v>642317650</v>
      </c>
      <c r="F734" s="116">
        <v>47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.25" customHeight="1" x14ac:dyDescent="0.25">
      <c r="A735" s="116">
        <v>2023</v>
      </c>
      <c r="B735" s="116" t="s">
        <v>18</v>
      </c>
      <c r="C735" s="116" t="s">
        <v>17</v>
      </c>
      <c r="D735" s="117">
        <v>3966964988</v>
      </c>
      <c r="E735" s="117">
        <v>2553262143</v>
      </c>
      <c r="F735" s="116">
        <v>64.400000000000006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.25" customHeight="1" x14ac:dyDescent="0.25">
      <c r="A736" s="116">
        <v>2023</v>
      </c>
      <c r="B736" s="116" t="s">
        <v>19</v>
      </c>
      <c r="C736" s="116" t="s">
        <v>17</v>
      </c>
      <c r="D736" s="117">
        <v>8873802786</v>
      </c>
      <c r="E736" s="117">
        <v>4719921003</v>
      </c>
      <c r="F736" s="116">
        <v>53.2</v>
      </c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.25" customHeight="1" x14ac:dyDescent="0.25">
      <c r="A737" s="116">
        <v>2023</v>
      </c>
      <c r="B737" s="116" t="s">
        <v>20</v>
      </c>
      <c r="C737" s="116" t="s">
        <v>17</v>
      </c>
      <c r="D737" s="117">
        <v>6956057611</v>
      </c>
      <c r="E737" s="117">
        <v>6358835573</v>
      </c>
      <c r="F737" s="116">
        <v>91.4</v>
      </c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.25" customHeight="1" x14ac:dyDescent="0.25">
      <c r="A738" s="116">
        <v>2023</v>
      </c>
      <c r="B738" s="116" t="s">
        <v>21</v>
      </c>
      <c r="C738" s="116" t="s">
        <v>17</v>
      </c>
      <c r="D738" s="117">
        <v>5498711734</v>
      </c>
      <c r="E738" s="117">
        <v>2938764698</v>
      </c>
      <c r="F738" s="116">
        <v>53.4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.25" customHeight="1" x14ac:dyDescent="0.25">
      <c r="A739" s="116">
        <v>2023</v>
      </c>
      <c r="B739" s="116" t="s">
        <v>22</v>
      </c>
      <c r="C739" s="116" t="s">
        <v>17</v>
      </c>
      <c r="D739" s="117">
        <v>2504850676</v>
      </c>
      <c r="E739" s="117">
        <v>1574805129</v>
      </c>
      <c r="F739" s="116">
        <v>62.9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.25" customHeight="1" x14ac:dyDescent="0.25">
      <c r="A740" s="116">
        <v>2023</v>
      </c>
      <c r="B740" s="116" t="s">
        <v>23</v>
      </c>
      <c r="C740" s="116" t="s">
        <v>17</v>
      </c>
      <c r="D740" s="117">
        <v>1948133649</v>
      </c>
      <c r="E740" s="117">
        <v>1054768765</v>
      </c>
      <c r="F740" s="116">
        <v>54.1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.25" customHeight="1" x14ac:dyDescent="0.25">
      <c r="A741" s="116">
        <v>2023</v>
      </c>
      <c r="B741" s="116" t="s">
        <v>24</v>
      </c>
      <c r="C741" s="116" t="s">
        <v>17</v>
      </c>
      <c r="D741" s="117">
        <v>27354424606</v>
      </c>
      <c r="E741" s="117">
        <v>13992838841</v>
      </c>
      <c r="F741" s="116">
        <v>51.2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.25" customHeight="1" x14ac:dyDescent="0.25">
      <c r="A742" s="116">
        <v>2023</v>
      </c>
      <c r="B742" s="116" t="s">
        <v>25</v>
      </c>
      <c r="C742" s="116" t="s">
        <v>17</v>
      </c>
      <c r="D742" s="116">
        <v>0</v>
      </c>
      <c r="E742" s="116">
        <v>0</v>
      </c>
      <c r="F742" s="116">
        <v>0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.25" customHeight="1" x14ac:dyDescent="0.25">
      <c r="A743" s="116">
        <v>2023</v>
      </c>
      <c r="B743" s="116" t="s">
        <v>26</v>
      </c>
      <c r="C743" s="116" t="s">
        <v>27</v>
      </c>
      <c r="D743" s="117">
        <v>60262344432</v>
      </c>
      <c r="E743" s="117">
        <v>32267675515</v>
      </c>
      <c r="F743" s="116">
        <v>53.5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.25" customHeight="1" x14ac:dyDescent="0.25">
      <c r="A744" s="116">
        <v>2023</v>
      </c>
      <c r="B744" s="116" t="s">
        <v>28</v>
      </c>
      <c r="C744" s="116" t="s">
        <v>27</v>
      </c>
      <c r="D744" s="117">
        <v>73789537071</v>
      </c>
      <c r="E744" s="117">
        <v>45129379628</v>
      </c>
      <c r="F744" s="116">
        <v>61.2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.25" customHeight="1" x14ac:dyDescent="0.25">
      <c r="A745" s="116">
        <v>2023</v>
      </c>
      <c r="B745" s="116" t="s">
        <v>29</v>
      </c>
      <c r="C745" s="116" t="s">
        <v>27</v>
      </c>
      <c r="D745" s="117">
        <v>29153736614</v>
      </c>
      <c r="E745" s="117">
        <v>16023272534</v>
      </c>
      <c r="F745" s="116">
        <v>55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.25" customHeight="1" x14ac:dyDescent="0.25">
      <c r="A746" s="116">
        <v>2023</v>
      </c>
      <c r="B746" s="116" t="s">
        <v>30</v>
      </c>
      <c r="C746" s="116" t="s">
        <v>27</v>
      </c>
      <c r="D746" s="117">
        <v>74976481183</v>
      </c>
      <c r="E746" s="117">
        <v>49313465720</v>
      </c>
      <c r="F746" s="116">
        <v>65.8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.25" customHeight="1" x14ac:dyDescent="0.25">
      <c r="A747" s="116">
        <v>2023</v>
      </c>
      <c r="B747" s="116" t="s">
        <v>31</v>
      </c>
      <c r="C747" s="116" t="s">
        <v>27</v>
      </c>
      <c r="D747" s="117">
        <v>18563072556</v>
      </c>
      <c r="E747" s="117">
        <v>14399629957</v>
      </c>
      <c r="F747" s="116">
        <v>77.599999999999994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.25" customHeight="1" x14ac:dyDescent="0.25">
      <c r="A748" s="116">
        <v>2023</v>
      </c>
      <c r="B748" s="116" t="s">
        <v>32</v>
      </c>
      <c r="C748" s="116" t="s">
        <v>27</v>
      </c>
      <c r="D748" s="117">
        <v>37338975895</v>
      </c>
      <c r="E748" s="117">
        <v>22051483722</v>
      </c>
      <c r="F748" s="116">
        <v>59.1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.25" customHeight="1" x14ac:dyDescent="0.25">
      <c r="A749" s="116">
        <v>2023</v>
      </c>
      <c r="B749" s="116" t="s">
        <v>33</v>
      </c>
      <c r="C749" s="116" t="s">
        <v>27</v>
      </c>
      <c r="D749" s="117">
        <v>58765916088</v>
      </c>
      <c r="E749" s="117">
        <v>48913543430</v>
      </c>
      <c r="F749" s="116">
        <v>83.2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.25" customHeight="1" x14ac:dyDescent="0.25">
      <c r="A750" s="116">
        <v>2023</v>
      </c>
      <c r="B750" s="116" t="s">
        <v>34</v>
      </c>
      <c r="C750" s="116" t="s">
        <v>35</v>
      </c>
      <c r="D750" s="117">
        <v>7367799999</v>
      </c>
      <c r="E750" s="117">
        <v>2957232666</v>
      </c>
      <c r="F750" s="116">
        <v>40.1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.25" customHeight="1" x14ac:dyDescent="0.25">
      <c r="A751" s="116">
        <v>2023</v>
      </c>
      <c r="B751" s="116" t="s">
        <v>36</v>
      </c>
      <c r="C751" s="116" t="s">
        <v>35</v>
      </c>
      <c r="D751" s="117">
        <v>21777228679</v>
      </c>
      <c r="E751" s="117">
        <v>10607166472</v>
      </c>
      <c r="F751" s="116">
        <v>48.7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.25" customHeight="1" x14ac:dyDescent="0.25">
      <c r="A752" s="116">
        <v>2023</v>
      </c>
      <c r="B752" s="116" t="s">
        <v>37</v>
      </c>
      <c r="C752" s="116" t="s">
        <v>35</v>
      </c>
      <c r="D752" s="117">
        <v>3585569312</v>
      </c>
      <c r="E752" s="117">
        <v>1753241290</v>
      </c>
      <c r="F752" s="116">
        <v>48.9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.25" customHeight="1" x14ac:dyDescent="0.25">
      <c r="A753" s="116">
        <v>2023</v>
      </c>
      <c r="B753" s="116" t="s">
        <v>38</v>
      </c>
      <c r="C753" s="116" t="s">
        <v>35</v>
      </c>
      <c r="D753" s="117">
        <v>5851901874</v>
      </c>
      <c r="E753" s="117">
        <v>2536482413</v>
      </c>
      <c r="F753" s="116">
        <v>43.3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.25" customHeight="1" x14ac:dyDescent="0.25">
      <c r="A754" s="116">
        <v>2023</v>
      </c>
      <c r="B754" s="116" t="s">
        <v>39</v>
      </c>
      <c r="C754" s="116" t="s">
        <v>35</v>
      </c>
      <c r="D754" s="117">
        <v>31518227246</v>
      </c>
      <c r="E754" s="117">
        <v>15384150119</v>
      </c>
      <c r="F754" s="116">
        <v>48.8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.25" customHeight="1" x14ac:dyDescent="0.25">
      <c r="A755" s="116">
        <v>2023</v>
      </c>
      <c r="B755" s="116" t="s">
        <v>40</v>
      </c>
      <c r="C755" s="116" t="s">
        <v>41</v>
      </c>
      <c r="D755" s="117">
        <v>2528526951</v>
      </c>
      <c r="E755" s="117">
        <v>926433212</v>
      </c>
      <c r="F755" s="116">
        <v>36.6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.25" customHeight="1" x14ac:dyDescent="0.25">
      <c r="A756" s="116">
        <v>2023</v>
      </c>
      <c r="B756" s="116" t="s">
        <v>42</v>
      </c>
      <c r="C756" s="116" t="s">
        <v>41</v>
      </c>
      <c r="D756" s="117">
        <v>15972654086</v>
      </c>
      <c r="E756" s="117">
        <v>7022519035</v>
      </c>
      <c r="F756" s="116">
        <v>44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.25" customHeight="1" x14ac:dyDescent="0.25">
      <c r="A757" s="116">
        <v>2023</v>
      </c>
      <c r="B757" s="116" t="s">
        <v>43</v>
      </c>
      <c r="C757" s="116" t="s">
        <v>41</v>
      </c>
      <c r="D757" s="117">
        <v>10980866932</v>
      </c>
      <c r="E757" s="117">
        <v>4532859131</v>
      </c>
      <c r="F757" s="116">
        <v>41.3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.25" customHeight="1" x14ac:dyDescent="0.25">
      <c r="A758" s="116">
        <v>2023</v>
      </c>
      <c r="B758" s="116" t="s">
        <v>44</v>
      </c>
      <c r="C758" s="116" t="s">
        <v>41</v>
      </c>
      <c r="D758" s="117">
        <v>16988381692</v>
      </c>
      <c r="E758" s="117">
        <v>8199369598</v>
      </c>
      <c r="F758" s="116">
        <v>48.3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.25" customHeight="1" x14ac:dyDescent="0.25">
      <c r="A759" s="116">
        <v>2023</v>
      </c>
      <c r="B759" s="116" t="s">
        <v>45</v>
      </c>
      <c r="C759" s="116" t="s">
        <v>41</v>
      </c>
      <c r="D759" s="117">
        <v>44535787877</v>
      </c>
      <c r="E759" s="117">
        <v>20988532650</v>
      </c>
      <c r="F759" s="116">
        <v>47.1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.25" customHeight="1" x14ac:dyDescent="0.25">
      <c r="A760" s="116">
        <v>2023</v>
      </c>
      <c r="B760" s="116" t="s">
        <v>46</v>
      </c>
      <c r="C760" s="116" t="s">
        <v>47</v>
      </c>
      <c r="D760" s="117">
        <v>38905004776</v>
      </c>
      <c r="E760" s="117">
        <v>23751619094</v>
      </c>
      <c r="F760" s="116">
        <v>61.1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.25" customHeight="1" x14ac:dyDescent="0.25">
      <c r="A761" s="116">
        <v>2023</v>
      </c>
      <c r="B761" s="116" t="s">
        <v>48</v>
      </c>
      <c r="C761" s="116" t="s">
        <v>47</v>
      </c>
      <c r="D761" s="117">
        <v>475780773500</v>
      </c>
      <c r="E761" s="117">
        <v>299305700246</v>
      </c>
      <c r="F761" s="116">
        <v>62.9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.25" customHeight="1" x14ac:dyDescent="0.25">
      <c r="A762" s="116">
        <v>2024</v>
      </c>
      <c r="B762" s="116" t="s">
        <v>3</v>
      </c>
      <c r="C762" s="116" t="s">
        <v>4</v>
      </c>
      <c r="D762" s="117">
        <v>39066238985</v>
      </c>
      <c r="E762" s="117">
        <v>22746412547</v>
      </c>
      <c r="F762" s="116">
        <v>58.2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.25" customHeight="1" x14ac:dyDescent="0.25">
      <c r="A763" s="116">
        <v>2024</v>
      </c>
      <c r="B763" s="116" t="s">
        <v>5</v>
      </c>
      <c r="C763" s="116" t="s">
        <v>4</v>
      </c>
      <c r="D763" s="117">
        <v>167794266937</v>
      </c>
      <c r="E763" s="117">
        <v>121389652963</v>
      </c>
      <c r="F763" s="116">
        <v>72.3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.25" customHeight="1" x14ac:dyDescent="0.25">
      <c r="A764" s="116">
        <v>2024</v>
      </c>
      <c r="B764" s="116" t="s">
        <v>6</v>
      </c>
      <c r="C764" s="116" t="s">
        <v>4</v>
      </c>
      <c r="D764" s="117">
        <v>12665828434</v>
      </c>
      <c r="E764" s="117">
        <v>5071224609</v>
      </c>
      <c r="F764" s="116">
        <v>40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.25" customHeight="1" x14ac:dyDescent="0.25">
      <c r="A765" s="116">
        <v>2024</v>
      </c>
      <c r="B765" s="116" t="s">
        <v>7</v>
      </c>
      <c r="C765" s="116" t="s">
        <v>4</v>
      </c>
      <c r="D765" s="117">
        <v>42122382416</v>
      </c>
      <c r="E765" s="117">
        <v>23829165056</v>
      </c>
      <c r="F765" s="116">
        <v>56.6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.25" customHeight="1" x14ac:dyDescent="0.25">
      <c r="A766" s="116">
        <v>2024</v>
      </c>
      <c r="B766" s="116" t="s">
        <v>8</v>
      </c>
      <c r="C766" s="116" t="s">
        <v>4</v>
      </c>
      <c r="D766" s="117">
        <v>14130824352</v>
      </c>
      <c r="E766" s="117">
        <v>8961741540</v>
      </c>
      <c r="F766" s="116">
        <v>63.4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.25" customHeight="1" x14ac:dyDescent="0.25">
      <c r="A767" s="116">
        <v>2024</v>
      </c>
      <c r="B767" s="116" t="s">
        <v>9</v>
      </c>
      <c r="C767" s="116" t="s">
        <v>4</v>
      </c>
      <c r="D767" s="117">
        <v>91435223805</v>
      </c>
      <c r="E767" s="117">
        <v>51266713010</v>
      </c>
      <c r="F767" s="116">
        <v>56.1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.25" customHeight="1" x14ac:dyDescent="0.25">
      <c r="A768" s="116">
        <v>2024</v>
      </c>
      <c r="B768" s="116" t="s">
        <v>10</v>
      </c>
      <c r="C768" s="116" t="s">
        <v>4</v>
      </c>
      <c r="D768" s="117">
        <v>2536813507</v>
      </c>
      <c r="E768" s="117">
        <v>1547456239</v>
      </c>
      <c r="F768" s="116">
        <v>61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.25" customHeight="1" x14ac:dyDescent="0.25">
      <c r="A769" s="116">
        <v>2024</v>
      </c>
      <c r="B769" s="116" t="s">
        <v>11</v>
      </c>
      <c r="C769" s="116" t="s">
        <v>4</v>
      </c>
      <c r="D769" s="117">
        <v>12077093181</v>
      </c>
      <c r="E769" s="117">
        <v>8688827780</v>
      </c>
      <c r="F769" s="116">
        <v>71.900000000000006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.25" customHeight="1" x14ac:dyDescent="0.25">
      <c r="A770" s="116">
        <v>2024</v>
      </c>
      <c r="B770" s="116" t="s">
        <v>12</v>
      </c>
      <c r="C770" s="116" t="s">
        <v>4</v>
      </c>
      <c r="D770" s="117">
        <v>15836389263</v>
      </c>
      <c r="E770" s="117">
        <v>10751097566</v>
      </c>
      <c r="F770" s="116">
        <v>67.900000000000006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.25" customHeight="1" x14ac:dyDescent="0.25">
      <c r="A771" s="116">
        <v>2024</v>
      </c>
      <c r="B771" s="116" t="s">
        <v>13</v>
      </c>
      <c r="C771" s="116" t="s">
        <v>4</v>
      </c>
      <c r="D771" s="117">
        <v>23378008518</v>
      </c>
      <c r="E771" s="117">
        <v>13732952399</v>
      </c>
      <c r="F771" s="116">
        <v>58.7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.25" customHeight="1" x14ac:dyDescent="0.25">
      <c r="A772" s="116">
        <v>2024</v>
      </c>
      <c r="B772" s="116" t="s">
        <v>14</v>
      </c>
      <c r="C772" s="116" t="s">
        <v>4</v>
      </c>
      <c r="D772" s="117">
        <v>12598723279</v>
      </c>
      <c r="E772" s="117">
        <v>6053295423</v>
      </c>
      <c r="F772" s="116">
        <v>48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.25" customHeight="1" x14ac:dyDescent="0.25">
      <c r="A773" s="116">
        <v>2024</v>
      </c>
      <c r="B773" s="116" t="s">
        <v>15</v>
      </c>
      <c r="C773" s="116" t="s">
        <v>4</v>
      </c>
      <c r="D773" s="117">
        <v>17020567216</v>
      </c>
      <c r="E773" s="117">
        <v>10559018392</v>
      </c>
      <c r="F773" s="116">
        <v>62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.25" customHeight="1" x14ac:dyDescent="0.25">
      <c r="A774" s="116">
        <v>2024</v>
      </c>
      <c r="B774" s="116" t="s">
        <v>16</v>
      </c>
      <c r="C774" s="116" t="s">
        <v>17</v>
      </c>
      <c r="D774" s="117">
        <v>1633882360</v>
      </c>
      <c r="E774" s="117">
        <v>810947910</v>
      </c>
      <c r="F774" s="116">
        <v>49.6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.25" customHeight="1" x14ac:dyDescent="0.25">
      <c r="A775" s="116">
        <v>2024</v>
      </c>
      <c r="B775" s="116" t="s">
        <v>18</v>
      </c>
      <c r="C775" s="116" t="s">
        <v>17</v>
      </c>
      <c r="D775" s="117">
        <v>4500151136</v>
      </c>
      <c r="E775" s="117">
        <v>2991525663</v>
      </c>
      <c r="F775" s="116">
        <v>66.5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.25" customHeight="1" x14ac:dyDescent="0.25">
      <c r="A776" s="116">
        <v>2024</v>
      </c>
      <c r="B776" s="116" t="s">
        <v>19</v>
      </c>
      <c r="C776" s="116" t="s">
        <v>17</v>
      </c>
      <c r="D776" s="117">
        <v>10260121859</v>
      </c>
      <c r="E776" s="117">
        <v>5673532627</v>
      </c>
      <c r="F776" s="116">
        <v>55.3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.25" customHeight="1" x14ac:dyDescent="0.25">
      <c r="A777" s="116">
        <v>2024</v>
      </c>
      <c r="B777" s="116" t="s">
        <v>20</v>
      </c>
      <c r="C777" s="116" t="s">
        <v>17</v>
      </c>
      <c r="D777" s="117">
        <v>7643638245</v>
      </c>
      <c r="E777" s="117">
        <v>7017809255</v>
      </c>
      <c r="F777" s="116">
        <v>91.8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.25" customHeight="1" x14ac:dyDescent="0.25">
      <c r="A778" s="116">
        <v>2024</v>
      </c>
      <c r="B778" s="116" t="s">
        <v>21</v>
      </c>
      <c r="C778" s="116" t="s">
        <v>17</v>
      </c>
      <c r="D778" s="117">
        <v>6527260604</v>
      </c>
      <c r="E778" s="117">
        <v>3631159320</v>
      </c>
      <c r="F778" s="116">
        <v>55.6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.25" customHeight="1" x14ac:dyDescent="0.25">
      <c r="A779" s="116">
        <v>2024</v>
      </c>
      <c r="B779" s="116" t="s">
        <v>22</v>
      </c>
      <c r="C779" s="116" t="s">
        <v>17</v>
      </c>
      <c r="D779" s="117">
        <v>2842578876</v>
      </c>
      <c r="E779" s="117">
        <v>1845769108</v>
      </c>
      <c r="F779" s="116">
        <v>64.900000000000006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.25" customHeight="1" x14ac:dyDescent="0.25">
      <c r="A780" s="116">
        <v>2024</v>
      </c>
      <c r="B780" s="116" t="s">
        <v>23</v>
      </c>
      <c r="C780" s="116" t="s">
        <v>17</v>
      </c>
      <c r="D780" s="117">
        <v>2224685297</v>
      </c>
      <c r="E780" s="117">
        <v>1252308192</v>
      </c>
      <c r="F780" s="116">
        <v>56.3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.25" customHeight="1" x14ac:dyDescent="0.25">
      <c r="A781" s="116">
        <v>2024</v>
      </c>
      <c r="B781" s="116" t="s">
        <v>24</v>
      </c>
      <c r="C781" s="116" t="s">
        <v>17</v>
      </c>
      <c r="D781" s="117">
        <v>30123144982</v>
      </c>
      <c r="E781" s="117">
        <v>16375511712</v>
      </c>
      <c r="F781" s="116">
        <v>54.4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.25" customHeight="1" x14ac:dyDescent="0.25">
      <c r="A782" s="116">
        <v>2024</v>
      </c>
      <c r="B782" s="116" t="s">
        <v>25</v>
      </c>
      <c r="C782" s="116" t="s">
        <v>17</v>
      </c>
      <c r="D782" s="116">
        <v>0</v>
      </c>
      <c r="E782" s="116">
        <v>0</v>
      </c>
      <c r="F782" s="116">
        <v>0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.25" customHeight="1" x14ac:dyDescent="0.25">
      <c r="A783" s="116">
        <v>2024</v>
      </c>
      <c r="B783" s="116" t="s">
        <v>26</v>
      </c>
      <c r="C783" s="116" t="s">
        <v>27</v>
      </c>
      <c r="D783" s="117">
        <v>67206825506</v>
      </c>
      <c r="E783" s="117">
        <v>37194692932</v>
      </c>
      <c r="F783" s="116">
        <v>55.3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.25" customHeight="1" x14ac:dyDescent="0.25">
      <c r="A784" s="116">
        <v>2024</v>
      </c>
      <c r="B784" s="116" t="s">
        <v>28</v>
      </c>
      <c r="C784" s="116" t="s">
        <v>27</v>
      </c>
      <c r="D784" s="117">
        <v>77042505479</v>
      </c>
      <c r="E784" s="117">
        <v>49327017714</v>
      </c>
      <c r="F784" s="116">
        <v>64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.25" customHeight="1" x14ac:dyDescent="0.25">
      <c r="A785" s="116">
        <v>2024</v>
      </c>
      <c r="B785" s="116" t="s">
        <v>29</v>
      </c>
      <c r="C785" s="116" t="s">
        <v>27</v>
      </c>
      <c r="D785" s="117">
        <v>32348713792</v>
      </c>
      <c r="E785" s="117">
        <v>18076596858</v>
      </c>
      <c r="F785" s="116">
        <v>55.9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.25" customHeight="1" x14ac:dyDescent="0.25">
      <c r="A786" s="116">
        <v>2024</v>
      </c>
      <c r="B786" s="116" t="s">
        <v>30</v>
      </c>
      <c r="C786" s="116" t="s">
        <v>27</v>
      </c>
      <c r="D786" s="117">
        <v>79923834764</v>
      </c>
      <c r="E786" s="117">
        <v>54145817112</v>
      </c>
      <c r="F786" s="116">
        <v>67.7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.25" customHeight="1" x14ac:dyDescent="0.25">
      <c r="A787" s="116">
        <v>2024</v>
      </c>
      <c r="B787" s="116" t="s">
        <v>31</v>
      </c>
      <c r="C787" s="116" t="s">
        <v>27</v>
      </c>
      <c r="D787" s="117">
        <v>20836507803</v>
      </c>
      <c r="E787" s="117">
        <v>16318644645</v>
      </c>
      <c r="F787" s="116">
        <v>78.3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.25" customHeight="1" x14ac:dyDescent="0.25">
      <c r="A788" s="116">
        <v>2024</v>
      </c>
      <c r="B788" s="116" t="s">
        <v>32</v>
      </c>
      <c r="C788" s="116" t="s">
        <v>27</v>
      </c>
      <c r="D788" s="117">
        <v>40601695133</v>
      </c>
      <c r="E788" s="117">
        <v>24550324539</v>
      </c>
      <c r="F788" s="116">
        <v>60.5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.25" customHeight="1" x14ac:dyDescent="0.25">
      <c r="A789" s="116">
        <v>2024</v>
      </c>
      <c r="B789" s="116" t="s">
        <v>33</v>
      </c>
      <c r="C789" s="116" t="s">
        <v>27</v>
      </c>
      <c r="D789" s="117">
        <v>64740924374</v>
      </c>
      <c r="E789" s="117">
        <v>54368154458</v>
      </c>
      <c r="F789" s="116">
        <v>84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.25" customHeight="1" x14ac:dyDescent="0.25">
      <c r="A790" s="116">
        <v>2024</v>
      </c>
      <c r="B790" s="116" t="s">
        <v>34</v>
      </c>
      <c r="C790" s="116" t="s">
        <v>35</v>
      </c>
      <c r="D790" s="117">
        <v>7066177133</v>
      </c>
      <c r="E790" s="117">
        <v>2991417772</v>
      </c>
      <c r="F790" s="116">
        <v>42.3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.25" customHeight="1" x14ac:dyDescent="0.25">
      <c r="A791" s="116">
        <v>2024</v>
      </c>
      <c r="B791" s="116" t="s">
        <v>36</v>
      </c>
      <c r="C791" s="116" t="s">
        <v>35</v>
      </c>
      <c r="D791" s="117">
        <v>23372533030</v>
      </c>
      <c r="E791" s="117">
        <v>11724945239</v>
      </c>
      <c r="F791" s="116">
        <v>50.2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.25" customHeight="1" x14ac:dyDescent="0.25">
      <c r="A792" s="116">
        <v>2024</v>
      </c>
      <c r="B792" s="116" t="s">
        <v>37</v>
      </c>
      <c r="C792" s="116" t="s">
        <v>35</v>
      </c>
      <c r="D792" s="117">
        <v>3988169753</v>
      </c>
      <c r="E792" s="117">
        <v>2087860866</v>
      </c>
      <c r="F792" s="116">
        <v>52.4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.25" customHeight="1" x14ac:dyDescent="0.25">
      <c r="A793" s="116">
        <v>2024</v>
      </c>
      <c r="B793" s="116" t="s">
        <v>38</v>
      </c>
      <c r="C793" s="116" t="s">
        <v>35</v>
      </c>
      <c r="D793" s="117">
        <v>5938092951</v>
      </c>
      <c r="E793" s="117">
        <v>2826672310</v>
      </c>
      <c r="F793" s="116">
        <v>47.6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.25" customHeight="1" x14ac:dyDescent="0.25">
      <c r="A794" s="116">
        <v>2024</v>
      </c>
      <c r="B794" s="116" t="s">
        <v>39</v>
      </c>
      <c r="C794" s="116" t="s">
        <v>35</v>
      </c>
      <c r="D794" s="117">
        <v>30783426386</v>
      </c>
      <c r="E794" s="117">
        <v>15603814887</v>
      </c>
      <c r="F794" s="116">
        <v>50.7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.25" customHeight="1" x14ac:dyDescent="0.25">
      <c r="A795" s="116">
        <v>2024</v>
      </c>
      <c r="B795" s="116" t="s">
        <v>40</v>
      </c>
      <c r="C795" s="116" t="s">
        <v>41</v>
      </c>
      <c r="D795" s="117">
        <v>2544484284</v>
      </c>
      <c r="E795" s="117">
        <v>976199689</v>
      </c>
      <c r="F795" s="116">
        <v>38.4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.25" customHeight="1" x14ac:dyDescent="0.25">
      <c r="A796" s="116">
        <v>2024</v>
      </c>
      <c r="B796" s="116" t="s">
        <v>42</v>
      </c>
      <c r="C796" s="116" t="s">
        <v>41</v>
      </c>
      <c r="D796" s="117">
        <v>17288889415</v>
      </c>
      <c r="E796" s="117">
        <v>7722852422</v>
      </c>
      <c r="F796" s="116">
        <v>44.7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.25" customHeight="1" x14ac:dyDescent="0.25">
      <c r="A797" s="116">
        <v>2024</v>
      </c>
      <c r="B797" s="116" t="s">
        <v>43</v>
      </c>
      <c r="C797" s="116" t="s">
        <v>41</v>
      </c>
      <c r="D797" s="117">
        <v>11956647955</v>
      </c>
      <c r="E797" s="117">
        <v>5100422666</v>
      </c>
      <c r="F797" s="116">
        <v>42.7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.25" customHeight="1" x14ac:dyDescent="0.25">
      <c r="A798" s="116">
        <v>2024</v>
      </c>
      <c r="B798" s="116" t="s">
        <v>44</v>
      </c>
      <c r="C798" s="116" t="s">
        <v>41</v>
      </c>
      <c r="D798" s="117">
        <v>18712046867</v>
      </c>
      <c r="E798" s="117">
        <v>9431581352</v>
      </c>
      <c r="F798" s="116">
        <v>50.4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.25" customHeight="1" x14ac:dyDescent="0.25">
      <c r="A799" s="116">
        <v>2024</v>
      </c>
      <c r="B799" s="116" t="s">
        <v>45</v>
      </c>
      <c r="C799" s="116" t="s">
        <v>41</v>
      </c>
      <c r="D799" s="117">
        <v>48601498416</v>
      </c>
      <c r="E799" s="117">
        <v>23845706388</v>
      </c>
      <c r="F799" s="116">
        <v>49.1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.25" customHeight="1" x14ac:dyDescent="0.25">
      <c r="A800" s="116">
        <v>2024</v>
      </c>
      <c r="B800" s="116" t="s">
        <v>46</v>
      </c>
      <c r="C800" s="116" t="s">
        <v>47</v>
      </c>
      <c r="D800" s="117">
        <v>41276348993</v>
      </c>
      <c r="E800" s="117">
        <v>25279440183</v>
      </c>
      <c r="F800" s="116">
        <v>61.2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.25" customHeight="1" x14ac:dyDescent="0.25">
      <c r="A801" s="116">
        <v>2024</v>
      </c>
      <c r="B801" s="116" t="s">
        <v>48</v>
      </c>
      <c r="C801" s="116" t="s">
        <v>47</v>
      </c>
      <c r="D801" s="117">
        <v>502573799490</v>
      </c>
      <c r="E801" s="117">
        <v>316910934273</v>
      </c>
      <c r="F801" s="116">
        <v>63.1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.25" customHeight="1" x14ac:dyDescent="0.25">
      <c r="A802" s="116">
        <v>2025</v>
      </c>
      <c r="B802" s="116" t="s">
        <v>3</v>
      </c>
      <c r="C802" s="116" t="s">
        <v>4</v>
      </c>
      <c r="D802" s="117">
        <v>41760570358</v>
      </c>
      <c r="E802" s="117">
        <v>24574788566</v>
      </c>
      <c r="F802" s="116">
        <v>58.8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.25" customHeight="1" x14ac:dyDescent="0.25">
      <c r="A803" s="116">
        <v>2025</v>
      </c>
      <c r="B803" s="116" t="s">
        <v>5</v>
      </c>
      <c r="C803" s="116" t="s">
        <v>4</v>
      </c>
      <c r="D803" s="117">
        <v>186091160434</v>
      </c>
      <c r="E803" s="117">
        <v>139142054674</v>
      </c>
      <c r="F803" s="116">
        <v>74.8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.25" customHeight="1" x14ac:dyDescent="0.25">
      <c r="A804" s="116">
        <v>2025</v>
      </c>
      <c r="B804" s="116" t="s">
        <v>6</v>
      </c>
      <c r="C804" s="116" t="s">
        <v>4</v>
      </c>
      <c r="D804" s="117">
        <v>13444965346</v>
      </c>
      <c r="E804" s="117">
        <v>5858791526</v>
      </c>
      <c r="F804" s="116">
        <v>43.6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.25" customHeight="1" x14ac:dyDescent="0.25">
      <c r="A805" s="116">
        <v>2025</v>
      </c>
      <c r="B805" s="116" t="s">
        <v>7</v>
      </c>
      <c r="C805" s="116" t="s">
        <v>4</v>
      </c>
      <c r="D805" s="117">
        <v>46809584481</v>
      </c>
      <c r="E805" s="117">
        <v>27037289055</v>
      </c>
      <c r="F805" s="116">
        <v>57.8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.25" customHeight="1" x14ac:dyDescent="0.25">
      <c r="A806" s="116">
        <v>2025</v>
      </c>
      <c r="B806" s="116" t="s">
        <v>8</v>
      </c>
      <c r="C806" s="116" t="s">
        <v>4</v>
      </c>
      <c r="D806" s="117">
        <v>15370928260</v>
      </c>
      <c r="E806" s="117">
        <v>10348451465</v>
      </c>
      <c r="F806" s="116">
        <v>67.3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.25" customHeight="1" x14ac:dyDescent="0.25">
      <c r="A807" s="116">
        <v>2025</v>
      </c>
      <c r="B807" s="116" t="s">
        <v>9</v>
      </c>
      <c r="C807" s="116" t="s">
        <v>4</v>
      </c>
      <c r="D807" s="117">
        <v>96486174815</v>
      </c>
      <c r="E807" s="117">
        <v>55627860382</v>
      </c>
      <c r="F807" s="116">
        <v>57.7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.25" customHeight="1" x14ac:dyDescent="0.25">
      <c r="A808" s="116">
        <v>2025</v>
      </c>
      <c r="B808" s="116" t="s">
        <v>10</v>
      </c>
      <c r="C808" s="116" t="s">
        <v>4</v>
      </c>
      <c r="D808" s="117">
        <v>2727114838</v>
      </c>
      <c r="E808" s="117">
        <v>1827166941</v>
      </c>
      <c r="F808" s="116">
        <v>67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.25" customHeight="1" x14ac:dyDescent="0.25">
      <c r="A809" s="116">
        <v>2025</v>
      </c>
      <c r="B809" s="116" t="s">
        <v>11</v>
      </c>
      <c r="C809" s="116" t="s">
        <v>4</v>
      </c>
      <c r="D809" s="117">
        <v>13727876225</v>
      </c>
      <c r="E809" s="117">
        <v>10380351873</v>
      </c>
      <c r="F809" s="116">
        <v>75.599999999999994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.25" customHeight="1" x14ac:dyDescent="0.25">
      <c r="A810" s="116">
        <v>2025</v>
      </c>
      <c r="B810" s="116" t="s">
        <v>12</v>
      </c>
      <c r="C810" s="116" t="s">
        <v>4</v>
      </c>
      <c r="D810" s="117">
        <v>16359435510</v>
      </c>
      <c r="E810" s="117">
        <v>11414278450</v>
      </c>
      <c r="F810" s="116">
        <v>69.8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.25" customHeight="1" x14ac:dyDescent="0.25">
      <c r="A811" s="116">
        <v>2025</v>
      </c>
      <c r="B811" s="116" t="s">
        <v>13</v>
      </c>
      <c r="C811" s="116" t="s">
        <v>4</v>
      </c>
      <c r="D811" s="117">
        <v>25107192341</v>
      </c>
      <c r="E811" s="117">
        <v>15123907032</v>
      </c>
      <c r="F811" s="116">
        <v>60.2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.25" customHeight="1" x14ac:dyDescent="0.25">
      <c r="A812" s="116">
        <v>2025</v>
      </c>
      <c r="B812" s="116" t="s">
        <v>14</v>
      </c>
      <c r="C812" s="116" t="s">
        <v>4</v>
      </c>
      <c r="D812" s="117">
        <v>13505114791</v>
      </c>
      <c r="E812" s="117">
        <v>6827891261</v>
      </c>
      <c r="F812" s="116">
        <v>50.6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.25" customHeight="1" x14ac:dyDescent="0.25">
      <c r="A813" s="116">
        <v>2025</v>
      </c>
      <c r="B813" s="116" t="s">
        <v>15</v>
      </c>
      <c r="C813" s="116" t="s">
        <v>4</v>
      </c>
      <c r="D813" s="117">
        <v>19300656671</v>
      </c>
      <c r="E813" s="117">
        <v>12704718047</v>
      </c>
      <c r="F813" s="116">
        <v>65.8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.25" customHeight="1" x14ac:dyDescent="0.25">
      <c r="A814" s="116">
        <v>2025</v>
      </c>
      <c r="B814" s="116" t="s">
        <v>16</v>
      </c>
      <c r="C814" s="116" t="s">
        <v>17</v>
      </c>
      <c r="D814" s="117">
        <v>1902956764</v>
      </c>
      <c r="E814" s="117">
        <v>1007865919</v>
      </c>
      <c r="F814" s="116">
        <v>53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.25" customHeight="1" x14ac:dyDescent="0.25">
      <c r="A815" s="116">
        <v>2025</v>
      </c>
      <c r="B815" s="116" t="s">
        <v>18</v>
      </c>
      <c r="C815" s="116" t="s">
        <v>17</v>
      </c>
      <c r="D815" s="117">
        <v>5025242350</v>
      </c>
      <c r="E815" s="117">
        <v>3423341682</v>
      </c>
      <c r="F815" s="116">
        <v>68.099999999999994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.25" customHeight="1" x14ac:dyDescent="0.25">
      <c r="A816" s="116">
        <v>2025</v>
      </c>
      <c r="B816" s="116" t="s">
        <v>19</v>
      </c>
      <c r="C816" s="116" t="s">
        <v>17</v>
      </c>
      <c r="D816" s="117">
        <v>11264293719</v>
      </c>
      <c r="E816" s="117">
        <v>6474390765</v>
      </c>
      <c r="F816" s="116">
        <v>57.5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.25" customHeight="1" x14ac:dyDescent="0.25">
      <c r="A817" s="116">
        <v>2025</v>
      </c>
      <c r="B817" s="116" t="s">
        <v>20</v>
      </c>
      <c r="C817" s="116" t="s">
        <v>17</v>
      </c>
      <c r="D817" s="117">
        <v>8279654516</v>
      </c>
      <c r="E817" s="117">
        <v>7628651692</v>
      </c>
      <c r="F817" s="116">
        <v>92.1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.25" customHeight="1" x14ac:dyDescent="0.25">
      <c r="A818" s="116">
        <v>2025</v>
      </c>
      <c r="B818" s="116" t="s">
        <v>21</v>
      </c>
      <c r="C818" s="116" t="s">
        <v>17</v>
      </c>
      <c r="D818" s="117">
        <v>7279226791</v>
      </c>
      <c r="E818" s="117">
        <v>4171351697</v>
      </c>
      <c r="F818" s="116">
        <v>57.3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.25" customHeight="1" x14ac:dyDescent="0.25">
      <c r="A819" s="116">
        <v>2025</v>
      </c>
      <c r="B819" s="116" t="s">
        <v>22</v>
      </c>
      <c r="C819" s="116" t="s">
        <v>17</v>
      </c>
      <c r="D819" s="117">
        <v>3129397512</v>
      </c>
      <c r="E819" s="117">
        <v>2082006399</v>
      </c>
      <c r="F819" s="116">
        <v>66.5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.25" customHeight="1" x14ac:dyDescent="0.25">
      <c r="A820" s="116">
        <v>2025</v>
      </c>
      <c r="B820" s="116" t="s">
        <v>23</v>
      </c>
      <c r="C820" s="116" t="s">
        <v>17</v>
      </c>
      <c r="D820" s="117">
        <v>2510167721</v>
      </c>
      <c r="E820" s="117">
        <v>1457585273</v>
      </c>
      <c r="F820" s="116">
        <v>58.1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.25" customHeight="1" x14ac:dyDescent="0.25">
      <c r="A821" s="116">
        <v>2025</v>
      </c>
      <c r="B821" s="116" t="s">
        <v>24</v>
      </c>
      <c r="C821" s="116" t="s">
        <v>17</v>
      </c>
      <c r="D821" s="117">
        <v>35136379582</v>
      </c>
      <c r="E821" s="117">
        <v>19591969305</v>
      </c>
      <c r="F821" s="116">
        <v>55.8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.25" customHeight="1" x14ac:dyDescent="0.25">
      <c r="A822" s="116">
        <v>2025</v>
      </c>
      <c r="B822" s="116" t="s">
        <v>25</v>
      </c>
      <c r="C822" s="116" t="s">
        <v>17</v>
      </c>
      <c r="D822" s="116">
        <v>0</v>
      </c>
      <c r="E822" s="116">
        <v>0</v>
      </c>
      <c r="F822" s="116">
        <v>0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.25" customHeight="1" x14ac:dyDescent="0.25">
      <c r="A823" s="116">
        <v>2025</v>
      </c>
      <c r="B823" s="116" t="s">
        <v>26</v>
      </c>
      <c r="C823" s="116" t="s">
        <v>27</v>
      </c>
      <c r="D823" s="117">
        <v>62028466210</v>
      </c>
      <c r="E823" s="117">
        <v>34158723700</v>
      </c>
      <c r="F823" s="116">
        <v>55.1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.25" customHeight="1" x14ac:dyDescent="0.25">
      <c r="A824" s="116">
        <v>2025</v>
      </c>
      <c r="B824" s="116" t="s">
        <v>28</v>
      </c>
      <c r="C824" s="116" t="s">
        <v>27</v>
      </c>
      <c r="D824" s="117">
        <v>80278258875</v>
      </c>
      <c r="E824" s="117">
        <v>53594613723</v>
      </c>
      <c r="F824" s="116">
        <v>66.8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.25" customHeight="1" x14ac:dyDescent="0.25">
      <c r="A825" s="116">
        <v>2025</v>
      </c>
      <c r="B825" s="116" t="s">
        <v>29</v>
      </c>
      <c r="C825" s="116" t="s">
        <v>27</v>
      </c>
      <c r="D825" s="117">
        <v>34304196797</v>
      </c>
      <c r="E825" s="117">
        <v>19739621537</v>
      </c>
      <c r="F825" s="116">
        <v>57.5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.25" customHeight="1" x14ac:dyDescent="0.25">
      <c r="A826" s="116">
        <v>2025</v>
      </c>
      <c r="B826" s="116" t="s">
        <v>30</v>
      </c>
      <c r="C826" s="116" t="s">
        <v>27</v>
      </c>
      <c r="D826" s="117">
        <v>84415150726</v>
      </c>
      <c r="E826" s="117">
        <v>58639928344</v>
      </c>
      <c r="F826" s="116">
        <v>69.5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.25" customHeight="1" x14ac:dyDescent="0.25">
      <c r="A827" s="116">
        <v>2025</v>
      </c>
      <c r="B827" s="116" t="s">
        <v>31</v>
      </c>
      <c r="C827" s="116" t="s">
        <v>27</v>
      </c>
      <c r="D827" s="117">
        <v>22583987432</v>
      </c>
      <c r="E827" s="117">
        <v>17946462832</v>
      </c>
      <c r="F827" s="116">
        <v>79.5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.25" customHeight="1" x14ac:dyDescent="0.25">
      <c r="A828" s="116">
        <v>2025</v>
      </c>
      <c r="B828" s="116" t="s">
        <v>32</v>
      </c>
      <c r="C828" s="116" t="s">
        <v>27</v>
      </c>
      <c r="D828" s="117">
        <v>42616552320</v>
      </c>
      <c r="E828" s="117">
        <v>26435144875</v>
      </c>
      <c r="F828" s="116">
        <v>62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.25" customHeight="1" x14ac:dyDescent="0.25">
      <c r="A829" s="116">
        <v>2025</v>
      </c>
      <c r="B829" s="116" t="s">
        <v>33</v>
      </c>
      <c r="C829" s="116" t="s">
        <v>27</v>
      </c>
      <c r="D829" s="117">
        <v>69725846648</v>
      </c>
      <c r="E829" s="117">
        <v>58525862752</v>
      </c>
      <c r="F829" s="116">
        <v>83.9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.25" customHeight="1" x14ac:dyDescent="0.25">
      <c r="A830" s="116">
        <v>2025</v>
      </c>
      <c r="B830" s="116" t="s">
        <v>34</v>
      </c>
      <c r="C830" s="116" t="s">
        <v>35</v>
      </c>
      <c r="D830" s="117">
        <v>8166922927</v>
      </c>
      <c r="E830" s="117">
        <v>3705676952</v>
      </c>
      <c r="F830" s="116">
        <v>45.4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.25" customHeight="1" x14ac:dyDescent="0.25">
      <c r="A831" s="116">
        <v>2025</v>
      </c>
      <c r="B831" s="116" t="s">
        <v>36</v>
      </c>
      <c r="C831" s="116" t="s">
        <v>35</v>
      </c>
      <c r="D831" s="117">
        <v>25811304380</v>
      </c>
      <c r="E831" s="117">
        <v>13261678975</v>
      </c>
      <c r="F831" s="116">
        <v>51.4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.25" customHeight="1" x14ac:dyDescent="0.25">
      <c r="A832" s="116">
        <v>2025</v>
      </c>
      <c r="B832" s="116" t="s">
        <v>37</v>
      </c>
      <c r="C832" s="116" t="s">
        <v>35</v>
      </c>
      <c r="D832" s="117">
        <v>4538539282</v>
      </c>
      <c r="E832" s="117">
        <v>2483823643</v>
      </c>
      <c r="F832" s="116">
        <v>54.7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.25" customHeight="1" x14ac:dyDescent="0.25">
      <c r="A833" s="116">
        <v>2025</v>
      </c>
      <c r="B833" s="116" t="s">
        <v>38</v>
      </c>
      <c r="C833" s="116" t="s">
        <v>35</v>
      </c>
      <c r="D833" s="117">
        <v>6526749975</v>
      </c>
      <c r="E833" s="117">
        <v>3265411322</v>
      </c>
      <c r="F833" s="116">
        <v>50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.25" customHeight="1" x14ac:dyDescent="0.25">
      <c r="A834" s="116">
        <v>2025</v>
      </c>
      <c r="B834" s="116" t="s">
        <v>39</v>
      </c>
      <c r="C834" s="116" t="s">
        <v>35</v>
      </c>
      <c r="D834" s="117">
        <v>33659577615</v>
      </c>
      <c r="E834" s="117">
        <v>17635879896</v>
      </c>
      <c r="F834" s="116">
        <v>52.4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.25" customHeight="1" x14ac:dyDescent="0.25">
      <c r="A835" s="116">
        <v>2025</v>
      </c>
      <c r="B835" s="116" t="s">
        <v>40</v>
      </c>
      <c r="C835" s="116" t="s">
        <v>41</v>
      </c>
      <c r="D835" s="117">
        <v>2738850046</v>
      </c>
      <c r="E835" s="117">
        <v>1117252015</v>
      </c>
      <c r="F835" s="116">
        <v>40.799999999999997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.25" customHeight="1" x14ac:dyDescent="0.25">
      <c r="A836" s="116">
        <v>2025</v>
      </c>
      <c r="B836" s="116" t="s">
        <v>42</v>
      </c>
      <c r="C836" s="116" t="s">
        <v>41</v>
      </c>
      <c r="D836" s="117">
        <v>18430464267</v>
      </c>
      <c r="E836" s="117">
        <v>8490905440</v>
      </c>
      <c r="F836" s="116">
        <v>46.1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.25" customHeight="1" x14ac:dyDescent="0.25">
      <c r="A837" s="116">
        <v>2025</v>
      </c>
      <c r="B837" s="116" t="s">
        <v>43</v>
      </c>
      <c r="C837" s="116" t="s">
        <v>41</v>
      </c>
      <c r="D837" s="117">
        <v>13035116523</v>
      </c>
      <c r="E837" s="117">
        <v>5839917723</v>
      </c>
      <c r="F837" s="116">
        <v>44.8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.25" customHeight="1" x14ac:dyDescent="0.25">
      <c r="A838" s="116">
        <v>2025</v>
      </c>
      <c r="B838" s="116" t="s">
        <v>44</v>
      </c>
      <c r="C838" s="116" t="s">
        <v>41</v>
      </c>
      <c r="D838" s="117">
        <v>21303444737</v>
      </c>
      <c r="E838" s="117">
        <v>11378444120</v>
      </c>
      <c r="F838" s="116">
        <v>53.4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.25" customHeight="1" x14ac:dyDescent="0.25">
      <c r="A839" s="116">
        <v>2025</v>
      </c>
      <c r="B839" s="116" t="s">
        <v>45</v>
      </c>
      <c r="C839" s="116" t="s">
        <v>41</v>
      </c>
      <c r="D839" s="117">
        <v>52585039671</v>
      </c>
      <c r="E839" s="117">
        <v>27120484048</v>
      </c>
      <c r="F839" s="116">
        <v>51.6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.25" customHeight="1" x14ac:dyDescent="0.25">
      <c r="A840" s="116">
        <v>2025</v>
      </c>
      <c r="B840" s="116" t="s">
        <v>46</v>
      </c>
      <c r="C840" s="116" t="s">
        <v>47</v>
      </c>
      <c r="D840" s="117">
        <v>42735295926</v>
      </c>
      <c r="E840" s="117">
        <v>26489588526</v>
      </c>
      <c r="F840" s="116">
        <v>62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.25" customHeight="1" x14ac:dyDescent="0.25">
      <c r="A841" s="116">
        <v>2025</v>
      </c>
      <c r="B841" s="116" t="s">
        <v>48</v>
      </c>
      <c r="C841" s="116" t="s">
        <v>47</v>
      </c>
      <c r="D841" s="117">
        <v>525752602357</v>
      </c>
      <c r="E841" s="117">
        <v>331832368281</v>
      </c>
      <c r="F841" s="116">
        <v>63.1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.25" customHeight="1" x14ac:dyDescent="0.25">
      <c r="A842" s="116">
        <v>2026</v>
      </c>
      <c r="B842" s="116" t="s">
        <v>3</v>
      </c>
      <c r="C842" s="116" t="s">
        <v>4</v>
      </c>
      <c r="D842" s="117">
        <v>44403860729</v>
      </c>
      <c r="E842" s="117">
        <v>26321633052</v>
      </c>
      <c r="F842" s="116">
        <v>59.3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.25" customHeight="1" x14ac:dyDescent="0.25">
      <c r="A843" s="116">
        <v>2026</v>
      </c>
      <c r="B843" s="116" t="s">
        <v>5</v>
      </c>
      <c r="C843" s="116" t="s">
        <v>4</v>
      </c>
      <c r="D843" s="117">
        <v>201661534029</v>
      </c>
      <c r="E843" s="117">
        <v>156010319145</v>
      </c>
      <c r="F843" s="116">
        <v>77.400000000000006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.25" customHeight="1" x14ac:dyDescent="0.25">
      <c r="A844" s="116">
        <v>2026</v>
      </c>
      <c r="B844" s="116" t="s">
        <v>6</v>
      </c>
      <c r="C844" s="116" t="s">
        <v>4</v>
      </c>
      <c r="D844" s="117">
        <v>14091393525</v>
      </c>
      <c r="E844" s="117">
        <v>6543422960</v>
      </c>
      <c r="F844" s="116">
        <v>46.4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.25" customHeight="1" x14ac:dyDescent="0.25">
      <c r="A845" s="116">
        <v>2026</v>
      </c>
      <c r="B845" s="116" t="s">
        <v>7</v>
      </c>
      <c r="C845" s="116" t="s">
        <v>4</v>
      </c>
      <c r="D845" s="117">
        <v>51613867243</v>
      </c>
      <c r="E845" s="117">
        <v>30556950131</v>
      </c>
      <c r="F845" s="116">
        <v>59.2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.25" customHeight="1" x14ac:dyDescent="0.25">
      <c r="A846" s="116">
        <v>2026</v>
      </c>
      <c r="B846" s="116" t="s">
        <v>8</v>
      </c>
      <c r="C846" s="116" t="s">
        <v>4</v>
      </c>
      <c r="D846" s="117">
        <v>16463618483</v>
      </c>
      <c r="E846" s="117">
        <v>11648287609</v>
      </c>
      <c r="F846" s="116">
        <v>70.8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.25" customHeight="1" x14ac:dyDescent="0.25">
      <c r="A847" s="116">
        <v>2026</v>
      </c>
      <c r="B847" s="116" t="s">
        <v>9</v>
      </c>
      <c r="C847" s="116" t="s">
        <v>4</v>
      </c>
      <c r="D847" s="117">
        <v>100339376887</v>
      </c>
      <c r="E847" s="117">
        <v>59151561056</v>
      </c>
      <c r="F847" s="116">
        <v>59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.25" customHeight="1" x14ac:dyDescent="0.25">
      <c r="A848" s="116">
        <v>2026</v>
      </c>
      <c r="B848" s="116" t="s">
        <v>10</v>
      </c>
      <c r="C848" s="116" t="s">
        <v>4</v>
      </c>
      <c r="D848" s="117">
        <v>2904390329</v>
      </c>
      <c r="E848" s="117">
        <v>2091161037</v>
      </c>
      <c r="F848" s="116">
        <v>72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.25" customHeight="1" x14ac:dyDescent="0.25">
      <c r="A849" s="116">
        <v>2026</v>
      </c>
      <c r="B849" s="116" t="s">
        <v>11</v>
      </c>
      <c r="C849" s="116" t="s">
        <v>4</v>
      </c>
      <c r="D849" s="117">
        <v>14966923968</v>
      </c>
      <c r="E849" s="117">
        <v>11734077392</v>
      </c>
      <c r="F849" s="116">
        <v>78.400000000000006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.25" customHeight="1" x14ac:dyDescent="0.25">
      <c r="A850" s="116">
        <v>2026</v>
      </c>
      <c r="B850" s="116" t="s">
        <v>12</v>
      </c>
      <c r="C850" s="116" t="s">
        <v>4</v>
      </c>
      <c r="D850" s="117">
        <v>16904477010</v>
      </c>
      <c r="E850" s="117">
        <v>12102417170</v>
      </c>
      <c r="F850" s="116">
        <v>71.599999999999994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.25" customHeight="1" x14ac:dyDescent="0.25">
      <c r="A851" s="116">
        <v>2026</v>
      </c>
      <c r="B851" s="116" t="s">
        <v>13</v>
      </c>
      <c r="C851" s="116" t="s">
        <v>4</v>
      </c>
      <c r="D851" s="117">
        <v>26581428230</v>
      </c>
      <c r="E851" s="117">
        <v>16572993804</v>
      </c>
      <c r="F851" s="116">
        <v>62.3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.25" customHeight="1" x14ac:dyDescent="0.25">
      <c r="A852" s="116">
        <v>2026</v>
      </c>
      <c r="B852" s="116" t="s">
        <v>14</v>
      </c>
      <c r="C852" s="116" t="s">
        <v>4</v>
      </c>
      <c r="D852" s="117">
        <v>14152262221</v>
      </c>
      <c r="E852" s="117">
        <v>7572661836</v>
      </c>
      <c r="F852" s="116">
        <v>53.5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.25" customHeight="1" x14ac:dyDescent="0.25">
      <c r="A853" s="116">
        <v>2026</v>
      </c>
      <c r="B853" s="116" t="s">
        <v>15</v>
      </c>
      <c r="C853" s="116" t="s">
        <v>4</v>
      </c>
      <c r="D853" s="117">
        <v>20913017156</v>
      </c>
      <c r="E853" s="117">
        <v>14408332463</v>
      </c>
      <c r="F853" s="116">
        <v>68.900000000000006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.25" customHeight="1" x14ac:dyDescent="0.25">
      <c r="A854" s="116">
        <v>2026</v>
      </c>
      <c r="B854" s="116" t="s">
        <v>16</v>
      </c>
      <c r="C854" s="116" t="s">
        <v>17</v>
      </c>
      <c r="D854" s="117">
        <v>2166877609</v>
      </c>
      <c r="E854" s="117">
        <v>1184639146</v>
      </c>
      <c r="F854" s="116">
        <v>54.7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.25" customHeight="1" x14ac:dyDescent="0.25">
      <c r="A855" s="116">
        <v>2026</v>
      </c>
      <c r="B855" s="116" t="s">
        <v>18</v>
      </c>
      <c r="C855" s="116" t="s">
        <v>17</v>
      </c>
      <c r="D855" s="117">
        <v>5512545870</v>
      </c>
      <c r="E855" s="117">
        <v>3845179882</v>
      </c>
      <c r="F855" s="116">
        <v>69.8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.25" customHeight="1" x14ac:dyDescent="0.25">
      <c r="A856" s="116">
        <v>2026</v>
      </c>
      <c r="B856" s="116" t="s">
        <v>19</v>
      </c>
      <c r="C856" s="116" t="s">
        <v>17</v>
      </c>
      <c r="D856" s="117">
        <v>12257185990</v>
      </c>
      <c r="E856" s="117">
        <v>7254009259</v>
      </c>
      <c r="F856" s="116">
        <v>59.2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.25" customHeight="1" x14ac:dyDescent="0.25">
      <c r="A857" s="116">
        <v>2026</v>
      </c>
      <c r="B857" s="116" t="s">
        <v>20</v>
      </c>
      <c r="C857" s="116" t="s">
        <v>17</v>
      </c>
      <c r="D857" s="117">
        <v>8941944127</v>
      </c>
      <c r="E857" s="117">
        <v>8281193716</v>
      </c>
      <c r="F857" s="116">
        <v>92.6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.25" customHeight="1" x14ac:dyDescent="0.25">
      <c r="A858" s="116">
        <v>2026</v>
      </c>
      <c r="B858" s="116" t="s">
        <v>21</v>
      </c>
      <c r="C858" s="116" t="s">
        <v>17</v>
      </c>
      <c r="D858" s="117">
        <v>8018620570</v>
      </c>
      <c r="E858" s="117">
        <v>4699654448</v>
      </c>
      <c r="F858" s="116">
        <v>58.6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.25" customHeight="1" x14ac:dyDescent="0.25">
      <c r="A859" s="116">
        <v>2026</v>
      </c>
      <c r="B859" s="116" t="s">
        <v>22</v>
      </c>
      <c r="C859" s="116" t="s">
        <v>17</v>
      </c>
      <c r="D859" s="117">
        <v>3398106453</v>
      </c>
      <c r="E859" s="117">
        <v>2307666751</v>
      </c>
      <c r="F859" s="116">
        <v>67.900000000000006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.25" customHeight="1" x14ac:dyDescent="0.25">
      <c r="A860" s="116">
        <v>2026</v>
      </c>
      <c r="B860" s="116" t="s">
        <v>23</v>
      </c>
      <c r="C860" s="116" t="s">
        <v>17</v>
      </c>
      <c r="D860" s="117">
        <v>2810848645</v>
      </c>
      <c r="E860" s="117">
        <v>1675846026</v>
      </c>
      <c r="F860" s="116">
        <v>59.6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.25" customHeight="1" x14ac:dyDescent="0.25">
      <c r="A861" s="116">
        <v>2026</v>
      </c>
      <c r="B861" s="116" t="s">
        <v>24</v>
      </c>
      <c r="C861" s="116" t="s">
        <v>17</v>
      </c>
      <c r="D861" s="117">
        <v>40198521426</v>
      </c>
      <c r="E861" s="117">
        <v>22756569865</v>
      </c>
      <c r="F861" s="116">
        <v>56.6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.25" customHeight="1" x14ac:dyDescent="0.25">
      <c r="A862" s="116">
        <v>2026</v>
      </c>
      <c r="B862" s="116" t="s">
        <v>25</v>
      </c>
      <c r="C862" s="116" t="s">
        <v>17</v>
      </c>
      <c r="D862" s="116">
        <v>0</v>
      </c>
      <c r="E862" s="116">
        <v>0</v>
      </c>
      <c r="F862" s="116">
        <v>0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.25" customHeight="1" x14ac:dyDescent="0.25">
      <c r="A863" s="116">
        <v>2026</v>
      </c>
      <c r="B863" s="116" t="s">
        <v>26</v>
      </c>
      <c r="C863" s="116" t="s">
        <v>27</v>
      </c>
      <c r="D863" s="117">
        <v>63613253539</v>
      </c>
      <c r="E863" s="117">
        <v>35285803108</v>
      </c>
      <c r="F863" s="116">
        <v>55.5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.25" customHeight="1" x14ac:dyDescent="0.25">
      <c r="A864" s="116">
        <v>2026</v>
      </c>
      <c r="B864" s="116" t="s">
        <v>28</v>
      </c>
      <c r="C864" s="116" t="s">
        <v>27</v>
      </c>
      <c r="D864" s="117">
        <v>83482332097</v>
      </c>
      <c r="E864" s="117">
        <v>57983411499</v>
      </c>
      <c r="F864" s="116">
        <v>69.5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.25" customHeight="1" x14ac:dyDescent="0.25">
      <c r="A865" s="116">
        <v>2026</v>
      </c>
      <c r="B865" s="116" t="s">
        <v>29</v>
      </c>
      <c r="C865" s="116" t="s">
        <v>27</v>
      </c>
      <c r="D865" s="117">
        <v>36361690224</v>
      </c>
      <c r="E865" s="117">
        <v>21535801466</v>
      </c>
      <c r="F865" s="116">
        <v>59.2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.25" customHeight="1" x14ac:dyDescent="0.25">
      <c r="A866" s="116">
        <v>2026</v>
      </c>
      <c r="B866" s="116" t="s">
        <v>30</v>
      </c>
      <c r="C866" s="116" t="s">
        <v>27</v>
      </c>
      <c r="D866" s="117">
        <v>88968431399</v>
      </c>
      <c r="E866" s="117">
        <v>62183471641</v>
      </c>
      <c r="F866" s="116">
        <v>69.900000000000006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.25" customHeight="1" x14ac:dyDescent="0.25">
      <c r="A867" s="116">
        <v>2026</v>
      </c>
      <c r="B867" s="116" t="s">
        <v>31</v>
      </c>
      <c r="C867" s="116" t="s">
        <v>27</v>
      </c>
      <c r="D867" s="117">
        <v>24319520240</v>
      </c>
      <c r="E867" s="117">
        <v>19542630205</v>
      </c>
      <c r="F867" s="116">
        <v>80.400000000000006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.25" customHeight="1" x14ac:dyDescent="0.25">
      <c r="A868" s="116">
        <v>2026</v>
      </c>
      <c r="B868" s="116" t="s">
        <v>32</v>
      </c>
      <c r="C868" s="116" t="s">
        <v>27</v>
      </c>
      <c r="D868" s="117">
        <v>44713233178</v>
      </c>
      <c r="E868" s="117">
        <v>28469311509</v>
      </c>
      <c r="F868" s="116">
        <v>63.7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.25" customHeight="1" x14ac:dyDescent="0.25">
      <c r="A869" s="116">
        <v>2026</v>
      </c>
      <c r="B869" s="116" t="s">
        <v>33</v>
      </c>
      <c r="C869" s="116" t="s">
        <v>27</v>
      </c>
      <c r="D869" s="117">
        <v>74581292243</v>
      </c>
      <c r="E869" s="117">
        <v>62496976580</v>
      </c>
      <c r="F869" s="116">
        <v>83.8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.25" customHeight="1" x14ac:dyDescent="0.25">
      <c r="A870" s="116">
        <v>2026</v>
      </c>
      <c r="B870" s="116" t="s">
        <v>34</v>
      </c>
      <c r="C870" s="116" t="s">
        <v>35</v>
      </c>
      <c r="D870" s="117">
        <v>9465680790</v>
      </c>
      <c r="E870" s="117">
        <v>4462257976</v>
      </c>
      <c r="F870" s="116">
        <v>47.1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.25" customHeight="1" x14ac:dyDescent="0.25">
      <c r="A871" s="116">
        <v>2026</v>
      </c>
      <c r="B871" s="116" t="s">
        <v>36</v>
      </c>
      <c r="C871" s="116" t="s">
        <v>35</v>
      </c>
      <c r="D871" s="117">
        <v>28047079338</v>
      </c>
      <c r="E871" s="117">
        <v>14712817742</v>
      </c>
      <c r="F871" s="116">
        <v>52.5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.25" customHeight="1" x14ac:dyDescent="0.25">
      <c r="A872" s="116">
        <v>2026</v>
      </c>
      <c r="B872" s="116" t="s">
        <v>37</v>
      </c>
      <c r="C872" s="116" t="s">
        <v>35</v>
      </c>
      <c r="D872" s="117">
        <v>5150565679</v>
      </c>
      <c r="E872" s="117">
        <v>2917249740</v>
      </c>
      <c r="F872" s="116">
        <v>56.6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.25" customHeight="1" x14ac:dyDescent="0.25">
      <c r="A873" s="116">
        <v>2026</v>
      </c>
      <c r="B873" s="116" t="s">
        <v>38</v>
      </c>
      <c r="C873" s="116" t="s">
        <v>35</v>
      </c>
      <c r="D873" s="117">
        <v>7161719450</v>
      </c>
      <c r="E873" s="117">
        <v>3736834452</v>
      </c>
      <c r="F873" s="116">
        <v>52.2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.25" customHeight="1" x14ac:dyDescent="0.25">
      <c r="A874" s="116">
        <v>2026</v>
      </c>
      <c r="B874" s="116" t="s">
        <v>39</v>
      </c>
      <c r="C874" s="116" t="s">
        <v>35</v>
      </c>
      <c r="D874" s="117">
        <v>36976103640</v>
      </c>
      <c r="E874" s="117">
        <v>19875416803</v>
      </c>
      <c r="F874" s="116">
        <v>53.8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.25" customHeight="1" x14ac:dyDescent="0.25">
      <c r="A875" s="116">
        <v>2026</v>
      </c>
      <c r="B875" s="116" t="s">
        <v>40</v>
      </c>
      <c r="C875" s="116" t="s">
        <v>41</v>
      </c>
      <c r="D875" s="117">
        <v>2893183952</v>
      </c>
      <c r="E875" s="117">
        <v>1258370161</v>
      </c>
      <c r="F875" s="116">
        <v>43.5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.25" customHeight="1" x14ac:dyDescent="0.25">
      <c r="A876" s="116">
        <v>2026</v>
      </c>
      <c r="B876" s="116" t="s">
        <v>42</v>
      </c>
      <c r="C876" s="116" t="s">
        <v>41</v>
      </c>
      <c r="D876" s="117">
        <v>19562555988</v>
      </c>
      <c r="E876" s="117">
        <v>9332792100</v>
      </c>
      <c r="F876" s="116">
        <v>47.7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.25" customHeight="1" x14ac:dyDescent="0.25">
      <c r="A877" s="116">
        <v>2026</v>
      </c>
      <c r="B877" s="116" t="s">
        <v>43</v>
      </c>
      <c r="C877" s="116" t="s">
        <v>41</v>
      </c>
      <c r="D877" s="117">
        <v>13997218154</v>
      </c>
      <c r="E877" s="117">
        <v>6555462114</v>
      </c>
      <c r="F877" s="116">
        <v>46.8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.25" customHeight="1" x14ac:dyDescent="0.25">
      <c r="A878" s="116">
        <v>2026</v>
      </c>
      <c r="B878" s="116" t="s">
        <v>44</v>
      </c>
      <c r="C878" s="116" t="s">
        <v>41</v>
      </c>
      <c r="D878" s="117">
        <v>23958570610</v>
      </c>
      <c r="E878" s="117">
        <v>13454915010</v>
      </c>
      <c r="F878" s="116">
        <v>56.2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.25" customHeight="1" x14ac:dyDescent="0.25">
      <c r="A879" s="116">
        <v>2026</v>
      </c>
      <c r="B879" s="116" t="s">
        <v>45</v>
      </c>
      <c r="C879" s="116" t="s">
        <v>41</v>
      </c>
      <c r="D879" s="117">
        <v>56378602910</v>
      </c>
      <c r="E879" s="117">
        <v>30021385837</v>
      </c>
      <c r="F879" s="116">
        <v>53.2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.25" customHeight="1" x14ac:dyDescent="0.25">
      <c r="A880" s="116">
        <v>2026</v>
      </c>
      <c r="B880" s="116" t="s">
        <v>46</v>
      </c>
      <c r="C880" s="116" t="s">
        <v>47</v>
      </c>
      <c r="D880" s="117">
        <v>44468258280</v>
      </c>
      <c r="E880" s="117">
        <v>27802396378</v>
      </c>
      <c r="F880" s="116">
        <v>62.5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.25" customHeight="1" x14ac:dyDescent="0.25">
      <c r="A881" s="116">
        <v>2026</v>
      </c>
      <c r="B881" s="116" t="s">
        <v>48</v>
      </c>
      <c r="C881" s="116" t="s">
        <v>47</v>
      </c>
      <c r="D881" s="117">
        <v>548417701612</v>
      </c>
      <c r="E881" s="117">
        <v>349543462284</v>
      </c>
      <c r="F881" s="116">
        <v>63.7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.25" customHeight="1" x14ac:dyDescent="0.25">
      <c r="A882" s="116">
        <v>2027</v>
      </c>
      <c r="B882" s="116" t="s">
        <v>3</v>
      </c>
      <c r="C882" s="116" t="s">
        <v>4</v>
      </c>
      <c r="D882" s="117">
        <v>46920663543</v>
      </c>
      <c r="E882" s="117">
        <v>27984925512</v>
      </c>
      <c r="F882" s="116">
        <v>59.6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.25" customHeight="1" x14ac:dyDescent="0.25">
      <c r="A883" s="116">
        <v>2027</v>
      </c>
      <c r="B883" s="116" t="s">
        <v>5</v>
      </c>
      <c r="C883" s="116" t="s">
        <v>4</v>
      </c>
      <c r="D883" s="117">
        <v>214751009915</v>
      </c>
      <c r="E883" s="117">
        <v>170236267203</v>
      </c>
      <c r="F883" s="116">
        <v>79.3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.25" customHeight="1" x14ac:dyDescent="0.25">
      <c r="A884" s="116">
        <v>2027</v>
      </c>
      <c r="B884" s="116" t="s">
        <v>6</v>
      </c>
      <c r="C884" s="116" t="s">
        <v>4</v>
      </c>
      <c r="D884" s="117">
        <v>14574841593</v>
      </c>
      <c r="E884" s="117">
        <v>7096817724</v>
      </c>
      <c r="F884" s="116">
        <v>48.7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.25" customHeight="1" x14ac:dyDescent="0.25">
      <c r="A885" s="116">
        <v>2027</v>
      </c>
      <c r="B885" s="116" t="s">
        <v>7</v>
      </c>
      <c r="C885" s="116" t="s">
        <v>4</v>
      </c>
      <c r="D885" s="117">
        <v>56527217745</v>
      </c>
      <c r="E885" s="117">
        <v>34251378573</v>
      </c>
      <c r="F885" s="116">
        <v>60.6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.25" customHeight="1" x14ac:dyDescent="0.25">
      <c r="A886" s="116">
        <v>2027</v>
      </c>
      <c r="B886" s="116" t="s">
        <v>8</v>
      </c>
      <c r="C886" s="116" t="s">
        <v>4</v>
      </c>
      <c r="D886" s="117">
        <v>17421839272</v>
      </c>
      <c r="E886" s="117">
        <v>12897113334</v>
      </c>
      <c r="F886" s="116">
        <v>74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.25" customHeight="1" x14ac:dyDescent="0.25">
      <c r="A887" s="116">
        <v>2027</v>
      </c>
      <c r="B887" s="116" t="s">
        <v>9</v>
      </c>
      <c r="C887" s="116" t="s">
        <v>4</v>
      </c>
      <c r="D887" s="117">
        <v>103542717458</v>
      </c>
      <c r="E887" s="117">
        <v>62281439019</v>
      </c>
      <c r="F887" s="116">
        <v>60.2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.25" customHeight="1" x14ac:dyDescent="0.25">
      <c r="A888" s="116">
        <v>2027</v>
      </c>
      <c r="B888" s="116" t="s">
        <v>10</v>
      </c>
      <c r="C888" s="116" t="s">
        <v>4</v>
      </c>
      <c r="D888" s="117">
        <v>3085883710</v>
      </c>
      <c r="E888" s="117">
        <v>2376130457</v>
      </c>
      <c r="F888" s="116">
        <v>77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.25" customHeight="1" x14ac:dyDescent="0.25">
      <c r="A889" s="116">
        <v>2027</v>
      </c>
      <c r="B889" s="116" t="s">
        <v>11</v>
      </c>
      <c r="C889" s="116" t="s">
        <v>4</v>
      </c>
      <c r="D889" s="117">
        <v>15909601324</v>
      </c>
      <c r="E889" s="117">
        <v>12828219773</v>
      </c>
      <c r="F889" s="116">
        <v>80.599999999999994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.25" customHeight="1" x14ac:dyDescent="0.25">
      <c r="A890" s="116">
        <v>2027</v>
      </c>
      <c r="B890" s="116" t="s">
        <v>12</v>
      </c>
      <c r="C890" s="116" t="s">
        <v>4</v>
      </c>
      <c r="D890" s="117">
        <v>17386972763</v>
      </c>
      <c r="E890" s="117">
        <v>12671377205</v>
      </c>
      <c r="F890" s="116">
        <v>72.900000000000006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.25" customHeight="1" x14ac:dyDescent="0.25">
      <c r="A891" s="116">
        <v>2027</v>
      </c>
      <c r="B891" s="116" t="s">
        <v>13</v>
      </c>
      <c r="C891" s="116" t="s">
        <v>4</v>
      </c>
      <c r="D891" s="117">
        <v>27766975114</v>
      </c>
      <c r="E891" s="117">
        <v>17787277099</v>
      </c>
      <c r="F891" s="116">
        <v>64.099999999999994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.25" customHeight="1" x14ac:dyDescent="0.25">
      <c r="A892" s="116">
        <v>2027</v>
      </c>
      <c r="B892" s="116" t="s">
        <v>14</v>
      </c>
      <c r="C892" s="116" t="s">
        <v>4</v>
      </c>
      <c r="D892" s="117">
        <v>14712278221</v>
      </c>
      <c r="E892" s="117">
        <v>8260054678</v>
      </c>
      <c r="F892" s="116">
        <v>56.1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.25" customHeight="1" x14ac:dyDescent="0.25">
      <c r="A893" s="116">
        <v>2027</v>
      </c>
      <c r="B893" s="116" t="s">
        <v>15</v>
      </c>
      <c r="C893" s="116" t="s">
        <v>4</v>
      </c>
      <c r="D893" s="117">
        <v>22283325303</v>
      </c>
      <c r="E893" s="117">
        <v>16014130466</v>
      </c>
      <c r="F893" s="116">
        <v>71.900000000000006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.25" customHeight="1" x14ac:dyDescent="0.25">
      <c r="A894" s="116">
        <v>2027</v>
      </c>
      <c r="B894" s="116" t="s">
        <v>16</v>
      </c>
      <c r="C894" s="116" t="s">
        <v>17</v>
      </c>
      <c r="D894" s="117">
        <v>2408394439</v>
      </c>
      <c r="E894" s="117">
        <v>1358849320</v>
      </c>
      <c r="F894" s="116">
        <v>56.4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.25" customHeight="1" x14ac:dyDescent="0.25">
      <c r="A895" s="116">
        <v>2027</v>
      </c>
      <c r="B895" s="116" t="s">
        <v>18</v>
      </c>
      <c r="C895" s="116" t="s">
        <v>17</v>
      </c>
      <c r="D895" s="117">
        <v>5980693119</v>
      </c>
      <c r="E895" s="117">
        <v>4226543003</v>
      </c>
      <c r="F895" s="116">
        <v>70.7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.25" customHeight="1" x14ac:dyDescent="0.25">
      <c r="A896" s="116">
        <v>2027</v>
      </c>
      <c r="B896" s="116" t="s">
        <v>19</v>
      </c>
      <c r="C896" s="116" t="s">
        <v>17</v>
      </c>
      <c r="D896" s="117">
        <v>13215982187</v>
      </c>
      <c r="E896" s="117">
        <v>8040651559</v>
      </c>
      <c r="F896" s="116">
        <v>60.8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.25" customHeight="1" x14ac:dyDescent="0.25">
      <c r="A897" s="116">
        <v>2027</v>
      </c>
      <c r="B897" s="116" t="s">
        <v>20</v>
      </c>
      <c r="C897" s="116" t="s">
        <v>17</v>
      </c>
      <c r="D897" s="117">
        <v>9631173751</v>
      </c>
      <c r="E897" s="117">
        <v>8944770083</v>
      </c>
      <c r="F897" s="116">
        <v>92.9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.25" customHeight="1" x14ac:dyDescent="0.25">
      <c r="A898" s="116">
        <v>2027</v>
      </c>
      <c r="B898" s="116" t="s">
        <v>21</v>
      </c>
      <c r="C898" s="116" t="s">
        <v>17</v>
      </c>
      <c r="D898" s="117">
        <v>8752871784</v>
      </c>
      <c r="E898" s="117">
        <v>5271478073</v>
      </c>
      <c r="F898" s="116">
        <v>60.2</v>
      </c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.25" customHeight="1" x14ac:dyDescent="0.25">
      <c r="A899" s="116">
        <v>2027</v>
      </c>
      <c r="B899" s="116" t="s">
        <v>22</v>
      </c>
      <c r="C899" s="116" t="s">
        <v>17</v>
      </c>
      <c r="D899" s="117">
        <v>3655385124</v>
      </c>
      <c r="E899" s="117">
        <v>2523885899</v>
      </c>
      <c r="F899" s="116">
        <v>69</v>
      </c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.25" customHeight="1" x14ac:dyDescent="0.25">
      <c r="A900" s="116">
        <v>2027</v>
      </c>
      <c r="B900" s="116" t="s">
        <v>23</v>
      </c>
      <c r="C900" s="116" t="s">
        <v>17</v>
      </c>
      <c r="D900" s="117">
        <v>3092356697</v>
      </c>
      <c r="E900" s="117">
        <v>1890340868</v>
      </c>
      <c r="F900" s="116">
        <v>61.1</v>
      </c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.25" customHeight="1" x14ac:dyDescent="0.25">
      <c r="A901" s="116">
        <v>2027</v>
      </c>
      <c r="B901" s="116" t="s">
        <v>24</v>
      </c>
      <c r="C901" s="116" t="s">
        <v>17</v>
      </c>
      <c r="D901" s="117">
        <v>45168831909</v>
      </c>
      <c r="E901" s="117">
        <v>26083494546</v>
      </c>
      <c r="F901" s="116">
        <v>57.7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.25" customHeight="1" x14ac:dyDescent="0.25">
      <c r="A902" s="116">
        <v>2027</v>
      </c>
      <c r="B902" s="116" t="s">
        <v>25</v>
      </c>
      <c r="C902" s="116" t="s">
        <v>17</v>
      </c>
      <c r="D902" s="116">
        <v>0</v>
      </c>
      <c r="E902" s="116">
        <v>0</v>
      </c>
      <c r="F902" s="116">
        <v>0</v>
      </c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.25" customHeight="1" x14ac:dyDescent="0.25">
      <c r="A903" s="116">
        <v>2027</v>
      </c>
      <c r="B903" s="116" t="s">
        <v>26</v>
      </c>
      <c r="C903" s="116" t="s">
        <v>27</v>
      </c>
      <c r="D903" s="117">
        <v>64806041857</v>
      </c>
      <c r="E903" s="117">
        <v>36157018907</v>
      </c>
      <c r="F903" s="116">
        <v>55.8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.25" customHeight="1" x14ac:dyDescent="0.25">
      <c r="A904" s="116">
        <v>2027</v>
      </c>
      <c r="B904" s="116" t="s">
        <v>28</v>
      </c>
      <c r="C904" s="116" t="s">
        <v>27</v>
      </c>
      <c r="D904" s="117">
        <v>86821716765</v>
      </c>
      <c r="E904" s="117">
        <v>63007576101</v>
      </c>
      <c r="F904" s="116">
        <v>72.599999999999994</v>
      </c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.25" customHeight="1" x14ac:dyDescent="0.25">
      <c r="A905" s="116">
        <v>2027</v>
      </c>
      <c r="B905" s="116" t="s">
        <v>29</v>
      </c>
      <c r="C905" s="116" t="s">
        <v>27</v>
      </c>
      <c r="D905" s="117">
        <v>38503292262</v>
      </c>
      <c r="E905" s="117">
        <v>23471160293</v>
      </c>
      <c r="F905" s="116">
        <v>61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.25" customHeight="1" x14ac:dyDescent="0.25">
      <c r="A906" s="116">
        <v>2027</v>
      </c>
      <c r="B906" s="116" t="s">
        <v>30</v>
      </c>
      <c r="C906" s="116" t="s">
        <v>27</v>
      </c>
      <c r="D906" s="117">
        <v>93429092346</v>
      </c>
      <c r="E906" s="117">
        <v>65781779779</v>
      </c>
      <c r="F906" s="116">
        <v>70.400000000000006</v>
      </c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.25" customHeight="1" x14ac:dyDescent="0.25">
      <c r="A907" s="116">
        <v>2027</v>
      </c>
      <c r="B907" s="116" t="s">
        <v>31</v>
      </c>
      <c r="C907" s="116" t="s">
        <v>27</v>
      </c>
      <c r="D907" s="117">
        <v>26119139617</v>
      </c>
      <c r="E907" s="117">
        <v>21239446635</v>
      </c>
      <c r="F907" s="116">
        <v>81.3</v>
      </c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customHeight="1" x14ac:dyDescent="0.25">
      <c r="A908" s="116">
        <v>2027</v>
      </c>
      <c r="B908" s="116" t="s">
        <v>32</v>
      </c>
      <c r="C908" s="116" t="s">
        <v>27</v>
      </c>
      <c r="D908" s="117">
        <v>46911258765</v>
      </c>
      <c r="E908" s="117">
        <v>30671976796</v>
      </c>
      <c r="F908" s="116">
        <v>65.400000000000006</v>
      </c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.25" customHeight="1" x14ac:dyDescent="0.25">
      <c r="A909" s="116">
        <v>2027</v>
      </c>
      <c r="B909" s="116" t="s">
        <v>33</v>
      </c>
      <c r="C909" s="116" t="s">
        <v>27</v>
      </c>
      <c r="D909" s="117">
        <v>79247481042</v>
      </c>
      <c r="E909" s="117">
        <v>66625246348</v>
      </c>
      <c r="F909" s="116">
        <v>84.1</v>
      </c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customHeight="1" x14ac:dyDescent="0.25">
      <c r="A910" s="116">
        <v>2027</v>
      </c>
      <c r="B910" s="116" t="s">
        <v>34</v>
      </c>
      <c r="C910" s="116" t="s">
        <v>35</v>
      </c>
      <c r="D910" s="117">
        <v>11137524461</v>
      </c>
      <c r="E910" s="117">
        <v>5381440847</v>
      </c>
      <c r="F910" s="116">
        <v>48.3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.25" customHeight="1" x14ac:dyDescent="0.25">
      <c r="A911" s="116">
        <v>2027</v>
      </c>
      <c r="B911" s="116" t="s">
        <v>36</v>
      </c>
      <c r="C911" s="116" t="s">
        <v>35</v>
      </c>
      <c r="D911" s="117">
        <v>30343905124</v>
      </c>
      <c r="E911" s="117">
        <v>16143398361</v>
      </c>
      <c r="F911" s="116">
        <v>53.2</v>
      </c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.25" customHeight="1" x14ac:dyDescent="0.25">
      <c r="A912" s="116">
        <v>2027</v>
      </c>
      <c r="B912" s="116" t="s">
        <v>37</v>
      </c>
      <c r="C912" s="116" t="s">
        <v>35</v>
      </c>
      <c r="D912" s="117">
        <v>5781430812</v>
      </c>
      <c r="E912" s="117">
        <v>3383847274</v>
      </c>
      <c r="F912" s="116">
        <v>58.5</v>
      </c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.25" customHeight="1" x14ac:dyDescent="0.25">
      <c r="A913" s="116">
        <v>2027</v>
      </c>
      <c r="B913" s="116" t="s">
        <v>38</v>
      </c>
      <c r="C913" s="116" t="s">
        <v>35</v>
      </c>
      <c r="D913" s="117">
        <v>7871022705</v>
      </c>
      <c r="E913" s="117">
        <v>4285081520</v>
      </c>
      <c r="F913" s="116">
        <v>54.4</v>
      </c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.25" customHeight="1" x14ac:dyDescent="0.25">
      <c r="A914" s="116">
        <v>2027</v>
      </c>
      <c r="B914" s="116" t="s">
        <v>39</v>
      </c>
      <c r="C914" s="116" t="s">
        <v>35</v>
      </c>
      <c r="D914" s="117">
        <v>40620327728</v>
      </c>
      <c r="E914" s="117">
        <v>22305276473</v>
      </c>
      <c r="F914" s="116">
        <v>54.9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.25" customHeight="1" x14ac:dyDescent="0.25">
      <c r="A915" s="116">
        <v>2027</v>
      </c>
      <c r="B915" s="116" t="s">
        <v>40</v>
      </c>
      <c r="C915" s="116" t="s">
        <v>41</v>
      </c>
      <c r="D915" s="117">
        <v>3036178692</v>
      </c>
      <c r="E915" s="117">
        <v>1391963226</v>
      </c>
      <c r="F915" s="116">
        <v>45.8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.25" customHeight="1" x14ac:dyDescent="0.25">
      <c r="A916" s="116">
        <v>2027</v>
      </c>
      <c r="B916" s="116" t="s">
        <v>42</v>
      </c>
      <c r="C916" s="116" t="s">
        <v>41</v>
      </c>
      <c r="D916" s="117">
        <v>20730230396</v>
      </c>
      <c r="E916" s="117">
        <v>10239756913</v>
      </c>
      <c r="F916" s="116">
        <v>49.4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.25" customHeight="1" x14ac:dyDescent="0.25">
      <c r="A917" s="116">
        <v>2027</v>
      </c>
      <c r="B917" s="116" t="s">
        <v>43</v>
      </c>
      <c r="C917" s="116" t="s">
        <v>41</v>
      </c>
      <c r="D917" s="117">
        <v>14921433148</v>
      </c>
      <c r="E917" s="117">
        <v>7306715047</v>
      </c>
      <c r="F917" s="116">
        <v>49</v>
      </c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.25" customHeight="1" x14ac:dyDescent="0.25">
      <c r="A918" s="116">
        <v>2027</v>
      </c>
      <c r="B918" s="116" t="s">
        <v>44</v>
      </c>
      <c r="C918" s="116" t="s">
        <v>41</v>
      </c>
      <c r="D918" s="117">
        <v>28013381176</v>
      </c>
      <c r="E918" s="117">
        <v>16654420780</v>
      </c>
      <c r="F918" s="116">
        <v>59.5</v>
      </c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.25" customHeight="1" x14ac:dyDescent="0.25">
      <c r="A919" s="116">
        <v>2027</v>
      </c>
      <c r="B919" s="116" t="s">
        <v>45</v>
      </c>
      <c r="C919" s="116" t="s">
        <v>41</v>
      </c>
      <c r="D919" s="117">
        <v>60529096448</v>
      </c>
      <c r="E919" s="117">
        <v>33270425706</v>
      </c>
      <c r="F919" s="116">
        <v>55</v>
      </c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.25" customHeight="1" x14ac:dyDescent="0.25">
      <c r="A920" s="116">
        <v>2027</v>
      </c>
      <c r="B920" s="116" t="s">
        <v>46</v>
      </c>
      <c r="C920" s="116" t="s">
        <v>47</v>
      </c>
      <c r="D920" s="117">
        <v>46216032276</v>
      </c>
      <c r="E920" s="117">
        <v>29303467632</v>
      </c>
      <c r="F920" s="116">
        <v>63.4</v>
      </c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.25" customHeight="1" x14ac:dyDescent="0.25">
      <c r="A921" s="116">
        <v>2027</v>
      </c>
      <c r="B921" s="116" t="s">
        <v>48</v>
      </c>
      <c r="C921" s="116" t="s">
        <v>47</v>
      </c>
      <c r="D921" s="117">
        <v>568490088001</v>
      </c>
      <c r="E921" s="117">
        <v>364359391145</v>
      </c>
      <c r="F921" s="116">
        <v>64.099999999999994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5">
      <c r="A922" s="2"/>
      <c r="B922" s="3"/>
      <c r="C922" s="3"/>
      <c r="D922" s="4"/>
      <c r="E922" s="4"/>
      <c r="F922" s="5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5">
      <c r="A923" s="2"/>
      <c r="B923" s="3"/>
      <c r="C923" s="3"/>
      <c r="D923" s="4"/>
      <c r="E923" s="4"/>
      <c r="F923" s="5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5">
      <c r="A924" s="2"/>
      <c r="B924" s="3"/>
      <c r="C924" s="3"/>
      <c r="D924" s="4"/>
      <c r="E924" s="4"/>
      <c r="F924" s="5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5">
      <c r="A925" s="2"/>
      <c r="B925" s="3"/>
      <c r="C925" s="3"/>
      <c r="D925" s="4"/>
      <c r="E925" s="4"/>
      <c r="F925" s="5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5">
      <c r="A926" s="2"/>
      <c r="B926" s="3"/>
      <c r="C926" s="3"/>
      <c r="D926" s="4"/>
      <c r="E926" s="4"/>
      <c r="F926" s="5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5">
      <c r="A927" s="2"/>
      <c r="B927" s="3"/>
      <c r="C927" s="3"/>
      <c r="D927" s="4"/>
      <c r="E927" s="4"/>
      <c r="F927" s="5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5">
      <c r="A928" s="2"/>
      <c r="B928" s="3"/>
      <c r="C928" s="3"/>
      <c r="D928" s="4"/>
      <c r="E928" s="4"/>
      <c r="F928" s="5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5">
      <c r="A929" s="2"/>
      <c r="B929" s="3"/>
      <c r="C929" s="3"/>
      <c r="D929" s="4"/>
      <c r="E929" s="4"/>
      <c r="F929" s="5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5">
      <c r="A930" s="2"/>
      <c r="B930" s="3"/>
      <c r="C930" s="3"/>
      <c r="D930" s="4"/>
      <c r="E930" s="4"/>
      <c r="F930" s="5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5">
      <c r="A931" s="2"/>
      <c r="B931" s="3"/>
      <c r="C931" s="3"/>
      <c r="D931" s="4"/>
      <c r="E931" s="4"/>
      <c r="F931" s="5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5">
      <c r="A932" s="2"/>
      <c r="B932" s="3"/>
      <c r="C932" s="3"/>
      <c r="D932" s="4"/>
      <c r="E932" s="4"/>
      <c r="F932" s="5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5">
      <c r="A933" s="2"/>
      <c r="B933" s="3"/>
      <c r="C933" s="3"/>
      <c r="D933" s="4"/>
      <c r="E933" s="4"/>
      <c r="F933" s="5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5">
      <c r="A934" s="2"/>
      <c r="B934" s="3"/>
      <c r="C934" s="3"/>
      <c r="D934" s="4"/>
      <c r="E934" s="4"/>
      <c r="F934" s="5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5">
      <c r="A935" s="2"/>
      <c r="B935" s="3"/>
      <c r="C935" s="3"/>
      <c r="D935" s="4"/>
      <c r="E935" s="4"/>
      <c r="F935" s="5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5">
      <c r="A936" s="2"/>
      <c r="B936" s="3"/>
      <c r="C936" s="3"/>
      <c r="D936" s="4"/>
      <c r="E936" s="4"/>
      <c r="F936" s="5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5">
      <c r="A937" s="2"/>
      <c r="B937" s="3"/>
      <c r="C937" s="3"/>
      <c r="D937" s="4"/>
      <c r="E937" s="4"/>
      <c r="F937" s="5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5">
      <c r="A938" s="2"/>
      <c r="B938" s="3"/>
      <c r="C938" s="3"/>
      <c r="D938" s="4"/>
      <c r="E938" s="4"/>
      <c r="F938" s="5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5">
      <c r="A939" s="2"/>
      <c r="B939" s="3"/>
      <c r="C939" s="3"/>
      <c r="D939" s="4"/>
      <c r="E939" s="4"/>
      <c r="F939" s="5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5">
      <c r="A940" s="2"/>
      <c r="B940" s="3"/>
      <c r="C940" s="3"/>
      <c r="D940" s="4"/>
      <c r="E940" s="4"/>
      <c r="F940" s="5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5">
      <c r="A941" s="2"/>
      <c r="B941" s="3"/>
      <c r="C941" s="3"/>
      <c r="D941" s="4"/>
      <c r="E941" s="4"/>
      <c r="F941" s="5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5">
      <c r="A942" s="2"/>
      <c r="B942" s="3"/>
      <c r="C942" s="3"/>
      <c r="D942" s="4"/>
      <c r="E942" s="4"/>
      <c r="F942" s="5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5">
      <c r="A943" s="2"/>
      <c r="B943" s="3"/>
      <c r="C943" s="3"/>
      <c r="D943" s="4"/>
      <c r="E943" s="4"/>
      <c r="F943" s="5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5">
      <c r="A944" s="2"/>
      <c r="B944" s="3"/>
      <c r="C944" s="3"/>
      <c r="D944" s="4"/>
      <c r="E944" s="4"/>
      <c r="F944" s="5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5">
      <c r="A945" s="2"/>
      <c r="B945" s="3"/>
      <c r="C945" s="3"/>
      <c r="D945" s="4"/>
      <c r="E945" s="4"/>
      <c r="F945" s="5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5">
      <c r="A946" s="2"/>
      <c r="B946" s="3"/>
      <c r="C946" s="3"/>
      <c r="D946" s="4"/>
      <c r="E946" s="4"/>
      <c r="F946" s="5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5">
      <c r="A947" s="2"/>
      <c r="B947" s="3"/>
      <c r="C947" s="3"/>
      <c r="D947" s="4"/>
      <c r="E947" s="4"/>
      <c r="F947" s="5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5">
      <c r="A948" s="2"/>
      <c r="B948" s="3"/>
      <c r="C948" s="3"/>
      <c r="D948" s="4"/>
      <c r="E948" s="4"/>
      <c r="F948" s="5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5">
      <c r="A949" s="2"/>
      <c r="B949" s="3"/>
      <c r="C949" s="3"/>
      <c r="D949" s="4"/>
      <c r="E949" s="4"/>
      <c r="F949" s="5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5">
      <c r="A950" s="2"/>
      <c r="B950" s="3"/>
      <c r="C950" s="3"/>
      <c r="D950" s="4"/>
      <c r="E950" s="4"/>
      <c r="F950" s="5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5">
      <c r="A951" s="2"/>
      <c r="B951" s="3"/>
      <c r="C951" s="3"/>
      <c r="D951" s="4"/>
      <c r="E951" s="4"/>
      <c r="F951" s="5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5">
      <c r="A952" s="2"/>
      <c r="B952" s="3"/>
      <c r="C952" s="3"/>
      <c r="D952" s="4"/>
      <c r="E952" s="4"/>
      <c r="F952" s="5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5">
      <c r="A953" s="2"/>
      <c r="B953" s="3"/>
      <c r="C953" s="3"/>
      <c r="D953" s="4"/>
      <c r="E953" s="4"/>
      <c r="F953" s="5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5">
      <c r="A954" s="2"/>
      <c r="B954" s="3"/>
      <c r="C954" s="3"/>
      <c r="D954" s="4"/>
      <c r="E954" s="4"/>
      <c r="F954" s="5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5">
      <c r="A955" s="2"/>
      <c r="B955" s="3"/>
      <c r="C955" s="3"/>
      <c r="D955" s="4"/>
      <c r="E955" s="4"/>
      <c r="F955" s="5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5">
      <c r="A956" s="2"/>
      <c r="B956" s="3"/>
      <c r="C956" s="3"/>
      <c r="D956" s="4"/>
      <c r="E956" s="4"/>
      <c r="F956" s="5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5">
      <c r="A957" s="2"/>
      <c r="B957" s="3"/>
      <c r="C957" s="3"/>
      <c r="D957" s="4"/>
      <c r="E957" s="4"/>
      <c r="F957" s="5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5">
      <c r="A958" s="2"/>
      <c r="B958" s="3"/>
      <c r="C958" s="3"/>
      <c r="D958" s="4"/>
      <c r="E958" s="4"/>
      <c r="F958" s="5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5">
      <c r="A959" s="2"/>
      <c r="B959" s="3"/>
      <c r="C959" s="3"/>
      <c r="D959" s="4"/>
      <c r="E959" s="4"/>
      <c r="F959" s="5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5">
      <c r="A960" s="2"/>
      <c r="B960" s="3"/>
      <c r="C960" s="3"/>
      <c r="D960" s="4"/>
      <c r="E960" s="4"/>
      <c r="F960" s="5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5">
      <c r="A961" s="2"/>
      <c r="B961" s="3"/>
      <c r="C961" s="3"/>
      <c r="D961" s="4"/>
      <c r="E961" s="4"/>
      <c r="F961" s="5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5">
      <c r="A962" s="2"/>
      <c r="B962" s="3"/>
      <c r="C962" s="3"/>
      <c r="D962" s="4"/>
      <c r="E962" s="4"/>
      <c r="F962" s="5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5">
      <c r="A963" s="2"/>
      <c r="B963" s="3"/>
      <c r="C963" s="3"/>
      <c r="D963" s="4"/>
      <c r="E963" s="4"/>
      <c r="F963" s="5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5">
      <c r="A964" s="2"/>
      <c r="B964" s="3"/>
      <c r="C964" s="3"/>
      <c r="D964" s="4"/>
      <c r="E964" s="4"/>
      <c r="F964" s="5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5">
      <c r="A965" s="2"/>
      <c r="B965" s="3"/>
      <c r="C965" s="3"/>
      <c r="D965" s="4"/>
      <c r="E965" s="4"/>
      <c r="F965" s="5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5">
      <c r="A966" s="2"/>
      <c r="B966" s="3"/>
      <c r="C966" s="3"/>
      <c r="D966" s="4"/>
      <c r="E966" s="4"/>
      <c r="F966" s="5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5">
      <c r="A967" s="2"/>
      <c r="B967" s="3"/>
      <c r="C967" s="3"/>
      <c r="D967" s="4"/>
      <c r="E967" s="4"/>
      <c r="F967" s="5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5">
      <c r="A968" s="2"/>
      <c r="B968" s="3"/>
      <c r="C968" s="3"/>
      <c r="D968" s="4"/>
      <c r="E968" s="4"/>
      <c r="F968" s="5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5">
      <c r="A969" s="2"/>
      <c r="B969" s="3"/>
      <c r="C969" s="3"/>
      <c r="D969" s="4"/>
      <c r="E969" s="4"/>
      <c r="F969" s="5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5">
      <c r="A970" s="2"/>
      <c r="B970" s="3"/>
      <c r="C970" s="3"/>
      <c r="D970" s="4"/>
      <c r="E970" s="4"/>
      <c r="F970" s="5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5">
      <c r="A971" s="2"/>
      <c r="B971" s="3"/>
      <c r="C971" s="3"/>
      <c r="D971" s="4"/>
      <c r="E971" s="4"/>
      <c r="F971" s="5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5">
      <c r="A972" s="2"/>
      <c r="B972" s="3"/>
      <c r="C972" s="3"/>
      <c r="D972" s="4"/>
      <c r="E972" s="4"/>
      <c r="F972" s="5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5">
      <c r="A973" s="2"/>
      <c r="B973" s="3"/>
      <c r="C973" s="3"/>
      <c r="D973" s="4"/>
      <c r="E973" s="4"/>
      <c r="F973" s="5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5">
      <c r="A974" s="2"/>
      <c r="B974" s="3"/>
      <c r="C974" s="3"/>
      <c r="D974" s="4"/>
      <c r="E974" s="4"/>
      <c r="F974" s="5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5">
      <c r="A975" s="2"/>
      <c r="B975" s="3"/>
      <c r="C975" s="3"/>
      <c r="D975" s="4"/>
      <c r="E975" s="4"/>
      <c r="F975" s="5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5">
      <c r="A976" s="2"/>
      <c r="B976" s="3"/>
      <c r="C976" s="3"/>
      <c r="D976" s="4"/>
      <c r="E976" s="4"/>
      <c r="F976" s="5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5">
      <c r="A977" s="2"/>
      <c r="B977" s="3"/>
      <c r="C977" s="3"/>
      <c r="D977" s="4"/>
      <c r="E977" s="4"/>
      <c r="F977" s="5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5">
      <c r="A978" s="2"/>
      <c r="B978" s="3"/>
      <c r="C978" s="3"/>
      <c r="D978" s="4"/>
      <c r="E978" s="4"/>
      <c r="F978" s="5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5">
      <c r="A979" s="2"/>
      <c r="B979" s="3"/>
      <c r="C979" s="3"/>
      <c r="D979" s="4"/>
      <c r="E979" s="4"/>
      <c r="F979" s="5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5">
      <c r="A980" s="2"/>
      <c r="B980" s="3"/>
      <c r="C980" s="3"/>
      <c r="D980" s="4"/>
      <c r="E980" s="4"/>
      <c r="F980" s="5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5">
      <c r="A981" s="2"/>
      <c r="B981" s="3"/>
      <c r="C981" s="3"/>
      <c r="D981" s="4"/>
      <c r="E981" s="4"/>
      <c r="F981" s="5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5">
      <c r="A982" s="2"/>
      <c r="B982" s="3"/>
      <c r="C982" s="3"/>
      <c r="D982" s="4"/>
      <c r="E982" s="4"/>
      <c r="F982" s="5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</sheetData>
  <autoFilter ref="A1:F921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4.5" defaultRowHeight="15" customHeight="1" x14ac:dyDescent="0.2"/>
  <cols>
    <col min="1" max="1" width="16.83203125" customWidth="1"/>
    <col min="2" max="26" width="8.5" customWidth="1"/>
  </cols>
  <sheetData>
    <row r="1" spans="1:26" ht="15" customHeight="1" x14ac:dyDescent="0.25">
      <c r="A1" s="98" t="s">
        <v>49</v>
      </c>
      <c r="B1" s="98" t="s">
        <v>0</v>
      </c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100"/>
      <c r="U1" s="8"/>
      <c r="V1" s="8"/>
      <c r="W1" s="8"/>
      <c r="X1" s="8"/>
      <c r="Y1" s="8"/>
      <c r="Z1" s="8"/>
    </row>
    <row r="2" spans="1:26" ht="15" customHeight="1" x14ac:dyDescent="0.25">
      <c r="A2" s="98" t="s">
        <v>2</v>
      </c>
      <c r="B2" s="101">
        <v>2009</v>
      </c>
      <c r="C2" s="102">
        <v>2010</v>
      </c>
      <c r="D2" s="102">
        <v>2011</v>
      </c>
      <c r="E2" s="102">
        <v>2012</v>
      </c>
      <c r="F2" s="102">
        <v>2013</v>
      </c>
      <c r="G2" s="102">
        <v>2014</v>
      </c>
      <c r="H2" s="102">
        <v>2015</v>
      </c>
      <c r="I2" s="102">
        <v>2016</v>
      </c>
      <c r="J2" s="102">
        <v>2017</v>
      </c>
      <c r="K2" s="102">
        <v>2018</v>
      </c>
      <c r="L2" s="102">
        <v>2019</v>
      </c>
      <c r="M2" s="102">
        <v>2020</v>
      </c>
      <c r="N2" s="102">
        <v>2021</v>
      </c>
      <c r="O2" s="102">
        <v>2022</v>
      </c>
      <c r="P2" s="102">
        <v>2023</v>
      </c>
      <c r="Q2" s="102">
        <v>2024</v>
      </c>
      <c r="R2" s="102">
        <v>2025</v>
      </c>
      <c r="S2" s="102">
        <v>2026</v>
      </c>
      <c r="T2" s="103">
        <v>2027</v>
      </c>
      <c r="U2" s="8"/>
      <c r="V2" s="8"/>
      <c r="W2" s="8"/>
      <c r="X2" s="8"/>
      <c r="Y2" s="8"/>
      <c r="Z2" s="8"/>
    </row>
    <row r="3" spans="1:26" ht="15" customHeight="1" x14ac:dyDescent="0.25">
      <c r="A3" s="104" t="s">
        <v>4</v>
      </c>
      <c r="B3" s="107">
        <v>239722646990</v>
      </c>
      <c r="C3" s="108">
        <v>287464729126</v>
      </c>
      <c r="D3" s="108">
        <v>327136777811</v>
      </c>
      <c r="E3" s="108">
        <v>350969761245</v>
      </c>
      <c r="F3" s="108">
        <v>348750387116</v>
      </c>
      <c r="G3" s="108">
        <v>363973210022</v>
      </c>
      <c r="H3" s="108">
        <v>357985052984</v>
      </c>
      <c r="I3" s="108">
        <v>380271200154</v>
      </c>
      <c r="J3" s="108">
        <v>397597068299</v>
      </c>
      <c r="K3" s="108">
        <v>438000833129</v>
      </c>
      <c r="L3" s="108">
        <v>447694804908</v>
      </c>
      <c r="M3" s="108">
        <v>223225135728</v>
      </c>
      <c r="N3" s="108">
        <v>212004037353</v>
      </c>
      <c r="O3" s="108">
        <v>267666139629</v>
      </c>
      <c r="P3" s="108">
        <v>395496944226</v>
      </c>
      <c r="Q3" s="108">
        <v>450662359893</v>
      </c>
      <c r="R3" s="108">
        <v>490690774070</v>
      </c>
      <c r="S3" s="108">
        <v>524996149810</v>
      </c>
      <c r="T3" s="109">
        <v>554883325961</v>
      </c>
      <c r="U3" s="8"/>
      <c r="V3" s="8"/>
      <c r="W3" s="8"/>
      <c r="X3" s="8"/>
      <c r="Y3" s="8"/>
      <c r="Z3" s="8"/>
    </row>
    <row r="4" spans="1:26" ht="15" customHeight="1" x14ac:dyDescent="0.25">
      <c r="A4" s="105" t="s">
        <v>17</v>
      </c>
      <c r="B4" s="110">
        <v>65913514407</v>
      </c>
      <c r="C4" s="111">
        <v>71936541267</v>
      </c>
      <c r="D4" s="111">
        <v>77219236897</v>
      </c>
      <c r="E4" s="111">
        <v>75899405398</v>
      </c>
      <c r="F4" s="111">
        <v>76081328740</v>
      </c>
      <c r="G4" s="111">
        <v>53996778584</v>
      </c>
      <c r="H4" s="111">
        <v>49635617098</v>
      </c>
      <c r="I4" s="111">
        <v>52287309464</v>
      </c>
      <c r="J4" s="111">
        <v>56317813873</v>
      </c>
      <c r="K4" s="111">
        <v>61123473132</v>
      </c>
      <c r="L4" s="111">
        <v>63383918124</v>
      </c>
      <c r="M4" s="111">
        <v>28572003389</v>
      </c>
      <c r="N4" s="111">
        <v>40693813129</v>
      </c>
      <c r="O4" s="111">
        <v>51885695140</v>
      </c>
      <c r="P4" s="111">
        <v>58469696115</v>
      </c>
      <c r="Q4" s="111">
        <v>65755463359</v>
      </c>
      <c r="R4" s="111">
        <v>74527318955</v>
      </c>
      <c r="S4" s="111">
        <v>83304650690</v>
      </c>
      <c r="T4" s="112">
        <v>91905689010</v>
      </c>
      <c r="U4" s="8"/>
      <c r="V4" s="8"/>
      <c r="W4" s="8"/>
      <c r="X4" s="8"/>
      <c r="Y4" s="8"/>
      <c r="Z4" s="8"/>
    </row>
    <row r="5" spans="1:26" ht="15" customHeight="1" x14ac:dyDescent="0.25">
      <c r="A5" s="105" t="s">
        <v>27</v>
      </c>
      <c r="B5" s="110">
        <v>298652166727</v>
      </c>
      <c r="C5" s="111">
        <v>298077917196</v>
      </c>
      <c r="D5" s="111">
        <v>320674725577</v>
      </c>
      <c r="E5" s="111">
        <v>319940075732</v>
      </c>
      <c r="F5" s="111">
        <v>335747937906</v>
      </c>
      <c r="G5" s="111">
        <v>343540053531</v>
      </c>
      <c r="H5" s="111">
        <v>304954726953</v>
      </c>
      <c r="I5" s="111">
        <v>306024998993</v>
      </c>
      <c r="J5" s="111">
        <v>327728720324</v>
      </c>
      <c r="K5" s="111">
        <v>353311187832</v>
      </c>
      <c r="L5" s="111">
        <v>336475267100</v>
      </c>
      <c r="M5" s="111">
        <v>129115085443</v>
      </c>
      <c r="N5" s="111">
        <v>174642408622</v>
      </c>
      <c r="O5" s="111">
        <v>287017868239</v>
      </c>
      <c r="P5" s="111">
        <v>352850063839</v>
      </c>
      <c r="Q5" s="111">
        <v>382701006851</v>
      </c>
      <c r="R5" s="111">
        <v>395952459008</v>
      </c>
      <c r="S5" s="111">
        <v>416039752920</v>
      </c>
      <c r="T5" s="112">
        <v>435838022654</v>
      </c>
      <c r="U5" s="8"/>
      <c r="V5" s="8"/>
      <c r="W5" s="8"/>
      <c r="X5" s="8"/>
      <c r="Y5" s="8"/>
      <c r="Z5" s="8"/>
    </row>
    <row r="6" spans="1:26" ht="15" customHeight="1" x14ac:dyDescent="0.25">
      <c r="A6" s="105" t="s">
        <v>35</v>
      </c>
      <c r="B6" s="110">
        <v>81382606615</v>
      </c>
      <c r="C6" s="111">
        <v>86920862225</v>
      </c>
      <c r="D6" s="111">
        <v>88926703353</v>
      </c>
      <c r="E6" s="111">
        <v>89553977607</v>
      </c>
      <c r="F6" s="111">
        <v>86298280657</v>
      </c>
      <c r="G6" s="111">
        <v>76226522047</v>
      </c>
      <c r="H6" s="111">
        <v>60219632846</v>
      </c>
      <c r="I6" s="111">
        <v>55578940234</v>
      </c>
      <c r="J6" s="111">
        <v>59371245992</v>
      </c>
      <c r="K6" s="111">
        <v>58400689750</v>
      </c>
      <c r="L6" s="111">
        <v>61328480616</v>
      </c>
      <c r="M6" s="111">
        <v>24834119555</v>
      </c>
      <c r="N6" s="111">
        <v>37743859657</v>
      </c>
      <c r="O6" s="111">
        <v>54509273626</v>
      </c>
      <c r="P6" s="111">
        <v>70100727110</v>
      </c>
      <c r="Q6" s="111">
        <v>71148399253</v>
      </c>
      <c r="R6" s="111">
        <v>78703094179</v>
      </c>
      <c r="S6" s="111">
        <v>86801148897</v>
      </c>
      <c r="T6" s="112">
        <v>95754210830</v>
      </c>
      <c r="U6" s="8"/>
      <c r="V6" s="8"/>
      <c r="W6" s="8"/>
      <c r="X6" s="8"/>
      <c r="Y6" s="8"/>
      <c r="Z6" s="8"/>
    </row>
    <row r="7" spans="1:26" ht="15" customHeight="1" x14ac:dyDescent="0.25">
      <c r="A7" s="105" t="s">
        <v>41</v>
      </c>
      <c r="B7" s="110">
        <v>51100875708</v>
      </c>
      <c r="C7" s="111">
        <v>54287274468</v>
      </c>
      <c r="D7" s="111">
        <v>56463416333</v>
      </c>
      <c r="E7" s="111">
        <v>61541161646</v>
      </c>
      <c r="F7" s="111">
        <v>65941833731</v>
      </c>
      <c r="G7" s="111">
        <v>71146560774</v>
      </c>
      <c r="H7" s="111">
        <v>71207874953</v>
      </c>
      <c r="I7" s="111">
        <v>72492781463</v>
      </c>
      <c r="J7" s="111">
        <v>74638449842</v>
      </c>
      <c r="K7" s="111">
        <v>78592010416</v>
      </c>
      <c r="L7" s="111">
        <v>82006511586</v>
      </c>
      <c r="M7" s="111">
        <v>24537579367</v>
      </c>
      <c r="N7" s="111">
        <v>41937374438</v>
      </c>
      <c r="O7" s="111">
        <v>80781694508</v>
      </c>
      <c r="P7" s="111">
        <v>91006217538</v>
      </c>
      <c r="Q7" s="111">
        <v>99103566937</v>
      </c>
      <c r="R7" s="111">
        <v>108092915244</v>
      </c>
      <c r="S7" s="111">
        <v>116790131614</v>
      </c>
      <c r="T7" s="112">
        <v>127230319860</v>
      </c>
      <c r="U7" s="8"/>
      <c r="V7" s="8"/>
      <c r="W7" s="8"/>
      <c r="X7" s="8"/>
      <c r="Y7" s="8"/>
      <c r="Z7" s="8"/>
    </row>
    <row r="8" spans="1:26" ht="15" customHeight="1" x14ac:dyDescent="0.25">
      <c r="A8" s="105" t="s">
        <v>47</v>
      </c>
      <c r="B8" s="110">
        <v>255257677469</v>
      </c>
      <c r="C8" s="111">
        <v>282922036210</v>
      </c>
      <c r="D8" s="111">
        <v>312901815494</v>
      </c>
      <c r="E8" s="111">
        <v>329689777634</v>
      </c>
      <c r="F8" s="111">
        <v>343675005014</v>
      </c>
      <c r="G8" s="111">
        <v>358794575870</v>
      </c>
      <c r="H8" s="111">
        <v>365972709878</v>
      </c>
      <c r="I8" s="111">
        <v>381050456670</v>
      </c>
      <c r="J8" s="111">
        <v>401583924158</v>
      </c>
      <c r="K8" s="111">
        <v>428785463770</v>
      </c>
      <c r="L8" s="111">
        <v>445256213798</v>
      </c>
      <c r="M8" s="111">
        <v>178181573639</v>
      </c>
      <c r="N8" s="111">
        <v>296839470411</v>
      </c>
      <c r="O8" s="111">
        <v>453123155496</v>
      </c>
      <c r="P8" s="111">
        <v>514685778276</v>
      </c>
      <c r="Q8" s="111">
        <v>543850148483</v>
      </c>
      <c r="R8" s="111">
        <v>568487898283</v>
      </c>
      <c r="S8" s="111">
        <v>592885959892</v>
      </c>
      <c r="T8" s="112">
        <v>614706120277</v>
      </c>
      <c r="U8" s="8"/>
      <c r="V8" s="8"/>
      <c r="W8" s="8"/>
      <c r="X8" s="8"/>
      <c r="Y8" s="8"/>
      <c r="Z8" s="8"/>
    </row>
    <row r="9" spans="1:26" ht="15" customHeight="1" x14ac:dyDescent="0.25">
      <c r="A9" s="106" t="s">
        <v>50</v>
      </c>
      <c r="B9" s="113">
        <v>992029487916</v>
      </c>
      <c r="C9" s="114">
        <v>1081609360492</v>
      </c>
      <c r="D9" s="114">
        <v>1183322675465</v>
      </c>
      <c r="E9" s="114">
        <v>1227594159262</v>
      </c>
      <c r="F9" s="114">
        <v>1256494773164</v>
      </c>
      <c r="G9" s="114">
        <v>1267677700828</v>
      </c>
      <c r="H9" s="114">
        <v>1209975614712</v>
      </c>
      <c r="I9" s="114">
        <v>1247705686978</v>
      </c>
      <c r="J9" s="114">
        <v>1317237222488</v>
      </c>
      <c r="K9" s="114">
        <v>1418213658029</v>
      </c>
      <c r="L9" s="114">
        <v>1436145196132</v>
      </c>
      <c r="M9" s="114">
        <v>608465497121</v>
      </c>
      <c r="N9" s="114">
        <v>803860963610</v>
      </c>
      <c r="O9" s="114">
        <v>1194983826638</v>
      </c>
      <c r="P9" s="114">
        <v>1482609427104</v>
      </c>
      <c r="Q9" s="114">
        <v>1613220944776</v>
      </c>
      <c r="R9" s="114">
        <v>1716454459739</v>
      </c>
      <c r="S9" s="114">
        <v>1820817793823</v>
      </c>
      <c r="T9" s="115">
        <v>1920317688592</v>
      </c>
      <c r="U9" s="8"/>
      <c r="V9" s="8"/>
      <c r="W9" s="8"/>
      <c r="X9" s="8"/>
      <c r="Y9" s="8"/>
      <c r="Z9" s="8"/>
    </row>
    <row r="10" spans="1:26" ht="15" customHeight="1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customHeight="1" x14ac:dyDescent="0.2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customHeight="1" x14ac:dyDescent="0.2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customHeight="1" x14ac:dyDescent="0.2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customHeight="1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customHeight="1" x14ac:dyDescent="0.25">
      <c r="A15" s="10" t="str">
        <f t="shared" ref="A15:A24" si="0">A2</f>
        <v>Region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customHeight="1" x14ac:dyDescent="0.25">
      <c r="A16" s="8" t="str">
        <f t="shared" si="0"/>
        <v>APAC</v>
      </c>
      <c r="B16" s="11">
        <f t="shared" ref="B16:T16" si="1">B3/B$9</f>
        <v>0.24164871096079604</v>
      </c>
      <c r="C16" s="11">
        <f t="shared" si="1"/>
        <v>0.26577500124003983</v>
      </c>
      <c r="D16" s="11">
        <f t="shared" si="1"/>
        <v>0.27645610499473267</v>
      </c>
      <c r="E16" s="11">
        <f t="shared" si="1"/>
        <v>0.28590048152069619</v>
      </c>
      <c r="F16" s="11">
        <f t="shared" si="1"/>
        <v>0.27755816782095</v>
      </c>
      <c r="G16" s="11">
        <f t="shared" si="1"/>
        <v>0.28711809775013492</v>
      </c>
      <c r="H16" s="11">
        <f t="shared" si="1"/>
        <v>0.29586137822224468</v>
      </c>
      <c r="I16" s="11">
        <f t="shared" si="1"/>
        <v>0.30477636202415181</v>
      </c>
      <c r="J16" s="11">
        <f t="shared" si="1"/>
        <v>0.30184165882286407</v>
      </c>
      <c r="K16" s="11">
        <f t="shared" si="1"/>
        <v>0.30883980749256307</v>
      </c>
      <c r="L16" s="11">
        <f t="shared" si="1"/>
        <v>0.31173366461398599</v>
      </c>
      <c r="M16" s="11">
        <f t="shared" si="1"/>
        <v>0.36686572498228154</v>
      </c>
      <c r="N16" s="11">
        <f t="shared" si="1"/>
        <v>0.26373222105589839</v>
      </c>
      <c r="O16" s="11">
        <f t="shared" si="1"/>
        <v>0.22399143290671908</v>
      </c>
      <c r="P16" s="11">
        <f t="shared" si="1"/>
        <v>0.26675733810659036</v>
      </c>
      <c r="Q16" s="11">
        <f t="shared" si="1"/>
        <v>0.27935563405146319</v>
      </c>
      <c r="R16" s="11">
        <f t="shared" si="1"/>
        <v>0.28587462445383682</v>
      </c>
      <c r="S16" s="11">
        <f t="shared" si="1"/>
        <v>0.28832986561918145</v>
      </c>
      <c r="T16" s="11">
        <f t="shared" si="1"/>
        <v>0.28895392114408275</v>
      </c>
      <c r="U16" s="8"/>
      <c r="V16" s="8"/>
      <c r="W16" s="8"/>
      <c r="X16" s="8"/>
      <c r="Y16" s="8"/>
      <c r="Z16" s="8"/>
    </row>
    <row r="17" spans="1:26" ht="15" customHeight="1" x14ac:dyDescent="0.25">
      <c r="A17" s="8" t="str">
        <f t="shared" si="0"/>
        <v>Eastern Europe</v>
      </c>
      <c r="B17" s="11">
        <f t="shared" ref="B17:T17" si="2">B4/B$9</f>
        <v>6.6443099937953887E-2</v>
      </c>
      <c r="C17" s="11">
        <f t="shared" si="2"/>
        <v>6.6508800584230962E-2</v>
      </c>
      <c r="D17" s="11">
        <f t="shared" si="2"/>
        <v>6.5256280892830712E-2</v>
      </c>
      <c r="E17" s="11">
        <f t="shared" si="2"/>
        <v>6.1827766795199558E-2</v>
      </c>
      <c r="F17" s="11">
        <f t="shared" si="2"/>
        <v>6.0550453821959296E-2</v>
      </c>
      <c r="G17" s="11">
        <f t="shared" si="2"/>
        <v>4.2595037010378353E-2</v>
      </c>
      <c r="H17" s="11">
        <f t="shared" si="2"/>
        <v>4.1021997877051707E-2</v>
      </c>
      <c r="I17" s="11">
        <f t="shared" si="2"/>
        <v>4.1906765361182451E-2</v>
      </c>
      <c r="J17" s="11">
        <f t="shared" si="2"/>
        <v>4.2754496237683605E-2</v>
      </c>
      <c r="K17" s="11">
        <f t="shared" si="2"/>
        <v>4.3098917279465472E-2</v>
      </c>
      <c r="L17" s="11">
        <f t="shared" si="2"/>
        <v>4.4134756217347131E-2</v>
      </c>
      <c r="M17" s="11">
        <f t="shared" si="2"/>
        <v>4.6957475032176142E-2</v>
      </c>
      <c r="N17" s="11">
        <f t="shared" si="2"/>
        <v>5.0622949702957526E-2</v>
      </c>
      <c r="O17" s="11">
        <f t="shared" si="2"/>
        <v>4.3419579397971121E-2</v>
      </c>
      <c r="P17" s="11">
        <f t="shared" si="2"/>
        <v>3.9437018978902359E-2</v>
      </c>
      <c r="Q17" s="11">
        <f t="shared" si="2"/>
        <v>4.0760358072421579E-2</v>
      </c>
      <c r="R17" s="11">
        <f t="shared" si="2"/>
        <v>4.3419339518237177E-2</v>
      </c>
      <c r="S17" s="11">
        <f t="shared" si="2"/>
        <v>4.5751228361566622E-2</v>
      </c>
      <c r="T17" s="11">
        <f t="shared" si="2"/>
        <v>4.7859627371024401E-2</v>
      </c>
      <c r="U17" s="8"/>
      <c r="V17" s="8"/>
      <c r="W17" s="8"/>
      <c r="X17" s="8"/>
      <c r="Y17" s="8"/>
      <c r="Z17" s="8"/>
    </row>
    <row r="18" spans="1:26" ht="15" customHeight="1" x14ac:dyDescent="0.25">
      <c r="A18" s="8" t="str">
        <f t="shared" si="0"/>
        <v>Europe</v>
      </c>
      <c r="B18" s="11">
        <f t="shared" ref="B18:T18" si="3">B5/B$9</f>
        <v>0.30105170296337841</v>
      </c>
      <c r="C18" s="11">
        <f t="shared" si="3"/>
        <v>0.27558740529058567</v>
      </c>
      <c r="D18" s="11">
        <f t="shared" si="3"/>
        <v>0.27099516659814471</v>
      </c>
      <c r="E18" s="11">
        <f t="shared" si="3"/>
        <v>0.26062365425747891</v>
      </c>
      <c r="F18" s="11">
        <f t="shared" si="3"/>
        <v>0.26720997578091599</v>
      </c>
      <c r="G18" s="11">
        <f t="shared" si="3"/>
        <v>0.27099952401672162</v>
      </c>
      <c r="H18" s="11">
        <f t="shared" si="3"/>
        <v>0.25203377923082004</v>
      </c>
      <c r="I18" s="11">
        <f t="shared" si="3"/>
        <v>0.24527018044953092</v>
      </c>
      <c r="J18" s="11">
        <f t="shared" si="3"/>
        <v>0.24880007543742608</v>
      </c>
      <c r="K18" s="11">
        <f t="shared" si="3"/>
        <v>0.2491240905993132</v>
      </c>
      <c r="L18" s="11">
        <f t="shared" si="3"/>
        <v>0.23429056338191703</v>
      </c>
      <c r="M18" s="11">
        <f t="shared" si="3"/>
        <v>0.21219787490649458</v>
      </c>
      <c r="N18" s="11">
        <f t="shared" si="3"/>
        <v>0.21725449614783043</v>
      </c>
      <c r="O18" s="11">
        <f t="shared" si="3"/>
        <v>0.24018556723608878</v>
      </c>
      <c r="P18" s="11">
        <f t="shared" si="3"/>
        <v>0.2379925942655218</v>
      </c>
      <c r="Q18" s="11">
        <f t="shared" si="3"/>
        <v>0.23722789373041461</v>
      </c>
      <c r="R18" s="11">
        <f t="shared" si="3"/>
        <v>0.2306804335887872</v>
      </c>
      <c r="S18" s="11">
        <f t="shared" si="3"/>
        <v>0.22849060149312383</v>
      </c>
      <c r="T18" s="11">
        <f t="shared" si="3"/>
        <v>0.22696141645894105</v>
      </c>
      <c r="U18" s="8"/>
      <c r="V18" s="8"/>
      <c r="W18" s="8"/>
      <c r="X18" s="8"/>
      <c r="Y18" s="8"/>
      <c r="Z18" s="8"/>
    </row>
    <row r="19" spans="1:26" ht="15" customHeight="1" x14ac:dyDescent="0.25">
      <c r="A19" s="8" t="str">
        <f t="shared" si="0"/>
        <v>LATAM</v>
      </c>
      <c r="B19" s="11">
        <f t="shared" ref="B19:T19" si="4">B6/B$9</f>
        <v>8.2036479365108411E-2</v>
      </c>
      <c r="C19" s="11">
        <f t="shared" si="4"/>
        <v>8.0362527729476788E-2</v>
      </c>
      <c r="D19" s="11">
        <f t="shared" si="4"/>
        <v>7.5150003626910336E-2</v>
      </c>
      <c r="E19" s="11">
        <f t="shared" si="4"/>
        <v>7.2950801314367361E-2</v>
      </c>
      <c r="F19" s="11">
        <f t="shared" si="4"/>
        <v>6.8681766530306276E-2</v>
      </c>
      <c r="G19" s="11">
        <f t="shared" si="4"/>
        <v>6.0130837670499107E-2</v>
      </c>
      <c r="H19" s="11">
        <f t="shared" si="4"/>
        <v>4.9769294615357645E-2</v>
      </c>
      <c r="I19" s="11">
        <f t="shared" si="4"/>
        <v>4.4544912164834902E-2</v>
      </c>
      <c r="J19" s="11">
        <f t="shared" si="4"/>
        <v>4.5072554114329907E-2</v>
      </c>
      <c r="K19" s="11">
        <f t="shared" si="4"/>
        <v>4.1179049023659736E-2</v>
      </c>
      <c r="L19" s="11">
        <f t="shared" si="4"/>
        <v>4.2703537762878913E-2</v>
      </c>
      <c r="M19" s="11">
        <f t="shared" si="4"/>
        <v>4.0814343085194632E-2</v>
      </c>
      <c r="N19" s="11">
        <f t="shared" si="4"/>
        <v>4.695321873511419E-2</v>
      </c>
      <c r="O19" s="11">
        <f t="shared" si="4"/>
        <v>4.561507228039887E-2</v>
      </c>
      <c r="P19" s="11">
        <f t="shared" si="4"/>
        <v>4.7281992025997463E-2</v>
      </c>
      <c r="Q19" s="11">
        <f t="shared" si="4"/>
        <v>4.4103319810839141E-2</v>
      </c>
      <c r="R19" s="11">
        <f t="shared" si="4"/>
        <v>4.5852130671132051E-2</v>
      </c>
      <c r="S19" s="11">
        <f t="shared" si="4"/>
        <v>4.767151836469688E-2</v>
      </c>
      <c r="T19" s="11">
        <f t="shared" si="4"/>
        <v>4.9863734213794662E-2</v>
      </c>
      <c r="U19" s="8"/>
      <c r="V19" s="8"/>
      <c r="W19" s="8"/>
      <c r="X19" s="8"/>
      <c r="Y19" s="8"/>
      <c r="Z19" s="8"/>
    </row>
    <row r="20" spans="1:26" ht="15" customHeight="1" x14ac:dyDescent="0.25">
      <c r="A20" s="8" t="str">
        <f t="shared" si="0"/>
        <v>Middle East</v>
      </c>
      <c r="B20" s="11">
        <f t="shared" ref="B20:T20" si="5">B7/B$9</f>
        <v>5.1511448329373613E-2</v>
      </c>
      <c r="C20" s="11">
        <f t="shared" si="5"/>
        <v>5.0191202527413346E-2</v>
      </c>
      <c r="D20" s="11">
        <f t="shared" si="5"/>
        <v>4.7715992859523347E-2</v>
      </c>
      <c r="E20" s="11">
        <f t="shared" si="5"/>
        <v>5.0131520406546295E-2</v>
      </c>
      <c r="F20" s="11">
        <f t="shared" si="5"/>
        <v>5.2480786342589229E-2</v>
      </c>
      <c r="G20" s="11">
        <f t="shared" si="5"/>
        <v>5.6123540492610785E-2</v>
      </c>
      <c r="H20" s="11">
        <f t="shared" si="5"/>
        <v>5.8850669457457615E-2</v>
      </c>
      <c r="I20" s="11">
        <f t="shared" si="5"/>
        <v>5.8100866429951777E-2</v>
      </c>
      <c r="J20" s="11">
        <f t="shared" si="5"/>
        <v>5.6662876335230462E-2</v>
      </c>
      <c r="K20" s="11">
        <f t="shared" si="5"/>
        <v>5.5416199083306902E-2</v>
      </c>
      <c r="L20" s="11">
        <f t="shared" si="5"/>
        <v>5.7101824945604285E-2</v>
      </c>
      <c r="M20" s="11">
        <f t="shared" si="5"/>
        <v>4.0326985643559729E-2</v>
      </c>
      <c r="N20" s="11">
        <f t="shared" si="5"/>
        <v>5.216993527048077E-2</v>
      </c>
      <c r="O20" s="11">
        <f t="shared" si="5"/>
        <v>6.7600659278605812E-2</v>
      </c>
      <c r="P20" s="11">
        <f t="shared" si="5"/>
        <v>6.1382462484245504E-2</v>
      </c>
      <c r="Q20" s="11">
        <f t="shared" si="5"/>
        <v>6.1432110249945208E-2</v>
      </c>
      <c r="R20" s="11">
        <f t="shared" si="5"/>
        <v>6.2974531383976448E-2</v>
      </c>
      <c r="S20" s="11">
        <f t="shared" si="5"/>
        <v>6.4141580783207711E-2</v>
      </c>
      <c r="T20" s="11">
        <f t="shared" si="5"/>
        <v>6.6254828883697256E-2</v>
      </c>
      <c r="U20" s="8"/>
      <c r="V20" s="8"/>
      <c r="W20" s="8"/>
      <c r="X20" s="8"/>
      <c r="Y20" s="8"/>
      <c r="Z20" s="8"/>
    </row>
    <row r="21" spans="1:26" ht="15" customHeight="1" x14ac:dyDescent="0.25">
      <c r="A21" s="8" t="str">
        <f t="shared" si="0"/>
        <v>North America</v>
      </c>
      <c r="B21" s="11">
        <f t="shared" ref="B21:T21" si="6">B8/B$9</f>
        <v>0.25730855844338968</v>
      </c>
      <c r="C21" s="11">
        <f t="shared" si="6"/>
        <v>0.26157506262825342</v>
      </c>
      <c r="D21" s="11">
        <f t="shared" si="6"/>
        <v>0.26442645102785822</v>
      </c>
      <c r="E21" s="11">
        <f t="shared" si="6"/>
        <v>0.26856577570571166</v>
      </c>
      <c r="F21" s="11">
        <f t="shared" si="6"/>
        <v>0.27351884970327922</v>
      </c>
      <c r="G21" s="11">
        <f t="shared" si="6"/>
        <v>0.28303296305965525</v>
      </c>
      <c r="H21" s="11">
        <f t="shared" si="6"/>
        <v>0.30246288059706833</v>
      </c>
      <c r="I21" s="11">
        <f t="shared" si="6"/>
        <v>0.3054009135703481</v>
      </c>
      <c r="J21" s="11">
        <f t="shared" si="6"/>
        <v>0.30486833905246585</v>
      </c>
      <c r="K21" s="11">
        <f t="shared" si="6"/>
        <v>0.30234193652169161</v>
      </c>
      <c r="L21" s="11">
        <f t="shared" si="6"/>
        <v>0.31003565307826669</v>
      </c>
      <c r="M21" s="11">
        <f t="shared" si="6"/>
        <v>0.29283759635029338</v>
      </c>
      <c r="N21" s="11">
        <f t="shared" si="6"/>
        <v>0.36926717908771872</v>
      </c>
      <c r="O21" s="11">
        <f t="shared" si="6"/>
        <v>0.37918768890021631</v>
      </c>
      <c r="P21" s="11">
        <f t="shared" si="6"/>
        <v>0.34714859413874249</v>
      </c>
      <c r="Q21" s="11">
        <f t="shared" si="6"/>
        <v>0.33712068408491624</v>
      </c>
      <c r="R21" s="11">
        <f t="shared" si="6"/>
        <v>0.3311989403840303</v>
      </c>
      <c r="S21" s="11">
        <f t="shared" si="6"/>
        <v>0.32561520537822353</v>
      </c>
      <c r="T21" s="11">
        <f t="shared" si="6"/>
        <v>0.32010647192845987</v>
      </c>
      <c r="U21" s="8"/>
      <c r="V21" s="8"/>
      <c r="W21" s="8"/>
      <c r="X21" s="8"/>
      <c r="Y21" s="8"/>
      <c r="Z21" s="8"/>
    </row>
    <row r="22" spans="1:26" ht="15" customHeight="1" x14ac:dyDescent="0.25">
      <c r="A22" s="10" t="str">
        <f t="shared" si="0"/>
        <v>Grand Total</v>
      </c>
      <c r="B22" s="12">
        <f t="shared" ref="B22:T22" si="7">B9/B$9</f>
        <v>1</v>
      </c>
      <c r="C22" s="12">
        <f t="shared" si="7"/>
        <v>1</v>
      </c>
      <c r="D22" s="12">
        <f t="shared" si="7"/>
        <v>1</v>
      </c>
      <c r="E22" s="12">
        <f t="shared" si="7"/>
        <v>1</v>
      </c>
      <c r="F22" s="12">
        <f t="shared" si="7"/>
        <v>1</v>
      </c>
      <c r="G22" s="12">
        <f t="shared" si="7"/>
        <v>1</v>
      </c>
      <c r="H22" s="12">
        <f t="shared" si="7"/>
        <v>1</v>
      </c>
      <c r="I22" s="12">
        <f t="shared" si="7"/>
        <v>1</v>
      </c>
      <c r="J22" s="12">
        <f t="shared" si="7"/>
        <v>1</v>
      </c>
      <c r="K22" s="12">
        <f t="shared" si="7"/>
        <v>1</v>
      </c>
      <c r="L22" s="12">
        <f t="shared" si="7"/>
        <v>1</v>
      </c>
      <c r="M22" s="12">
        <f t="shared" si="7"/>
        <v>1</v>
      </c>
      <c r="N22" s="12">
        <f t="shared" si="7"/>
        <v>1</v>
      </c>
      <c r="O22" s="12">
        <f t="shared" si="7"/>
        <v>1</v>
      </c>
      <c r="P22" s="12">
        <f t="shared" si="7"/>
        <v>1</v>
      </c>
      <c r="Q22" s="12">
        <f t="shared" si="7"/>
        <v>1</v>
      </c>
      <c r="R22" s="12">
        <f t="shared" si="7"/>
        <v>1</v>
      </c>
      <c r="S22" s="12">
        <f t="shared" si="7"/>
        <v>1</v>
      </c>
      <c r="T22" s="12">
        <f t="shared" si="7"/>
        <v>1</v>
      </c>
      <c r="U22" s="8"/>
      <c r="V22" s="8"/>
      <c r="W22" s="8"/>
      <c r="X22" s="8"/>
      <c r="Y22" s="8"/>
      <c r="Z22" s="8"/>
    </row>
    <row r="23" spans="1:26" ht="15" customHeight="1" x14ac:dyDescent="0.25">
      <c r="A23" s="8">
        <f t="shared" si="0"/>
        <v>0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customHeight="1" x14ac:dyDescent="0.25">
      <c r="A24" s="8">
        <f t="shared" si="0"/>
        <v>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customHeight="1" x14ac:dyDescent="0.25">
      <c r="A25" s="10" t="str">
        <f t="shared" ref="A25:A32" si="8">A2</f>
        <v>Region</v>
      </c>
      <c r="B25" s="13">
        <v>2005</v>
      </c>
      <c r="C25" s="13">
        <v>2009</v>
      </c>
      <c r="D25" s="13">
        <v>2025</v>
      </c>
      <c r="E25" s="13" t="s">
        <v>51</v>
      </c>
      <c r="F25" s="10" t="s">
        <v>52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customHeight="1" x14ac:dyDescent="0.25">
      <c r="A26" s="8" t="str">
        <f t="shared" si="8"/>
        <v>APAC</v>
      </c>
      <c r="C26" s="9">
        <f t="shared" ref="C26:C32" si="9">B3</f>
        <v>239722646990</v>
      </c>
      <c r="D26" s="9">
        <f t="shared" ref="D26:D32" si="10">R3</f>
        <v>490690774070</v>
      </c>
      <c r="E26" s="14">
        <f t="shared" ref="E26:E32" si="11">(D26/C26)^(1/(D$25-C$25-1))-1</f>
        <v>4.8914096194146328E-2</v>
      </c>
      <c r="F26" s="15">
        <f t="shared" ref="F26:F32" si="12">D26/C26</f>
        <v>2.0469103784360811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customHeight="1" x14ac:dyDescent="0.25">
      <c r="A27" s="8" t="str">
        <f t="shared" si="8"/>
        <v>Eastern Europe</v>
      </c>
      <c r="C27" s="9">
        <f t="shared" si="9"/>
        <v>65913514407</v>
      </c>
      <c r="D27" s="9">
        <f t="shared" si="10"/>
        <v>74527318955</v>
      </c>
      <c r="E27" s="14">
        <f t="shared" si="11"/>
        <v>8.2217652975502542E-3</v>
      </c>
      <c r="F27" s="15">
        <f t="shared" si="12"/>
        <v>1.1306834360979729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customHeight="1" x14ac:dyDescent="0.25">
      <c r="A28" s="8" t="str">
        <f t="shared" si="8"/>
        <v>Europe</v>
      </c>
      <c r="C28" s="9">
        <f t="shared" si="9"/>
        <v>298652166727</v>
      </c>
      <c r="D28" s="9">
        <f t="shared" si="10"/>
        <v>395952459008</v>
      </c>
      <c r="E28" s="14">
        <f t="shared" si="11"/>
        <v>1.8978822900481918E-2</v>
      </c>
      <c r="F28" s="15">
        <f t="shared" si="12"/>
        <v>1.325798045757836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customHeight="1" x14ac:dyDescent="0.25">
      <c r="A29" s="8" t="str">
        <f t="shared" si="8"/>
        <v>LATAM</v>
      </c>
      <c r="C29" s="9">
        <f t="shared" si="9"/>
        <v>81382606615</v>
      </c>
      <c r="D29" s="9">
        <f t="shared" si="10"/>
        <v>78703094179</v>
      </c>
      <c r="E29" s="14">
        <f t="shared" si="11"/>
        <v>-2.2294511706033582E-3</v>
      </c>
      <c r="F29" s="15">
        <f t="shared" si="12"/>
        <v>0.96707512148540442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customHeight="1" x14ac:dyDescent="0.25">
      <c r="A30" s="8" t="str">
        <f t="shared" si="8"/>
        <v>Middle East</v>
      </c>
      <c r="C30" s="9">
        <f t="shared" si="9"/>
        <v>51100875708</v>
      </c>
      <c r="D30" s="9">
        <f t="shared" si="10"/>
        <v>108092915244</v>
      </c>
      <c r="E30" s="14">
        <f t="shared" si="11"/>
        <v>5.1214297689897048E-2</v>
      </c>
      <c r="F30" s="15">
        <f t="shared" si="12"/>
        <v>2.1152849877106457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customHeight="1" x14ac:dyDescent="0.25">
      <c r="A31" s="8" t="str">
        <f t="shared" si="8"/>
        <v>North America</v>
      </c>
      <c r="C31" s="9">
        <f t="shared" si="9"/>
        <v>255257677469</v>
      </c>
      <c r="D31" s="9">
        <f t="shared" si="10"/>
        <v>568487898283</v>
      </c>
      <c r="E31" s="14">
        <f t="shared" si="11"/>
        <v>5.4830860986966989E-2</v>
      </c>
      <c r="F31" s="15">
        <f t="shared" si="12"/>
        <v>2.2271138087591531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customHeight="1" x14ac:dyDescent="0.25">
      <c r="A32" s="10" t="str">
        <f t="shared" si="8"/>
        <v>Grand Total</v>
      </c>
      <c r="C32" s="16">
        <f t="shared" si="9"/>
        <v>992029487916</v>
      </c>
      <c r="D32" s="16">
        <f t="shared" si="10"/>
        <v>1716454459739</v>
      </c>
      <c r="E32" s="17">
        <f t="shared" si="11"/>
        <v>3.7227080183900974E-2</v>
      </c>
      <c r="F32" s="18">
        <f t="shared" si="12"/>
        <v>1.7302454016209048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customHeight="1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customHeight="1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customHeight="1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customHeight="1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customHeight="1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customHeight="1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customHeight="1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customHeight="1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customHeight="1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customHeight="1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customHeight="1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7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7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7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7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7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7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7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7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7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7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7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7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7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7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7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7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7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7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7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7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7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7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7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7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7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7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7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7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7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7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7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7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7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7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7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7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7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7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7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7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7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7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7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7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7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7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7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7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7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7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7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7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7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7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7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7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7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7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7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7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7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7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7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7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7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7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7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7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7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7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7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7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7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7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7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7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7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7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7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7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7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7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7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7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7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7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7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7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7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7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7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7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7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7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7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7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7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7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7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7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7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7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7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7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7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7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7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7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7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7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7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7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7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7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7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7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7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7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7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7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7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7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7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7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7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7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7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7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7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7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7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7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7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7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7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7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7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7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7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7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7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7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7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7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7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7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7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7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7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7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7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7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7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7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7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7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7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7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7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7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7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7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7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7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7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7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7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7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7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7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7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7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7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7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7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7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7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7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7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7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7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7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7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7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7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7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7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7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7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7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7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7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7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7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7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7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7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7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7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7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7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7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7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7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7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7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7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7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7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7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7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7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7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7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7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7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7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7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7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7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7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7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7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7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7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7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7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7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7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7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7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7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7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7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7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7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7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7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7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7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7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7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7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7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7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7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7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7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7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7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7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7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7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7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7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7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7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7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7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7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7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7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7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7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7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7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7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7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7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7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7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7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7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7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7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7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7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7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7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7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7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7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7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7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7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7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7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7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7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7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7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7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7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7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7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7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7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7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7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7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7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7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7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7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7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7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7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7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7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7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7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7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7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7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7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7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7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7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7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7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7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7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7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7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7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7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7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7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7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7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7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7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7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7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7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7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7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7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7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7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7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7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7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7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7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7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7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7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7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7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7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7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7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7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7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7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7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7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7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7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7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7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7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7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7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7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7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7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7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7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7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7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7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7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7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7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7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7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7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7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7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7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7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7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7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7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7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7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7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7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7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7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7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7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7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7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7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7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7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7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7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7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7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7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7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7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7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7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7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7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7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7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7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7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7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7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7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7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7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7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7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7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7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7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7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7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7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7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7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7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7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7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7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7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7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7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7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7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7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7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7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7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7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7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7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7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7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7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7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7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7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7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7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7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7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7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7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7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7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7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7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7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7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7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7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7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7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7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7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7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7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7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7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7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7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7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7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7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7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7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7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7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7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7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7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7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7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7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7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7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7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7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7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7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7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7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7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7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7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7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7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7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7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7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7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7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7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7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7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7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7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7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7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7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7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7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7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7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7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7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7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7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7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7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7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7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7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7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7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7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7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7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7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7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7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7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7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7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7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7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7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7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7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7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7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7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7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7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7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7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7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7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7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7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7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7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7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7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7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7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7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7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7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7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7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7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7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7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7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7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7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7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7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7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7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7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7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7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7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7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7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7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7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7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7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7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7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7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7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7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7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7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7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7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7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7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7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7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7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7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7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7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7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7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7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7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7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7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7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7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7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7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7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7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7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7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7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7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7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7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7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7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7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7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7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7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7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7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7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7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7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7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7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7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7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7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7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7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7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7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7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7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7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7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7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7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7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7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7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7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7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7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7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7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7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7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7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7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7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7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7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7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7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7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7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7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7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7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7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7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7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7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7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7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7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7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7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7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7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7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7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7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7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7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7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7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7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7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7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7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7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7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7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7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7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7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7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7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7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7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7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7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7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7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7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7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7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7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7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7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7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7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7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7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7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7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7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7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7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7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7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7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7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7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7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7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7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7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7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7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7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7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7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7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7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7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7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7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7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7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7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7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7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7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7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7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7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7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7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7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7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7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7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7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7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7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7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7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7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7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7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7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7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7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7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7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7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7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7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7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7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7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7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7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7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7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7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7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7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7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7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7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7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7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7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7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7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7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7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7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7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7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7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7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7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7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7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7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7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7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7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7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7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7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7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7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7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7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7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7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7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7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7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7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7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7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7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7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7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7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7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7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7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7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7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7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7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7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7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7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7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7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7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7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7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7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7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7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7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7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7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7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7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7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7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7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7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7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7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7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7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7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7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7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7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7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7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7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7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7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7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7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7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7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7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7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7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7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7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7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7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7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7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7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7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7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7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7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7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7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7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7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7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7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7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7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7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7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7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7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7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7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7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7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7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7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7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7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7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7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7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7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7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7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7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7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7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7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7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7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7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7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7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7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7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7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7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7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7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7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7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7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7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7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7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7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7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7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7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7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7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7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7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7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7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7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7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7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7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7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7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7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7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7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7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7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7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7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7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7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7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B16:T22">
    <cfRule type="colorScale" priority="2">
      <colorScale>
        <cfvo type="min"/>
        <cfvo type="max"/>
        <color rgb="FFFFFFFF"/>
        <color rgb="FF57BB8A"/>
      </colorScale>
    </cfRule>
  </conditionalFormatting>
  <conditionalFormatting sqref="C26:D32">
    <cfRule type="notContainsBlanks" dxfId="0" priority="5">
      <formula>LEN(TRIM(C26))&gt;0</formula>
    </cfRule>
  </conditionalFormatting>
  <conditionalFormatting sqref="E26:E32">
    <cfRule type="colorScale" priority="3">
      <colorScale>
        <cfvo type="min"/>
        <cfvo type="max"/>
        <color rgb="FFFFFFFF"/>
        <color rgb="FF57BB8A"/>
      </colorScale>
    </cfRule>
  </conditionalFormatting>
  <conditionalFormatting sqref="F26:F32">
    <cfRule type="colorScale" priority="4">
      <colorScale>
        <cfvo type="min"/>
        <cfvo type="max"/>
        <color rgb="FFFFFFFF"/>
        <color rgb="FF57BB8A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showGridLines="0" workbookViewId="0"/>
  </sheetViews>
  <sheetFormatPr baseColWidth="10" defaultColWidth="14.5" defaultRowHeight="15" customHeight="1" x14ac:dyDescent="0.2"/>
  <cols>
    <col min="1" max="1" width="26" customWidth="1"/>
    <col min="8" max="8" width="21.83203125" customWidth="1"/>
    <col min="15" max="15" width="21.6640625" customWidth="1"/>
  </cols>
  <sheetData>
    <row r="1" spans="1:26" ht="15" customHeight="1" x14ac:dyDescent="0.25">
      <c r="A1" s="19" t="s">
        <v>53</v>
      </c>
      <c r="B1" s="20">
        <v>2005</v>
      </c>
      <c r="C1" s="20">
        <v>2006</v>
      </c>
      <c r="D1" s="20">
        <v>2007</v>
      </c>
      <c r="E1" s="20">
        <v>2008</v>
      </c>
      <c r="F1" s="20">
        <v>2009</v>
      </c>
      <c r="G1" s="7"/>
      <c r="H1" s="21" t="s">
        <v>54</v>
      </c>
      <c r="I1" s="19">
        <f t="shared" ref="I1:M1" si="0">B1</f>
        <v>2005</v>
      </c>
      <c r="J1" s="19">
        <f t="shared" si="0"/>
        <v>2006</v>
      </c>
      <c r="K1" s="19">
        <f t="shared" si="0"/>
        <v>2007</v>
      </c>
      <c r="L1" s="22">
        <f t="shared" si="0"/>
        <v>2008</v>
      </c>
      <c r="M1" s="19">
        <f t="shared" si="0"/>
        <v>2009</v>
      </c>
      <c r="N1" s="7"/>
      <c r="O1" s="21" t="s">
        <v>55</v>
      </c>
      <c r="P1" s="13">
        <v>2005</v>
      </c>
      <c r="Q1" s="13">
        <v>2006</v>
      </c>
      <c r="R1" s="13">
        <v>2007</v>
      </c>
      <c r="S1" s="13">
        <v>2008</v>
      </c>
      <c r="T1" s="13">
        <v>2009</v>
      </c>
      <c r="U1" s="7"/>
      <c r="V1" s="7"/>
      <c r="W1" s="7"/>
      <c r="X1" s="7"/>
      <c r="Y1" s="7"/>
      <c r="Z1" s="7"/>
    </row>
    <row r="2" spans="1:26" ht="15" customHeight="1" x14ac:dyDescent="0.3">
      <c r="A2" s="23" t="str">
        <f ca="1">IFERROR(__xludf.DUMMYFUNCTION("unique('Backfilled Data'!O2:O41)"),"Argentina")</f>
        <v>Argentina</v>
      </c>
      <c r="B2" s="24">
        <v>198737095012</v>
      </c>
      <c r="C2" s="24">
        <v>232557260817</v>
      </c>
      <c r="D2" s="24">
        <v>287530508430</v>
      </c>
      <c r="E2" s="24">
        <v>361558037110</v>
      </c>
      <c r="F2" s="24">
        <v>332976484577</v>
      </c>
      <c r="G2" s="25"/>
      <c r="H2" s="7" t="str">
        <f t="shared" ref="H2:H41" ca="1" si="1">A2</f>
        <v>Argentina</v>
      </c>
      <c r="I2" s="26">
        <f t="shared" ref="I2:M2" si="2">IFERROR(B2/$F2,"")</f>
        <v>0.59685024083447713</v>
      </c>
      <c r="J2" s="26">
        <f t="shared" si="2"/>
        <v>0.6984194728118156</v>
      </c>
      <c r="K2" s="26">
        <f t="shared" si="2"/>
        <v>0.8635159590782131</v>
      </c>
      <c r="L2" s="26">
        <f t="shared" si="2"/>
        <v>1.0858365495969149</v>
      </c>
      <c r="M2" s="26">
        <f t="shared" si="2"/>
        <v>1</v>
      </c>
      <c r="N2" s="7"/>
      <c r="O2" s="7" t="s">
        <v>3</v>
      </c>
      <c r="P2" s="27">
        <v>3.15E-2</v>
      </c>
      <c r="Q2" s="27">
        <v>2.76E-2</v>
      </c>
      <c r="R2" s="27">
        <v>3.7699999999999997E-2</v>
      </c>
      <c r="S2" s="27">
        <v>3.5900000000000001E-2</v>
      </c>
      <c r="T2" s="27">
        <v>1.89E-2</v>
      </c>
      <c r="U2" s="28"/>
      <c r="V2" s="7"/>
      <c r="W2" s="7"/>
      <c r="X2" s="7"/>
      <c r="Y2" s="7"/>
      <c r="Z2" s="7"/>
    </row>
    <row r="3" spans="1:26" ht="15" customHeight="1" x14ac:dyDescent="0.3">
      <c r="A3" s="23" t="str">
        <f ca="1">IFERROR(__xludf.DUMMYFUNCTION("""COMPUTED_VALUE"""),"Australia-New Zealand")</f>
        <v>Australia-New Zealand</v>
      </c>
      <c r="B3" s="24">
        <v>810413028226</v>
      </c>
      <c r="C3" s="24">
        <v>859956373482</v>
      </c>
      <c r="D3" s="24">
        <v>992196405450</v>
      </c>
      <c r="E3" s="24">
        <v>1189243797120</v>
      </c>
      <c r="F3" s="24">
        <v>1050135725046</v>
      </c>
      <c r="G3" s="25"/>
      <c r="H3" s="7" t="str">
        <f t="shared" ca="1" si="1"/>
        <v>Australia-New Zealand</v>
      </c>
      <c r="I3" s="26">
        <f t="shared" ref="I3:M3" si="3">IFERROR(B3/$F3,"")</f>
        <v>0.77172217733141191</v>
      </c>
      <c r="J3" s="26">
        <f t="shared" si="3"/>
        <v>0.81890021734507756</v>
      </c>
      <c r="K3" s="26">
        <f t="shared" si="3"/>
        <v>0.9448268274146544</v>
      </c>
      <c r="L3" s="26">
        <f t="shared" si="3"/>
        <v>1.1324667552548091</v>
      </c>
      <c r="M3" s="26">
        <f t="shared" si="3"/>
        <v>1</v>
      </c>
      <c r="N3" s="7"/>
      <c r="O3" s="7" t="s">
        <v>5</v>
      </c>
      <c r="P3" s="27">
        <v>0.114</v>
      </c>
      <c r="Q3" s="27">
        <v>0.127</v>
      </c>
      <c r="R3" s="27">
        <v>0.14199999999999999</v>
      </c>
      <c r="S3" s="27">
        <v>9.6000000000000002E-2</v>
      </c>
      <c r="T3" s="27">
        <v>9.1999999999999998E-2</v>
      </c>
      <c r="U3" s="28"/>
      <c r="V3" s="7"/>
      <c r="W3" s="7"/>
      <c r="X3" s="7"/>
      <c r="Y3" s="7"/>
      <c r="Z3" s="7"/>
    </row>
    <row r="4" spans="1:26" ht="15" customHeight="1" x14ac:dyDescent="0.3">
      <c r="A4" s="23" t="str">
        <f ca="1">IFERROR(__xludf.DUMMYFUNCTION("""COMPUTED_VALUE"""),"Brazil")</f>
        <v>Brazil</v>
      </c>
      <c r="B4" s="24">
        <v>891633839853</v>
      </c>
      <c r="C4" s="24">
        <v>1107626541710</v>
      </c>
      <c r="D4" s="24">
        <v>1397114486471</v>
      </c>
      <c r="E4" s="24">
        <v>1695855083552</v>
      </c>
      <c r="F4" s="24">
        <v>1666996438681</v>
      </c>
      <c r="G4" s="25"/>
      <c r="H4" s="7" t="str">
        <f t="shared" ca="1" si="1"/>
        <v>Brazil</v>
      </c>
      <c r="I4" s="26">
        <f t="shared" ref="I4:M4" si="4">IFERROR(B4/$F4,"")</f>
        <v>0.53487447193258519</v>
      </c>
      <c r="J4" s="26">
        <f t="shared" si="4"/>
        <v>0.66444445591401635</v>
      </c>
      <c r="K4" s="26">
        <f t="shared" si="4"/>
        <v>0.83810286216115593</v>
      </c>
      <c r="L4" s="26">
        <f t="shared" si="4"/>
        <v>1.0173117615619109</v>
      </c>
      <c r="M4" s="26">
        <f t="shared" si="4"/>
        <v>1</v>
      </c>
      <c r="N4" s="7"/>
      <c r="O4" s="7" t="s">
        <v>6</v>
      </c>
      <c r="P4" s="27">
        <v>7.3899999999999993E-2</v>
      </c>
      <c r="Q4" s="27">
        <v>7.0300000000000001E-2</v>
      </c>
      <c r="R4" s="27">
        <v>6.4600000000000005E-2</v>
      </c>
      <c r="S4" s="27">
        <v>2.1299999999999999E-2</v>
      </c>
      <c r="T4" s="27">
        <v>-2.46E-2</v>
      </c>
      <c r="U4" s="28"/>
      <c r="V4" s="7"/>
      <c r="W4" s="7"/>
      <c r="X4" s="7"/>
      <c r="Y4" s="7"/>
      <c r="Z4" s="7"/>
    </row>
    <row r="5" spans="1:26" ht="15" customHeight="1" x14ac:dyDescent="0.3">
      <c r="A5" s="23" t="str">
        <f ca="1">IFERROR(__xludf.DUMMYFUNCTION("""COMPUTED_VALUE"""),"Bulgaria")</f>
        <v>Bulgaria</v>
      </c>
      <c r="B5" s="24">
        <v>29868657858</v>
      </c>
      <c r="C5" s="24">
        <v>34380536495</v>
      </c>
      <c r="D5" s="24">
        <v>44432811756</v>
      </c>
      <c r="E5" s="24">
        <v>54480684188</v>
      </c>
      <c r="F5" s="24">
        <v>52023801230</v>
      </c>
      <c r="G5" s="25"/>
      <c r="H5" s="7" t="str">
        <f t="shared" ca="1" si="1"/>
        <v>Bulgaria</v>
      </c>
      <c r="I5" s="26">
        <f t="shared" ref="I5:M5" si="5">IFERROR(B5/$F5,"")</f>
        <v>0.57413447598627154</v>
      </c>
      <c r="J5" s="26">
        <f t="shared" si="5"/>
        <v>0.66086167642771454</v>
      </c>
      <c r="K5" s="26">
        <f t="shared" si="5"/>
        <v>0.85408622025830383</v>
      </c>
      <c r="L5" s="26">
        <f t="shared" si="5"/>
        <v>1.0472261330374146</v>
      </c>
      <c r="M5" s="26">
        <f t="shared" si="5"/>
        <v>1</v>
      </c>
      <c r="N5" s="7"/>
      <c r="O5" s="7" t="s">
        <v>7</v>
      </c>
      <c r="P5" s="27">
        <v>9.2999999999999999E-2</v>
      </c>
      <c r="Q5" s="27">
        <v>9.2999999999999999E-2</v>
      </c>
      <c r="R5" s="27">
        <v>9.8000000000000004E-2</v>
      </c>
      <c r="S5" s="27">
        <v>3.9E-2</v>
      </c>
      <c r="T5" s="27">
        <v>8.5000000000000006E-2</v>
      </c>
      <c r="U5" s="28"/>
      <c r="V5" s="7"/>
      <c r="W5" s="7"/>
      <c r="X5" s="7"/>
      <c r="Y5" s="7"/>
      <c r="Z5" s="7"/>
    </row>
    <row r="6" spans="1:26" ht="15" customHeight="1" x14ac:dyDescent="0.3">
      <c r="A6" s="23" t="str">
        <f ca="1">IFERROR(__xludf.DUMMYFUNCTION("""COMPUTED_VALUE"""),"Canada")</f>
        <v>Canada</v>
      </c>
      <c r="B6" s="24">
        <v>1173108598778</v>
      </c>
      <c r="C6" s="24">
        <v>1319264809590</v>
      </c>
      <c r="D6" s="24">
        <v>1468820407783</v>
      </c>
      <c r="E6" s="24">
        <v>1552989690721</v>
      </c>
      <c r="F6" s="24">
        <v>1374625142157</v>
      </c>
      <c r="G6" s="25"/>
      <c r="H6" s="7" t="str">
        <f t="shared" ca="1" si="1"/>
        <v>Canada</v>
      </c>
      <c r="I6" s="26">
        <f t="shared" ref="I6:M6" si="6">IFERROR(B6/$F6,"")</f>
        <v>0.85340254793914994</v>
      </c>
      <c r="J6" s="26">
        <f t="shared" si="6"/>
        <v>0.9597269605587665</v>
      </c>
      <c r="K6" s="26">
        <f t="shared" si="6"/>
        <v>1.0685243290968716</v>
      </c>
      <c r="L6" s="26">
        <f t="shared" si="6"/>
        <v>1.1297550460077563</v>
      </c>
      <c r="M6" s="26">
        <f t="shared" si="6"/>
        <v>1</v>
      </c>
      <c r="N6" s="7"/>
      <c r="O6" s="7" t="s">
        <v>8</v>
      </c>
      <c r="P6" s="27">
        <v>5.7000000000000002E-2</v>
      </c>
      <c r="Q6" s="27">
        <v>5.5E-2</v>
      </c>
      <c r="R6" s="27">
        <v>6.3E-2</v>
      </c>
      <c r="S6" s="27">
        <v>0.06</v>
      </c>
      <c r="T6" s="27">
        <v>4.5999999999999999E-2</v>
      </c>
      <c r="U6" s="28"/>
      <c r="V6" s="7"/>
      <c r="W6" s="7"/>
      <c r="X6" s="7"/>
      <c r="Y6" s="7"/>
      <c r="Z6" s="7"/>
    </row>
    <row r="7" spans="1:26" ht="15" customHeight="1" x14ac:dyDescent="0.3">
      <c r="A7" s="23" t="str">
        <f ca="1">IFERROR(__xludf.DUMMYFUNCTION("""COMPUTED_VALUE"""),"Chile")</f>
        <v>Chile</v>
      </c>
      <c r="B7" s="24">
        <v>122294145162</v>
      </c>
      <c r="C7" s="24">
        <v>153843518171</v>
      </c>
      <c r="D7" s="24">
        <v>172491076033</v>
      </c>
      <c r="E7" s="24">
        <v>179894594475</v>
      </c>
      <c r="F7" s="24">
        <v>171777900623</v>
      </c>
      <c r="G7" s="25"/>
      <c r="H7" s="7" t="str">
        <f t="shared" ca="1" si="1"/>
        <v>Chile</v>
      </c>
      <c r="I7" s="26">
        <f t="shared" ref="I7:M7" si="7">IFERROR(B7/$F7,"")</f>
        <v>0.71193177188955337</v>
      </c>
      <c r="J7" s="26">
        <f t="shared" si="7"/>
        <v>0.8955955196392783</v>
      </c>
      <c r="K7" s="26">
        <f t="shared" si="7"/>
        <v>1.004151729689404</v>
      </c>
      <c r="L7" s="26">
        <f t="shared" si="7"/>
        <v>1.0472510947133629</v>
      </c>
      <c r="M7" s="26">
        <f t="shared" si="7"/>
        <v>1</v>
      </c>
      <c r="N7" s="7"/>
      <c r="O7" s="7" t="s">
        <v>9</v>
      </c>
      <c r="P7" s="27">
        <v>1.2999999999999999E-2</v>
      </c>
      <c r="Q7" s="27">
        <v>1.7000000000000001E-2</v>
      </c>
      <c r="R7" s="27">
        <v>2.1999999999999999E-2</v>
      </c>
      <c r="S7" s="27">
        <v>-0.01</v>
      </c>
      <c r="T7" s="27">
        <v>-5.3999999999999999E-2</v>
      </c>
      <c r="U7" s="28"/>
      <c r="V7" s="7"/>
      <c r="W7" s="7"/>
      <c r="X7" s="7"/>
      <c r="Y7" s="7"/>
      <c r="Z7" s="7"/>
    </row>
    <row r="8" spans="1:26" ht="15" customHeight="1" x14ac:dyDescent="0.3">
      <c r="A8" s="23" t="str">
        <f ca="1">IFERROR(__xludf.DUMMYFUNCTION("""COMPUTED_VALUE"""),"China")</f>
        <v>China</v>
      </c>
      <c r="B8" s="24">
        <v>2285961149879</v>
      </c>
      <c r="C8" s="24">
        <v>2752118657184</v>
      </c>
      <c r="D8" s="24">
        <v>3550327802998</v>
      </c>
      <c r="E8" s="24">
        <v>4594336785737</v>
      </c>
      <c r="F8" s="24">
        <v>5101691124285</v>
      </c>
      <c r="G8" s="25"/>
      <c r="H8" s="7" t="str">
        <f t="shared" ca="1" si="1"/>
        <v>China</v>
      </c>
      <c r="I8" s="26">
        <f t="shared" ref="I8:M8" si="8">IFERROR(B8/$F8,"")</f>
        <v>0.44807909655631623</v>
      </c>
      <c r="J8" s="26">
        <f t="shared" si="8"/>
        <v>0.53945223066982684</v>
      </c>
      <c r="K8" s="26">
        <f t="shared" si="8"/>
        <v>0.69591194694202052</v>
      </c>
      <c r="L8" s="26">
        <f t="shared" si="8"/>
        <v>0.90055173349619333</v>
      </c>
      <c r="M8" s="26">
        <f t="shared" si="8"/>
        <v>1</v>
      </c>
      <c r="N8" s="7"/>
      <c r="O8" s="7" t="s">
        <v>10</v>
      </c>
      <c r="P8" s="27">
        <v>6.9000000000000006E-2</v>
      </c>
      <c r="Q8" s="27">
        <v>0.17</v>
      </c>
      <c r="R8" s="27">
        <v>0.27</v>
      </c>
      <c r="S8" s="27">
        <v>0.13</v>
      </c>
      <c r="T8" s="27">
        <v>1.2999999999999999E-2</v>
      </c>
      <c r="U8" s="28"/>
      <c r="V8" s="7"/>
      <c r="W8" s="7"/>
      <c r="X8" s="7"/>
      <c r="Y8" s="7"/>
      <c r="Z8" s="7"/>
    </row>
    <row r="9" spans="1:26" ht="15" customHeight="1" x14ac:dyDescent="0.3">
      <c r="A9" s="23" t="str">
        <f ca="1">IFERROR(__xludf.DUMMYFUNCTION("""COMPUTED_VALUE"""),"Colombia")</f>
        <v>Colombia</v>
      </c>
      <c r="B9" s="24">
        <v>145600529605</v>
      </c>
      <c r="C9" s="24">
        <v>161792958904</v>
      </c>
      <c r="D9" s="24">
        <v>206229540926</v>
      </c>
      <c r="E9" s="24">
        <v>242504150472</v>
      </c>
      <c r="F9" s="24">
        <v>232468663109</v>
      </c>
      <c r="G9" s="25"/>
      <c r="H9" s="7" t="str">
        <f t="shared" ca="1" si="1"/>
        <v>Colombia</v>
      </c>
      <c r="I9" s="26">
        <f t="shared" ref="I9:M9" si="9">IFERROR(B9/$F9,"")</f>
        <v>0.62632325431634961</v>
      </c>
      <c r="J9" s="26">
        <f t="shared" si="9"/>
        <v>0.69597749967761657</v>
      </c>
      <c r="K9" s="26">
        <f t="shared" si="9"/>
        <v>0.88712834739924928</v>
      </c>
      <c r="L9" s="26">
        <f t="shared" si="9"/>
        <v>1.0431692049534202</v>
      </c>
      <c r="M9" s="26">
        <f t="shared" si="9"/>
        <v>1</v>
      </c>
      <c r="N9" s="7"/>
      <c r="O9" s="7" t="s">
        <v>11</v>
      </c>
      <c r="P9" s="27">
        <v>5.2999999999999999E-2</v>
      </c>
      <c r="Q9" s="27">
        <v>5.6000000000000001E-2</v>
      </c>
      <c r="R9" s="27">
        <v>6.3E-2</v>
      </c>
      <c r="S9" s="27">
        <v>4.8000000000000001E-2</v>
      </c>
      <c r="T9" s="27">
        <v>-1.4999999999999999E-2</v>
      </c>
      <c r="U9" s="28"/>
      <c r="V9" s="7"/>
      <c r="W9" s="7"/>
      <c r="X9" s="7"/>
      <c r="Y9" s="7"/>
      <c r="Z9" s="7"/>
    </row>
    <row r="10" spans="1:26" ht="15" customHeight="1" x14ac:dyDescent="0.3">
      <c r="A10" s="23" t="str">
        <f ca="1">IFERROR(__xludf.DUMMYFUNCTION("""COMPUTED_VALUE"""),"Czech Republic")</f>
        <v>Czech Republic</v>
      </c>
      <c r="B10" s="24">
        <v>137264185596</v>
      </c>
      <c r="C10" s="24">
        <v>156236258386</v>
      </c>
      <c r="D10" s="24">
        <v>190040702286</v>
      </c>
      <c r="E10" s="24">
        <v>236506264753</v>
      </c>
      <c r="F10" s="24">
        <v>206971882704</v>
      </c>
      <c r="G10" s="25"/>
      <c r="H10" s="7" t="str">
        <f t="shared" ca="1" si="1"/>
        <v>Czech Republic</v>
      </c>
      <c r="I10" s="26">
        <f t="shared" ref="I10:M10" si="10">IFERROR(B10/$F10,"")</f>
        <v>0.66320209200738545</v>
      </c>
      <c r="J10" s="26">
        <f t="shared" si="10"/>
        <v>0.75486706863192932</v>
      </c>
      <c r="K10" s="26">
        <f t="shared" si="10"/>
        <v>0.91819574622020494</v>
      </c>
      <c r="L10" s="26">
        <f t="shared" si="10"/>
        <v>1.1426975570939675</v>
      </c>
      <c r="M10" s="26">
        <f t="shared" si="10"/>
        <v>1</v>
      </c>
      <c r="N10" s="7"/>
      <c r="O10" s="7" t="s">
        <v>12</v>
      </c>
      <c r="P10" s="27">
        <v>7.4999999999999997E-2</v>
      </c>
      <c r="Q10" s="27">
        <v>8.8999999999999996E-2</v>
      </c>
      <c r="R10" s="27">
        <v>8.7999999999999995E-2</v>
      </c>
      <c r="S10" s="27">
        <v>1.2999999999999999E-2</v>
      </c>
      <c r="T10" s="27">
        <v>-6.0000000000000001E-3</v>
      </c>
      <c r="U10" s="28"/>
      <c r="V10" s="7"/>
      <c r="W10" s="7"/>
      <c r="X10" s="7"/>
      <c r="Y10" s="7"/>
      <c r="Z10" s="7"/>
    </row>
    <row r="11" spans="1:26" ht="15" customHeight="1" x14ac:dyDescent="0.3">
      <c r="A11" s="23" t="str">
        <f ca="1">IFERROR(__xludf.DUMMYFUNCTION("""COMPUTED_VALUE"""),"Egypt")</f>
        <v>Egypt</v>
      </c>
      <c r="B11" s="24">
        <v>89600665557</v>
      </c>
      <c r="C11" s="24">
        <v>107426086956</v>
      </c>
      <c r="D11" s="24">
        <v>130437828371</v>
      </c>
      <c r="E11" s="24">
        <v>162818181818</v>
      </c>
      <c r="F11" s="24">
        <v>189147005444</v>
      </c>
      <c r="G11" s="25"/>
      <c r="H11" s="7" t="str">
        <f t="shared" ca="1" si="1"/>
        <v>Egypt</v>
      </c>
      <c r="I11" s="26">
        <f t="shared" ref="I11:M11" si="11">IFERROR(B11/$F11,"")</f>
        <v>0.473709141451503</v>
      </c>
      <c r="J11" s="26">
        <f t="shared" si="11"/>
        <v>0.56795023904200914</v>
      </c>
      <c r="K11" s="26">
        <f t="shared" si="11"/>
        <v>0.68961085619522644</v>
      </c>
      <c r="L11" s="26">
        <f t="shared" si="11"/>
        <v>0.86080232375767074</v>
      </c>
      <c r="M11" s="26">
        <f t="shared" si="11"/>
        <v>1</v>
      </c>
      <c r="N11" s="7"/>
      <c r="O11" s="7" t="s">
        <v>13</v>
      </c>
      <c r="P11" s="27">
        <v>3.9E-2</v>
      </c>
      <c r="Q11" s="27">
        <v>5.1999999999999998E-2</v>
      </c>
      <c r="R11" s="27">
        <v>5.5E-2</v>
      </c>
      <c r="S11" s="27">
        <v>2.3E-2</v>
      </c>
      <c r="T11" s="27">
        <v>7.0000000000000001E-3</v>
      </c>
      <c r="U11" s="28"/>
      <c r="V11" s="7"/>
      <c r="W11" s="7"/>
      <c r="X11" s="7"/>
      <c r="Y11" s="7"/>
      <c r="Z11" s="7"/>
    </row>
    <row r="12" spans="1:26" ht="15" customHeight="1" x14ac:dyDescent="0.3">
      <c r="A12" s="23" t="str">
        <f ca="1">IFERROR(__xludf.DUMMYFUNCTION("""COMPUTED_VALUE"""),"France")</f>
        <v>France</v>
      </c>
      <c r="B12" s="24">
        <v>2192146403028</v>
      </c>
      <c r="C12" s="24">
        <v>2317861544690</v>
      </c>
      <c r="D12" s="24">
        <v>2655816911866</v>
      </c>
      <c r="E12" s="24">
        <v>2926802941585</v>
      </c>
      <c r="F12" s="24">
        <v>2700075882518</v>
      </c>
      <c r="G12" s="25"/>
      <c r="H12" s="7" t="str">
        <f t="shared" ca="1" si="1"/>
        <v>France</v>
      </c>
      <c r="I12" s="26">
        <f t="shared" ref="I12:M12" si="12">IFERROR(B12/$F12,"")</f>
        <v>0.81188325751188817</v>
      </c>
      <c r="J12" s="26">
        <f t="shared" si="12"/>
        <v>0.85844311254261496</v>
      </c>
      <c r="K12" s="26">
        <f t="shared" si="12"/>
        <v>0.98360824933159818</v>
      </c>
      <c r="L12" s="26">
        <f t="shared" si="12"/>
        <v>1.0839706248757579</v>
      </c>
      <c r="M12" s="26">
        <f t="shared" si="12"/>
        <v>1</v>
      </c>
      <c r="N12" s="7"/>
      <c r="O12" s="7" t="s">
        <v>14</v>
      </c>
      <c r="P12" s="27">
        <v>4.2000000000000003E-2</v>
      </c>
      <c r="Q12" s="27">
        <v>5.3999999999999999E-2</v>
      </c>
      <c r="R12" s="27">
        <v>6.5000000000000002E-2</v>
      </c>
      <c r="S12" s="27">
        <v>7.0000000000000001E-3</v>
      </c>
      <c r="T12" s="27">
        <v>-1.6E-2</v>
      </c>
      <c r="U12" s="28"/>
      <c r="V12" s="7"/>
      <c r="W12" s="7"/>
      <c r="X12" s="7"/>
      <c r="Y12" s="7"/>
      <c r="Z12" s="7"/>
    </row>
    <row r="13" spans="1:26" ht="15" customHeight="1" x14ac:dyDescent="0.3">
      <c r="A13" s="23" t="str">
        <f ca="1">IFERROR(__xludf.DUMMYFUNCTION("""COMPUTED_VALUE"""),"Germany")</f>
        <v>Germany</v>
      </c>
      <c r="B13" s="24">
        <v>2893393187361</v>
      </c>
      <c r="C13" s="24">
        <v>3046308753670</v>
      </c>
      <c r="D13" s="24">
        <v>3484056680854</v>
      </c>
      <c r="E13" s="24">
        <v>3808786022312</v>
      </c>
      <c r="F13" s="24">
        <v>3479800820863</v>
      </c>
      <c r="G13" s="25"/>
      <c r="H13" s="7" t="str">
        <f t="shared" ca="1" si="1"/>
        <v>Germany</v>
      </c>
      <c r="I13" s="26">
        <f t="shared" ref="I13:M13" si="13">IFERROR(B13/$F13,"")</f>
        <v>0.83148241416973712</v>
      </c>
      <c r="J13" s="26">
        <f t="shared" si="13"/>
        <v>0.87542618399478023</v>
      </c>
      <c r="K13" s="26">
        <f t="shared" si="13"/>
        <v>1.0012230182731967</v>
      </c>
      <c r="L13" s="26">
        <f t="shared" si="13"/>
        <v>1.094541388540569</v>
      </c>
      <c r="M13" s="26">
        <f t="shared" si="13"/>
        <v>1</v>
      </c>
      <c r="N13" s="7"/>
      <c r="O13" s="7" t="s">
        <v>15</v>
      </c>
      <c r="P13" s="27">
        <v>4.4999999999999998E-2</v>
      </c>
      <c r="Q13" s="27">
        <v>5.0999999999999997E-2</v>
      </c>
      <c r="R13" s="27">
        <v>0.05</v>
      </c>
      <c r="S13" s="27">
        <v>2.5000000000000001E-2</v>
      </c>
      <c r="T13" s="27">
        <v>-2.3E-2</v>
      </c>
      <c r="U13" s="28"/>
      <c r="V13" s="7"/>
      <c r="W13" s="7"/>
      <c r="X13" s="7"/>
      <c r="Y13" s="7"/>
      <c r="Z13" s="7"/>
    </row>
    <row r="14" spans="1:26" ht="15" customHeight="1" x14ac:dyDescent="0.3">
      <c r="A14" s="23" t="str">
        <f ca="1">IFERROR(__xludf.DUMMYFUNCTION("""COMPUTED_VALUE"""),"Greece")</f>
        <v>Greece</v>
      </c>
      <c r="B14" s="24">
        <v>242315668619</v>
      </c>
      <c r="C14" s="24">
        <v>269073415333</v>
      </c>
      <c r="D14" s="24">
        <v>314226996944</v>
      </c>
      <c r="E14" s="24">
        <v>351121399546</v>
      </c>
      <c r="F14" s="24">
        <v>326829054686</v>
      </c>
      <c r="G14" s="25"/>
      <c r="H14" s="7" t="str">
        <f t="shared" ca="1" si="1"/>
        <v>Greece</v>
      </c>
      <c r="I14" s="26">
        <f t="shared" ref="I14:M14" si="14">IFERROR(B14/$F14,"")</f>
        <v>0.74141409750673493</v>
      </c>
      <c r="J14" s="26">
        <f t="shared" si="14"/>
        <v>0.82328486857299588</v>
      </c>
      <c r="K14" s="26">
        <f t="shared" si="14"/>
        <v>0.96144143991693953</v>
      </c>
      <c r="L14" s="26">
        <f t="shared" si="14"/>
        <v>1.0743273724037137</v>
      </c>
      <c r="M14" s="26">
        <f t="shared" si="14"/>
        <v>1</v>
      </c>
      <c r="N14" s="7"/>
      <c r="O14" s="7" t="s">
        <v>16</v>
      </c>
      <c r="P14" s="27">
        <v>6.2E-2</v>
      </c>
      <c r="Q14" s="27">
        <v>6.5000000000000002E-2</v>
      </c>
      <c r="R14" s="27">
        <v>6.4000000000000001E-2</v>
      </c>
      <c r="S14" s="27">
        <v>0.06</v>
      </c>
      <c r="T14" s="27">
        <v>-5.5E-2</v>
      </c>
      <c r="U14" s="28"/>
      <c r="V14" s="7"/>
      <c r="W14" s="7"/>
      <c r="X14" s="7"/>
      <c r="Y14" s="7"/>
      <c r="Z14" s="7"/>
    </row>
    <row r="15" spans="1:26" ht="15" customHeight="1" x14ac:dyDescent="0.3">
      <c r="A15" s="23" t="str">
        <f ca="1">IFERROR(__xludf.DUMMYFUNCTION("""COMPUTED_VALUE"""),"Hong Kong")</f>
        <v>Hong Kong</v>
      </c>
      <c r="B15" s="24">
        <v>181569311742</v>
      </c>
      <c r="C15" s="24">
        <v>193535442896</v>
      </c>
      <c r="D15" s="24">
        <v>211596944503</v>
      </c>
      <c r="E15" s="24">
        <v>219278749139</v>
      </c>
      <c r="F15" s="24">
        <v>214047795659</v>
      </c>
      <c r="G15" s="25"/>
      <c r="H15" s="7" t="str">
        <f t="shared" ca="1" si="1"/>
        <v>Hong Kong</v>
      </c>
      <c r="I15" s="26">
        <f t="shared" ref="I15:M15" si="15">IFERROR(B15/$F15,"")</f>
        <v>0.84826527263685747</v>
      </c>
      <c r="J15" s="26">
        <f t="shared" si="15"/>
        <v>0.90416928751895076</v>
      </c>
      <c r="K15" s="26">
        <f t="shared" si="15"/>
        <v>0.98854998179983855</v>
      </c>
      <c r="L15" s="26">
        <f t="shared" si="15"/>
        <v>1.0244382497091138</v>
      </c>
      <c r="M15" s="26">
        <f t="shared" si="15"/>
        <v>1</v>
      </c>
      <c r="N15" s="7"/>
      <c r="O15" s="7" t="s">
        <v>18</v>
      </c>
      <c r="P15" s="27">
        <v>6.3E-2</v>
      </c>
      <c r="Q15" s="27">
        <v>6.8000000000000005E-2</v>
      </c>
      <c r="R15" s="27">
        <v>5.5E-2</v>
      </c>
      <c r="S15" s="27">
        <v>2.5000000000000001E-2</v>
      </c>
      <c r="T15" s="27">
        <v>-4.7E-2</v>
      </c>
      <c r="U15" s="28"/>
      <c r="V15" s="7"/>
      <c r="W15" s="7"/>
      <c r="X15" s="7"/>
      <c r="Y15" s="7"/>
      <c r="Z15" s="7"/>
    </row>
    <row r="16" spans="1:26" ht="15" customHeight="1" x14ac:dyDescent="0.3">
      <c r="A16" s="23" t="str">
        <f ca="1">IFERROR(__xludf.DUMMYFUNCTION("""COMPUTED_VALUE"""),"Hungary")</f>
        <v>Hungary</v>
      </c>
      <c r="B16" s="24">
        <v>113211158292</v>
      </c>
      <c r="C16" s="24">
        <v>115715618613</v>
      </c>
      <c r="D16" s="24">
        <v>140186716681</v>
      </c>
      <c r="E16" s="24">
        <v>158325614580</v>
      </c>
      <c r="F16" s="24">
        <v>131069255620</v>
      </c>
      <c r="G16" s="25"/>
      <c r="H16" s="7" t="str">
        <f t="shared" ca="1" si="1"/>
        <v>Hungary</v>
      </c>
      <c r="I16" s="26">
        <f t="shared" ref="I16:M16" si="16">IFERROR(B16/$F16,"")</f>
        <v>0.86375067712465892</v>
      </c>
      <c r="J16" s="26">
        <f t="shared" si="16"/>
        <v>0.88285859308216619</v>
      </c>
      <c r="K16" s="26">
        <f t="shared" si="16"/>
        <v>1.069562164047331</v>
      </c>
      <c r="L16" s="26">
        <f t="shared" si="16"/>
        <v>1.2079538701205603</v>
      </c>
      <c r="M16" s="26">
        <f t="shared" si="16"/>
        <v>1</v>
      </c>
      <c r="N16" s="7"/>
      <c r="O16" s="7" t="s">
        <v>19</v>
      </c>
      <c r="P16" s="27">
        <v>2.3E-2</v>
      </c>
      <c r="Q16" s="27">
        <v>5.5E-2</v>
      </c>
      <c r="R16" s="27">
        <v>3.5000000000000003E-2</v>
      </c>
      <c r="S16" s="27">
        <v>0.01</v>
      </c>
      <c r="T16" s="27">
        <v>-4.2999999999999997E-2</v>
      </c>
      <c r="U16" s="28"/>
      <c r="V16" s="7"/>
      <c r="W16" s="7"/>
      <c r="X16" s="7"/>
      <c r="Y16" s="7"/>
      <c r="Z16" s="7"/>
    </row>
    <row r="17" spans="1:26" ht="15" customHeight="1" x14ac:dyDescent="0.3">
      <c r="A17" s="23" t="str">
        <f ca="1">IFERROR(__xludf.DUMMYFUNCTION("""COMPUTED_VALUE"""),"India")</f>
        <v>India</v>
      </c>
      <c r="B17" s="24">
        <v>820383763511</v>
      </c>
      <c r="C17" s="24">
        <v>940259888787</v>
      </c>
      <c r="D17" s="24">
        <v>1216736438834</v>
      </c>
      <c r="E17" s="24">
        <v>1198895139005</v>
      </c>
      <c r="F17" s="24">
        <v>1341888016994</v>
      </c>
      <c r="G17" s="25"/>
      <c r="H17" s="7" t="str">
        <f t="shared" ca="1" si="1"/>
        <v>India</v>
      </c>
      <c r="I17" s="26">
        <f t="shared" ref="I17:M17" si="17">IFERROR(B17/$F17,"")</f>
        <v>0.61136529510768278</v>
      </c>
      <c r="J17" s="26">
        <f t="shared" si="17"/>
        <v>0.70069922145463515</v>
      </c>
      <c r="K17" s="26">
        <f t="shared" si="17"/>
        <v>0.90673470768421094</v>
      </c>
      <c r="L17" s="26">
        <f t="shared" si="17"/>
        <v>0.89343903799862356</v>
      </c>
      <c r="M17" s="26">
        <f t="shared" si="17"/>
        <v>1</v>
      </c>
      <c r="N17" s="7"/>
      <c r="O17" s="7" t="s">
        <v>20</v>
      </c>
      <c r="P17" s="27">
        <v>0.04</v>
      </c>
      <c r="Q17" s="27">
        <v>0.04</v>
      </c>
      <c r="R17" s="27">
        <v>1.0999999999999999E-2</v>
      </c>
      <c r="S17" s="27">
        <v>8.9999999999999993E-3</v>
      </c>
      <c r="T17" s="27">
        <v>-6.6000000000000003E-2</v>
      </c>
      <c r="U17" s="28"/>
      <c r="V17" s="7"/>
      <c r="W17" s="7"/>
      <c r="X17" s="7"/>
      <c r="Y17" s="7"/>
      <c r="Z17" s="7"/>
    </row>
    <row r="18" spans="1:26" ht="15" customHeight="1" x14ac:dyDescent="0.3">
      <c r="A18" s="23" t="str">
        <f ca="1">IFERROR(__xludf.DUMMYFUNCTION("""COMPUTED_VALUE"""),"Indonesia")</f>
        <v>Indonesia</v>
      </c>
      <c r="B18" s="24">
        <v>285868619196</v>
      </c>
      <c r="C18" s="24">
        <v>364570515618</v>
      </c>
      <c r="D18" s="24">
        <v>432216737774</v>
      </c>
      <c r="E18" s="24">
        <v>510228634992</v>
      </c>
      <c r="F18" s="24">
        <v>539580085612</v>
      </c>
      <c r="G18" s="25"/>
      <c r="H18" s="7" t="str">
        <f t="shared" ca="1" si="1"/>
        <v>Indonesia</v>
      </c>
      <c r="I18" s="26">
        <f t="shared" ref="I18:M18" si="18">IFERROR(B18/$F18,"")</f>
        <v>0.52979831320454207</v>
      </c>
      <c r="J18" s="26">
        <f t="shared" si="18"/>
        <v>0.67565598757133249</v>
      </c>
      <c r="K18" s="26">
        <f t="shared" si="18"/>
        <v>0.80102425812059608</v>
      </c>
      <c r="L18" s="26">
        <f t="shared" si="18"/>
        <v>0.94560316178698633</v>
      </c>
      <c r="M18" s="26">
        <f t="shared" si="18"/>
        <v>1</v>
      </c>
      <c r="N18" s="7"/>
      <c r="O18" s="7" t="s">
        <v>21</v>
      </c>
      <c r="P18" s="27">
        <v>3.5000000000000003E-2</v>
      </c>
      <c r="Q18" s="27">
        <v>6.2E-2</v>
      </c>
      <c r="R18" s="27">
        <v>6.8000000000000005E-2</v>
      </c>
      <c r="S18" s="27">
        <v>5.0999999999999997E-2</v>
      </c>
      <c r="T18" s="27">
        <v>1.6E-2</v>
      </c>
      <c r="U18" s="28"/>
      <c r="V18" s="7"/>
      <c r="W18" s="7"/>
      <c r="X18" s="7"/>
      <c r="Y18" s="7"/>
      <c r="Z18" s="7"/>
    </row>
    <row r="19" spans="1:26" ht="15" customHeight="1" x14ac:dyDescent="0.3">
      <c r="A19" s="23" t="str">
        <f ca="1">IFERROR(__xludf.DUMMYFUNCTION("""COMPUTED_VALUE"""),"Italy")</f>
        <v>Italy</v>
      </c>
      <c r="B19" s="24">
        <v>1864982261286</v>
      </c>
      <c r="C19" s="24">
        <v>1958563654385</v>
      </c>
      <c r="D19" s="24">
        <v>2222524108127</v>
      </c>
      <c r="E19" s="24">
        <v>2417508414187</v>
      </c>
      <c r="F19" s="24">
        <v>2209484319012</v>
      </c>
      <c r="G19" s="25"/>
      <c r="H19" s="7" t="str">
        <f t="shared" ca="1" si="1"/>
        <v>Italy</v>
      </c>
      <c r="I19" s="26">
        <f t="shared" ref="I19:M19" si="19">IFERROR(B19/$F19,"")</f>
        <v>0.84408033369521784</v>
      </c>
      <c r="J19" s="26">
        <f t="shared" si="19"/>
        <v>0.88643473842837572</v>
      </c>
      <c r="K19" s="26">
        <f t="shared" si="19"/>
        <v>1.005901734175163</v>
      </c>
      <c r="L19" s="26">
        <f t="shared" si="19"/>
        <v>1.0941505189174734</v>
      </c>
      <c r="M19" s="26">
        <f t="shared" si="19"/>
        <v>1</v>
      </c>
      <c r="N19" s="7"/>
      <c r="O19" s="7" t="s">
        <v>22</v>
      </c>
      <c r="P19" s="27">
        <v>5.5E-2</v>
      </c>
      <c r="Q19" s="27">
        <v>6.8000000000000005E-2</v>
      </c>
      <c r="R19" s="27">
        <v>0.06</v>
      </c>
      <c r="S19" s="27">
        <v>3.4000000000000002E-2</v>
      </c>
      <c r="T19" s="27">
        <v>-6.9000000000000006E-2</v>
      </c>
      <c r="U19" s="28"/>
      <c r="V19" s="7"/>
      <c r="W19" s="7"/>
      <c r="X19" s="7"/>
      <c r="Y19" s="7"/>
      <c r="Z19" s="7"/>
    </row>
    <row r="20" spans="1:26" ht="15" customHeight="1" x14ac:dyDescent="0.3">
      <c r="A20" s="23" t="str">
        <f ca="1">IFERROR(__xludf.DUMMYFUNCTION("""COMPUTED_VALUE"""),"Japan")</f>
        <v>Japan</v>
      </c>
      <c r="B20" s="24">
        <v>4831467035389</v>
      </c>
      <c r="C20" s="24">
        <v>4601663122649</v>
      </c>
      <c r="D20" s="24">
        <v>4579750920354</v>
      </c>
      <c r="E20" s="24">
        <v>5106679115127</v>
      </c>
      <c r="F20" s="24">
        <v>5289493117993</v>
      </c>
      <c r="G20" s="25"/>
      <c r="H20" s="7" t="str">
        <f t="shared" ca="1" si="1"/>
        <v>Japan</v>
      </c>
      <c r="I20" s="26">
        <f t="shared" ref="I20:M20" si="20">IFERROR(B20/$F20,"")</f>
        <v>0.9134083224258378</v>
      </c>
      <c r="J20" s="26">
        <f t="shared" si="20"/>
        <v>0.86996296620478741</v>
      </c>
      <c r="K20" s="26">
        <f t="shared" si="20"/>
        <v>0.86582037601585948</v>
      </c>
      <c r="L20" s="26">
        <f t="shared" si="20"/>
        <v>0.96543827569334939</v>
      </c>
      <c r="M20" s="26">
        <f t="shared" si="20"/>
        <v>1</v>
      </c>
      <c r="N20" s="7"/>
      <c r="O20" s="7" t="s">
        <v>23</v>
      </c>
      <c r="P20" s="27">
        <v>4.2000000000000003E-2</v>
      </c>
      <c r="Q20" s="27">
        <v>7.9000000000000001E-2</v>
      </c>
      <c r="R20" s="27">
        <v>6.3E-2</v>
      </c>
      <c r="S20" s="27">
        <v>7.0999999999999994E-2</v>
      </c>
      <c r="T20" s="27">
        <v>-6.6000000000000003E-2</v>
      </c>
      <c r="U20" s="28"/>
      <c r="V20" s="7"/>
      <c r="W20" s="7"/>
      <c r="X20" s="7"/>
      <c r="Y20" s="7"/>
      <c r="Z20" s="7"/>
    </row>
    <row r="21" spans="1:26" ht="15" customHeight="1" x14ac:dyDescent="0.3">
      <c r="A21" s="23" t="str">
        <f ca="1">IFERROR(__xludf.DUMMYFUNCTION("""COMPUTED_VALUE"""),"Macau")</f>
        <v>Macau</v>
      </c>
      <c r="B21" s="24">
        <v>12160056122</v>
      </c>
      <c r="C21" s="24">
        <v>14874098691</v>
      </c>
      <c r="D21" s="24">
        <v>18439981612</v>
      </c>
      <c r="E21" s="24">
        <v>21027018332</v>
      </c>
      <c r="F21" s="24">
        <v>21587786905</v>
      </c>
      <c r="G21" s="25"/>
      <c r="H21" s="7" t="str">
        <f t="shared" ca="1" si="1"/>
        <v>Macau</v>
      </c>
      <c r="I21" s="26">
        <f t="shared" ref="I21:M21" si="21">IFERROR(B21/$F21,"")</f>
        <v>0.56328405387323788</v>
      </c>
      <c r="J21" s="26">
        <f t="shared" si="21"/>
        <v>0.68900525822565784</v>
      </c>
      <c r="K21" s="26">
        <f t="shared" si="21"/>
        <v>0.85418582706729751</v>
      </c>
      <c r="L21" s="26">
        <f t="shared" si="21"/>
        <v>0.97402380450262283</v>
      </c>
      <c r="M21" s="26">
        <f t="shared" si="21"/>
        <v>1</v>
      </c>
      <c r="N21" s="7"/>
      <c r="O21" s="7" t="s">
        <v>24</v>
      </c>
      <c r="P21" s="27">
        <v>6.4000000000000001E-2</v>
      </c>
      <c r="Q21" s="27">
        <v>8.2000000000000003E-2</v>
      </c>
      <c r="R21" s="27">
        <v>8.5000000000000006E-2</v>
      </c>
      <c r="S21" s="27">
        <v>5.1999999999999998E-2</v>
      </c>
      <c r="T21" s="27">
        <v>-7.8E-2</v>
      </c>
      <c r="U21" s="28"/>
      <c r="V21" s="7"/>
      <c r="W21" s="7"/>
      <c r="X21" s="7"/>
      <c r="Y21" s="7"/>
      <c r="Z21" s="7"/>
    </row>
    <row r="22" spans="1:26" ht="15" customHeight="1" x14ac:dyDescent="0.3">
      <c r="A22" s="23" t="str">
        <f ca="1">IFERROR(__xludf.DUMMYFUNCTION("""COMPUTED_VALUE"""),"Malaysia")</f>
        <v>Malaysia</v>
      </c>
      <c r="B22" s="24">
        <v>143534405818</v>
      </c>
      <c r="C22" s="24">
        <v>162692258307</v>
      </c>
      <c r="D22" s="24">
        <v>193549569477</v>
      </c>
      <c r="E22" s="24">
        <v>230811614370</v>
      </c>
      <c r="F22" s="24">
        <v>202257453036</v>
      </c>
      <c r="G22" s="25"/>
      <c r="H22" s="7" t="str">
        <f t="shared" ca="1" si="1"/>
        <v>Malaysia</v>
      </c>
      <c r="I22" s="26">
        <f t="shared" ref="I22:M22" si="22">IFERROR(B22/$F22,"")</f>
        <v>0.70966188718124601</v>
      </c>
      <c r="J22" s="26">
        <f t="shared" si="22"/>
        <v>0.80438201838743739</v>
      </c>
      <c r="K22" s="26">
        <f t="shared" si="22"/>
        <v>0.95694653804698082</v>
      </c>
      <c r="L22" s="26">
        <f t="shared" si="22"/>
        <v>1.1411773010358122</v>
      </c>
      <c r="M22" s="26">
        <f t="shared" si="22"/>
        <v>1</v>
      </c>
      <c r="N22" s="7"/>
      <c r="O22" s="7" t="s">
        <v>25</v>
      </c>
      <c r="P22" s="27">
        <v>2.7E-2</v>
      </c>
      <c r="Q22" s="27">
        <v>7.2999999999999995E-2</v>
      </c>
      <c r="R22" s="27">
        <v>7.9000000000000001E-2</v>
      </c>
      <c r="S22" s="27">
        <v>2.3E-2</v>
      </c>
      <c r="T22" s="27">
        <v>-0.151</v>
      </c>
      <c r="U22" s="28"/>
      <c r="V22" s="7"/>
      <c r="W22" s="7"/>
      <c r="X22" s="7"/>
      <c r="Y22" s="7"/>
      <c r="Z22" s="7"/>
    </row>
    <row r="23" spans="1:26" ht="15" customHeight="1" x14ac:dyDescent="0.3">
      <c r="A23" s="23" t="str">
        <f ca="1">IFERROR(__xludf.DUMMYFUNCTION("""COMPUTED_VALUE"""),"Mexico")</f>
        <v>Mexico</v>
      </c>
      <c r="B23" s="24">
        <v>917571853529</v>
      </c>
      <c r="C23" s="24">
        <v>1020265057882</v>
      </c>
      <c r="D23" s="24">
        <v>1102355554971</v>
      </c>
      <c r="E23" s="24">
        <v>1161553459715</v>
      </c>
      <c r="F23" s="24">
        <v>943437415024</v>
      </c>
      <c r="G23" s="25"/>
      <c r="H23" s="7" t="str">
        <f t="shared" ca="1" si="1"/>
        <v>Mexico</v>
      </c>
      <c r="I23" s="26">
        <f t="shared" ref="I23:M23" si="23">IFERROR(B23/$F23,"")</f>
        <v>0.97258370180883491</v>
      </c>
      <c r="J23" s="26">
        <f t="shared" si="23"/>
        <v>1.0814337460381998</v>
      </c>
      <c r="K23" s="26">
        <f t="shared" si="23"/>
        <v>1.16844587400952</v>
      </c>
      <c r="L23" s="26">
        <f t="shared" si="23"/>
        <v>1.231192913507094</v>
      </c>
      <c r="M23" s="26">
        <f t="shared" si="23"/>
        <v>1</v>
      </c>
      <c r="N23" s="7"/>
      <c r="O23" s="7" t="s">
        <v>26</v>
      </c>
      <c r="P23" s="27">
        <v>1.7000000000000001E-2</v>
      </c>
      <c r="Q23" s="27">
        <v>2.4E-2</v>
      </c>
      <c r="R23" s="27">
        <v>2.3E-2</v>
      </c>
      <c r="S23" s="27">
        <v>2E-3</v>
      </c>
      <c r="T23" s="27">
        <v>-2.9000000000000001E-2</v>
      </c>
      <c r="U23" s="28"/>
      <c r="V23" s="7"/>
      <c r="W23" s="7"/>
      <c r="X23" s="7"/>
      <c r="Y23" s="7"/>
      <c r="Z23" s="7"/>
    </row>
    <row r="24" spans="1:26" ht="15" customHeight="1" x14ac:dyDescent="0.3">
      <c r="A24" s="23" t="str">
        <f ca="1">IFERROR(__xludf.DUMMYFUNCTION("""COMPUTED_VALUE"""),"Poland")</f>
        <v>Poland</v>
      </c>
      <c r="B24" s="24">
        <v>306999913150</v>
      </c>
      <c r="C24" s="24">
        <v>345897630736</v>
      </c>
      <c r="D24" s="24">
        <v>429715132137</v>
      </c>
      <c r="E24" s="24">
        <v>535612030671</v>
      </c>
      <c r="F24" s="24">
        <v>440891472247</v>
      </c>
      <c r="G24" s="25"/>
      <c r="H24" s="7" t="str">
        <f t="shared" ca="1" si="1"/>
        <v>Poland</v>
      </c>
      <c r="I24" s="26">
        <f t="shared" ref="I24:M24" si="24">IFERROR(B24/$F24,"")</f>
        <v>0.69631628751034191</v>
      </c>
      <c r="J24" s="26">
        <f t="shared" si="24"/>
        <v>0.78454144048905139</v>
      </c>
      <c r="K24" s="26">
        <f t="shared" si="24"/>
        <v>0.97465058679171124</v>
      </c>
      <c r="L24" s="26">
        <f t="shared" si="24"/>
        <v>1.214838717431429</v>
      </c>
      <c r="M24" s="26">
        <f t="shared" si="24"/>
        <v>1</v>
      </c>
      <c r="N24" s="7"/>
      <c r="O24" s="7" t="s">
        <v>28</v>
      </c>
      <c r="P24" s="27">
        <v>7.0000000000000001E-3</v>
      </c>
      <c r="Q24" s="27">
        <v>3.9E-2</v>
      </c>
      <c r="R24" s="27">
        <v>3.4000000000000002E-2</v>
      </c>
      <c r="S24" s="27">
        <v>0.01</v>
      </c>
      <c r="T24" s="27">
        <v>-5.6000000000000001E-2</v>
      </c>
      <c r="U24" s="28"/>
      <c r="V24" s="7"/>
      <c r="W24" s="7"/>
      <c r="X24" s="7"/>
      <c r="Y24" s="7"/>
      <c r="Z24" s="7"/>
    </row>
    <row r="25" spans="1:26" ht="15" customHeight="1" x14ac:dyDescent="0.3">
      <c r="A25" s="23" t="str">
        <f ca="1">IFERROR(__xludf.DUMMYFUNCTION("""COMPUTED_VALUE"""),"Qatar")</f>
        <v>Qatar</v>
      </c>
      <c r="B25" s="24">
        <v>44530494505</v>
      </c>
      <c r="C25" s="24">
        <v>60882142857</v>
      </c>
      <c r="D25" s="24">
        <v>79712087912</v>
      </c>
      <c r="E25" s="24">
        <v>115270054945</v>
      </c>
      <c r="F25" s="24">
        <v>97798351648</v>
      </c>
      <c r="G25" s="25"/>
      <c r="H25" s="7" t="str">
        <f t="shared" ca="1" si="1"/>
        <v>Qatar</v>
      </c>
      <c r="I25" s="26">
        <f t="shared" ref="I25:M25" si="25">IFERROR(B25/$F25,"")</f>
        <v>0.45532970397370354</v>
      </c>
      <c r="J25" s="26">
        <f t="shared" si="25"/>
        <v>0.62252729039983834</v>
      </c>
      <c r="K25" s="26">
        <f t="shared" si="25"/>
        <v>0.81506576101510531</v>
      </c>
      <c r="L25" s="26">
        <f t="shared" si="25"/>
        <v>1.1786502840036088</v>
      </c>
      <c r="M25" s="26">
        <f t="shared" si="25"/>
        <v>1</v>
      </c>
      <c r="N25" s="7"/>
      <c r="O25" s="7" t="s">
        <v>29</v>
      </c>
      <c r="P25" s="27">
        <v>8.9999999999999993E-3</v>
      </c>
      <c r="Q25" s="27">
        <v>2.1999999999999999E-2</v>
      </c>
      <c r="R25" s="27">
        <v>1.4999999999999999E-2</v>
      </c>
      <c r="S25" s="27">
        <v>-0.01</v>
      </c>
      <c r="T25" s="27">
        <v>-5.5E-2</v>
      </c>
      <c r="U25" s="28"/>
      <c r="V25" s="7"/>
      <c r="W25" s="7"/>
      <c r="X25" s="7"/>
      <c r="Y25" s="7"/>
      <c r="Z25" s="7"/>
    </row>
    <row r="26" spans="1:26" ht="15" customHeight="1" x14ac:dyDescent="0.3">
      <c r="A26" s="23" t="str">
        <f ca="1">IFERROR(__xludf.DUMMYFUNCTION("""COMPUTED_VALUE"""),"Rest of Eastern Europe")</f>
        <v>Rest of Eastern Europe</v>
      </c>
      <c r="B26" s="24">
        <v>685798295017</v>
      </c>
      <c r="C26" s="24">
        <v>774253780224</v>
      </c>
      <c r="D26" s="24">
        <v>978964145800</v>
      </c>
      <c r="E26" s="24">
        <v>1199240526256</v>
      </c>
      <c r="F26" s="24">
        <v>1005066944461</v>
      </c>
      <c r="G26" s="25"/>
      <c r="H26" s="7" t="str">
        <f t="shared" ca="1" si="1"/>
        <v>Rest of Eastern Europe</v>
      </c>
      <c r="I26" s="26">
        <f t="shared" ref="I26:M26" si="26">IFERROR(B26/$F26,"")</f>
        <v>0.68234091151488596</v>
      </c>
      <c r="J26" s="26">
        <f t="shared" si="26"/>
        <v>0.77035045724165063</v>
      </c>
      <c r="K26" s="26">
        <f t="shared" si="26"/>
        <v>0.97402879598731751</v>
      </c>
      <c r="L26" s="26">
        <f t="shared" si="26"/>
        <v>1.1931946751060765</v>
      </c>
      <c r="M26" s="26">
        <f t="shared" si="26"/>
        <v>1</v>
      </c>
      <c r="N26" s="7"/>
      <c r="O26" s="7" t="s">
        <v>30</v>
      </c>
      <c r="P26" s="27">
        <v>3.1E-2</v>
      </c>
      <c r="Q26" s="27">
        <v>0.04</v>
      </c>
      <c r="R26" s="27">
        <v>3.2000000000000001E-2</v>
      </c>
      <c r="S26" s="27">
        <v>5.0000000000000001E-3</v>
      </c>
      <c r="T26" s="27">
        <v>-0.04</v>
      </c>
      <c r="U26" s="28"/>
      <c r="V26" s="7"/>
      <c r="W26" s="7"/>
      <c r="X26" s="7"/>
      <c r="Y26" s="7"/>
      <c r="Z26" s="7"/>
    </row>
    <row r="27" spans="1:26" ht="15" customHeight="1" x14ac:dyDescent="0.3">
      <c r="A27" s="23" t="str">
        <f ca="1">IFERROR(__xludf.DUMMYFUNCTION("""COMPUTED_VALUE"""),"Rest of Europe")</f>
        <v>Rest of Europe</v>
      </c>
      <c r="B27" s="24">
        <v>11336503103088</v>
      </c>
      <c r="C27" s="24">
        <v>12030616213648</v>
      </c>
      <c r="D27" s="24">
        <v>13783153642657</v>
      </c>
      <c r="E27" s="24">
        <v>14676526156445</v>
      </c>
      <c r="F27" s="24">
        <v>13177742842614</v>
      </c>
      <c r="G27" s="25"/>
      <c r="H27" s="7" t="str">
        <f t="shared" ca="1" si="1"/>
        <v>Rest of Europe</v>
      </c>
      <c r="I27" s="26">
        <f t="shared" ref="I27:M27" si="27">IFERROR(B27/$F27,"")</f>
        <v>0.86027654648322438</v>
      </c>
      <c r="J27" s="26">
        <f t="shared" si="27"/>
        <v>0.91294968776773833</v>
      </c>
      <c r="K27" s="26">
        <f t="shared" si="27"/>
        <v>1.0459419194374648</v>
      </c>
      <c r="L27" s="26">
        <f t="shared" si="27"/>
        <v>1.1137359661462094</v>
      </c>
      <c r="M27" s="26">
        <f t="shared" si="27"/>
        <v>1</v>
      </c>
      <c r="N27" s="7"/>
      <c r="O27" s="7" t="s">
        <v>31</v>
      </c>
      <c r="P27" s="27">
        <v>2.8000000000000001E-2</v>
      </c>
      <c r="Q27" s="27">
        <v>4.2000000000000003E-2</v>
      </c>
      <c r="R27" s="27">
        <v>3.2000000000000001E-2</v>
      </c>
      <c r="S27" s="27">
        <v>-1E-3</v>
      </c>
      <c r="T27" s="27">
        <v>-4.5999999999999999E-2</v>
      </c>
      <c r="U27" s="28"/>
      <c r="V27" s="7"/>
      <c r="W27" s="7"/>
      <c r="X27" s="7"/>
      <c r="Y27" s="7"/>
      <c r="Z27" s="7"/>
    </row>
    <row r="28" spans="1:26" ht="15" customHeight="1" x14ac:dyDescent="0.3">
      <c r="A28" s="23" t="str">
        <f ca="1">IFERROR(__xludf.DUMMYFUNCTION("""COMPUTED_VALUE"""),"Rest of Middle East")</f>
        <v>Rest of Middle East</v>
      </c>
      <c r="B28" s="24">
        <v>553607571234</v>
      </c>
      <c r="C28" s="24">
        <v>659898818233</v>
      </c>
      <c r="D28" s="24">
        <v>753592731009</v>
      </c>
      <c r="E28" s="24">
        <v>950541470683</v>
      </c>
      <c r="F28" s="24">
        <v>780443577062</v>
      </c>
      <c r="G28" s="25"/>
      <c r="H28" s="7" t="str">
        <f t="shared" ca="1" si="1"/>
        <v>Rest of Middle East</v>
      </c>
      <c r="I28" s="26">
        <f t="shared" ref="I28:M28" si="28">IFERROR(B28/$F28,"")</f>
        <v>0.70934989729567643</v>
      </c>
      <c r="J28" s="26">
        <f t="shared" si="28"/>
        <v>0.84554327516821415</v>
      </c>
      <c r="K28" s="26">
        <f t="shared" si="28"/>
        <v>0.96559540389315435</v>
      </c>
      <c r="L28" s="26">
        <f t="shared" si="28"/>
        <v>1.2179502767661154</v>
      </c>
      <c r="M28" s="26">
        <f t="shared" si="28"/>
        <v>1</v>
      </c>
      <c r="N28" s="7"/>
      <c r="O28" s="7" t="s">
        <v>32</v>
      </c>
      <c r="P28" s="27">
        <v>3.5999999999999997E-2</v>
      </c>
      <c r="Q28" s="27">
        <v>4.1000000000000002E-2</v>
      </c>
      <c r="R28" s="27">
        <v>3.7999999999999999E-2</v>
      </c>
      <c r="S28" s="27">
        <v>1.0999999999999999E-2</v>
      </c>
      <c r="T28" s="27">
        <v>-3.7999999999999999E-2</v>
      </c>
      <c r="U28" s="28"/>
      <c r="V28" s="7"/>
      <c r="W28" s="7"/>
      <c r="X28" s="7"/>
      <c r="Y28" s="7"/>
      <c r="Z28" s="7"/>
    </row>
    <row r="29" spans="1:26" ht="15" customHeight="1" x14ac:dyDescent="0.3">
      <c r="A29" s="23" t="str">
        <f ca="1">IFERROR(__xludf.DUMMYFUNCTION("""COMPUTED_VALUE"""),"Romania")</f>
        <v>Romania</v>
      </c>
      <c r="B29" s="24">
        <v>98454380120</v>
      </c>
      <c r="C29" s="24">
        <v>122023735992</v>
      </c>
      <c r="D29" s="24">
        <v>174588782938</v>
      </c>
      <c r="E29" s="24">
        <v>214315932061</v>
      </c>
      <c r="F29" s="24">
        <v>174110532658</v>
      </c>
      <c r="G29" s="25"/>
      <c r="H29" s="7" t="str">
        <f t="shared" ca="1" si="1"/>
        <v>Romania</v>
      </c>
      <c r="I29" s="26">
        <f t="shared" ref="I29:M29" si="29">IFERROR(B29/$F29,"")</f>
        <v>0.56547055836875149</v>
      </c>
      <c r="J29" s="26">
        <f t="shared" si="29"/>
        <v>0.70084063341353098</v>
      </c>
      <c r="K29" s="26">
        <f t="shared" si="29"/>
        <v>1.0027468199235219</v>
      </c>
      <c r="L29" s="26">
        <f t="shared" si="29"/>
        <v>1.2309188237449955</v>
      </c>
      <c r="M29" s="26">
        <f t="shared" si="29"/>
        <v>1</v>
      </c>
      <c r="N29" s="7"/>
      <c r="O29" s="7" t="s">
        <v>33</v>
      </c>
      <c r="P29" s="27">
        <v>2.8000000000000001E-2</v>
      </c>
      <c r="Q29" s="27">
        <v>2.5999999999999999E-2</v>
      </c>
      <c r="R29" s="27">
        <v>2.5999999999999999E-2</v>
      </c>
      <c r="S29" s="27">
        <v>-3.0000000000000001E-3</v>
      </c>
      <c r="T29" s="27">
        <v>-4.2999999999999997E-2</v>
      </c>
      <c r="U29" s="28"/>
      <c r="V29" s="7"/>
      <c r="W29" s="7"/>
      <c r="X29" s="7"/>
      <c r="Y29" s="7"/>
      <c r="Z29" s="7"/>
    </row>
    <row r="30" spans="1:26" ht="15" customHeight="1" x14ac:dyDescent="0.3">
      <c r="A30" s="23" t="str">
        <f ca="1">IFERROR(__xludf.DUMMYFUNCTION("""COMPUTED_VALUE"""),"Russia")</f>
        <v>Russia</v>
      </c>
      <c r="B30" s="24">
        <v>764015973481</v>
      </c>
      <c r="C30" s="24">
        <v>989932071352</v>
      </c>
      <c r="D30" s="24">
        <v>1299703478481</v>
      </c>
      <c r="E30" s="24">
        <v>1660848058303</v>
      </c>
      <c r="F30" s="24">
        <v>1222645900055</v>
      </c>
      <c r="G30" s="25"/>
      <c r="H30" s="7" t="str">
        <f t="shared" ca="1" si="1"/>
        <v>Russia</v>
      </c>
      <c r="I30" s="26">
        <f t="shared" ref="I30:M30" si="30">IFERROR(B30/$F30,"")</f>
        <v>0.62488736391021404</v>
      </c>
      <c r="J30" s="26">
        <f t="shared" si="30"/>
        <v>0.80966375571820792</v>
      </c>
      <c r="K30" s="26">
        <f t="shared" si="30"/>
        <v>1.0630252621977743</v>
      </c>
      <c r="L30" s="26">
        <f t="shared" si="30"/>
        <v>1.3584047991559025</v>
      </c>
      <c r="M30" s="26">
        <f t="shared" si="30"/>
        <v>1</v>
      </c>
      <c r="N30" s="7"/>
      <c r="O30" s="7" t="s">
        <v>34</v>
      </c>
      <c r="P30" s="27">
        <v>9.1999999999999998E-2</v>
      </c>
      <c r="Q30" s="27">
        <v>8.5000000000000006E-2</v>
      </c>
      <c r="R30" s="27">
        <v>8.6999999999999994E-2</v>
      </c>
      <c r="S30" s="27">
        <v>6.8000000000000005E-2</v>
      </c>
      <c r="T30" s="27">
        <v>1E-3</v>
      </c>
      <c r="U30" s="28"/>
      <c r="V30" s="7"/>
      <c r="W30" s="7"/>
      <c r="X30" s="7"/>
      <c r="Y30" s="7"/>
      <c r="Z30" s="7"/>
    </row>
    <row r="31" spans="1:26" ht="15" customHeight="1" x14ac:dyDescent="0.3">
      <c r="A31" s="23" t="str">
        <f ca="1">IFERROR(__xludf.DUMMYFUNCTION("""COMPUTED_VALUE"""),"Saudi Arabia")</f>
        <v>Saudi Arabia</v>
      </c>
      <c r="B31" s="24">
        <v>328459608764</v>
      </c>
      <c r="C31" s="24">
        <v>376900133511</v>
      </c>
      <c r="D31" s="24">
        <v>415964509673</v>
      </c>
      <c r="E31" s="24">
        <v>519796800000</v>
      </c>
      <c r="F31" s="24">
        <v>429097866666</v>
      </c>
      <c r="G31" s="25"/>
      <c r="H31" s="7" t="str">
        <f t="shared" ca="1" si="1"/>
        <v>Saudi Arabia</v>
      </c>
      <c r="I31" s="26">
        <f t="shared" ref="I31:M31" si="31">IFERROR(B31/$F31,"")</f>
        <v>0.765465489996634</v>
      </c>
      <c r="J31" s="26">
        <f t="shared" si="31"/>
        <v>0.87835471296894252</v>
      </c>
      <c r="K31" s="26">
        <f t="shared" si="31"/>
        <v>0.96939309650955985</v>
      </c>
      <c r="L31" s="26">
        <f t="shared" si="31"/>
        <v>1.2113712054518275</v>
      </c>
      <c r="M31" s="26">
        <f t="shared" si="31"/>
        <v>1</v>
      </c>
      <c r="N31" s="7"/>
      <c r="O31" s="7" t="s">
        <v>36</v>
      </c>
      <c r="P31" s="27">
        <v>3.2000000000000001E-2</v>
      </c>
      <c r="Q31" s="27">
        <v>0.04</v>
      </c>
      <c r="R31" s="27">
        <v>6.0999999999999999E-2</v>
      </c>
      <c r="S31" s="27">
        <v>5.0999999999999997E-2</v>
      </c>
      <c r="T31" s="27">
        <v>-1E-3</v>
      </c>
      <c r="U31" s="28"/>
      <c r="V31" s="7"/>
      <c r="W31" s="7"/>
      <c r="X31" s="7"/>
      <c r="Y31" s="7"/>
      <c r="Z31" s="7"/>
    </row>
    <row r="32" spans="1:26" ht="15" customHeight="1" x14ac:dyDescent="0.3">
      <c r="A32" s="23" t="str">
        <f ca="1">IFERROR(__xludf.DUMMYFUNCTION("""COMPUTED_VALUE"""),"Scandinavia")</f>
        <v>Scandinavia</v>
      </c>
      <c r="B32" s="24">
        <v>966818996770</v>
      </c>
      <c r="C32" s="24">
        <v>1052831739700</v>
      </c>
      <c r="D32" s="24">
        <v>1212906574915</v>
      </c>
      <c r="E32" s="24">
        <v>1334513553500</v>
      </c>
      <c r="F32" s="24">
        <v>1144909357718</v>
      </c>
      <c r="G32" s="25"/>
      <c r="H32" s="7" t="str">
        <f t="shared" ca="1" si="1"/>
        <v>Scandinavia</v>
      </c>
      <c r="I32" s="26">
        <f t="shared" ref="I32:M32" si="32">IFERROR(B32/$F32,"")</f>
        <v>0.84445025298512322</v>
      </c>
      <c r="J32" s="26">
        <f t="shared" si="32"/>
        <v>0.91957649974883038</v>
      </c>
      <c r="K32" s="26">
        <f t="shared" si="32"/>
        <v>1.0593909174893374</v>
      </c>
      <c r="L32" s="26">
        <f t="shared" si="32"/>
        <v>1.1656062940737191</v>
      </c>
      <c r="M32" s="26">
        <f t="shared" si="32"/>
        <v>1</v>
      </c>
      <c r="N32" s="7"/>
      <c r="O32" s="7" t="s">
        <v>37</v>
      </c>
      <c r="P32" s="27">
        <v>6.3E-2</v>
      </c>
      <c r="Q32" s="27">
        <v>4.5999999999999999E-2</v>
      </c>
      <c r="R32" s="27">
        <v>5.1999999999999998E-2</v>
      </c>
      <c r="S32" s="27">
        <v>3.6999999999999998E-2</v>
      </c>
      <c r="T32" s="27">
        <v>-1.6E-2</v>
      </c>
      <c r="U32" s="28"/>
      <c r="V32" s="7"/>
      <c r="W32" s="7"/>
      <c r="X32" s="7"/>
      <c r="Y32" s="7"/>
      <c r="Z32" s="7"/>
    </row>
    <row r="33" spans="1:26" ht="15" customHeight="1" x14ac:dyDescent="0.3">
      <c r="A33" s="23" t="str">
        <f ca="1">IFERROR(__xludf.DUMMYFUNCTION("""COMPUTED_VALUE"""),"Singapore")</f>
        <v>Singapore</v>
      </c>
      <c r="B33" s="24">
        <v>127807848728</v>
      </c>
      <c r="C33" s="24">
        <v>148627286361</v>
      </c>
      <c r="D33" s="24">
        <v>180941701357</v>
      </c>
      <c r="E33" s="24">
        <v>193617323539</v>
      </c>
      <c r="F33" s="24">
        <v>194150283771</v>
      </c>
      <c r="G33" s="25"/>
      <c r="H33" s="7" t="str">
        <f t="shared" ca="1" si="1"/>
        <v>Singapore</v>
      </c>
      <c r="I33" s="26">
        <f t="shared" ref="I33:M33" si="33">IFERROR(B33/$F33,"")</f>
        <v>0.65829339131303655</v>
      </c>
      <c r="J33" s="26">
        <f t="shared" si="33"/>
        <v>0.76552701069603213</v>
      </c>
      <c r="K33" s="26">
        <f t="shared" si="33"/>
        <v>0.93196722581369229</v>
      </c>
      <c r="L33" s="26">
        <f t="shared" si="33"/>
        <v>0.99725490881780721</v>
      </c>
      <c r="M33" s="26">
        <f t="shared" si="33"/>
        <v>1</v>
      </c>
      <c r="N33" s="7"/>
      <c r="O33" s="7" t="s">
        <v>38</v>
      </c>
      <c r="P33" s="27">
        <v>5.7000000000000002E-2</v>
      </c>
      <c r="Q33" s="27">
        <v>6.7000000000000004E-2</v>
      </c>
      <c r="R33" s="27">
        <v>7.4999999999999997E-2</v>
      </c>
      <c r="S33" s="27">
        <v>3.5000000000000003E-2</v>
      </c>
      <c r="T33" s="27">
        <v>1.4999999999999999E-2</v>
      </c>
      <c r="U33" s="28"/>
      <c r="V33" s="7"/>
      <c r="W33" s="7"/>
      <c r="X33" s="7"/>
      <c r="Y33" s="7"/>
      <c r="Z33" s="7"/>
    </row>
    <row r="34" spans="1:26" ht="15" customHeight="1" x14ac:dyDescent="0.3">
      <c r="A34" s="23" t="str">
        <f ca="1">IFERROR(__xludf.DUMMYFUNCTION("""COMPUTED_VALUE"""),"South Korea")</f>
        <v>South Korea</v>
      </c>
      <c r="B34" s="24">
        <v>934901071332</v>
      </c>
      <c r="C34" s="24">
        <v>1053216909887</v>
      </c>
      <c r="D34" s="24">
        <v>1172614086539</v>
      </c>
      <c r="E34" s="24">
        <v>1047339010225</v>
      </c>
      <c r="F34" s="24">
        <v>943941876218</v>
      </c>
      <c r="G34" s="25"/>
      <c r="H34" s="7" t="str">
        <f t="shared" ca="1" si="1"/>
        <v>South Korea</v>
      </c>
      <c r="I34" s="26">
        <f t="shared" ref="I34:M34" si="34">IFERROR(B34/$F34,"")</f>
        <v>0.99042228646299402</v>
      </c>
      <c r="J34" s="26">
        <f t="shared" si="34"/>
        <v>1.1157645787543844</v>
      </c>
      <c r="K34" s="26">
        <f t="shared" si="34"/>
        <v>1.2422524268519568</v>
      </c>
      <c r="L34" s="26">
        <f t="shared" si="34"/>
        <v>1.1095376067234894</v>
      </c>
      <c r="M34" s="26">
        <f t="shared" si="34"/>
        <v>1</v>
      </c>
      <c r="N34" s="7"/>
      <c r="O34" s="7" t="s">
        <v>39</v>
      </c>
      <c r="P34" s="27">
        <v>3.2000000000000001E-2</v>
      </c>
      <c r="Q34" s="27">
        <v>4.8000000000000001E-2</v>
      </c>
      <c r="R34" s="27">
        <v>3.2000000000000001E-2</v>
      </c>
      <c r="S34" s="27">
        <v>1.0999999999999999E-2</v>
      </c>
      <c r="T34" s="27">
        <v>-6.5000000000000002E-2</v>
      </c>
      <c r="U34" s="28"/>
      <c r="V34" s="7"/>
      <c r="W34" s="7"/>
      <c r="X34" s="7"/>
      <c r="Y34" s="7"/>
      <c r="Z34" s="7"/>
    </row>
    <row r="35" spans="1:26" ht="15" customHeight="1" x14ac:dyDescent="0.3">
      <c r="A35" s="23" t="str">
        <f ca="1">IFERROR(__xludf.DUMMYFUNCTION("""COMPUTED_VALUE"""),"Spain")</f>
        <v>Spain</v>
      </c>
      <c r="B35" s="24">
        <v>1154667551775</v>
      </c>
      <c r="C35" s="24">
        <v>1261846683275</v>
      </c>
      <c r="D35" s="24">
        <v>1476746276854</v>
      </c>
      <c r="E35" s="24">
        <v>1636115447612</v>
      </c>
      <c r="F35" s="24">
        <v>1496587590847</v>
      </c>
      <c r="G35" s="25"/>
      <c r="H35" s="7" t="str">
        <f t="shared" ca="1" si="1"/>
        <v>Spain</v>
      </c>
      <c r="I35" s="26">
        <f t="shared" ref="I35:M35" si="35">IFERROR(B35/$F35,"")</f>
        <v>0.77153355997126172</v>
      </c>
      <c r="J35" s="26">
        <f t="shared" si="35"/>
        <v>0.84314923562933763</v>
      </c>
      <c r="K35" s="26">
        <f t="shared" si="35"/>
        <v>0.9867422968663192</v>
      </c>
      <c r="L35" s="26">
        <f t="shared" si="35"/>
        <v>1.0932306652937258</v>
      </c>
      <c r="M35" s="26">
        <f t="shared" si="35"/>
        <v>1</v>
      </c>
      <c r="N35" s="7"/>
      <c r="O35" s="7" t="s">
        <v>40</v>
      </c>
      <c r="P35" s="27">
        <v>4.4999999999999998E-2</v>
      </c>
      <c r="Q35" s="27">
        <v>6.8000000000000005E-2</v>
      </c>
      <c r="R35" s="27">
        <v>7.0999999999999994E-2</v>
      </c>
      <c r="S35" s="27">
        <v>7.1999999999999995E-2</v>
      </c>
      <c r="T35" s="27">
        <v>4.7E-2</v>
      </c>
      <c r="U35" s="28"/>
      <c r="V35" s="7"/>
      <c r="W35" s="7"/>
      <c r="X35" s="7"/>
      <c r="Y35" s="7"/>
      <c r="Z35" s="7"/>
    </row>
    <row r="36" spans="1:26" ht="15" customHeight="1" x14ac:dyDescent="0.3">
      <c r="A36" s="23" t="str">
        <f ca="1">IFERROR(__xludf.DUMMYFUNCTION("""COMPUTED_VALUE"""),"Taiwan")</f>
        <v>Taiwan</v>
      </c>
      <c r="B36" s="29">
        <v>374060000000</v>
      </c>
      <c r="C36" s="29">
        <v>386450000000</v>
      </c>
      <c r="D36" s="29">
        <v>406907000000</v>
      </c>
      <c r="E36" s="29">
        <v>415901000000</v>
      </c>
      <c r="F36" s="29">
        <v>390829000000</v>
      </c>
      <c r="G36" s="25"/>
      <c r="H36" s="7" t="str">
        <f t="shared" ca="1" si="1"/>
        <v>Taiwan</v>
      </c>
      <c r="I36" s="26">
        <f t="shared" ref="I36:M36" si="36">IFERROR(B36/$F36,"")</f>
        <v>0.95709376735093865</v>
      </c>
      <c r="J36" s="26">
        <f t="shared" si="36"/>
        <v>0.98879561137991301</v>
      </c>
      <c r="K36" s="26">
        <f t="shared" si="36"/>
        <v>1.0411381959885269</v>
      </c>
      <c r="L36" s="26">
        <f t="shared" si="36"/>
        <v>1.0641508178768719</v>
      </c>
      <c r="M36" s="26">
        <f t="shared" si="36"/>
        <v>1</v>
      </c>
      <c r="N36" s="7"/>
      <c r="O36" s="7" t="s">
        <v>42</v>
      </c>
      <c r="P36" s="27">
        <v>6.0999999999999999E-2</v>
      </c>
      <c r="Q36" s="27">
        <v>0.111</v>
      </c>
      <c r="R36" s="27">
        <v>0.14299999999999999</v>
      </c>
      <c r="S36" s="27">
        <v>0.16400000000000001</v>
      </c>
      <c r="T36" s="27">
        <v>0.12</v>
      </c>
      <c r="U36" s="28"/>
      <c r="V36" s="7"/>
      <c r="W36" s="7"/>
      <c r="X36" s="7"/>
      <c r="Y36" s="7"/>
      <c r="Z36" s="7"/>
    </row>
    <row r="37" spans="1:26" ht="15" customHeight="1" x14ac:dyDescent="0.3">
      <c r="A37" s="23" t="str">
        <f ca="1">IFERROR(__xludf.DUMMYFUNCTION("""COMPUTED_VALUE"""),"Thailand")</f>
        <v>Thailand</v>
      </c>
      <c r="B37" s="29">
        <v>189318408468</v>
      </c>
      <c r="C37" s="29">
        <v>221758296021</v>
      </c>
      <c r="D37" s="29">
        <v>262942621455</v>
      </c>
      <c r="E37" s="29">
        <v>291382982430</v>
      </c>
      <c r="F37" s="29">
        <v>281710630187</v>
      </c>
      <c r="G37" s="25"/>
      <c r="H37" s="7" t="str">
        <f t="shared" ca="1" si="1"/>
        <v>Thailand</v>
      </c>
      <c r="I37" s="26">
        <f t="shared" ref="I37:M37" si="37">IFERROR(B37/$F37,"")</f>
        <v>0.6720314683983708</v>
      </c>
      <c r="J37" s="26">
        <f t="shared" si="37"/>
        <v>0.78718469329253382</v>
      </c>
      <c r="K37" s="26">
        <f t="shared" si="37"/>
        <v>0.93337841486655382</v>
      </c>
      <c r="L37" s="26">
        <f t="shared" si="37"/>
        <v>1.0343343530791844</v>
      </c>
      <c r="M37" s="26">
        <f t="shared" si="37"/>
        <v>1</v>
      </c>
      <c r="N37" s="7"/>
      <c r="O37" s="7" t="s">
        <v>43</v>
      </c>
      <c r="P37" s="27">
        <v>5.1999999999999998E-2</v>
      </c>
      <c r="Q37" s="27">
        <v>5.7000000000000002E-2</v>
      </c>
      <c r="R37" s="27">
        <v>0.06</v>
      </c>
      <c r="S37" s="27">
        <v>4.2999999999999997E-2</v>
      </c>
      <c r="T37" s="27">
        <v>8.0000000000000002E-3</v>
      </c>
      <c r="U37" s="28"/>
      <c r="V37" s="7"/>
      <c r="W37" s="7"/>
      <c r="X37" s="7"/>
      <c r="Y37" s="7"/>
      <c r="Z37" s="7"/>
    </row>
    <row r="38" spans="1:26" ht="15" customHeight="1" x14ac:dyDescent="0.3">
      <c r="A38" s="23" t="str">
        <f ca="1">IFERROR(__xludf.DUMMYFUNCTION("""COMPUTED_VALUE"""),"U.A.E.")</f>
        <v>U.A.E.</v>
      </c>
      <c r="B38" s="29">
        <v>180617467964</v>
      </c>
      <c r="C38" s="29">
        <v>222116541865</v>
      </c>
      <c r="D38" s="29">
        <v>257916133424</v>
      </c>
      <c r="E38" s="29">
        <v>315474615738</v>
      </c>
      <c r="F38" s="29">
        <v>253547358747</v>
      </c>
      <c r="G38" s="25"/>
      <c r="H38" s="7" t="str">
        <f t="shared" ca="1" si="1"/>
        <v>U.A.E.</v>
      </c>
      <c r="I38" s="26">
        <f t="shared" ref="I38:M38" si="38">IFERROR(B38/$F38,"")</f>
        <v>0.71236185956181686</v>
      </c>
      <c r="J38" s="26">
        <f t="shared" si="38"/>
        <v>0.87603571562595939</v>
      </c>
      <c r="K38" s="26">
        <f t="shared" si="38"/>
        <v>1.0172306061423395</v>
      </c>
      <c r="L38" s="26">
        <f t="shared" si="38"/>
        <v>1.2442433527883585</v>
      </c>
      <c r="M38" s="26">
        <f t="shared" si="38"/>
        <v>1</v>
      </c>
      <c r="N38" s="7"/>
      <c r="O38" s="7" t="s">
        <v>44</v>
      </c>
      <c r="P38" s="27">
        <v>5.6000000000000001E-2</v>
      </c>
      <c r="Q38" s="27">
        <v>3.2000000000000001E-2</v>
      </c>
      <c r="R38" s="27">
        <v>0.02</v>
      </c>
      <c r="S38" s="27">
        <v>4.2000000000000003E-2</v>
      </c>
      <c r="T38" s="27">
        <v>1E-3</v>
      </c>
      <c r="U38" s="7"/>
      <c r="V38" s="7"/>
      <c r="W38" s="7"/>
      <c r="X38" s="7"/>
      <c r="Y38" s="7"/>
      <c r="Z38" s="7"/>
    </row>
    <row r="39" spans="1:26" ht="15" customHeight="1" x14ac:dyDescent="0.3">
      <c r="A39" s="23" t="str">
        <f ca="1">IFERROR(__xludf.DUMMYFUNCTION("""COMPUTED_VALUE"""),"U.K.")</f>
        <v>U.K.</v>
      </c>
      <c r="B39" s="29">
        <v>2543180000000</v>
      </c>
      <c r="C39" s="29">
        <v>2708441582336</v>
      </c>
      <c r="D39" s="29">
        <v>3090510204081</v>
      </c>
      <c r="E39" s="29">
        <v>2929411764705</v>
      </c>
      <c r="F39" s="29">
        <v>2412840006231</v>
      </c>
      <c r="G39" s="25"/>
      <c r="H39" s="7" t="str">
        <f t="shared" ca="1" si="1"/>
        <v>U.K.</v>
      </c>
      <c r="I39" s="26">
        <f t="shared" ref="I39:M39" si="39">IFERROR(B39/$F39,"")</f>
        <v>1.0540193271963352</v>
      </c>
      <c r="J39" s="26">
        <f t="shared" si="39"/>
        <v>1.1225118844770596</v>
      </c>
      <c r="K39" s="26">
        <f t="shared" si="39"/>
        <v>1.2808599808109786</v>
      </c>
      <c r="L39" s="26">
        <f t="shared" si="39"/>
        <v>1.214092835471887</v>
      </c>
      <c r="M39" s="26">
        <f t="shared" si="39"/>
        <v>1</v>
      </c>
      <c r="N39" s="7"/>
      <c r="O39" s="7" t="s">
        <v>45</v>
      </c>
      <c r="P39" s="27">
        <v>8.2000000000000003E-2</v>
      </c>
      <c r="Q39" s="27">
        <v>9.4E-2</v>
      </c>
      <c r="R39" s="27">
        <v>6.9000000000000006E-2</v>
      </c>
      <c r="S39" s="27">
        <v>3.3000000000000002E-2</v>
      </c>
      <c r="T39" s="27">
        <v>-4.8000000000000001E-2</v>
      </c>
      <c r="U39" s="7"/>
      <c r="V39" s="7"/>
      <c r="W39" s="7"/>
      <c r="X39" s="7"/>
      <c r="Y39" s="7"/>
      <c r="Z39" s="7"/>
    </row>
    <row r="40" spans="1:26" ht="15" customHeight="1" x14ac:dyDescent="0.3">
      <c r="A40" s="23" t="str">
        <f ca="1">IFERROR(__xludf.DUMMYFUNCTION("""COMPUTED_VALUE"""),"U.S.")</f>
        <v>U.S.</v>
      </c>
      <c r="B40" s="29">
        <v>13039197000000</v>
      </c>
      <c r="C40" s="29">
        <v>13815583000000</v>
      </c>
      <c r="D40" s="29">
        <v>14474228000000</v>
      </c>
      <c r="E40" s="29">
        <v>14769862000000</v>
      </c>
      <c r="F40" s="29">
        <v>14478067000000</v>
      </c>
      <c r="G40" s="25"/>
      <c r="H40" s="7" t="str">
        <f t="shared" ca="1" si="1"/>
        <v>U.S.</v>
      </c>
      <c r="I40" s="26">
        <f t="shared" ref="I40:M40" si="40">IFERROR(B40/$F40,"")</f>
        <v>0.90061725781487267</v>
      </c>
      <c r="J40" s="26">
        <f t="shared" si="40"/>
        <v>0.95424223413249853</v>
      </c>
      <c r="K40" s="26">
        <f t="shared" si="40"/>
        <v>0.99973484029325188</v>
      </c>
      <c r="L40" s="26">
        <f t="shared" si="40"/>
        <v>1.0201542788826712</v>
      </c>
      <c r="M40" s="26">
        <f t="shared" si="40"/>
        <v>1</v>
      </c>
      <c r="N40" s="7"/>
      <c r="O40" s="7" t="s">
        <v>46</v>
      </c>
      <c r="P40" s="27">
        <v>0.03</v>
      </c>
      <c r="Q40" s="27">
        <v>2.8000000000000001E-2</v>
      </c>
      <c r="R40" s="27">
        <v>2.1999999999999999E-2</v>
      </c>
      <c r="S40" s="27">
        <v>7.0000000000000001E-3</v>
      </c>
      <c r="T40" s="27">
        <v>-2.9000000000000001E-2</v>
      </c>
      <c r="U40" s="7"/>
      <c r="V40" s="7"/>
      <c r="W40" s="7"/>
      <c r="X40" s="7"/>
      <c r="Y40" s="7"/>
      <c r="Z40" s="7"/>
    </row>
    <row r="41" spans="1:26" ht="15" customHeight="1" x14ac:dyDescent="0.3">
      <c r="A41" s="23" t="str">
        <f ca="1">IFERROR(__xludf.DUMMYFUNCTION("""COMPUTED_VALUE"""),"Ukraine")</f>
        <v>Ukraine</v>
      </c>
      <c r="B41" s="29">
        <v>89238865118</v>
      </c>
      <c r="C41" s="29">
        <v>111884752475</v>
      </c>
      <c r="D41" s="29">
        <v>148733861386</v>
      </c>
      <c r="E41" s="29">
        <v>188110390659</v>
      </c>
      <c r="F41" s="29">
        <v>121552153444</v>
      </c>
      <c r="G41" s="25"/>
      <c r="H41" s="7" t="str">
        <f t="shared" ca="1" si="1"/>
        <v>Ukraine</v>
      </c>
      <c r="I41" s="26">
        <f t="shared" ref="I41:M41" si="41">IFERROR(B41/$F41,"")</f>
        <v>0.73416112005874934</v>
      </c>
      <c r="J41" s="26">
        <f t="shared" si="41"/>
        <v>0.92046705307073107</v>
      </c>
      <c r="K41" s="26">
        <f t="shared" si="41"/>
        <v>1.2236217719871398</v>
      </c>
      <c r="L41" s="26">
        <f t="shared" si="41"/>
        <v>1.547569379308972</v>
      </c>
      <c r="M41" s="26">
        <f t="shared" si="41"/>
        <v>1</v>
      </c>
      <c r="N41" s="7"/>
      <c r="O41" s="7" t="s">
        <v>48</v>
      </c>
      <c r="P41" s="27">
        <v>3.5000000000000003E-2</v>
      </c>
      <c r="Q41" s="27">
        <v>2.9000000000000001E-2</v>
      </c>
      <c r="R41" s="27">
        <v>1.9E-2</v>
      </c>
      <c r="S41" s="27">
        <v>-1E-3</v>
      </c>
      <c r="T41" s="27">
        <v>-2.5000000000000001E-2</v>
      </c>
      <c r="U41" s="7"/>
      <c r="V41" s="7"/>
      <c r="W41" s="7"/>
      <c r="X41" s="7"/>
      <c r="Y41" s="7"/>
      <c r="Z41" s="7"/>
    </row>
    <row r="42" spans="1:26" ht="15" customHeight="1" x14ac:dyDescent="0.25">
      <c r="A42" s="7"/>
      <c r="B42" s="30"/>
      <c r="C42" s="30"/>
      <c r="D42" s="30"/>
      <c r="E42" s="30"/>
      <c r="F42" s="30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" customHeight="1" x14ac:dyDescent="0.25">
      <c r="A45" s="31" t="s">
        <v>56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7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7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7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7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7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7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7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7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7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7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7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7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7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7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7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7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7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7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7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7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7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7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7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7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7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7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7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7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7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7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7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7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7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7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7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7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7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7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7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7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7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7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7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7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7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7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7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7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7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7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7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7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7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7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7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7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7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7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7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7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7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7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7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7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7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7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7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7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7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7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7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7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7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7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7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7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7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7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7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7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7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7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7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7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7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7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7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7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7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7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7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7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7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7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7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7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7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7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7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7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7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7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7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7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7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7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7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7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7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7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7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7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7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7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7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7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7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7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7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7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7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7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7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7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7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7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7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7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7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7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7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7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7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7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7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7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7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7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7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7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7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7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7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7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7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7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7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7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7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7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7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7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7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7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7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7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7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7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7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7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7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7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7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7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7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7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7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7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7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7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7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7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7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7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7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7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7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7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7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7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7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7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7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7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7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7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7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7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7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7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7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7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7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7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7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7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7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7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7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7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7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7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7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7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7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7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7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7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7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7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7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7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7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7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7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7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7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7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7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7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7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7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7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7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7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7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7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7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7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7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7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7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7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7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7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7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7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7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7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7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7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7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7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7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7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7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7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7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7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7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7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7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7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7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7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7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7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7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7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7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7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7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7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7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7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7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7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7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7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7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7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7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7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7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7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7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7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7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7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7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7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7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7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7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7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7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7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7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7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7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7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7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7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7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7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7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7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7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7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7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7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7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7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7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7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7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7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7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7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7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7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7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7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7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7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7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7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7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7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7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7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7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7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7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7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7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7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7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7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7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7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7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7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7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7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7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7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7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7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7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7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7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7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7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7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7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7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7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7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7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7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7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7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7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7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7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7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7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7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7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7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7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7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7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7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7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7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7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7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7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7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7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7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7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7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7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7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7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7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7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7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7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7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7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7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7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7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7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7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7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7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7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7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7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7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7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7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7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7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7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7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7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7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7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7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7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7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7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7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7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7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7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7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7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7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7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7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7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7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7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7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7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7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7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7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7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7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7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7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7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7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7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7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7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7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7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7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7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7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7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7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7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7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7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7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7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7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7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7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7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7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7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7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7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7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7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7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7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7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7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7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7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7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7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7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7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7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7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7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7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7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7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7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7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7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7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7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7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7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7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7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7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7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7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7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7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7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7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7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7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7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7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7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7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7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7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7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7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7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7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7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7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7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7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7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7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7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7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7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7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7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7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7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7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7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7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7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7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7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7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7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7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7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7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7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7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7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7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7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7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7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7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7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7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7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7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7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7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7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7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7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7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7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7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7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7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7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7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7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7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7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7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7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7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7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7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7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7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7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7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7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7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7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7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7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7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7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7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7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7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7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7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7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7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7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7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7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7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7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7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7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7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7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7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7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7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7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7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7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7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7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7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7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7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7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7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7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7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7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7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7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7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7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7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7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7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7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7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7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7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7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7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7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7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7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7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7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7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7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7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7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7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7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7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7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7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7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7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7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7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7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7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7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7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7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7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7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7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7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7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7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7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7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7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7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7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7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7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7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7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7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7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7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7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7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7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7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7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7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7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7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7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7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7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7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7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7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7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7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7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7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7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7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7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7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7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7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7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7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7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7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7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7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7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7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7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7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7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7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7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7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7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7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7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7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7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7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7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7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7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7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7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7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7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7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7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7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7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7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7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7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7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7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7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7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7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7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7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7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7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7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7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7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7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7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7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7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7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7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7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7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7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7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7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7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7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7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7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7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7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7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7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7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7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7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7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7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7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7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7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7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7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7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7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7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7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7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7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7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7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7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7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7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7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7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7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7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7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7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7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7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7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7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7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7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7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7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7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7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7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7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7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7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7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7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7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7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7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7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7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7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7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7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7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7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7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7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7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7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7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7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7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7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7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7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7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7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7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7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7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7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7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7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7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7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7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7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7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7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7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7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7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7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7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7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7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7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7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7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7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7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7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7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7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7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7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7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7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7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7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7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7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7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7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7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7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7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7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7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7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7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7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7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7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7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7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7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7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7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7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7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7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7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7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7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7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7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7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7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7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7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7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7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7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7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7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7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7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7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7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7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7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7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7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7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7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7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7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7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7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7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7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7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7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7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7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7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7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7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7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7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7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7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7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7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7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7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7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7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7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7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7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7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7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7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7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7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7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7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7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7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7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7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7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7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7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7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7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7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7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7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7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7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7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7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7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7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7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7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7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7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conditionalFormatting sqref="P2:T41">
    <cfRule type="colorScale" priority="1">
      <colorScale>
        <cfvo type="formula" val="-0.05"/>
        <cfvo type="formula" val="0"/>
        <cfvo type="formula" val="0.2"/>
        <color rgb="FFE67C73"/>
        <color rgb="FFFFFFFF"/>
        <color rgb="FF57BB8A"/>
      </colorScale>
    </cfRule>
  </conditionalFormatting>
  <hyperlinks>
    <hyperlink ref="A45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AP279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 x14ac:dyDescent="0.2"/>
  <cols>
    <col min="1" max="5" width="12.5" customWidth="1"/>
    <col min="6" max="6" width="20.6640625" customWidth="1"/>
    <col min="7" max="7" width="17.83203125" customWidth="1"/>
    <col min="8" max="8" width="18" customWidth="1"/>
    <col min="9" max="9" width="16.83203125" customWidth="1"/>
    <col min="10" max="12" width="8.6640625" customWidth="1"/>
    <col min="13" max="13" width="15" customWidth="1"/>
    <col min="14" max="14" width="8.6640625" customWidth="1"/>
    <col min="15" max="15" width="21.1640625" customWidth="1"/>
    <col min="16" max="40" width="8.6640625" customWidth="1"/>
    <col min="41" max="41" width="12.33203125" customWidth="1"/>
    <col min="42" max="42" width="14" customWidth="1"/>
  </cols>
  <sheetData>
    <row r="1" spans="1:42" ht="35.25" customHeight="1" x14ac:dyDescent="0.25">
      <c r="A1" s="32" t="s">
        <v>0</v>
      </c>
      <c r="B1" s="33" t="s">
        <v>57</v>
      </c>
      <c r="C1" s="33" t="s">
        <v>2</v>
      </c>
      <c r="D1" s="33" t="s">
        <v>1</v>
      </c>
      <c r="E1" s="33" t="s">
        <v>58</v>
      </c>
      <c r="F1" s="33" t="s">
        <v>59</v>
      </c>
      <c r="G1" s="34" t="s">
        <v>60</v>
      </c>
      <c r="H1" s="33" t="s">
        <v>61</v>
      </c>
      <c r="I1" s="33"/>
      <c r="J1" s="33"/>
      <c r="K1" s="33"/>
      <c r="L1" s="35"/>
      <c r="M1" s="36" t="s">
        <v>58</v>
      </c>
      <c r="N1" s="36"/>
      <c r="O1" s="36" t="s">
        <v>62</v>
      </c>
      <c r="P1" s="36">
        <v>2005</v>
      </c>
      <c r="Q1" s="36">
        <v>2006</v>
      </c>
      <c r="R1" s="36">
        <v>2007</v>
      </c>
      <c r="S1" s="36">
        <v>2008</v>
      </c>
      <c r="T1" s="36">
        <v>2009</v>
      </c>
      <c r="U1" s="36">
        <v>2010</v>
      </c>
      <c r="V1" s="36">
        <v>2011</v>
      </c>
      <c r="W1" s="36">
        <v>2012</v>
      </c>
      <c r="X1" s="36">
        <v>2013</v>
      </c>
      <c r="Y1" s="36">
        <v>2014</v>
      </c>
      <c r="Z1" s="36">
        <v>2015</v>
      </c>
      <c r="AA1" s="36">
        <v>2016</v>
      </c>
      <c r="AB1" s="36">
        <v>2017</v>
      </c>
      <c r="AC1" s="36">
        <v>2018</v>
      </c>
      <c r="AD1" s="36">
        <v>2019</v>
      </c>
      <c r="AE1" s="36">
        <v>2020</v>
      </c>
      <c r="AF1" s="36">
        <v>2021</v>
      </c>
      <c r="AG1" s="36">
        <v>2022</v>
      </c>
      <c r="AH1" s="36">
        <v>2023</v>
      </c>
      <c r="AI1" s="36">
        <v>2024</v>
      </c>
      <c r="AJ1" s="36">
        <v>2025</v>
      </c>
      <c r="AK1" s="36">
        <v>2026</v>
      </c>
      <c r="AL1" s="36">
        <v>2027</v>
      </c>
      <c r="AM1" s="36"/>
      <c r="AN1" s="36" t="s">
        <v>63</v>
      </c>
      <c r="AO1" s="36" t="s">
        <v>64</v>
      </c>
      <c r="AP1" s="36" t="s">
        <v>65</v>
      </c>
    </row>
    <row r="2" spans="1:42" ht="17.25" customHeight="1" x14ac:dyDescent="0.25">
      <c r="A2" s="37">
        <v>2005</v>
      </c>
      <c r="B2" s="38" t="s">
        <v>66</v>
      </c>
      <c r="C2" s="38" t="s">
        <v>35</v>
      </c>
      <c r="D2" s="38" t="s">
        <v>34</v>
      </c>
      <c r="E2" s="38" t="s">
        <v>67</v>
      </c>
      <c r="F2" s="38" t="s">
        <v>67</v>
      </c>
      <c r="G2" s="39">
        <v>5470000000</v>
      </c>
      <c r="H2" s="38" t="s">
        <v>68</v>
      </c>
      <c r="I2" s="40" t="str">
        <f t="shared" ref="I2:I256" si="0">D2&amp;"-"&amp;F2</f>
        <v>Argentina-Offline</v>
      </c>
      <c r="J2" s="40" t="str">
        <f t="shared" ref="J2:J256" si="1">IF(I2&lt;&gt;I486,"diff","")</f>
        <v/>
      </c>
      <c r="K2" s="40"/>
      <c r="L2" s="41"/>
      <c r="M2" s="35" t="str">
        <f ca="1">IFERROR(__xludf.DUMMYFUNCTION("unique(E2:E2794)"),"Offline")</f>
        <v>Offline</v>
      </c>
      <c r="N2" s="35"/>
      <c r="O2" s="35" t="str">
        <f ca="1">IFERROR(__xludf.DUMMYFUNCTION("unique(D2:D2794)"),"Argentina")</f>
        <v>Argentina</v>
      </c>
      <c r="P2" s="42">
        <f t="shared" ref="P2:AL2" ca="1" si="2">SUMIFS($G$2:$G$2794,$D$2:$D$2794,$O$2:$O$41,$E$2:$E$2794,$M$8,$A$2:$A$2794,P$1)</f>
        <v>5470000000</v>
      </c>
      <c r="Q2" s="42">
        <f t="shared" ca="1" si="2"/>
        <v>6380000000</v>
      </c>
      <c r="R2" s="42">
        <f t="shared" ca="1" si="2"/>
        <v>7870000000</v>
      </c>
      <c r="S2" s="42">
        <f t="shared" ca="1" si="2"/>
        <v>9470000000</v>
      </c>
      <c r="T2" s="43">
        <f t="shared" ca="1" si="2"/>
        <v>8722804665</v>
      </c>
      <c r="U2" s="43">
        <f t="shared" ca="1" si="2"/>
        <v>8902994517</v>
      </c>
      <c r="V2" s="43">
        <f t="shared" ca="1" si="2"/>
        <v>8904912568</v>
      </c>
      <c r="W2" s="43">
        <f t="shared" ca="1" si="2"/>
        <v>8444768912</v>
      </c>
      <c r="X2" s="43">
        <f t="shared" ca="1" si="2"/>
        <v>7156268041</v>
      </c>
      <c r="Y2" s="43">
        <f t="shared" ca="1" si="2"/>
        <v>4915273237</v>
      </c>
      <c r="Z2" s="43">
        <f t="shared" ca="1" si="2"/>
        <v>4355421814</v>
      </c>
      <c r="AA2" s="43">
        <f t="shared" ca="1" si="2"/>
        <v>3105416673</v>
      </c>
      <c r="AB2" s="43">
        <f t="shared" ca="1" si="2"/>
        <v>2620578170</v>
      </c>
      <c r="AC2" s="43">
        <f t="shared" ca="1" si="2"/>
        <v>3071905115</v>
      </c>
      <c r="AD2" s="43">
        <f t="shared" ca="1" si="2"/>
        <v>3380562040</v>
      </c>
      <c r="AE2" s="43">
        <f t="shared" ca="1" si="2"/>
        <v>1053777217</v>
      </c>
      <c r="AF2" s="43">
        <f t="shared" ca="1" si="2"/>
        <v>1750507356</v>
      </c>
      <c r="AG2" s="43">
        <f t="shared" ca="1" si="2"/>
        <v>3981900167</v>
      </c>
      <c r="AH2" s="43">
        <f t="shared" ca="1" si="2"/>
        <v>4410567333</v>
      </c>
      <c r="AI2" s="43">
        <f t="shared" ca="1" si="2"/>
        <v>4074759361</v>
      </c>
      <c r="AJ2" s="43">
        <f t="shared" ca="1" si="2"/>
        <v>4461245975</v>
      </c>
      <c r="AK2" s="43">
        <f t="shared" ca="1" si="2"/>
        <v>5003422814</v>
      </c>
      <c r="AL2" s="43">
        <f t="shared" ca="1" si="2"/>
        <v>5756083614</v>
      </c>
      <c r="AM2" s="43"/>
      <c r="AN2" s="43"/>
      <c r="AO2" s="43"/>
      <c r="AP2" s="43"/>
    </row>
    <row r="3" spans="1:42" ht="17.25" customHeight="1" x14ac:dyDescent="0.25">
      <c r="A3" s="44">
        <v>2005</v>
      </c>
      <c r="B3" s="45" t="s">
        <v>66</v>
      </c>
      <c r="C3" s="45" t="s">
        <v>35</v>
      </c>
      <c r="D3" s="45" t="s">
        <v>34</v>
      </c>
      <c r="E3" s="45" t="s">
        <v>69</v>
      </c>
      <c r="F3" s="45" t="s">
        <v>70</v>
      </c>
      <c r="G3" s="46">
        <v>100000000</v>
      </c>
      <c r="H3" s="45" t="s">
        <v>68</v>
      </c>
      <c r="I3" s="47" t="str">
        <f t="shared" si="0"/>
        <v>Argentina-Online Supplier-Direct</v>
      </c>
      <c r="J3" s="47" t="str">
        <f t="shared" si="1"/>
        <v/>
      </c>
      <c r="K3" s="47"/>
      <c r="L3" s="41"/>
      <c r="M3" s="35" t="str">
        <f ca="1">IFERROR(__xludf.DUMMYFUNCTION("""COMPUTED_VALUE"""),"Online")</f>
        <v>Online</v>
      </c>
      <c r="N3" s="35"/>
      <c r="O3" s="35" t="str">
        <f ca="1">IFERROR(__xludf.DUMMYFUNCTION("""COMPUTED_VALUE"""),"Australia-New Zealand")</f>
        <v>Australia-New Zealand</v>
      </c>
      <c r="P3" s="42">
        <f t="shared" ref="P3:AL3" ca="1" si="3">SUMIFS($G$2:$G$2794,$D$2:$D$2794,$O$2:$O$41,$E$2:$E$2794,$M$8,$A$2:$A$2794,P$1)</f>
        <v>12600000000</v>
      </c>
      <c r="Q3" s="42">
        <f t="shared" ca="1" si="3"/>
        <v>13300000000</v>
      </c>
      <c r="R3" s="42">
        <f t="shared" ca="1" si="3"/>
        <v>15300000000</v>
      </c>
      <c r="S3" s="42">
        <f t="shared" ca="1" si="3"/>
        <v>17600000000</v>
      </c>
      <c r="T3" s="43">
        <f t="shared" ca="1" si="3"/>
        <v>15523531464</v>
      </c>
      <c r="U3" s="43">
        <f t="shared" ca="1" si="3"/>
        <v>18737447258</v>
      </c>
      <c r="V3" s="43">
        <f t="shared" ca="1" si="3"/>
        <v>22366346924</v>
      </c>
      <c r="W3" s="43">
        <f t="shared" ca="1" si="3"/>
        <v>22595873742</v>
      </c>
      <c r="X3" s="43">
        <f t="shared" ca="1" si="3"/>
        <v>20452840081</v>
      </c>
      <c r="Y3" s="43">
        <f t="shared" ca="1" si="3"/>
        <v>19449053548</v>
      </c>
      <c r="Z3" s="43">
        <f t="shared" ca="1" si="3"/>
        <v>17183187390</v>
      </c>
      <c r="AA3" s="43">
        <f t="shared" ca="1" si="3"/>
        <v>21862282389</v>
      </c>
      <c r="AB3" s="43">
        <f t="shared" ca="1" si="3"/>
        <v>19088813719</v>
      </c>
      <c r="AC3" s="43">
        <f t="shared" ca="1" si="3"/>
        <v>19092646617</v>
      </c>
      <c r="AD3" s="43">
        <f t="shared" ca="1" si="3"/>
        <v>17524351863</v>
      </c>
      <c r="AE3" s="43">
        <f t="shared" ca="1" si="3"/>
        <v>7128677020</v>
      </c>
      <c r="AF3" s="43">
        <f t="shared" ca="1" si="3"/>
        <v>7249457809</v>
      </c>
      <c r="AG3" s="43">
        <f t="shared" ca="1" si="3"/>
        <v>13036667811</v>
      </c>
      <c r="AH3" s="43">
        <f t="shared" ca="1" si="3"/>
        <v>15130013207</v>
      </c>
      <c r="AI3" s="43">
        <f t="shared" ca="1" si="3"/>
        <v>16319826438</v>
      </c>
      <c r="AJ3" s="43">
        <f t="shared" ca="1" si="3"/>
        <v>17185781792</v>
      </c>
      <c r="AK3" s="43">
        <f t="shared" ca="1" si="3"/>
        <v>18082227677</v>
      </c>
      <c r="AL3" s="43">
        <f t="shared" ca="1" si="3"/>
        <v>18935738031</v>
      </c>
      <c r="AM3" s="43"/>
      <c r="AN3" s="43"/>
      <c r="AO3" s="43"/>
      <c r="AP3" s="43"/>
    </row>
    <row r="4" spans="1:42" ht="17.25" customHeight="1" x14ac:dyDescent="0.25">
      <c r="A4" s="37">
        <v>2005</v>
      </c>
      <c r="B4" s="38" t="s">
        <v>66</v>
      </c>
      <c r="C4" s="38" t="s">
        <v>35</v>
      </c>
      <c r="D4" s="38" t="s">
        <v>34</v>
      </c>
      <c r="E4" s="38" t="s">
        <v>69</v>
      </c>
      <c r="F4" s="38" t="s">
        <v>71</v>
      </c>
      <c r="G4" s="39">
        <v>100000000</v>
      </c>
      <c r="H4" s="38" t="s">
        <v>68</v>
      </c>
      <c r="I4" s="40" t="str">
        <f t="shared" si="0"/>
        <v>Argentina-OTA</v>
      </c>
      <c r="J4" s="40" t="str">
        <f t="shared" si="1"/>
        <v/>
      </c>
      <c r="K4" s="40"/>
      <c r="L4" s="41"/>
      <c r="M4" s="35" t="str">
        <f ca="1">IFERROR(__xludf.DUMMYFUNCTION("""COMPUTED_VALUE"""),"Central")</f>
        <v>Central</v>
      </c>
      <c r="N4" s="35"/>
      <c r="O4" s="35" t="str">
        <f ca="1">IFERROR(__xludf.DUMMYFUNCTION("""COMPUTED_VALUE"""),"Brazil")</f>
        <v>Brazil</v>
      </c>
      <c r="P4" s="42">
        <f t="shared" ref="P4:AL4" ca="1" si="4">SUMIFS($G$2:$G$2794,$D$2:$D$2794,$O$2:$O$41,$E$2:$E$2794,$M$8,$A$2:$A$2794,P$1)</f>
        <v>20400000000</v>
      </c>
      <c r="Q4" s="42">
        <f t="shared" ca="1" si="4"/>
        <v>25300000000</v>
      </c>
      <c r="R4" s="42">
        <f t="shared" ca="1" si="4"/>
        <v>31800000000</v>
      </c>
      <c r="S4" s="42">
        <f t="shared" ca="1" si="4"/>
        <v>37000000000</v>
      </c>
      <c r="T4" s="43">
        <f t="shared" ca="1" si="4"/>
        <v>36370375145</v>
      </c>
      <c r="U4" s="43">
        <f t="shared" ca="1" si="4"/>
        <v>36381376893</v>
      </c>
      <c r="V4" s="43">
        <f t="shared" ca="1" si="4"/>
        <v>35617875698</v>
      </c>
      <c r="W4" s="43">
        <f t="shared" ca="1" si="4"/>
        <v>32777350154</v>
      </c>
      <c r="X4" s="43">
        <f t="shared" ca="1" si="4"/>
        <v>27689692858</v>
      </c>
      <c r="Y4" s="43">
        <f t="shared" ca="1" si="4"/>
        <v>20710608843</v>
      </c>
      <c r="Z4" s="43">
        <f t="shared" ca="1" si="4"/>
        <v>12869000706</v>
      </c>
      <c r="AA4" s="43">
        <f t="shared" ca="1" si="4"/>
        <v>11383405061</v>
      </c>
      <c r="AB4" s="43">
        <f t="shared" ca="1" si="4"/>
        <v>11824962165</v>
      </c>
      <c r="AC4" s="43">
        <f t="shared" ca="1" si="4"/>
        <v>10705833681</v>
      </c>
      <c r="AD4" s="43">
        <f t="shared" ca="1" si="4"/>
        <v>10906134348</v>
      </c>
      <c r="AE4" s="43">
        <f t="shared" ca="1" si="4"/>
        <v>3889647429</v>
      </c>
      <c r="AF4" s="43">
        <f t="shared" ca="1" si="4"/>
        <v>5154123250</v>
      </c>
      <c r="AG4" s="43">
        <f t="shared" ca="1" si="4"/>
        <v>8143888408</v>
      </c>
      <c r="AH4" s="43">
        <f t="shared" ca="1" si="4"/>
        <v>11170062207</v>
      </c>
      <c r="AI4" s="43">
        <f t="shared" ca="1" si="4"/>
        <v>11647587791</v>
      </c>
      <c r="AJ4" s="43">
        <f t="shared" ca="1" si="4"/>
        <v>12549625405</v>
      </c>
      <c r="AK4" s="43">
        <f t="shared" ca="1" si="4"/>
        <v>13334261596</v>
      </c>
      <c r="AL4" s="43">
        <f t="shared" ca="1" si="4"/>
        <v>14200506763</v>
      </c>
      <c r="AM4" s="43"/>
      <c r="AN4" s="43"/>
      <c r="AO4" s="43"/>
      <c r="AP4" s="43"/>
    </row>
    <row r="5" spans="1:42" ht="17.25" customHeight="1" x14ac:dyDescent="0.25">
      <c r="A5" s="44">
        <v>2005</v>
      </c>
      <c r="B5" s="45" t="s">
        <v>66</v>
      </c>
      <c r="C5" s="45" t="s">
        <v>4</v>
      </c>
      <c r="D5" s="45" t="s">
        <v>3</v>
      </c>
      <c r="E5" s="45" t="s">
        <v>67</v>
      </c>
      <c r="F5" s="45" t="s">
        <v>67</v>
      </c>
      <c r="G5" s="46">
        <v>12600000000</v>
      </c>
      <c r="H5" s="45" t="s">
        <v>68</v>
      </c>
      <c r="I5" s="47" t="str">
        <f t="shared" si="0"/>
        <v>Australia-New Zealand-Offline</v>
      </c>
      <c r="J5" s="47" t="str">
        <f t="shared" si="1"/>
        <v/>
      </c>
      <c r="K5" s="47"/>
      <c r="L5" s="41"/>
      <c r="M5" s="35"/>
      <c r="N5" s="35"/>
      <c r="O5" s="35" t="str">
        <f ca="1">IFERROR(__xludf.DUMMYFUNCTION("""COMPUTED_VALUE"""),"Bulgaria")</f>
        <v>Bulgaria</v>
      </c>
      <c r="P5" s="42">
        <f t="shared" ref="P5:AL5" ca="1" si="5">SUMIFS($G$2:$G$2794,$D$2:$D$2794,$O$2:$O$41,$E$2:$E$2794,$M$8,$A$2:$A$2794,P$1)</f>
        <v>795000000</v>
      </c>
      <c r="Q5" s="42">
        <f t="shared" ca="1" si="5"/>
        <v>913000000</v>
      </c>
      <c r="R5" s="42">
        <f t="shared" ca="1" si="5"/>
        <v>1180000000</v>
      </c>
      <c r="S5" s="42">
        <f t="shared" ca="1" si="5"/>
        <v>1380000000</v>
      </c>
      <c r="T5" s="43">
        <f t="shared" ca="1" si="5"/>
        <v>1318340039</v>
      </c>
      <c r="U5" s="43">
        <f t="shared" ca="1" si="5"/>
        <v>1227998788</v>
      </c>
      <c r="V5" s="43">
        <f t="shared" ca="1" si="5"/>
        <v>1231256707</v>
      </c>
      <c r="W5" s="43">
        <f t="shared" ca="1" si="5"/>
        <v>1261518555</v>
      </c>
      <c r="X5" s="43">
        <f t="shared" ca="1" si="5"/>
        <v>1172186992</v>
      </c>
      <c r="Y5" s="43">
        <f t="shared" ca="1" si="5"/>
        <v>1104869266</v>
      </c>
      <c r="Z5" s="43">
        <f t="shared" ca="1" si="5"/>
        <v>879370853</v>
      </c>
      <c r="AA5" s="43">
        <f t="shared" ca="1" si="5"/>
        <v>950530310</v>
      </c>
      <c r="AB5" s="43">
        <f t="shared" ca="1" si="5"/>
        <v>1037178995</v>
      </c>
      <c r="AC5" s="43">
        <f t="shared" ca="1" si="5"/>
        <v>852906081</v>
      </c>
      <c r="AD5" s="43">
        <f t="shared" ca="1" si="5"/>
        <v>829012464</v>
      </c>
      <c r="AE5" s="43">
        <f t="shared" ca="1" si="5"/>
        <v>293350546</v>
      </c>
      <c r="AF5" s="43">
        <f t="shared" ca="1" si="5"/>
        <v>388983991</v>
      </c>
      <c r="AG5" s="43">
        <f t="shared" ca="1" si="5"/>
        <v>605525740</v>
      </c>
      <c r="AH5" s="43">
        <f t="shared" ca="1" si="5"/>
        <v>724432415</v>
      </c>
      <c r="AI5" s="43">
        <f t="shared" ca="1" si="5"/>
        <v>822934450</v>
      </c>
      <c r="AJ5" s="43">
        <f t="shared" ca="1" si="5"/>
        <v>895090845</v>
      </c>
      <c r="AK5" s="43">
        <f t="shared" ca="1" si="5"/>
        <v>982238463</v>
      </c>
      <c r="AL5" s="43">
        <f t="shared" ca="1" si="5"/>
        <v>1049545119</v>
      </c>
      <c r="AM5" s="43"/>
      <c r="AN5" s="43"/>
      <c r="AO5" s="43"/>
      <c r="AP5" s="43"/>
    </row>
    <row r="6" spans="1:42" ht="17.25" customHeight="1" x14ac:dyDescent="0.25">
      <c r="A6" s="37">
        <v>2005</v>
      </c>
      <c r="B6" s="38" t="s">
        <v>66</v>
      </c>
      <c r="C6" s="38" t="s">
        <v>4</v>
      </c>
      <c r="D6" s="38" t="s">
        <v>3</v>
      </c>
      <c r="E6" s="38" t="s">
        <v>69</v>
      </c>
      <c r="F6" s="38" t="s">
        <v>70</v>
      </c>
      <c r="G6" s="39">
        <v>965000000</v>
      </c>
      <c r="H6" s="38" t="s">
        <v>68</v>
      </c>
      <c r="I6" s="40" t="str">
        <f t="shared" si="0"/>
        <v>Australia-New Zealand-Online Supplier-Direct</v>
      </c>
      <c r="J6" s="40" t="str">
        <f t="shared" si="1"/>
        <v/>
      </c>
      <c r="K6" s="40"/>
      <c r="L6" s="41"/>
      <c r="M6" s="35"/>
      <c r="N6" s="35"/>
      <c r="O6" s="35" t="str">
        <f ca="1">IFERROR(__xludf.DUMMYFUNCTION("""COMPUTED_VALUE"""),"Canada")</f>
        <v>Canada</v>
      </c>
      <c r="P6" s="42">
        <f t="shared" ref="P6:AL6" ca="1" si="6">SUMIFS($G$2:$G$2794,$D$2:$D$2794,$O$2:$O$41,$E$2:$E$2794,$M$8,$A$2:$A$2794,P$1)</f>
        <v>13400000000</v>
      </c>
      <c r="Q6" s="42">
        <f t="shared" ca="1" si="6"/>
        <v>15000000000</v>
      </c>
      <c r="R6" s="42">
        <f t="shared" ca="1" si="6"/>
        <v>16600000000</v>
      </c>
      <c r="S6" s="42">
        <f t="shared" ca="1" si="6"/>
        <v>16800000000</v>
      </c>
      <c r="T6" s="43">
        <f t="shared" ca="1" si="6"/>
        <v>14890662743</v>
      </c>
      <c r="U6" s="43">
        <f t="shared" ca="1" si="6"/>
        <v>18007820739</v>
      </c>
      <c r="V6" s="43">
        <f t="shared" ca="1" si="6"/>
        <v>21276656031</v>
      </c>
      <c r="W6" s="43">
        <f t="shared" ca="1" si="6"/>
        <v>23674119053</v>
      </c>
      <c r="X6" s="43">
        <f t="shared" ca="1" si="6"/>
        <v>22601867569</v>
      </c>
      <c r="Y6" s="43">
        <f t="shared" ca="1" si="6"/>
        <v>21561223654</v>
      </c>
      <c r="Z6" s="43">
        <f t="shared" ca="1" si="6"/>
        <v>18888699353</v>
      </c>
      <c r="AA6" s="43">
        <f t="shared" ca="1" si="6"/>
        <v>19010857022</v>
      </c>
      <c r="AB6" s="43">
        <f t="shared" ca="1" si="6"/>
        <v>20088599037</v>
      </c>
      <c r="AC6" s="43">
        <f t="shared" ca="1" si="6"/>
        <v>10217505852</v>
      </c>
      <c r="AD6" s="43">
        <f t="shared" ca="1" si="6"/>
        <v>9077728558</v>
      </c>
      <c r="AE6" s="43">
        <f t="shared" ca="1" si="6"/>
        <v>2292809339</v>
      </c>
      <c r="AF6" s="43">
        <f t="shared" ca="1" si="6"/>
        <v>1381302295</v>
      </c>
      <c r="AG6" s="43">
        <f t="shared" ca="1" si="6"/>
        <v>4781980462</v>
      </c>
      <c r="AH6" s="43">
        <f t="shared" ca="1" si="6"/>
        <v>6683898780</v>
      </c>
      <c r="AI6" s="43">
        <f t="shared" ca="1" si="6"/>
        <v>7481250310</v>
      </c>
      <c r="AJ6" s="43">
        <f t="shared" ca="1" si="6"/>
        <v>7684058746</v>
      </c>
      <c r="AK6" s="43">
        <f t="shared" ca="1" si="6"/>
        <v>7950816455</v>
      </c>
      <c r="AL6" s="43">
        <f t="shared" ca="1" si="6"/>
        <v>8201207297</v>
      </c>
      <c r="AM6" s="43"/>
      <c r="AN6" s="43"/>
      <c r="AO6" s="43"/>
      <c r="AP6" s="43"/>
    </row>
    <row r="7" spans="1:42" ht="17.25" customHeight="1" x14ac:dyDescent="0.25">
      <c r="A7" s="44">
        <v>2005</v>
      </c>
      <c r="B7" s="45" t="s">
        <v>66</v>
      </c>
      <c r="C7" s="45" t="s">
        <v>4</v>
      </c>
      <c r="D7" s="45" t="s">
        <v>3</v>
      </c>
      <c r="E7" s="45" t="s">
        <v>69</v>
      </c>
      <c r="F7" s="45" t="s">
        <v>71</v>
      </c>
      <c r="G7" s="46">
        <v>965000000</v>
      </c>
      <c r="H7" s="45" t="s">
        <v>68</v>
      </c>
      <c r="I7" s="47" t="str">
        <f t="shared" si="0"/>
        <v>Australia-New Zealand-OTA</v>
      </c>
      <c r="J7" s="47" t="str">
        <f t="shared" si="1"/>
        <v/>
      </c>
      <c r="K7" s="47"/>
      <c r="L7" s="41"/>
      <c r="M7" s="35"/>
      <c r="N7" s="35"/>
      <c r="O7" s="35" t="str">
        <f ca="1">IFERROR(__xludf.DUMMYFUNCTION("""COMPUTED_VALUE"""),"Chile")</f>
        <v>Chile</v>
      </c>
      <c r="P7" s="42">
        <f t="shared" ref="P7:AL7" ca="1" si="7">SUMIFS($G$2:$G$2794,$D$2:$D$2794,$O$2:$O$41,$E$2:$E$2794,$M$8,$A$2:$A$2794,P$1)</f>
        <v>2840000000</v>
      </c>
      <c r="Q7" s="42">
        <f t="shared" ca="1" si="7"/>
        <v>3560000000</v>
      </c>
      <c r="R7" s="42">
        <f t="shared" ca="1" si="7"/>
        <v>3980000000</v>
      </c>
      <c r="S7" s="42">
        <f t="shared" ca="1" si="7"/>
        <v>3980000000</v>
      </c>
      <c r="T7" s="43">
        <f t="shared" ca="1" si="7"/>
        <v>3799612189</v>
      </c>
      <c r="U7" s="43">
        <f t="shared" ca="1" si="7"/>
        <v>3885552614</v>
      </c>
      <c r="V7" s="43">
        <f t="shared" ca="1" si="7"/>
        <v>3932225749</v>
      </c>
      <c r="W7" s="43">
        <f t="shared" ca="1" si="7"/>
        <v>3871910968</v>
      </c>
      <c r="X7" s="43">
        <f t="shared" ca="1" si="7"/>
        <v>3830078210</v>
      </c>
      <c r="Y7" s="43">
        <f t="shared" ca="1" si="7"/>
        <v>3422745420</v>
      </c>
      <c r="Z7" s="43">
        <f t="shared" ca="1" si="7"/>
        <v>3102313993</v>
      </c>
      <c r="AA7" s="43">
        <f t="shared" ca="1" si="7"/>
        <v>3114316678</v>
      </c>
      <c r="AB7" s="43">
        <f t="shared" ca="1" si="7"/>
        <v>3425132976</v>
      </c>
      <c r="AC7" s="43">
        <f t="shared" ca="1" si="7"/>
        <v>3049332225</v>
      </c>
      <c r="AD7" s="43">
        <f t="shared" ca="1" si="7"/>
        <v>2752406165</v>
      </c>
      <c r="AE7" s="43">
        <f t="shared" ca="1" si="7"/>
        <v>1339510120</v>
      </c>
      <c r="AF7" s="43">
        <f t="shared" ca="1" si="7"/>
        <v>1469751589</v>
      </c>
      <c r="AG7" s="43">
        <f t="shared" ca="1" si="7"/>
        <v>1734973312</v>
      </c>
      <c r="AH7" s="43">
        <f t="shared" ca="1" si="7"/>
        <v>1832328022</v>
      </c>
      <c r="AI7" s="43">
        <f t="shared" ca="1" si="7"/>
        <v>1900308887</v>
      </c>
      <c r="AJ7" s="43">
        <f t="shared" ca="1" si="7"/>
        <v>2054715639</v>
      </c>
      <c r="AK7" s="43">
        <f t="shared" ca="1" si="7"/>
        <v>2233315939</v>
      </c>
      <c r="AL7" s="43">
        <f t="shared" ca="1" si="7"/>
        <v>2397583538</v>
      </c>
      <c r="AM7" s="43"/>
      <c r="AN7" s="43"/>
      <c r="AO7" s="43"/>
      <c r="AP7" s="43"/>
    </row>
    <row r="8" spans="1:42" ht="17.25" customHeight="1" x14ac:dyDescent="0.25">
      <c r="A8" s="37">
        <v>2005</v>
      </c>
      <c r="B8" s="38" t="s">
        <v>66</v>
      </c>
      <c r="C8" s="38" t="s">
        <v>35</v>
      </c>
      <c r="D8" s="38" t="s">
        <v>36</v>
      </c>
      <c r="E8" s="38" t="s">
        <v>67</v>
      </c>
      <c r="F8" s="38" t="s">
        <v>67</v>
      </c>
      <c r="G8" s="39">
        <v>20400000000</v>
      </c>
      <c r="H8" s="38" t="s">
        <v>68</v>
      </c>
      <c r="I8" s="40" t="str">
        <f t="shared" si="0"/>
        <v>Brazil-Offline</v>
      </c>
      <c r="J8" s="40" t="str">
        <f t="shared" si="1"/>
        <v/>
      </c>
      <c r="K8" s="40"/>
      <c r="L8" s="41"/>
      <c r="M8" s="48" t="s">
        <v>67</v>
      </c>
      <c r="N8" s="35"/>
      <c r="O8" s="35" t="str">
        <f ca="1">IFERROR(__xludf.DUMMYFUNCTION("""COMPUTED_VALUE"""),"China")</f>
        <v>China</v>
      </c>
      <c r="P8" s="42">
        <f t="shared" ref="P8:AL8" ca="1" si="8">SUMIFS($G$2:$G$2794,$D$2:$D$2794,$O$2:$O$41,$E$2:$E$2794,$M$8,$A$2:$A$2794,P$1)</f>
        <v>27300000000</v>
      </c>
      <c r="Q8" s="42">
        <f t="shared" ca="1" si="8"/>
        <v>32700000000</v>
      </c>
      <c r="R8" s="42">
        <f t="shared" ca="1" si="8"/>
        <v>42100000000</v>
      </c>
      <c r="S8" s="42">
        <f t="shared" ca="1" si="8"/>
        <v>52100000000</v>
      </c>
      <c r="T8" s="43">
        <f t="shared" ca="1" si="8"/>
        <v>57900895821</v>
      </c>
      <c r="U8" s="43">
        <f t="shared" ca="1" si="8"/>
        <v>69695817334</v>
      </c>
      <c r="V8" s="43">
        <f t="shared" ca="1" si="8"/>
        <v>81210000567</v>
      </c>
      <c r="W8" s="43">
        <f t="shared" ca="1" si="8"/>
        <v>93602618112</v>
      </c>
      <c r="X8" s="43">
        <f t="shared" ca="1" si="8"/>
        <v>98004247565</v>
      </c>
      <c r="Y8" s="43">
        <f t="shared" ca="1" si="8"/>
        <v>99797715006</v>
      </c>
      <c r="Z8" s="43">
        <f t="shared" ca="1" si="8"/>
        <v>97178238811</v>
      </c>
      <c r="AA8" s="43">
        <f t="shared" ca="1" si="8"/>
        <v>87227100777</v>
      </c>
      <c r="AB8" s="43">
        <f t="shared" ca="1" si="8"/>
        <v>83845995775</v>
      </c>
      <c r="AC8" s="43">
        <f t="shared" ca="1" si="8"/>
        <v>85502078828</v>
      </c>
      <c r="AD8" s="43">
        <f t="shared" ca="1" si="8"/>
        <v>78451264948</v>
      </c>
      <c r="AE8" s="43">
        <f t="shared" ca="1" si="8"/>
        <v>44145429399</v>
      </c>
      <c r="AF8" s="43">
        <f t="shared" ca="1" si="8"/>
        <v>40209564241</v>
      </c>
      <c r="AG8" s="43">
        <f t="shared" ca="1" si="8"/>
        <v>29010156863</v>
      </c>
      <c r="AH8" s="43">
        <f t="shared" ca="1" si="8"/>
        <v>41667369127</v>
      </c>
      <c r="AI8" s="43">
        <f t="shared" ca="1" si="8"/>
        <v>46404613974</v>
      </c>
      <c r="AJ8" s="43">
        <f t="shared" ca="1" si="8"/>
        <v>46949105760</v>
      </c>
      <c r="AK8" s="43">
        <f t="shared" ca="1" si="8"/>
        <v>45651214884</v>
      </c>
      <c r="AL8" s="43">
        <f t="shared" ca="1" si="8"/>
        <v>44514742712</v>
      </c>
      <c r="AM8" s="43"/>
      <c r="AN8" s="43"/>
      <c r="AO8" s="43"/>
      <c r="AP8" s="43"/>
    </row>
    <row r="9" spans="1:42" ht="17.25" customHeight="1" x14ac:dyDescent="0.25">
      <c r="A9" s="44">
        <v>2005</v>
      </c>
      <c r="B9" s="45" t="s">
        <v>66</v>
      </c>
      <c r="C9" s="45" t="s">
        <v>35</v>
      </c>
      <c r="D9" s="45" t="s">
        <v>36</v>
      </c>
      <c r="E9" s="45" t="s">
        <v>69</v>
      </c>
      <c r="F9" s="45" t="s">
        <v>70</v>
      </c>
      <c r="G9" s="46">
        <v>1010000000</v>
      </c>
      <c r="H9" s="45" t="s">
        <v>68</v>
      </c>
      <c r="I9" s="47" t="str">
        <f t="shared" si="0"/>
        <v>Brazil-Online Supplier-Direct</v>
      </c>
      <c r="J9" s="47" t="str">
        <f t="shared" si="1"/>
        <v/>
      </c>
      <c r="K9" s="47"/>
      <c r="L9" s="41"/>
      <c r="M9" s="35"/>
      <c r="N9" s="35"/>
      <c r="O9" s="35" t="str">
        <f ca="1">IFERROR(__xludf.DUMMYFUNCTION("""COMPUTED_VALUE"""),"Colombia")</f>
        <v>Colombia</v>
      </c>
      <c r="P9" s="42">
        <f t="shared" ref="P9:AL9" ca="1" si="9">SUMIFS($G$2:$G$2794,$D$2:$D$2794,$O$2:$O$41,$E$2:$E$2794,$M$8,$A$2:$A$2794,P$1)</f>
        <v>5110000000</v>
      </c>
      <c r="Q9" s="42">
        <f t="shared" ca="1" si="9"/>
        <v>5670000000</v>
      </c>
      <c r="R9" s="42">
        <f t="shared" ca="1" si="9"/>
        <v>7200000000</v>
      </c>
      <c r="S9" s="42">
        <f t="shared" ca="1" si="9"/>
        <v>8110000000</v>
      </c>
      <c r="T9" s="43">
        <f t="shared" ca="1" si="9"/>
        <v>7771717172</v>
      </c>
      <c r="U9" s="43">
        <f t="shared" ca="1" si="9"/>
        <v>8251034761</v>
      </c>
      <c r="V9" s="43">
        <f t="shared" ca="1" si="9"/>
        <v>8373958686</v>
      </c>
      <c r="W9" s="43">
        <f t="shared" ca="1" si="9"/>
        <v>8577090600</v>
      </c>
      <c r="X9" s="43">
        <f t="shared" ca="1" si="9"/>
        <v>8229403506</v>
      </c>
      <c r="Y9" s="43">
        <f t="shared" ca="1" si="9"/>
        <v>7659786029</v>
      </c>
      <c r="Z9" s="43">
        <f t="shared" ca="1" si="9"/>
        <v>5617304251</v>
      </c>
      <c r="AA9" s="43">
        <f t="shared" ca="1" si="9"/>
        <v>5148422182</v>
      </c>
      <c r="AB9" s="43">
        <f t="shared" ca="1" si="9"/>
        <v>5371850317</v>
      </c>
      <c r="AC9" s="43">
        <f t="shared" ca="1" si="9"/>
        <v>5185931035</v>
      </c>
      <c r="AD9" s="43">
        <f t="shared" ca="1" si="9"/>
        <v>5212880100</v>
      </c>
      <c r="AE9" s="43">
        <f t="shared" ca="1" si="9"/>
        <v>1324312828</v>
      </c>
      <c r="AF9" s="43">
        <f t="shared" ca="1" si="9"/>
        <v>2006015002</v>
      </c>
      <c r="AG9" s="43">
        <f t="shared" ca="1" si="9"/>
        <v>2498170431</v>
      </c>
      <c r="AH9" s="43">
        <f t="shared" ca="1" si="9"/>
        <v>3315419461</v>
      </c>
      <c r="AI9" s="43">
        <f t="shared" ca="1" si="9"/>
        <v>3111420641</v>
      </c>
      <c r="AJ9" s="43">
        <f t="shared" ca="1" si="9"/>
        <v>3261338653</v>
      </c>
      <c r="AK9" s="43">
        <f t="shared" ca="1" si="9"/>
        <v>3424884998</v>
      </c>
      <c r="AL9" s="43">
        <f t="shared" ca="1" si="9"/>
        <v>3585941185</v>
      </c>
      <c r="AM9" s="43"/>
      <c r="AN9" s="43"/>
      <c r="AO9" s="43"/>
      <c r="AP9" s="43"/>
    </row>
    <row r="10" spans="1:42" ht="17.25" customHeight="1" x14ac:dyDescent="0.25">
      <c r="A10" s="37">
        <v>2005</v>
      </c>
      <c r="B10" s="38" t="s">
        <v>66</v>
      </c>
      <c r="C10" s="38" t="s">
        <v>35</v>
      </c>
      <c r="D10" s="38" t="s">
        <v>36</v>
      </c>
      <c r="E10" s="38" t="s">
        <v>69</v>
      </c>
      <c r="F10" s="38" t="s">
        <v>71</v>
      </c>
      <c r="G10" s="39">
        <v>1010000000</v>
      </c>
      <c r="H10" s="38" t="s">
        <v>68</v>
      </c>
      <c r="I10" s="40" t="str">
        <f t="shared" si="0"/>
        <v>Brazil-OTA</v>
      </c>
      <c r="J10" s="40" t="str">
        <f t="shared" si="1"/>
        <v/>
      </c>
      <c r="K10" s="40"/>
      <c r="L10" s="41"/>
      <c r="M10" s="35"/>
      <c r="N10" s="35"/>
      <c r="O10" s="35" t="str">
        <f ca="1">IFERROR(__xludf.DUMMYFUNCTION("""COMPUTED_VALUE"""),"Czech Republic")</f>
        <v>Czech Republic</v>
      </c>
      <c r="P10" s="42">
        <f t="shared" ref="P10:AL10" ca="1" si="10">SUMIFS($G$2:$G$2794,$D$2:$D$2794,$O$2:$O$41,$E$2:$E$2794,$M$8,$A$2:$A$2794,P$1)</f>
        <v>1860000000</v>
      </c>
      <c r="Q10" s="42">
        <f t="shared" ca="1" si="10"/>
        <v>2110000000</v>
      </c>
      <c r="R10" s="42">
        <f t="shared" ca="1" si="10"/>
        <v>2560000000</v>
      </c>
      <c r="S10" s="42">
        <f t="shared" ca="1" si="10"/>
        <v>3050000000</v>
      </c>
      <c r="T10" s="43">
        <f t="shared" ca="1" si="10"/>
        <v>2673363667</v>
      </c>
      <c r="U10" s="43">
        <f t="shared" ca="1" si="10"/>
        <v>2460444226</v>
      </c>
      <c r="V10" s="43">
        <f t="shared" ca="1" si="10"/>
        <v>2588306272</v>
      </c>
      <c r="W10" s="43">
        <f t="shared" ca="1" si="10"/>
        <v>2566064689</v>
      </c>
      <c r="X10" s="43">
        <f t="shared" ca="1" si="10"/>
        <v>2209987438</v>
      </c>
      <c r="Y10" s="43">
        <f t="shared" ca="1" si="10"/>
        <v>2226511222</v>
      </c>
      <c r="Z10" s="43">
        <f t="shared" ca="1" si="10"/>
        <v>1989639225</v>
      </c>
      <c r="AA10" s="43">
        <f t="shared" ca="1" si="10"/>
        <v>2045064715</v>
      </c>
      <c r="AB10" s="43">
        <f t="shared" ca="1" si="10"/>
        <v>1548369652</v>
      </c>
      <c r="AC10" s="43">
        <f t="shared" ca="1" si="10"/>
        <v>1800209098</v>
      </c>
      <c r="AD10" s="43">
        <f t="shared" ca="1" si="10"/>
        <v>1687677623</v>
      </c>
      <c r="AE10" s="43">
        <f t="shared" ca="1" si="10"/>
        <v>828193750</v>
      </c>
      <c r="AF10" s="43">
        <f t="shared" ca="1" si="10"/>
        <v>760499298</v>
      </c>
      <c r="AG10" s="43">
        <f t="shared" ca="1" si="10"/>
        <v>1191307108</v>
      </c>
      <c r="AH10" s="43">
        <f t="shared" ca="1" si="10"/>
        <v>1413702845</v>
      </c>
      <c r="AI10" s="43">
        <f t="shared" ca="1" si="10"/>
        <v>1508625473</v>
      </c>
      <c r="AJ10" s="43">
        <f t="shared" ca="1" si="10"/>
        <v>1601900668</v>
      </c>
      <c r="AK10" s="43">
        <f t="shared" ca="1" si="10"/>
        <v>1667365988</v>
      </c>
      <c r="AL10" s="43">
        <f t="shared" ca="1" si="10"/>
        <v>1754150116</v>
      </c>
      <c r="AM10" s="43"/>
      <c r="AN10" s="43"/>
      <c r="AO10" s="43"/>
      <c r="AP10" s="43"/>
    </row>
    <row r="11" spans="1:42" ht="17.25" customHeight="1" x14ac:dyDescent="0.25">
      <c r="A11" s="44">
        <v>2005</v>
      </c>
      <c r="B11" s="45" t="s">
        <v>66</v>
      </c>
      <c r="C11" s="45" t="s">
        <v>17</v>
      </c>
      <c r="D11" s="45" t="s">
        <v>16</v>
      </c>
      <c r="E11" s="45" t="s">
        <v>67</v>
      </c>
      <c r="F11" s="45" t="s">
        <v>67</v>
      </c>
      <c r="G11" s="46">
        <v>795000000</v>
      </c>
      <c r="H11" s="45" t="s">
        <v>68</v>
      </c>
      <c r="I11" s="47" t="str">
        <f t="shared" si="0"/>
        <v>Bulgaria-Offline</v>
      </c>
      <c r="J11" s="47" t="str">
        <f t="shared" si="1"/>
        <v/>
      </c>
      <c r="K11" s="47"/>
      <c r="L11" s="41"/>
      <c r="M11" s="35"/>
      <c r="N11" s="35"/>
      <c r="O11" s="35" t="str">
        <f ca="1">IFERROR(__xludf.DUMMYFUNCTION("""COMPUTED_VALUE"""),"Egypt")</f>
        <v>Egypt</v>
      </c>
      <c r="P11" s="42">
        <f t="shared" ref="P11:AL11" ca="1" si="11">SUMIFS($G$2:$G$2794,$D$2:$D$2794,$O$2:$O$41,$E$2:$E$2794,$M$8,$A$2:$A$2794,P$1)</f>
        <v>3800000000</v>
      </c>
      <c r="Q11" s="42">
        <f t="shared" ca="1" si="11"/>
        <v>4550000000</v>
      </c>
      <c r="R11" s="42">
        <f t="shared" ca="1" si="11"/>
        <v>5500000000</v>
      </c>
      <c r="S11" s="42">
        <f t="shared" ca="1" si="11"/>
        <v>6580000000</v>
      </c>
      <c r="T11" s="43">
        <f t="shared" ca="1" si="11"/>
        <v>7642316996</v>
      </c>
      <c r="U11" s="43">
        <f t="shared" ca="1" si="11"/>
        <v>7808305519</v>
      </c>
      <c r="V11" s="43">
        <f t="shared" ca="1" si="11"/>
        <v>5817666121</v>
      </c>
      <c r="W11" s="43">
        <f t="shared" ca="1" si="11"/>
        <v>6586796933</v>
      </c>
      <c r="X11" s="43">
        <f t="shared" ca="1" si="11"/>
        <v>6747014269</v>
      </c>
      <c r="Y11" s="43">
        <f t="shared" ca="1" si="11"/>
        <v>6871306020</v>
      </c>
      <c r="Z11" s="43">
        <f t="shared" ca="1" si="11"/>
        <v>5676706359</v>
      </c>
      <c r="AA11" s="43">
        <f t="shared" ca="1" si="11"/>
        <v>4184077856</v>
      </c>
      <c r="AB11" s="43">
        <f t="shared" ca="1" si="11"/>
        <v>2664157056</v>
      </c>
      <c r="AC11" s="43">
        <f t="shared" ca="1" si="11"/>
        <v>2960255446</v>
      </c>
      <c r="AD11" s="43">
        <f t="shared" ca="1" si="11"/>
        <v>3236888074</v>
      </c>
      <c r="AE11" s="43">
        <f t="shared" ca="1" si="11"/>
        <v>1567240222</v>
      </c>
      <c r="AF11" s="43">
        <f t="shared" ca="1" si="11"/>
        <v>1257720109</v>
      </c>
      <c r="AG11" s="43">
        <f t="shared" ca="1" si="11"/>
        <v>1946413217</v>
      </c>
      <c r="AH11" s="43">
        <f t="shared" ca="1" si="11"/>
        <v>1602093739</v>
      </c>
      <c r="AI11" s="43">
        <f t="shared" ca="1" si="11"/>
        <v>1568284595</v>
      </c>
      <c r="AJ11" s="43">
        <f t="shared" ca="1" si="11"/>
        <v>1621598031</v>
      </c>
      <c r="AK11" s="43">
        <f t="shared" ca="1" si="11"/>
        <v>1634813791</v>
      </c>
      <c r="AL11" s="43">
        <f t="shared" ca="1" si="11"/>
        <v>1644215466</v>
      </c>
      <c r="AM11" s="43"/>
      <c r="AN11" s="43"/>
      <c r="AO11" s="43"/>
      <c r="AP11" s="43"/>
    </row>
    <row r="12" spans="1:42" ht="17.25" customHeight="1" x14ac:dyDescent="0.25">
      <c r="A12" s="37">
        <v>2005</v>
      </c>
      <c r="B12" s="38" t="s">
        <v>66</v>
      </c>
      <c r="C12" s="38" t="s">
        <v>17</v>
      </c>
      <c r="D12" s="38" t="s">
        <v>16</v>
      </c>
      <c r="E12" s="38" t="s">
        <v>69</v>
      </c>
      <c r="F12" s="38" t="s">
        <v>70</v>
      </c>
      <c r="G12" s="39">
        <v>7137919</v>
      </c>
      <c r="H12" s="38" t="s">
        <v>68</v>
      </c>
      <c r="I12" s="40" t="str">
        <f t="shared" si="0"/>
        <v>Bulgaria-Online Supplier-Direct</v>
      </c>
      <c r="J12" s="40" t="str">
        <f t="shared" si="1"/>
        <v/>
      </c>
      <c r="K12" s="40"/>
      <c r="L12" s="41"/>
      <c r="M12" s="35"/>
      <c r="N12" s="35"/>
      <c r="O12" s="35" t="str">
        <f ca="1">IFERROR(__xludf.DUMMYFUNCTION("""COMPUTED_VALUE"""),"France")</f>
        <v>France</v>
      </c>
      <c r="P12" s="42">
        <f t="shared" ref="P12:AL12" ca="1" si="12">SUMIFS($G$2:$G$2794,$D$2:$D$2794,$O$2:$O$41,$E$2:$E$2794,$M$8,$A$2:$A$2794,P$1)</f>
        <v>31600000000</v>
      </c>
      <c r="Q12" s="42">
        <f t="shared" ca="1" si="12"/>
        <v>33300000000</v>
      </c>
      <c r="R12" s="42">
        <f t="shared" ca="1" si="12"/>
        <v>38100000000</v>
      </c>
      <c r="S12" s="42">
        <f t="shared" ca="1" si="12"/>
        <v>40200000000</v>
      </c>
      <c r="T12" s="43">
        <f t="shared" ca="1" si="12"/>
        <v>37047452784</v>
      </c>
      <c r="U12" s="43">
        <f t="shared" ca="1" si="12"/>
        <v>35412326588</v>
      </c>
      <c r="V12" s="43">
        <f t="shared" ca="1" si="12"/>
        <v>35964377812</v>
      </c>
      <c r="W12" s="43">
        <f t="shared" ca="1" si="12"/>
        <v>33882546866</v>
      </c>
      <c r="X12" s="43">
        <f t="shared" ca="1" si="12"/>
        <v>35300842948</v>
      </c>
      <c r="Y12" s="43">
        <f t="shared" ca="1" si="12"/>
        <v>35789177289</v>
      </c>
      <c r="Z12" s="43">
        <f t="shared" ca="1" si="12"/>
        <v>29331964303</v>
      </c>
      <c r="AA12" s="43">
        <f t="shared" ca="1" si="12"/>
        <v>28213121105</v>
      </c>
      <c r="AB12" s="43">
        <f t="shared" ca="1" si="12"/>
        <v>29163833191</v>
      </c>
      <c r="AC12" s="43">
        <f t="shared" ca="1" si="12"/>
        <v>31239267741</v>
      </c>
      <c r="AD12" s="43">
        <f t="shared" ca="1" si="12"/>
        <v>29652758692</v>
      </c>
      <c r="AE12" s="43">
        <f t="shared" ca="1" si="12"/>
        <v>12764954057</v>
      </c>
      <c r="AF12" s="43">
        <f t="shared" ca="1" si="12"/>
        <v>18821891574</v>
      </c>
      <c r="AG12" s="43">
        <f t="shared" ca="1" si="12"/>
        <v>25358662814</v>
      </c>
      <c r="AH12" s="43">
        <f t="shared" ca="1" si="12"/>
        <v>27994668917</v>
      </c>
      <c r="AI12" s="43">
        <f t="shared" ca="1" si="12"/>
        <v>30012132574</v>
      </c>
      <c r="AJ12" s="43">
        <f t="shared" ca="1" si="12"/>
        <v>27869742510</v>
      </c>
      <c r="AK12" s="43">
        <f t="shared" ca="1" si="12"/>
        <v>28327450431</v>
      </c>
      <c r="AL12" s="43">
        <f t="shared" ca="1" si="12"/>
        <v>28649022950</v>
      </c>
      <c r="AM12" s="43"/>
      <c r="AN12" s="43"/>
      <c r="AO12" s="43"/>
      <c r="AP12" s="43"/>
    </row>
    <row r="13" spans="1:42" ht="17.25" customHeight="1" x14ac:dyDescent="0.25">
      <c r="A13" s="44">
        <v>2005</v>
      </c>
      <c r="B13" s="45" t="s">
        <v>66</v>
      </c>
      <c r="C13" s="45" t="s">
        <v>17</v>
      </c>
      <c r="D13" s="45" t="s">
        <v>16</v>
      </c>
      <c r="E13" s="45" t="s">
        <v>69</v>
      </c>
      <c r="F13" s="45" t="s">
        <v>71</v>
      </c>
      <c r="G13" s="46">
        <v>7137919</v>
      </c>
      <c r="H13" s="45" t="s">
        <v>68</v>
      </c>
      <c r="I13" s="47" t="str">
        <f t="shared" si="0"/>
        <v>Bulgaria-OTA</v>
      </c>
      <c r="J13" s="47" t="str">
        <f t="shared" si="1"/>
        <v/>
      </c>
      <c r="K13" s="47"/>
      <c r="L13" s="41"/>
      <c r="M13" s="35"/>
      <c r="N13" s="35"/>
      <c r="O13" s="35" t="str">
        <f ca="1">IFERROR(__xludf.DUMMYFUNCTION("""COMPUTED_VALUE"""),"Germany")</f>
        <v>Germany</v>
      </c>
      <c r="P13" s="42">
        <f t="shared" ref="P13:AL13" ca="1" si="13">SUMIFS($G$2:$G$2794,$D$2:$D$2794,$O$2:$O$41,$E$2:$E$2794,$M$8,$A$2:$A$2794,P$1)</f>
        <v>41400000000</v>
      </c>
      <c r="Q13" s="42">
        <f t="shared" ca="1" si="13"/>
        <v>43400000000</v>
      </c>
      <c r="R13" s="42">
        <f t="shared" ca="1" si="13"/>
        <v>49500000000</v>
      </c>
      <c r="S13" s="42">
        <f t="shared" ca="1" si="13"/>
        <v>51800000000</v>
      </c>
      <c r="T13" s="43">
        <f t="shared" ca="1" si="13"/>
        <v>47332425946</v>
      </c>
      <c r="U13" s="43">
        <f t="shared" ca="1" si="13"/>
        <v>46374265997</v>
      </c>
      <c r="V13" s="43">
        <f t="shared" ca="1" si="13"/>
        <v>50536379834</v>
      </c>
      <c r="W13" s="43">
        <f t="shared" ca="1" si="13"/>
        <v>49644013581</v>
      </c>
      <c r="X13" s="43">
        <f t="shared" ca="1" si="13"/>
        <v>50305961024</v>
      </c>
      <c r="Y13" s="43">
        <f t="shared" ca="1" si="13"/>
        <v>48198643985</v>
      </c>
      <c r="Z13" s="43">
        <f t="shared" ca="1" si="13"/>
        <v>41759717220</v>
      </c>
      <c r="AA13" s="43">
        <f t="shared" ca="1" si="13"/>
        <v>40650152327</v>
      </c>
      <c r="AB13" s="43">
        <f t="shared" ca="1" si="13"/>
        <v>41968759287</v>
      </c>
      <c r="AC13" s="43">
        <f t="shared" ca="1" si="13"/>
        <v>42020373352</v>
      </c>
      <c r="AD13" s="43">
        <f t="shared" ca="1" si="13"/>
        <v>36509533759</v>
      </c>
      <c r="AE13" s="43">
        <f t="shared" ca="1" si="13"/>
        <v>14293254169</v>
      </c>
      <c r="AF13" s="43">
        <f t="shared" ca="1" si="13"/>
        <v>15242555552</v>
      </c>
      <c r="AG13" s="43">
        <f t="shared" ca="1" si="13"/>
        <v>25021554857</v>
      </c>
      <c r="AH13" s="43">
        <f t="shared" ca="1" si="13"/>
        <v>28660157443</v>
      </c>
      <c r="AI13" s="43">
        <f t="shared" ca="1" si="13"/>
        <v>27715487765</v>
      </c>
      <c r="AJ13" s="43">
        <f t="shared" ca="1" si="13"/>
        <v>26683645152</v>
      </c>
      <c r="AK13" s="43">
        <f t="shared" ca="1" si="13"/>
        <v>25498920598</v>
      </c>
      <c r="AL13" s="43">
        <f t="shared" ca="1" si="13"/>
        <v>23814140664</v>
      </c>
      <c r="AM13" s="43"/>
      <c r="AN13" s="43"/>
      <c r="AO13" s="43"/>
      <c r="AP13" s="43"/>
    </row>
    <row r="14" spans="1:42" ht="17.25" customHeight="1" x14ac:dyDescent="0.25">
      <c r="A14" s="37">
        <v>2005</v>
      </c>
      <c r="B14" s="38" t="s">
        <v>66</v>
      </c>
      <c r="C14" s="38" t="s">
        <v>47</v>
      </c>
      <c r="D14" s="38" t="s">
        <v>46</v>
      </c>
      <c r="E14" s="38" t="s">
        <v>67</v>
      </c>
      <c r="F14" s="38" t="s">
        <v>67</v>
      </c>
      <c r="G14" s="39">
        <v>13400000000</v>
      </c>
      <c r="H14" s="38" t="s">
        <v>68</v>
      </c>
      <c r="I14" s="40" t="str">
        <f t="shared" si="0"/>
        <v>Canada-Offline</v>
      </c>
      <c r="J14" s="40" t="str">
        <f t="shared" si="1"/>
        <v/>
      </c>
      <c r="K14" s="40"/>
      <c r="L14" s="41"/>
      <c r="M14" s="35"/>
      <c r="N14" s="35"/>
      <c r="O14" s="35" t="str">
        <f ca="1">IFERROR(__xludf.DUMMYFUNCTION("""COMPUTED_VALUE"""),"Greece")</f>
        <v>Greece</v>
      </c>
      <c r="P14" s="42">
        <f t="shared" ref="P14:AL14" ca="1" si="14">SUMIFS($G$2:$G$2794,$D$2:$D$2794,$O$2:$O$41,$E$2:$E$2794,$M$8,$A$2:$A$2794,P$1)</f>
        <v>6390000000</v>
      </c>
      <c r="Q14" s="42">
        <f t="shared" ca="1" si="14"/>
        <v>7080000000</v>
      </c>
      <c r="R14" s="42">
        <f t="shared" ca="1" si="14"/>
        <v>8240000000</v>
      </c>
      <c r="S14" s="42">
        <f t="shared" ca="1" si="14"/>
        <v>8820000000</v>
      </c>
      <c r="T14" s="43">
        <f t="shared" ca="1" si="14"/>
        <v>8206450097</v>
      </c>
      <c r="U14" s="43">
        <f t="shared" ca="1" si="14"/>
        <v>7856930286</v>
      </c>
      <c r="V14" s="43">
        <f t="shared" ca="1" si="14"/>
        <v>7969200929</v>
      </c>
      <c r="W14" s="43">
        <f t="shared" ca="1" si="14"/>
        <v>7571196438</v>
      </c>
      <c r="X14" s="43">
        <f t="shared" ca="1" si="14"/>
        <v>6705275063</v>
      </c>
      <c r="Y14" s="43">
        <f t="shared" ca="1" si="14"/>
        <v>5460845633</v>
      </c>
      <c r="Z14" s="43">
        <f t="shared" ca="1" si="14"/>
        <v>5155473313</v>
      </c>
      <c r="AA14" s="43">
        <f t="shared" ca="1" si="14"/>
        <v>5400596004</v>
      </c>
      <c r="AB14" s="43">
        <f t="shared" ca="1" si="14"/>
        <v>3232162890</v>
      </c>
      <c r="AC14" s="43">
        <f t="shared" ca="1" si="14"/>
        <v>3879420271</v>
      </c>
      <c r="AD14" s="43">
        <f t="shared" ca="1" si="14"/>
        <v>3661519557</v>
      </c>
      <c r="AE14" s="43">
        <f t="shared" ca="1" si="14"/>
        <v>1238763466</v>
      </c>
      <c r="AF14" s="43">
        <f t="shared" ca="1" si="14"/>
        <v>2112508004</v>
      </c>
      <c r="AG14" s="43">
        <f t="shared" ca="1" si="14"/>
        <v>3586155148</v>
      </c>
      <c r="AH14" s="43">
        <f t="shared" ca="1" si="14"/>
        <v>4153881783</v>
      </c>
      <c r="AI14" s="43">
        <f t="shared" ca="1" si="14"/>
        <v>4586589232</v>
      </c>
      <c r="AJ14" s="43">
        <f t="shared" ca="1" si="14"/>
        <v>4789902954</v>
      </c>
      <c r="AK14" s="43">
        <f t="shared" ca="1" si="14"/>
        <v>5003176731</v>
      </c>
      <c r="AL14" s="43">
        <f t="shared" ca="1" si="14"/>
        <v>5175330628</v>
      </c>
      <c r="AM14" s="43"/>
      <c r="AN14" s="43"/>
      <c r="AO14" s="43"/>
      <c r="AP14" s="43"/>
    </row>
    <row r="15" spans="1:42" ht="17.25" customHeight="1" x14ac:dyDescent="0.25">
      <c r="A15" s="44">
        <v>2005</v>
      </c>
      <c r="B15" s="45" t="s">
        <v>66</v>
      </c>
      <c r="C15" s="45" t="s">
        <v>47</v>
      </c>
      <c r="D15" s="45" t="s">
        <v>46</v>
      </c>
      <c r="E15" s="45" t="s">
        <v>69</v>
      </c>
      <c r="F15" s="45" t="s">
        <v>70</v>
      </c>
      <c r="G15" s="46">
        <v>2170000000</v>
      </c>
      <c r="H15" s="45" t="s">
        <v>68</v>
      </c>
      <c r="I15" s="47" t="str">
        <f t="shared" si="0"/>
        <v>Canada-Online Supplier-Direct</v>
      </c>
      <c r="J15" s="47" t="str">
        <f t="shared" si="1"/>
        <v/>
      </c>
      <c r="K15" s="47"/>
      <c r="L15" s="41"/>
      <c r="M15" s="35"/>
      <c r="N15" s="35"/>
      <c r="O15" s="35" t="str">
        <f ca="1">IFERROR(__xludf.DUMMYFUNCTION("""COMPUTED_VALUE"""),"Hong Kong")</f>
        <v>Hong Kong</v>
      </c>
      <c r="P15" s="42">
        <f t="shared" ref="P15:AL15" ca="1" si="15">SUMIFS($G$2:$G$2794,$D$2:$D$2794,$O$2:$O$41,$E$2:$E$2794,$M$8,$A$2:$A$2794,P$1)</f>
        <v>7650000000</v>
      </c>
      <c r="Q15" s="42">
        <f t="shared" ca="1" si="15"/>
        <v>8130000000</v>
      </c>
      <c r="R15" s="42">
        <f t="shared" ca="1" si="15"/>
        <v>8860000000</v>
      </c>
      <c r="S15" s="42">
        <f t="shared" ca="1" si="15"/>
        <v>8800000000</v>
      </c>
      <c r="T15" s="43">
        <f t="shared" ca="1" si="15"/>
        <v>8587607904</v>
      </c>
      <c r="U15" s="43">
        <f t="shared" ca="1" si="15"/>
        <v>10527783022</v>
      </c>
      <c r="V15" s="43">
        <f t="shared" ca="1" si="15"/>
        <v>12180633013</v>
      </c>
      <c r="W15" s="43">
        <f t="shared" ca="1" si="15"/>
        <v>12457882294</v>
      </c>
      <c r="X15" s="43">
        <f t="shared" ca="1" si="15"/>
        <v>11730744076</v>
      </c>
      <c r="Y15" s="43">
        <f t="shared" ca="1" si="15"/>
        <v>12146783594</v>
      </c>
      <c r="Z15" s="43">
        <f t="shared" ca="1" si="15"/>
        <v>11390599937</v>
      </c>
      <c r="AA15" s="43">
        <f t="shared" ca="1" si="15"/>
        <v>10366190520</v>
      </c>
      <c r="AB15" s="43">
        <f t="shared" ca="1" si="15"/>
        <v>10208007936</v>
      </c>
      <c r="AC15" s="43">
        <f t="shared" ca="1" si="15"/>
        <v>10981927255</v>
      </c>
      <c r="AD15" s="43">
        <f t="shared" ca="1" si="15"/>
        <v>10030665758</v>
      </c>
      <c r="AE15" s="43">
        <f t="shared" ca="1" si="15"/>
        <v>2036024214</v>
      </c>
      <c r="AF15" s="43">
        <f t="shared" ca="1" si="15"/>
        <v>1712972447</v>
      </c>
      <c r="AG15" s="43">
        <f t="shared" ca="1" si="15"/>
        <v>3002000443</v>
      </c>
      <c r="AH15" s="43">
        <f t="shared" ca="1" si="15"/>
        <v>7197450281</v>
      </c>
      <c r="AI15" s="43">
        <f t="shared" ca="1" si="15"/>
        <v>7594603825</v>
      </c>
      <c r="AJ15" s="43">
        <f t="shared" ca="1" si="15"/>
        <v>7586173820</v>
      </c>
      <c r="AK15" s="43">
        <f t="shared" ca="1" si="15"/>
        <v>7547970565</v>
      </c>
      <c r="AL15" s="43">
        <f t="shared" ca="1" si="15"/>
        <v>7478023869</v>
      </c>
      <c r="AM15" s="43"/>
      <c r="AN15" s="43"/>
      <c r="AO15" s="43"/>
      <c r="AP15" s="43"/>
    </row>
    <row r="16" spans="1:42" ht="17.25" customHeight="1" x14ac:dyDescent="0.25">
      <c r="A16" s="37">
        <v>2005</v>
      </c>
      <c r="B16" s="38" t="s">
        <v>66</v>
      </c>
      <c r="C16" s="38" t="s">
        <v>47</v>
      </c>
      <c r="D16" s="38" t="s">
        <v>46</v>
      </c>
      <c r="E16" s="38" t="s">
        <v>69</v>
      </c>
      <c r="F16" s="38" t="s">
        <v>71</v>
      </c>
      <c r="G16" s="39">
        <v>2170000000</v>
      </c>
      <c r="H16" s="38" t="s">
        <v>68</v>
      </c>
      <c r="I16" s="40" t="str">
        <f t="shared" si="0"/>
        <v>Canada-OTA</v>
      </c>
      <c r="J16" s="40" t="str">
        <f t="shared" si="1"/>
        <v/>
      </c>
      <c r="K16" s="40"/>
      <c r="L16" s="41"/>
      <c r="M16" s="35"/>
      <c r="N16" s="35"/>
      <c r="O16" s="35" t="str">
        <f ca="1">IFERROR(__xludf.DUMMYFUNCTION("""COMPUTED_VALUE"""),"Hungary")</f>
        <v>Hungary</v>
      </c>
      <c r="P16" s="42">
        <f t="shared" ref="P16:AL16" ca="1" si="16">SUMIFS($G$2:$G$2794,$D$2:$D$2794,$O$2:$O$41,$E$2:$E$2794,$M$8,$A$2:$A$2794,P$1)</f>
        <v>1880000000</v>
      </c>
      <c r="Q16" s="42">
        <f t="shared" ca="1" si="16"/>
        <v>1920000000</v>
      </c>
      <c r="R16" s="42">
        <f t="shared" ca="1" si="16"/>
        <v>2320000000</v>
      </c>
      <c r="S16" s="42">
        <f t="shared" ca="1" si="16"/>
        <v>2510000000</v>
      </c>
      <c r="T16" s="43">
        <f t="shared" ca="1" si="16"/>
        <v>2074578067</v>
      </c>
      <c r="U16" s="43">
        <f t="shared" ca="1" si="16"/>
        <v>2047706721</v>
      </c>
      <c r="V16" s="43">
        <f t="shared" ca="1" si="16"/>
        <v>2151796775</v>
      </c>
      <c r="W16" s="43">
        <f t="shared" ca="1" si="16"/>
        <v>1678712243</v>
      </c>
      <c r="X16" s="43">
        <f t="shared" ca="1" si="16"/>
        <v>1533987442</v>
      </c>
      <c r="Y16" s="43">
        <f t="shared" ca="1" si="16"/>
        <v>1550687163</v>
      </c>
      <c r="Z16" s="43">
        <f t="shared" ca="1" si="16"/>
        <v>1305306687</v>
      </c>
      <c r="AA16" s="43">
        <f t="shared" ca="1" si="16"/>
        <v>1321195212</v>
      </c>
      <c r="AB16" s="43">
        <f t="shared" ca="1" si="16"/>
        <v>961881965</v>
      </c>
      <c r="AC16" s="43">
        <f t="shared" ca="1" si="16"/>
        <v>983338052</v>
      </c>
      <c r="AD16" s="43">
        <f t="shared" ca="1" si="16"/>
        <v>918332368</v>
      </c>
      <c r="AE16" s="43">
        <f t="shared" ca="1" si="16"/>
        <v>351839630</v>
      </c>
      <c r="AF16" s="43">
        <f t="shared" ca="1" si="16"/>
        <v>419275273</v>
      </c>
      <c r="AG16" s="43">
        <f t="shared" ca="1" si="16"/>
        <v>527041125</v>
      </c>
      <c r="AH16" s="43">
        <f t="shared" ca="1" si="16"/>
        <v>597222038</v>
      </c>
      <c r="AI16" s="43">
        <f t="shared" ca="1" si="16"/>
        <v>625828990</v>
      </c>
      <c r="AJ16" s="43">
        <f t="shared" ca="1" si="16"/>
        <v>651002824</v>
      </c>
      <c r="AK16" s="43">
        <f t="shared" ca="1" si="16"/>
        <v>660750411</v>
      </c>
      <c r="AL16" s="43">
        <f t="shared" ca="1" si="16"/>
        <v>686403668</v>
      </c>
      <c r="AM16" s="43"/>
      <c r="AN16" s="43"/>
      <c r="AO16" s="43"/>
      <c r="AP16" s="43"/>
    </row>
    <row r="17" spans="1:42" ht="17.25" customHeight="1" x14ac:dyDescent="0.25">
      <c r="A17" s="44">
        <v>2005</v>
      </c>
      <c r="B17" s="45" t="s">
        <v>66</v>
      </c>
      <c r="C17" s="45" t="s">
        <v>35</v>
      </c>
      <c r="D17" s="45" t="s">
        <v>37</v>
      </c>
      <c r="E17" s="45" t="s">
        <v>67</v>
      </c>
      <c r="F17" s="45" t="s">
        <v>67</v>
      </c>
      <c r="G17" s="46">
        <v>2840000000</v>
      </c>
      <c r="H17" s="45" t="s">
        <v>68</v>
      </c>
      <c r="I17" s="47" t="str">
        <f t="shared" si="0"/>
        <v>Chile-Offline</v>
      </c>
      <c r="J17" s="47" t="str">
        <f t="shared" si="1"/>
        <v/>
      </c>
      <c r="K17" s="47"/>
      <c r="L17" s="41"/>
      <c r="M17" s="35"/>
      <c r="N17" s="35"/>
      <c r="O17" s="35" t="str">
        <f ca="1">IFERROR(__xludf.DUMMYFUNCTION("""COMPUTED_VALUE"""),"India")</f>
        <v>India</v>
      </c>
      <c r="P17" s="42">
        <f t="shared" ref="P17:AL17" ca="1" si="17">SUMIFS($G$2:$G$2794,$D$2:$D$2794,$O$2:$O$41,$E$2:$E$2794,$M$8,$A$2:$A$2794,P$1)</f>
        <v>8820000000</v>
      </c>
      <c r="Q17" s="42">
        <f t="shared" ca="1" si="17"/>
        <v>10100000000</v>
      </c>
      <c r="R17" s="42">
        <f t="shared" ca="1" si="17"/>
        <v>13000000000</v>
      </c>
      <c r="S17" s="42">
        <f t="shared" ca="1" si="17"/>
        <v>12300000000</v>
      </c>
      <c r="T17" s="43">
        <f t="shared" ca="1" si="17"/>
        <v>13723773716</v>
      </c>
      <c r="U17" s="43">
        <f t="shared" ca="1" si="17"/>
        <v>15596271079</v>
      </c>
      <c r="V17" s="43">
        <f t="shared" ca="1" si="17"/>
        <v>16304676226</v>
      </c>
      <c r="W17" s="43">
        <f t="shared" ca="1" si="17"/>
        <v>16445966960</v>
      </c>
      <c r="X17" s="43">
        <f t="shared" ca="1" si="17"/>
        <v>15758031733</v>
      </c>
      <c r="Y17" s="43">
        <f t="shared" ca="1" si="17"/>
        <v>16726568981</v>
      </c>
      <c r="Z17" s="43">
        <f t="shared" ca="1" si="17"/>
        <v>16491623810</v>
      </c>
      <c r="AA17" s="43">
        <f t="shared" ca="1" si="17"/>
        <v>17742879438</v>
      </c>
      <c r="AB17" s="43">
        <f t="shared" ca="1" si="17"/>
        <v>18735709025</v>
      </c>
      <c r="AC17" s="43">
        <f t="shared" ca="1" si="17"/>
        <v>18700388507</v>
      </c>
      <c r="AD17" s="43">
        <f t="shared" ca="1" si="17"/>
        <v>17826194918</v>
      </c>
      <c r="AE17" s="43">
        <f t="shared" ca="1" si="17"/>
        <v>5318363414</v>
      </c>
      <c r="AF17" s="43">
        <f t="shared" ca="1" si="17"/>
        <v>9065567488</v>
      </c>
      <c r="AG17" s="43">
        <f t="shared" ca="1" si="17"/>
        <v>15554061326</v>
      </c>
      <c r="AH17" s="43">
        <f t="shared" ca="1" si="17"/>
        <v>16919932859</v>
      </c>
      <c r="AI17" s="43">
        <f t="shared" ca="1" si="17"/>
        <v>18293217360</v>
      </c>
      <c r="AJ17" s="43">
        <f t="shared" ca="1" si="17"/>
        <v>19772295426</v>
      </c>
      <c r="AK17" s="43">
        <f t="shared" ca="1" si="17"/>
        <v>21056917112</v>
      </c>
      <c r="AL17" s="43">
        <f t="shared" ca="1" si="17"/>
        <v>22275839172</v>
      </c>
      <c r="AM17" s="43"/>
      <c r="AN17" s="43"/>
      <c r="AO17" s="43"/>
      <c r="AP17" s="43"/>
    </row>
    <row r="18" spans="1:42" ht="17.25" customHeight="1" x14ac:dyDescent="0.25">
      <c r="A18" s="37">
        <v>2005</v>
      </c>
      <c r="B18" s="38" t="s">
        <v>66</v>
      </c>
      <c r="C18" s="38" t="s">
        <v>35</v>
      </c>
      <c r="D18" s="38" t="s">
        <v>37</v>
      </c>
      <c r="E18" s="38" t="s">
        <v>69</v>
      </c>
      <c r="F18" s="38" t="s">
        <v>70</v>
      </c>
      <c r="G18" s="39">
        <v>119000000</v>
      </c>
      <c r="H18" s="38" t="s">
        <v>68</v>
      </c>
      <c r="I18" s="40" t="str">
        <f t="shared" si="0"/>
        <v>Chile-Online Supplier-Direct</v>
      </c>
      <c r="J18" s="40" t="str">
        <f t="shared" si="1"/>
        <v/>
      </c>
      <c r="K18" s="40"/>
      <c r="L18" s="41"/>
      <c r="M18" s="35"/>
      <c r="N18" s="35"/>
      <c r="O18" s="35" t="str">
        <f ca="1">IFERROR(__xludf.DUMMYFUNCTION("""COMPUTED_VALUE"""),"Indonesia")</f>
        <v>Indonesia</v>
      </c>
      <c r="P18" s="42">
        <f t="shared" ref="P18:AL18" ca="1" si="18">SUMIFS($G$2:$G$2794,$D$2:$D$2794,$O$2:$O$41,$E$2:$E$2794,$M$8,$A$2:$A$2794,P$1)</f>
        <v>2690000000</v>
      </c>
      <c r="Q18" s="42">
        <f t="shared" ca="1" si="18"/>
        <v>3410000000</v>
      </c>
      <c r="R18" s="42">
        <f t="shared" ca="1" si="18"/>
        <v>4030000000</v>
      </c>
      <c r="S18" s="42">
        <f t="shared" ca="1" si="18"/>
        <v>4560000000</v>
      </c>
      <c r="T18" s="43">
        <f t="shared" ca="1" si="18"/>
        <v>4823372874</v>
      </c>
      <c r="U18" s="43">
        <f t="shared" ca="1" si="18"/>
        <v>7083527198</v>
      </c>
      <c r="V18" s="43">
        <f t="shared" ca="1" si="18"/>
        <v>9374836917</v>
      </c>
      <c r="W18" s="43">
        <f t="shared" ca="1" si="18"/>
        <v>9925204142</v>
      </c>
      <c r="X18" s="43">
        <f t="shared" ca="1" si="18"/>
        <v>10585442290</v>
      </c>
      <c r="Y18" s="43">
        <f t="shared" ca="1" si="18"/>
        <v>10679803334</v>
      </c>
      <c r="Z18" s="43">
        <f t="shared" ca="1" si="18"/>
        <v>9562653943</v>
      </c>
      <c r="AA18" s="43">
        <f t="shared" ca="1" si="18"/>
        <v>9372223652</v>
      </c>
      <c r="AB18" s="43">
        <f t="shared" ca="1" si="18"/>
        <v>9380687842</v>
      </c>
      <c r="AC18" s="43">
        <f t="shared" ca="1" si="18"/>
        <v>9118576060</v>
      </c>
      <c r="AD18" s="43">
        <f t="shared" ca="1" si="18"/>
        <v>8841228798</v>
      </c>
      <c r="AE18" s="43">
        <f t="shared" ca="1" si="18"/>
        <v>2915237149</v>
      </c>
      <c r="AF18" s="43">
        <f t="shared" ca="1" si="18"/>
        <v>2345969688</v>
      </c>
      <c r="AG18" s="43">
        <f t="shared" ca="1" si="18"/>
        <v>3758081631</v>
      </c>
      <c r="AH18" s="43">
        <f t="shared" ca="1" si="18"/>
        <v>5069639008</v>
      </c>
      <c r="AI18" s="43">
        <f t="shared" ca="1" si="18"/>
        <v>5169082812</v>
      </c>
      <c r="AJ18" s="43">
        <f t="shared" ca="1" si="18"/>
        <v>5022476795</v>
      </c>
      <c r="AK18" s="43">
        <f t="shared" ca="1" si="18"/>
        <v>4815330874</v>
      </c>
      <c r="AL18" s="43">
        <f t="shared" ca="1" si="18"/>
        <v>4524725938</v>
      </c>
      <c r="AM18" s="43"/>
      <c r="AN18" s="43"/>
      <c r="AO18" s="43"/>
      <c r="AP18" s="43"/>
    </row>
    <row r="19" spans="1:42" ht="17.25" customHeight="1" x14ac:dyDescent="0.25">
      <c r="A19" s="44">
        <v>2005</v>
      </c>
      <c r="B19" s="45" t="s">
        <v>66</v>
      </c>
      <c r="C19" s="45" t="s">
        <v>35</v>
      </c>
      <c r="D19" s="45" t="s">
        <v>37</v>
      </c>
      <c r="E19" s="45" t="s">
        <v>69</v>
      </c>
      <c r="F19" s="45" t="s">
        <v>71</v>
      </c>
      <c r="G19" s="46">
        <v>119000000</v>
      </c>
      <c r="H19" s="45" t="s">
        <v>68</v>
      </c>
      <c r="I19" s="47" t="str">
        <f t="shared" si="0"/>
        <v>Chile-OTA</v>
      </c>
      <c r="J19" s="47" t="str">
        <f t="shared" si="1"/>
        <v/>
      </c>
      <c r="K19" s="47"/>
      <c r="L19" s="41"/>
      <c r="M19" s="35"/>
      <c r="N19" s="35"/>
      <c r="O19" s="35" t="str">
        <f ca="1">IFERROR(__xludf.DUMMYFUNCTION("""COMPUTED_VALUE"""),"Italy")</f>
        <v>Italy</v>
      </c>
      <c r="P19" s="42">
        <f t="shared" ref="P19:AL19" ca="1" si="19">SUMIFS($G$2:$G$2794,$D$2:$D$2794,$O$2:$O$41,$E$2:$E$2794,$M$8,$A$2:$A$2794,P$1)</f>
        <v>18000000000</v>
      </c>
      <c r="Q19" s="42">
        <f t="shared" ca="1" si="19"/>
        <v>18900000000</v>
      </c>
      <c r="R19" s="42">
        <f t="shared" ca="1" si="19"/>
        <v>21400000000</v>
      </c>
      <c r="S19" s="42">
        <f t="shared" ca="1" si="19"/>
        <v>22300000000</v>
      </c>
      <c r="T19" s="43">
        <f t="shared" ca="1" si="19"/>
        <v>20336313177</v>
      </c>
      <c r="U19" s="43">
        <f t="shared" ca="1" si="19"/>
        <v>19447573551</v>
      </c>
      <c r="V19" s="43">
        <f t="shared" ca="1" si="19"/>
        <v>21007915738</v>
      </c>
      <c r="W19" s="43">
        <f t="shared" ca="1" si="19"/>
        <v>19241595808</v>
      </c>
      <c r="X19" s="43">
        <f t="shared" ca="1" si="19"/>
        <v>18836662341</v>
      </c>
      <c r="Y19" s="43">
        <f t="shared" ca="1" si="19"/>
        <v>18614624140</v>
      </c>
      <c r="Z19" s="43">
        <f t="shared" ca="1" si="19"/>
        <v>16012875352</v>
      </c>
      <c r="AA19" s="43">
        <f t="shared" ca="1" si="19"/>
        <v>15282170188</v>
      </c>
      <c r="AB19" s="43">
        <f t="shared" ca="1" si="19"/>
        <v>16109598867</v>
      </c>
      <c r="AC19" s="43">
        <f t="shared" ca="1" si="19"/>
        <v>16821024271</v>
      </c>
      <c r="AD19" s="43">
        <f t="shared" ca="1" si="19"/>
        <v>15554866889</v>
      </c>
      <c r="AE19" s="43">
        <f t="shared" ca="1" si="19"/>
        <v>4175886607</v>
      </c>
      <c r="AF19" s="43">
        <f t="shared" ca="1" si="19"/>
        <v>6969188992</v>
      </c>
      <c r="AG19" s="43">
        <f t="shared" ca="1" si="19"/>
        <v>9761485887</v>
      </c>
      <c r="AH19" s="43">
        <f t="shared" ca="1" si="19"/>
        <v>13130464080</v>
      </c>
      <c r="AI19" s="43">
        <f t="shared" ca="1" si="19"/>
        <v>14272116934</v>
      </c>
      <c r="AJ19" s="43">
        <f t="shared" ca="1" si="19"/>
        <v>14564575260</v>
      </c>
      <c r="AK19" s="43">
        <f t="shared" ca="1" si="19"/>
        <v>14825888758</v>
      </c>
      <c r="AL19" s="43">
        <f t="shared" ca="1" si="19"/>
        <v>15032131969</v>
      </c>
      <c r="AM19" s="43"/>
      <c r="AN19" s="43"/>
      <c r="AO19" s="43"/>
      <c r="AP19" s="43"/>
    </row>
    <row r="20" spans="1:42" ht="17.25" customHeight="1" x14ac:dyDescent="0.25">
      <c r="A20" s="37">
        <v>2005</v>
      </c>
      <c r="B20" s="38" t="s">
        <v>66</v>
      </c>
      <c r="C20" s="38" t="s">
        <v>4</v>
      </c>
      <c r="D20" s="38" t="s">
        <v>5</v>
      </c>
      <c r="E20" s="38" t="s">
        <v>67</v>
      </c>
      <c r="F20" s="38" t="s">
        <v>67</v>
      </c>
      <c r="G20" s="39">
        <v>27300000000</v>
      </c>
      <c r="H20" s="38" t="s">
        <v>68</v>
      </c>
      <c r="I20" s="40" t="str">
        <f t="shared" si="0"/>
        <v>China-Offline</v>
      </c>
      <c r="J20" s="40" t="str">
        <f t="shared" si="1"/>
        <v/>
      </c>
      <c r="K20" s="40"/>
      <c r="L20" s="41"/>
      <c r="M20" s="35"/>
      <c r="N20" s="35"/>
      <c r="O20" s="35" t="str">
        <f ca="1">IFERROR(__xludf.DUMMYFUNCTION("""COMPUTED_VALUE"""),"Japan")</f>
        <v>Japan</v>
      </c>
      <c r="P20" s="42">
        <f t="shared" ref="P20:AL20" ca="1" si="20">SUMIFS($G$2:$G$2794,$D$2:$D$2794,$O$2:$O$41,$E$2:$E$2794,$M$8,$A$2:$A$2794,P$1)</f>
        <v>63800000000</v>
      </c>
      <c r="Q20" s="42">
        <f t="shared" ca="1" si="20"/>
        <v>60600000000</v>
      </c>
      <c r="R20" s="42">
        <f t="shared" ca="1" si="20"/>
        <v>60100000000</v>
      </c>
      <c r="S20" s="42">
        <f t="shared" ca="1" si="20"/>
        <v>64200000000</v>
      </c>
      <c r="T20" s="43">
        <f t="shared" ca="1" si="20"/>
        <v>66451204207</v>
      </c>
      <c r="U20" s="43">
        <f t="shared" ca="1" si="20"/>
        <v>73869676139</v>
      </c>
      <c r="V20" s="43">
        <f t="shared" ca="1" si="20"/>
        <v>76177898925</v>
      </c>
      <c r="W20" s="43">
        <f t="shared" ca="1" si="20"/>
        <v>73165912352</v>
      </c>
      <c r="X20" s="43">
        <f t="shared" ca="1" si="20"/>
        <v>62422190391</v>
      </c>
      <c r="Y20" s="43">
        <f t="shared" ca="1" si="20"/>
        <v>60432678891</v>
      </c>
      <c r="Z20" s="43">
        <f t="shared" ca="1" si="20"/>
        <v>54393868662</v>
      </c>
      <c r="AA20" s="43">
        <f t="shared" ca="1" si="20"/>
        <v>59188556625</v>
      </c>
      <c r="AB20" s="43">
        <f t="shared" ca="1" si="20"/>
        <v>57566795206</v>
      </c>
      <c r="AC20" s="43">
        <f t="shared" ca="1" si="20"/>
        <v>58965673725</v>
      </c>
      <c r="AD20" s="43">
        <f t="shared" ca="1" si="20"/>
        <v>60992081051</v>
      </c>
      <c r="AE20" s="43">
        <f t="shared" ca="1" si="20"/>
        <v>27113920159</v>
      </c>
      <c r="AF20" s="43">
        <f t="shared" ca="1" si="20"/>
        <v>20636219924</v>
      </c>
      <c r="AG20" s="43">
        <f t="shared" ca="1" si="20"/>
        <v>29613786916</v>
      </c>
      <c r="AH20" s="43">
        <f t="shared" ca="1" si="20"/>
        <v>38690275617</v>
      </c>
      <c r="AI20" s="43">
        <f t="shared" ca="1" si="20"/>
        <v>40168510795</v>
      </c>
      <c r="AJ20" s="43">
        <f t="shared" ca="1" si="20"/>
        <v>40858314433</v>
      </c>
      <c r="AK20" s="43">
        <f t="shared" ca="1" si="20"/>
        <v>41187815831</v>
      </c>
      <c r="AL20" s="43">
        <f t="shared" ca="1" si="20"/>
        <v>41261278439</v>
      </c>
      <c r="AM20" s="43"/>
      <c r="AN20" s="43"/>
      <c r="AO20" s="43"/>
      <c r="AP20" s="43"/>
    </row>
    <row r="21" spans="1:42" ht="17.25" customHeight="1" x14ac:dyDescent="0.25">
      <c r="A21" s="44">
        <v>2005</v>
      </c>
      <c r="B21" s="45" t="s">
        <v>66</v>
      </c>
      <c r="C21" s="45" t="s">
        <v>4</v>
      </c>
      <c r="D21" s="45" t="s">
        <v>5</v>
      </c>
      <c r="E21" s="45" t="s">
        <v>69</v>
      </c>
      <c r="F21" s="45" t="s">
        <v>70</v>
      </c>
      <c r="G21" s="46">
        <v>535000000</v>
      </c>
      <c r="H21" s="45" t="s">
        <v>68</v>
      </c>
      <c r="I21" s="47" t="str">
        <f t="shared" si="0"/>
        <v>China-Online Supplier-Direct</v>
      </c>
      <c r="J21" s="47" t="str">
        <f t="shared" si="1"/>
        <v/>
      </c>
      <c r="K21" s="47"/>
      <c r="L21" s="41"/>
      <c r="M21" s="35"/>
      <c r="N21" s="35"/>
      <c r="O21" s="35" t="str">
        <f ca="1">IFERROR(__xludf.DUMMYFUNCTION("""COMPUTED_VALUE"""),"Macau")</f>
        <v>Macau</v>
      </c>
      <c r="P21" s="42">
        <f t="shared" ref="P21:AL21" ca="1" si="21">SUMIFS($G$2:$G$2794,$D$2:$D$2794,$O$2:$O$41,$E$2:$E$2794,$M$8,$A$2:$A$2794,P$1)</f>
        <v>326000000</v>
      </c>
      <c r="Q21" s="42">
        <f t="shared" ca="1" si="21"/>
        <v>398000000</v>
      </c>
      <c r="R21" s="42">
        <f t="shared" ca="1" si="21"/>
        <v>492000000</v>
      </c>
      <c r="S21" s="42">
        <f t="shared" ca="1" si="21"/>
        <v>537000000</v>
      </c>
      <c r="T21" s="43">
        <f t="shared" ca="1" si="21"/>
        <v>551150065</v>
      </c>
      <c r="U21" s="43">
        <f t="shared" ca="1" si="21"/>
        <v>617475868</v>
      </c>
      <c r="V21" s="43">
        <f t="shared" ca="1" si="21"/>
        <v>751315571</v>
      </c>
      <c r="W21" s="43">
        <f t="shared" ca="1" si="21"/>
        <v>781650543</v>
      </c>
      <c r="X21" s="43">
        <f t="shared" ca="1" si="21"/>
        <v>1297402265</v>
      </c>
      <c r="Y21" s="43">
        <f t="shared" ca="1" si="21"/>
        <v>1559269046</v>
      </c>
      <c r="Z21" s="43">
        <f t="shared" ca="1" si="21"/>
        <v>1462134167</v>
      </c>
      <c r="AA21" s="43">
        <f t="shared" ca="1" si="21"/>
        <v>1394996852</v>
      </c>
      <c r="AB21" s="43">
        <f t="shared" ca="1" si="21"/>
        <v>1532749004</v>
      </c>
      <c r="AC21" s="43">
        <f t="shared" ca="1" si="21"/>
        <v>1755960482</v>
      </c>
      <c r="AD21" s="43">
        <f t="shared" ca="1" si="21"/>
        <v>1409317030</v>
      </c>
      <c r="AE21" s="43">
        <f t="shared" ca="1" si="21"/>
        <v>274112980</v>
      </c>
      <c r="AF21" s="43">
        <f t="shared" ca="1" si="21"/>
        <v>414388763</v>
      </c>
      <c r="AG21" s="43">
        <f t="shared" ca="1" si="21"/>
        <v>232718340</v>
      </c>
      <c r="AH21" s="43">
        <f t="shared" ca="1" si="21"/>
        <v>1019365083</v>
      </c>
      <c r="AI21" s="43">
        <f t="shared" ca="1" si="21"/>
        <v>989357268</v>
      </c>
      <c r="AJ21" s="43">
        <f t="shared" ca="1" si="21"/>
        <v>899947897</v>
      </c>
      <c r="AK21" s="43">
        <f t="shared" ca="1" si="21"/>
        <v>813229292</v>
      </c>
      <c r="AL21" s="43">
        <f t="shared" ca="1" si="21"/>
        <v>709753253</v>
      </c>
      <c r="AM21" s="43"/>
      <c r="AN21" s="43"/>
      <c r="AO21" s="43"/>
      <c r="AP21" s="43"/>
    </row>
    <row r="22" spans="1:42" ht="17.25" customHeight="1" x14ac:dyDescent="0.25">
      <c r="A22" s="37">
        <v>2005</v>
      </c>
      <c r="B22" s="38" t="s">
        <v>66</v>
      </c>
      <c r="C22" s="38" t="s">
        <v>4</v>
      </c>
      <c r="D22" s="38" t="s">
        <v>5</v>
      </c>
      <c r="E22" s="38" t="s">
        <v>69</v>
      </c>
      <c r="F22" s="38" t="s">
        <v>71</v>
      </c>
      <c r="G22" s="39">
        <v>535000000</v>
      </c>
      <c r="H22" s="38" t="s">
        <v>68</v>
      </c>
      <c r="I22" s="40" t="str">
        <f t="shared" si="0"/>
        <v>China-OTA</v>
      </c>
      <c r="J22" s="40" t="str">
        <f t="shared" si="1"/>
        <v/>
      </c>
      <c r="K22" s="40"/>
      <c r="L22" s="41"/>
      <c r="M22" s="35"/>
      <c r="N22" s="35"/>
      <c r="O22" s="35" t="str">
        <f ca="1">IFERROR(__xludf.DUMMYFUNCTION("""COMPUTED_VALUE"""),"Malaysia")</f>
        <v>Malaysia</v>
      </c>
      <c r="P22" s="42">
        <f t="shared" ref="P22:AL22" ca="1" si="22">SUMIFS($G$2:$G$2794,$D$2:$D$2794,$O$2:$O$41,$E$2:$E$2794,$M$8,$A$2:$A$2794,P$1)</f>
        <v>3020000000</v>
      </c>
      <c r="Q22" s="42">
        <f t="shared" ca="1" si="22"/>
        <v>3410000000</v>
      </c>
      <c r="R22" s="42">
        <f t="shared" ca="1" si="22"/>
        <v>4040000000</v>
      </c>
      <c r="S22" s="42">
        <f t="shared" ca="1" si="22"/>
        <v>4610000000</v>
      </c>
      <c r="T22" s="43">
        <f t="shared" ca="1" si="22"/>
        <v>4043255582</v>
      </c>
      <c r="U22" s="43">
        <f t="shared" ca="1" si="22"/>
        <v>5023264499</v>
      </c>
      <c r="V22" s="43">
        <f t="shared" ca="1" si="22"/>
        <v>6002049351</v>
      </c>
      <c r="W22" s="43">
        <f t="shared" ca="1" si="22"/>
        <v>6227992734</v>
      </c>
      <c r="X22" s="43">
        <f t="shared" ca="1" si="22"/>
        <v>6562055060</v>
      </c>
      <c r="Y22" s="43">
        <f t="shared" ca="1" si="22"/>
        <v>6478892292</v>
      </c>
      <c r="Z22" s="43">
        <f t="shared" ca="1" si="22"/>
        <v>5502878947</v>
      </c>
      <c r="AA22" s="43">
        <f t="shared" ca="1" si="22"/>
        <v>5043268800</v>
      </c>
      <c r="AB22" s="43">
        <f t="shared" ca="1" si="22"/>
        <v>5051418133</v>
      </c>
      <c r="AC22" s="43">
        <f t="shared" ca="1" si="22"/>
        <v>5412091296</v>
      </c>
      <c r="AD22" s="43">
        <f t="shared" ca="1" si="22"/>
        <v>5144269678</v>
      </c>
      <c r="AE22" s="43">
        <f t="shared" ca="1" si="22"/>
        <v>1678364938</v>
      </c>
      <c r="AF22" s="43">
        <f t="shared" ca="1" si="22"/>
        <v>1106204565</v>
      </c>
      <c r="AG22" s="43">
        <f t="shared" ca="1" si="22"/>
        <v>2698158322</v>
      </c>
      <c r="AH22" s="43">
        <f t="shared" ca="1" si="22"/>
        <v>3320116775</v>
      </c>
      <c r="AI22" s="43">
        <f t="shared" ca="1" si="22"/>
        <v>3388265401</v>
      </c>
      <c r="AJ22" s="43">
        <f t="shared" ca="1" si="22"/>
        <v>3347524352</v>
      </c>
      <c r="AK22" s="43">
        <f t="shared" ca="1" si="22"/>
        <v>3232846576</v>
      </c>
      <c r="AL22" s="43">
        <f t="shared" ca="1" si="22"/>
        <v>3081381551</v>
      </c>
      <c r="AM22" s="43"/>
      <c r="AN22" s="43"/>
      <c r="AO22" s="43"/>
      <c r="AP22" s="43"/>
    </row>
    <row r="23" spans="1:42" ht="17.25" customHeight="1" x14ac:dyDescent="0.25">
      <c r="A23" s="44">
        <v>2005</v>
      </c>
      <c r="B23" s="45" t="s">
        <v>66</v>
      </c>
      <c r="C23" s="45" t="s">
        <v>35</v>
      </c>
      <c r="D23" s="45" t="s">
        <v>38</v>
      </c>
      <c r="E23" s="45" t="s">
        <v>67</v>
      </c>
      <c r="F23" s="45" t="s">
        <v>67</v>
      </c>
      <c r="G23" s="46">
        <v>5110000000</v>
      </c>
      <c r="H23" s="45" t="s">
        <v>68</v>
      </c>
      <c r="I23" s="47" t="str">
        <f t="shared" si="0"/>
        <v>Colombia-Offline</v>
      </c>
      <c r="J23" s="47" t="str">
        <f t="shared" si="1"/>
        <v/>
      </c>
      <c r="K23" s="47"/>
      <c r="L23" s="41"/>
      <c r="M23" s="35"/>
      <c r="N23" s="35"/>
      <c r="O23" s="35" t="str">
        <f ca="1">IFERROR(__xludf.DUMMYFUNCTION("""COMPUTED_VALUE"""),"Mexico")</f>
        <v>Mexico</v>
      </c>
      <c r="P23" s="42">
        <f t="shared" ref="P23:AL23" ca="1" si="23">SUMIFS($G$2:$G$2794,$D$2:$D$2794,$O$2:$O$41,$E$2:$E$2794,$M$8,$A$2:$A$2794,P$1)</f>
        <v>16500000000</v>
      </c>
      <c r="Q23" s="42">
        <f t="shared" ca="1" si="23"/>
        <v>18300000000</v>
      </c>
      <c r="R23" s="42">
        <f t="shared" ca="1" si="23"/>
        <v>19700000000</v>
      </c>
      <c r="S23" s="42">
        <f t="shared" ca="1" si="23"/>
        <v>19900000000</v>
      </c>
      <c r="T23" s="43">
        <f t="shared" ca="1" si="23"/>
        <v>16166245047</v>
      </c>
      <c r="U23" s="43">
        <f t="shared" ca="1" si="23"/>
        <v>18178414303</v>
      </c>
      <c r="V23" s="43">
        <f t="shared" ca="1" si="23"/>
        <v>17779907338</v>
      </c>
      <c r="W23" s="43">
        <f t="shared" ca="1" si="23"/>
        <v>18400149893</v>
      </c>
      <c r="X23" s="43">
        <f t="shared" ca="1" si="23"/>
        <v>19615860000</v>
      </c>
      <c r="Y23" s="43">
        <f t="shared" ca="1" si="23"/>
        <v>19627254589</v>
      </c>
      <c r="Z23" s="43">
        <f t="shared" ca="1" si="23"/>
        <v>16857300699</v>
      </c>
      <c r="AA23" s="43">
        <f t="shared" ca="1" si="23"/>
        <v>15045476412</v>
      </c>
      <c r="AB23" s="43">
        <f t="shared" ca="1" si="23"/>
        <v>15344714201</v>
      </c>
      <c r="AC23" s="43">
        <f t="shared" ca="1" si="23"/>
        <v>14754897193</v>
      </c>
      <c r="AD23" s="43">
        <f t="shared" ca="1" si="23"/>
        <v>15381702672</v>
      </c>
      <c r="AE23" s="43">
        <f t="shared" ca="1" si="23"/>
        <v>6529425075</v>
      </c>
      <c r="AF23" s="43">
        <f t="shared" ca="1" si="23"/>
        <v>10331268148</v>
      </c>
      <c r="AG23" s="43">
        <f t="shared" ca="1" si="23"/>
        <v>12926014486</v>
      </c>
      <c r="AH23" s="43">
        <f t="shared" ca="1" si="23"/>
        <v>16134077127</v>
      </c>
      <c r="AI23" s="43">
        <f t="shared" ca="1" si="23"/>
        <v>15179611499</v>
      </c>
      <c r="AJ23" s="43">
        <f t="shared" ca="1" si="23"/>
        <v>16023697719</v>
      </c>
      <c r="AK23" s="43">
        <f t="shared" ca="1" si="23"/>
        <v>17100686837</v>
      </c>
      <c r="AL23" s="43">
        <f t="shared" ca="1" si="23"/>
        <v>18315051255</v>
      </c>
      <c r="AM23" s="43"/>
      <c r="AN23" s="43"/>
      <c r="AO23" s="43"/>
      <c r="AP23" s="43"/>
    </row>
    <row r="24" spans="1:42" ht="17.25" customHeight="1" x14ac:dyDescent="0.25">
      <c r="A24" s="37">
        <v>2005</v>
      </c>
      <c r="B24" s="38" t="s">
        <v>66</v>
      </c>
      <c r="C24" s="38" t="s">
        <v>35</v>
      </c>
      <c r="D24" s="38" t="s">
        <v>38</v>
      </c>
      <c r="E24" s="38" t="s">
        <v>69</v>
      </c>
      <c r="F24" s="38" t="s">
        <v>70</v>
      </c>
      <c r="G24" s="39">
        <v>171000000</v>
      </c>
      <c r="H24" s="38" t="s">
        <v>68</v>
      </c>
      <c r="I24" s="40" t="str">
        <f t="shared" si="0"/>
        <v>Colombia-Online Supplier-Direct</v>
      </c>
      <c r="J24" s="40" t="str">
        <f t="shared" si="1"/>
        <v/>
      </c>
      <c r="K24" s="40"/>
      <c r="L24" s="41"/>
      <c r="M24" s="35"/>
      <c r="N24" s="35"/>
      <c r="O24" s="35" t="str">
        <f ca="1">IFERROR(__xludf.DUMMYFUNCTION("""COMPUTED_VALUE"""),"Poland")</f>
        <v>Poland</v>
      </c>
      <c r="P24" s="42">
        <f t="shared" ref="P24:AL24" ca="1" si="24">SUMIFS($G$2:$G$2794,$D$2:$D$2794,$O$2:$O$41,$E$2:$E$2794,$M$8,$A$2:$A$2794,P$1)</f>
        <v>2360000000</v>
      </c>
      <c r="Q24" s="42">
        <f t="shared" ca="1" si="24"/>
        <v>2650000000</v>
      </c>
      <c r="R24" s="42">
        <f t="shared" ca="1" si="24"/>
        <v>3280000000</v>
      </c>
      <c r="S24" s="42">
        <f t="shared" ca="1" si="24"/>
        <v>3910000000</v>
      </c>
      <c r="T24" s="43">
        <f t="shared" ca="1" si="24"/>
        <v>3219642997</v>
      </c>
      <c r="U24" s="43">
        <f t="shared" ca="1" si="24"/>
        <v>3563694822</v>
      </c>
      <c r="V24" s="43">
        <f t="shared" ca="1" si="24"/>
        <v>3771496837</v>
      </c>
      <c r="W24" s="43">
        <f t="shared" ca="1" si="24"/>
        <v>4016230853</v>
      </c>
      <c r="X24" s="43">
        <f t="shared" ca="1" si="24"/>
        <v>3973104974</v>
      </c>
      <c r="Y24" s="43">
        <f t="shared" ca="1" si="24"/>
        <v>3984924787</v>
      </c>
      <c r="Z24" s="43">
        <f t="shared" ca="1" si="24"/>
        <v>3369478150</v>
      </c>
      <c r="AA24" s="43">
        <f t="shared" ca="1" si="24"/>
        <v>3332663633</v>
      </c>
      <c r="AB24" s="43">
        <f t="shared" ca="1" si="24"/>
        <v>2664335890</v>
      </c>
      <c r="AC24" s="43">
        <f t="shared" ca="1" si="24"/>
        <v>2846216290</v>
      </c>
      <c r="AD24" s="43">
        <f t="shared" ca="1" si="24"/>
        <v>2828078750</v>
      </c>
      <c r="AE24" s="43">
        <f t="shared" ca="1" si="24"/>
        <v>1434385879</v>
      </c>
      <c r="AF24" s="43">
        <f t="shared" ca="1" si="24"/>
        <v>1593735190</v>
      </c>
      <c r="AG24" s="43">
        <f t="shared" ca="1" si="24"/>
        <v>2209696922</v>
      </c>
      <c r="AH24" s="43">
        <f t="shared" ca="1" si="24"/>
        <v>2559947036</v>
      </c>
      <c r="AI24" s="43">
        <f t="shared" ca="1" si="24"/>
        <v>2896101284</v>
      </c>
      <c r="AJ24" s="43">
        <f t="shared" ca="1" si="24"/>
        <v>3107875094</v>
      </c>
      <c r="AK24" s="43">
        <f t="shared" ca="1" si="24"/>
        <v>3318966122</v>
      </c>
      <c r="AL24" s="43">
        <f t="shared" ca="1" si="24"/>
        <v>3481393711</v>
      </c>
      <c r="AM24" s="43"/>
      <c r="AN24" s="43"/>
      <c r="AO24" s="43"/>
      <c r="AP24" s="43"/>
    </row>
    <row r="25" spans="1:42" ht="17.25" customHeight="1" x14ac:dyDescent="0.25">
      <c r="A25" s="44">
        <v>2005</v>
      </c>
      <c r="B25" s="45" t="s">
        <v>66</v>
      </c>
      <c r="C25" s="45" t="s">
        <v>35</v>
      </c>
      <c r="D25" s="45" t="s">
        <v>38</v>
      </c>
      <c r="E25" s="45" t="s">
        <v>69</v>
      </c>
      <c r="F25" s="45" t="s">
        <v>71</v>
      </c>
      <c r="G25" s="46">
        <v>171000000</v>
      </c>
      <c r="H25" s="45" t="s">
        <v>68</v>
      </c>
      <c r="I25" s="47" t="str">
        <f t="shared" si="0"/>
        <v>Colombia-OTA</v>
      </c>
      <c r="J25" s="47" t="str">
        <f t="shared" si="1"/>
        <v/>
      </c>
      <c r="K25" s="47"/>
      <c r="L25" s="41"/>
      <c r="M25" s="35"/>
      <c r="N25" s="35"/>
      <c r="O25" s="35" t="str">
        <f ca="1">IFERROR(__xludf.DUMMYFUNCTION("""COMPUTED_VALUE"""),"Qatar")</f>
        <v>Qatar</v>
      </c>
      <c r="P25" s="42">
        <f t="shared" ref="P25:AL25" ca="1" si="25">SUMIFS($G$2:$G$2794,$D$2:$D$2794,$O$2:$O$41,$E$2:$E$2794,$M$8,$A$2:$A$2794,P$1)</f>
        <v>2080000000</v>
      </c>
      <c r="Q25" s="42">
        <f t="shared" ca="1" si="25"/>
        <v>2840000000</v>
      </c>
      <c r="R25" s="42">
        <f t="shared" ca="1" si="25"/>
        <v>3700000000</v>
      </c>
      <c r="S25" s="42">
        <f t="shared" ca="1" si="25"/>
        <v>5130000000</v>
      </c>
      <c r="T25" s="43">
        <f t="shared" ca="1" si="25"/>
        <v>4351585468</v>
      </c>
      <c r="U25" s="43">
        <f t="shared" ca="1" si="25"/>
        <v>4519936718</v>
      </c>
      <c r="V25" s="43">
        <f t="shared" ca="1" si="25"/>
        <v>5492586540</v>
      </c>
      <c r="W25" s="43">
        <f t="shared" ca="1" si="25"/>
        <v>6001269771</v>
      </c>
      <c r="X25" s="43">
        <f t="shared" ca="1" si="25"/>
        <v>6482565884</v>
      </c>
      <c r="Y25" s="43">
        <f t="shared" ca="1" si="25"/>
        <v>7056355678</v>
      </c>
      <c r="Z25" s="43">
        <f t="shared" ca="1" si="25"/>
        <v>7239648807</v>
      </c>
      <c r="AA25" s="43">
        <f t="shared" ca="1" si="25"/>
        <v>7752760431</v>
      </c>
      <c r="AB25" s="43">
        <f t="shared" ca="1" si="25"/>
        <v>7915584907</v>
      </c>
      <c r="AC25" s="43">
        <f t="shared" ca="1" si="25"/>
        <v>7604605210</v>
      </c>
      <c r="AD25" s="43">
        <f t="shared" ca="1" si="25"/>
        <v>7660683228</v>
      </c>
      <c r="AE25" s="43">
        <f t="shared" ca="1" si="25"/>
        <v>1751894655</v>
      </c>
      <c r="AF25" s="43">
        <f t="shared" ca="1" si="25"/>
        <v>4561149107</v>
      </c>
      <c r="AG25" s="43">
        <f t="shared" ca="1" si="25"/>
        <v>8512396118</v>
      </c>
      <c r="AH25" s="43">
        <f t="shared" ca="1" si="25"/>
        <v>8950135051</v>
      </c>
      <c r="AI25" s="43">
        <f t="shared" ca="1" si="25"/>
        <v>9566036993</v>
      </c>
      <c r="AJ25" s="43">
        <f t="shared" ca="1" si="25"/>
        <v>9939558827</v>
      </c>
      <c r="AK25" s="43">
        <f t="shared" ca="1" si="25"/>
        <v>10229763888</v>
      </c>
      <c r="AL25" s="43">
        <f t="shared" ca="1" si="25"/>
        <v>10490473483</v>
      </c>
      <c r="AM25" s="43"/>
      <c r="AN25" s="43"/>
      <c r="AO25" s="43"/>
      <c r="AP25" s="43"/>
    </row>
    <row r="26" spans="1:42" ht="17.25" customHeight="1" x14ac:dyDescent="0.25">
      <c r="A26" s="37">
        <v>2005</v>
      </c>
      <c r="B26" s="38" t="s">
        <v>66</v>
      </c>
      <c r="C26" s="38" t="s">
        <v>17</v>
      </c>
      <c r="D26" s="38" t="s">
        <v>18</v>
      </c>
      <c r="E26" s="38" t="s">
        <v>67</v>
      </c>
      <c r="F26" s="38" t="s">
        <v>67</v>
      </c>
      <c r="G26" s="39">
        <v>1860000000</v>
      </c>
      <c r="H26" s="38" t="s">
        <v>68</v>
      </c>
      <c r="I26" s="40" t="str">
        <f t="shared" si="0"/>
        <v>Czech Republic-Offline</v>
      </c>
      <c r="J26" s="40" t="str">
        <f t="shared" si="1"/>
        <v/>
      </c>
      <c r="K26" s="40"/>
      <c r="L26" s="41"/>
      <c r="M26" s="35"/>
      <c r="N26" s="35"/>
      <c r="O26" s="35" t="str">
        <f ca="1">IFERROR(__xludf.DUMMYFUNCTION("""COMPUTED_VALUE"""),"Rest of Eastern Europe")</f>
        <v>Rest of Eastern Europe</v>
      </c>
      <c r="P26" s="42">
        <f t="shared" ref="P26:AL26" ca="1" si="26">SUMIFS($G$2:$G$2794,$D$2:$D$2794,$O$2:$O$41,$E$2:$E$2794,$M$8,$A$2:$A$2794,P$1)</f>
        <v>1880000000</v>
      </c>
      <c r="Q26" s="42">
        <f t="shared" ca="1" si="26"/>
        <v>2110000000</v>
      </c>
      <c r="R26" s="42">
        <f t="shared" ca="1" si="26"/>
        <v>2660000000</v>
      </c>
      <c r="S26" s="42">
        <f t="shared" ca="1" si="26"/>
        <v>3120000000</v>
      </c>
      <c r="T26" s="43">
        <f t="shared" ca="1" si="26"/>
        <v>2617742255</v>
      </c>
      <c r="U26" s="43">
        <f t="shared" ca="1" si="26"/>
        <v>2557622593</v>
      </c>
      <c r="V26" s="43">
        <f t="shared" ca="1" si="26"/>
        <v>3743175626</v>
      </c>
      <c r="W26" s="43">
        <f t="shared" ca="1" si="26"/>
        <v>1867963412</v>
      </c>
      <c r="X26" s="43">
        <f t="shared" ca="1" si="26"/>
        <v>1711206221</v>
      </c>
      <c r="Y26" s="43">
        <f t="shared" ca="1" si="26"/>
        <v>1693608361</v>
      </c>
      <c r="Z26" s="43">
        <f t="shared" ca="1" si="26"/>
        <v>1143441696</v>
      </c>
      <c r="AA26" s="43">
        <f t="shared" ca="1" si="26"/>
        <v>1128857912</v>
      </c>
      <c r="AB26" s="43">
        <f t="shared" ca="1" si="26"/>
        <v>1076643351</v>
      </c>
      <c r="AC26" s="43">
        <f t="shared" ca="1" si="26"/>
        <v>1156416967</v>
      </c>
      <c r="AD26" s="43">
        <f t="shared" ca="1" si="26"/>
        <v>1049086015</v>
      </c>
      <c r="AE26" s="43">
        <f t="shared" ca="1" si="26"/>
        <v>444357388</v>
      </c>
      <c r="AF26" s="43">
        <f t="shared" ca="1" si="26"/>
        <v>509904404</v>
      </c>
      <c r="AG26" s="43">
        <f t="shared" ca="1" si="26"/>
        <v>764362465</v>
      </c>
      <c r="AH26" s="43">
        <f t="shared" ca="1" si="26"/>
        <v>930045547</v>
      </c>
      <c r="AI26" s="43">
        <f t="shared" ca="1" si="26"/>
        <v>996809768</v>
      </c>
      <c r="AJ26" s="43">
        <f t="shared" ca="1" si="26"/>
        <v>1047391113</v>
      </c>
      <c r="AK26" s="43">
        <f t="shared" ca="1" si="26"/>
        <v>1090439702</v>
      </c>
      <c r="AL26" s="43">
        <f t="shared" ca="1" si="26"/>
        <v>1131499225</v>
      </c>
      <c r="AM26" s="43"/>
      <c r="AN26" s="43"/>
      <c r="AO26" s="43"/>
      <c r="AP26" s="43"/>
    </row>
    <row r="27" spans="1:42" ht="17.25" customHeight="1" x14ac:dyDescent="0.25">
      <c r="A27" s="44">
        <v>2005</v>
      </c>
      <c r="B27" s="45" t="s">
        <v>66</v>
      </c>
      <c r="C27" s="45" t="s">
        <v>17</v>
      </c>
      <c r="D27" s="45" t="s">
        <v>18</v>
      </c>
      <c r="E27" s="45" t="s">
        <v>69</v>
      </c>
      <c r="F27" s="45" t="s">
        <v>70</v>
      </c>
      <c r="G27" s="46">
        <v>139000000</v>
      </c>
      <c r="H27" s="45" t="s">
        <v>68</v>
      </c>
      <c r="I27" s="47" t="str">
        <f t="shared" si="0"/>
        <v>Czech Republic-Online Supplier-Direct</v>
      </c>
      <c r="J27" s="47" t="str">
        <f t="shared" si="1"/>
        <v/>
      </c>
      <c r="K27" s="47"/>
      <c r="L27" s="41"/>
      <c r="M27" s="35"/>
      <c r="N27" s="35"/>
      <c r="O27" s="35" t="str">
        <f ca="1">IFERROR(__xludf.DUMMYFUNCTION("""COMPUTED_VALUE"""),"Rest of Europe")</f>
        <v>Rest of Europe</v>
      </c>
      <c r="P27" s="42">
        <f t="shared" ref="P27:AL27" ca="1" si="27">SUMIFS($G$2:$G$2794,$D$2:$D$2794,$O$2:$O$41,$E$2:$E$2794,$M$8,$A$2:$A$2794,P$1)</f>
        <v>38700000000</v>
      </c>
      <c r="Q27" s="42">
        <f t="shared" ca="1" si="27"/>
        <v>41000000000</v>
      </c>
      <c r="R27" s="42">
        <f t="shared" ca="1" si="27"/>
        <v>46800000000</v>
      </c>
      <c r="S27" s="42">
        <f t="shared" ca="1" si="27"/>
        <v>47700000000</v>
      </c>
      <c r="T27" s="43">
        <f t="shared" ca="1" si="27"/>
        <v>42849570680</v>
      </c>
      <c r="U27" s="43">
        <f t="shared" ca="1" si="27"/>
        <v>40026341293</v>
      </c>
      <c r="V27" s="43">
        <f t="shared" ca="1" si="27"/>
        <v>41191428037</v>
      </c>
      <c r="W27" s="43">
        <f t="shared" ca="1" si="27"/>
        <v>37284845893</v>
      </c>
      <c r="X27" s="43">
        <f t="shared" ca="1" si="27"/>
        <v>39050474564</v>
      </c>
      <c r="Y27" s="43">
        <f t="shared" ca="1" si="27"/>
        <v>38666647373</v>
      </c>
      <c r="Z27" s="43">
        <f t="shared" ca="1" si="27"/>
        <v>33152605367</v>
      </c>
      <c r="AA27" s="43">
        <f t="shared" ca="1" si="27"/>
        <v>32874882640</v>
      </c>
      <c r="AB27" s="43">
        <f t="shared" ca="1" si="27"/>
        <v>35224296342</v>
      </c>
      <c r="AC27" s="43">
        <f t="shared" ca="1" si="27"/>
        <v>36556575764</v>
      </c>
      <c r="AD27" s="43">
        <f t="shared" ca="1" si="27"/>
        <v>32377290783</v>
      </c>
      <c r="AE27" s="43">
        <f t="shared" ca="1" si="27"/>
        <v>14440085423</v>
      </c>
      <c r="AF27" s="43">
        <f t="shared" ca="1" si="27"/>
        <v>16131237927</v>
      </c>
      <c r="AG27" s="43">
        <f t="shared" ca="1" si="27"/>
        <v>22953579305</v>
      </c>
      <c r="AH27" s="43">
        <f t="shared" ca="1" si="27"/>
        <v>25663015463</v>
      </c>
      <c r="AI27" s="43">
        <f t="shared" ca="1" si="27"/>
        <v>25778017652</v>
      </c>
      <c r="AJ27" s="43">
        <f t="shared" ca="1" si="27"/>
        <v>25775222382</v>
      </c>
      <c r="AK27" s="43">
        <f t="shared" ca="1" si="27"/>
        <v>26784959758</v>
      </c>
      <c r="AL27" s="43">
        <f t="shared" ca="1" si="27"/>
        <v>27647312567</v>
      </c>
      <c r="AM27" s="43"/>
      <c r="AN27" s="43"/>
      <c r="AO27" s="43"/>
      <c r="AP27" s="43"/>
    </row>
    <row r="28" spans="1:42" ht="17.25" customHeight="1" x14ac:dyDescent="0.25">
      <c r="A28" s="37">
        <v>2005</v>
      </c>
      <c r="B28" s="38" t="s">
        <v>66</v>
      </c>
      <c r="C28" s="38" t="s">
        <v>17</v>
      </c>
      <c r="D28" s="38" t="s">
        <v>18</v>
      </c>
      <c r="E28" s="38" t="s">
        <v>69</v>
      </c>
      <c r="F28" s="38" t="s">
        <v>71</v>
      </c>
      <c r="G28" s="39">
        <v>139000000</v>
      </c>
      <c r="H28" s="38" t="s">
        <v>68</v>
      </c>
      <c r="I28" s="40" t="str">
        <f t="shared" si="0"/>
        <v>Czech Republic-OTA</v>
      </c>
      <c r="J28" s="40" t="str">
        <f t="shared" si="1"/>
        <v/>
      </c>
      <c r="K28" s="40"/>
      <c r="L28" s="41"/>
      <c r="M28" s="35"/>
      <c r="N28" s="35"/>
      <c r="O28" s="35" t="str">
        <f ca="1">IFERROR(__xludf.DUMMYFUNCTION("""COMPUTED_VALUE"""),"Rest of Middle East")</f>
        <v>Rest of Middle East</v>
      </c>
      <c r="P28" s="42">
        <f t="shared" ref="P28:AL28" ca="1" si="28">SUMIFS($G$2:$G$2794,$D$2:$D$2794,$O$2:$O$41,$E$2:$E$2794,$M$8,$A$2:$A$2794,P$1)</f>
        <v>5260000000</v>
      </c>
      <c r="Q28" s="42">
        <f t="shared" ca="1" si="28"/>
        <v>6250000000</v>
      </c>
      <c r="R28" s="42">
        <f t="shared" ca="1" si="28"/>
        <v>7110000000</v>
      </c>
      <c r="S28" s="42">
        <f t="shared" ca="1" si="28"/>
        <v>8590000000</v>
      </c>
      <c r="T28" s="43">
        <f t="shared" ca="1" si="28"/>
        <v>7053814042</v>
      </c>
      <c r="U28" s="43">
        <f t="shared" ca="1" si="28"/>
        <v>7092207949</v>
      </c>
      <c r="V28" s="43">
        <f t="shared" ca="1" si="28"/>
        <v>6899632532</v>
      </c>
      <c r="W28" s="43">
        <f t="shared" ca="1" si="28"/>
        <v>6879815028</v>
      </c>
      <c r="X28" s="43">
        <f t="shared" ca="1" si="28"/>
        <v>6531897314</v>
      </c>
      <c r="Y28" s="43">
        <f t="shared" ca="1" si="28"/>
        <v>6697794918</v>
      </c>
      <c r="Z28" s="43">
        <f t="shared" ca="1" si="28"/>
        <v>6712491526</v>
      </c>
      <c r="AA28" s="43">
        <f t="shared" ca="1" si="28"/>
        <v>7827497763</v>
      </c>
      <c r="AB28" s="43">
        <f t="shared" ca="1" si="28"/>
        <v>7830860079</v>
      </c>
      <c r="AC28" s="43">
        <f t="shared" ca="1" si="28"/>
        <v>7963278090</v>
      </c>
      <c r="AD28" s="43">
        <f t="shared" ca="1" si="28"/>
        <v>8332915478</v>
      </c>
      <c r="AE28" s="43">
        <f t="shared" ca="1" si="28"/>
        <v>2424035308</v>
      </c>
      <c r="AF28" s="43">
        <f t="shared" ca="1" si="28"/>
        <v>3439849020</v>
      </c>
      <c r="AG28" s="43">
        <f t="shared" ca="1" si="28"/>
        <v>5026573168</v>
      </c>
      <c r="AH28" s="43">
        <f t="shared" ca="1" si="28"/>
        <v>6448007801</v>
      </c>
      <c r="AI28" s="43">
        <f t="shared" ca="1" si="28"/>
        <v>6856225289</v>
      </c>
      <c r="AJ28" s="43">
        <f t="shared" ca="1" si="28"/>
        <v>7195198800</v>
      </c>
      <c r="AK28" s="43">
        <f t="shared" ca="1" si="28"/>
        <v>7441756040</v>
      </c>
      <c r="AL28" s="43">
        <f t="shared" ca="1" si="28"/>
        <v>7614718101</v>
      </c>
      <c r="AM28" s="43"/>
      <c r="AN28" s="43"/>
      <c r="AO28" s="43"/>
      <c r="AP28" s="43"/>
    </row>
    <row r="29" spans="1:42" ht="17.25" customHeight="1" x14ac:dyDescent="0.25">
      <c r="A29" s="44">
        <v>2005</v>
      </c>
      <c r="B29" s="45" t="s">
        <v>66</v>
      </c>
      <c r="C29" s="45" t="s">
        <v>41</v>
      </c>
      <c r="D29" s="45" t="s">
        <v>40</v>
      </c>
      <c r="E29" s="45" t="s">
        <v>67</v>
      </c>
      <c r="F29" s="45" t="s">
        <v>67</v>
      </c>
      <c r="G29" s="46">
        <v>3800000000</v>
      </c>
      <c r="H29" s="45" t="s">
        <v>68</v>
      </c>
      <c r="I29" s="47" t="str">
        <f t="shared" si="0"/>
        <v>Egypt-Offline</v>
      </c>
      <c r="J29" s="47" t="str">
        <f t="shared" si="1"/>
        <v/>
      </c>
      <c r="K29" s="47"/>
      <c r="L29" s="41"/>
      <c r="M29" s="35"/>
      <c r="N29" s="35"/>
      <c r="O29" s="35" t="str">
        <f ca="1">IFERROR(__xludf.DUMMYFUNCTION("""COMPUTED_VALUE"""),"Romania")</f>
        <v>Romania</v>
      </c>
      <c r="P29" s="42">
        <f t="shared" ref="P29:AL29" ca="1" si="29">SUMIFS($G$2:$G$2794,$D$2:$D$2794,$O$2:$O$41,$E$2:$E$2794,$M$8,$A$2:$A$2794,P$1)</f>
        <v>1720000000</v>
      </c>
      <c r="Q29" s="42">
        <f t="shared" ca="1" si="29"/>
        <v>2120000000</v>
      </c>
      <c r="R29" s="42">
        <f t="shared" ca="1" si="29"/>
        <v>3030000000</v>
      </c>
      <c r="S29" s="42">
        <f t="shared" ca="1" si="29"/>
        <v>3560000000</v>
      </c>
      <c r="T29" s="43">
        <f t="shared" ca="1" si="29"/>
        <v>2892406340</v>
      </c>
      <c r="U29" s="43">
        <f t="shared" ca="1" si="29"/>
        <v>2923169734</v>
      </c>
      <c r="V29" s="43">
        <f t="shared" ca="1" si="29"/>
        <v>2918318367</v>
      </c>
      <c r="W29" s="43">
        <f t="shared" ca="1" si="29"/>
        <v>2580282491</v>
      </c>
      <c r="X29" s="43">
        <f t="shared" ca="1" si="29"/>
        <v>2404759300</v>
      </c>
      <c r="Y29" s="43">
        <f t="shared" ca="1" si="29"/>
        <v>1998182074</v>
      </c>
      <c r="Z29" s="43">
        <f t="shared" ca="1" si="29"/>
        <v>1823068664</v>
      </c>
      <c r="AA29" s="43">
        <f t="shared" ca="1" si="29"/>
        <v>1861060634</v>
      </c>
      <c r="AB29" s="43">
        <f t="shared" ca="1" si="29"/>
        <v>1284782155</v>
      </c>
      <c r="AC29" s="43">
        <f t="shared" ca="1" si="29"/>
        <v>1244750270</v>
      </c>
      <c r="AD29" s="43">
        <f t="shared" ca="1" si="29"/>
        <v>1232655508</v>
      </c>
      <c r="AE29" s="43">
        <f t="shared" ca="1" si="29"/>
        <v>437900969</v>
      </c>
      <c r="AF29" s="43">
        <f t="shared" ca="1" si="29"/>
        <v>630378755</v>
      </c>
      <c r="AG29" s="43">
        <f t="shared" ca="1" si="29"/>
        <v>778721712</v>
      </c>
      <c r="AH29" s="43">
        <f t="shared" ca="1" si="29"/>
        <v>893364884</v>
      </c>
      <c r="AI29" s="43">
        <f t="shared" ca="1" si="29"/>
        <v>972377105</v>
      </c>
      <c r="AJ29" s="43">
        <f t="shared" ca="1" si="29"/>
        <v>1052582448</v>
      </c>
      <c r="AK29" s="43">
        <f t="shared" ca="1" si="29"/>
        <v>1135002619</v>
      </c>
      <c r="AL29" s="43">
        <f t="shared" ca="1" si="29"/>
        <v>1202015829</v>
      </c>
      <c r="AM29" s="43"/>
      <c r="AN29" s="43"/>
      <c r="AO29" s="43"/>
      <c r="AP29" s="43"/>
    </row>
    <row r="30" spans="1:42" ht="17.25" customHeight="1" x14ac:dyDescent="0.25">
      <c r="A30" s="37">
        <v>2005</v>
      </c>
      <c r="B30" s="38" t="s">
        <v>66</v>
      </c>
      <c r="C30" s="38" t="s">
        <v>41</v>
      </c>
      <c r="D30" s="38" t="s">
        <v>40</v>
      </c>
      <c r="E30" s="38" t="s">
        <v>69</v>
      </c>
      <c r="F30" s="38" t="s">
        <v>70</v>
      </c>
      <c r="G30" s="39">
        <v>97125377</v>
      </c>
      <c r="H30" s="38" t="s">
        <v>68</v>
      </c>
      <c r="I30" s="40" t="str">
        <f t="shared" si="0"/>
        <v>Egypt-Online Supplier-Direct</v>
      </c>
      <c r="J30" s="40" t="str">
        <f t="shared" si="1"/>
        <v/>
      </c>
      <c r="K30" s="40"/>
      <c r="L30" s="41"/>
      <c r="M30" s="35"/>
      <c r="N30" s="35"/>
      <c r="O30" s="35" t="str">
        <f ca="1">IFERROR(__xludf.DUMMYFUNCTION("""COMPUTED_VALUE"""),"Russia")</f>
        <v>Russia</v>
      </c>
      <c r="P30" s="42">
        <f t="shared" ref="P30:AL30" ca="1" si="30">SUMIFS($G$2:$G$2794,$D$2:$D$2794,$O$2:$O$41,$E$2:$E$2794,$M$8,$A$2:$A$2794,P$1)</f>
        <v>21700000000</v>
      </c>
      <c r="Q30" s="42">
        <f t="shared" ca="1" si="30"/>
        <v>28000000000</v>
      </c>
      <c r="R30" s="42">
        <f t="shared" ca="1" si="30"/>
        <v>36700000000</v>
      </c>
      <c r="S30" s="42">
        <f t="shared" ca="1" si="30"/>
        <v>44900000000</v>
      </c>
      <c r="T30" s="43">
        <f t="shared" ca="1" si="30"/>
        <v>33061705266</v>
      </c>
      <c r="U30" s="43">
        <f t="shared" ca="1" si="30"/>
        <v>36946881806</v>
      </c>
      <c r="V30" s="43">
        <f t="shared" ca="1" si="30"/>
        <v>37221698924</v>
      </c>
      <c r="W30" s="43">
        <f t="shared" ca="1" si="30"/>
        <v>36132509683</v>
      </c>
      <c r="X30" s="43">
        <f t="shared" ca="1" si="30"/>
        <v>34417207067</v>
      </c>
      <c r="Y30" s="43">
        <f t="shared" ca="1" si="30"/>
        <v>19917300119</v>
      </c>
      <c r="Z30" s="43">
        <f t="shared" ca="1" si="30"/>
        <v>17889576749</v>
      </c>
      <c r="AA30" s="43">
        <f t="shared" ca="1" si="30"/>
        <v>17261896915</v>
      </c>
      <c r="AB30" s="43">
        <f t="shared" ca="1" si="30"/>
        <v>22339041227</v>
      </c>
      <c r="AC30" s="43">
        <f t="shared" ca="1" si="30"/>
        <v>22239264928</v>
      </c>
      <c r="AD30" s="43">
        <f t="shared" ca="1" si="30"/>
        <v>22825228796</v>
      </c>
      <c r="AE30" s="43">
        <f t="shared" ca="1" si="30"/>
        <v>9173998627</v>
      </c>
      <c r="AF30" s="43">
        <f t="shared" ca="1" si="30"/>
        <v>12796684634</v>
      </c>
      <c r="AG30" s="43">
        <f t="shared" ca="1" si="30"/>
        <v>14690832311</v>
      </c>
      <c r="AH30" s="43">
        <f t="shared" ca="1" si="30"/>
        <v>13361585765</v>
      </c>
      <c r="AI30" s="43">
        <f t="shared" ca="1" si="30"/>
        <v>13747633270</v>
      </c>
      <c r="AJ30" s="43">
        <f t="shared" ca="1" si="30"/>
        <v>15544410277</v>
      </c>
      <c r="AK30" s="43">
        <f t="shared" ca="1" si="30"/>
        <v>17441951561</v>
      </c>
      <c r="AL30" s="43">
        <f t="shared" ca="1" si="30"/>
        <v>19085337363</v>
      </c>
      <c r="AM30" s="43"/>
      <c r="AN30" s="43"/>
      <c r="AO30" s="43"/>
      <c r="AP30" s="43"/>
    </row>
    <row r="31" spans="1:42" ht="17.25" customHeight="1" x14ac:dyDescent="0.25">
      <c r="A31" s="44">
        <v>2005</v>
      </c>
      <c r="B31" s="45" t="s">
        <v>66</v>
      </c>
      <c r="C31" s="45" t="s">
        <v>41</v>
      </c>
      <c r="D31" s="45" t="s">
        <v>40</v>
      </c>
      <c r="E31" s="45" t="s">
        <v>69</v>
      </c>
      <c r="F31" s="45" t="s">
        <v>71</v>
      </c>
      <c r="G31" s="46">
        <v>97125377</v>
      </c>
      <c r="H31" s="45" t="s">
        <v>68</v>
      </c>
      <c r="I31" s="47" t="str">
        <f t="shared" si="0"/>
        <v>Egypt-OTA</v>
      </c>
      <c r="J31" s="47" t="str">
        <f t="shared" si="1"/>
        <v/>
      </c>
      <c r="K31" s="47"/>
      <c r="L31" s="41"/>
      <c r="M31" s="35"/>
      <c r="N31" s="35"/>
      <c r="O31" s="35" t="str">
        <f ca="1">IFERROR(__xludf.DUMMYFUNCTION("""COMPUTED_VALUE"""),"Saudi Arabia")</f>
        <v>Saudi Arabia</v>
      </c>
      <c r="P31" s="42">
        <f t="shared" ref="P31:AL31" ca="1" si="31">SUMIFS($G$2:$G$2794,$D$2:$D$2794,$O$2:$O$41,$E$2:$E$2794,$M$8,$A$2:$A$2794,P$1)</f>
        <v>6600000000</v>
      </c>
      <c r="Q31" s="42">
        <f t="shared" ca="1" si="31"/>
        <v>7550000000</v>
      </c>
      <c r="R31" s="42">
        <f t="shared" ca="1" si="31"/>
        <v>8310000000</v>
      </c>
      <c r="S31" s="42">
        <f t="shared" ca="1" si="31"/>
        <v>9940000000</v>
      </c>
      <c r="T31" s="43">
        <f t="shared" ca="1" si="31"/>
        <v>8209436344</v>
      </c>
      <c r="U31" s="43">
        <f t="shared" ca="1" si="31"/>
        <v>8400272164</v>
      </c>
      <c r="V31" s="43">
        <f t="shared" ca="1" si="31"/>
        <v>8283814364</v>
      </c>
      <c r="W31" s="43">
        <f t="shared" ca="1" si="31"/>
        <v>8263853936</v>
      </c>
      <c r="X31" s="43">
        <f t="shared" ca="1" si="31"/>
        <v>8275544135</v>
      </c>
      <c r="Y31" s="43">
        <f t="shared" ca="1" si="31"/>
        <v>8678254699</v>
      </c>
      <c r="Z31" s="43">
        <f t="shared" ca="1" si="31"/>
        <v>8978612678</v>
      </c>
      <c r="AA31" s="43">
        <f t="shared" ca="1" si="31"/>
        <v>9214405800</v>
      </c>
      <c r="AB31" s="43">
        <f t="shared" ca="1" si="31"/>
        <v>9683481748</v>
      </c>
      <c r="AC31" s="43">
        <f t="shared" ca="1" si="31"/>
        <v>9706372296</v>
      </c>
      <c r="AD31" s="43">
        <f t="shared" ca="1" si="31"/>
        <v>10276922655</v>
      </c>
      <c r="AE31" s="43">
        <f t="shared" ca="1" si="31"/>
        <v>3326376126</v>
      </c>
      <c r="AF31" s="43">
        <f t="shared" ca="1" si="31"/>
        <v>4231019362</v>
      </c>
      <c r="AG31" s="43">
        <f t="shared" ca="1" si="31"/>
        <v>8297697715</v>
      </c>
      <c r="AH31" s="43">
        <f t="shared" ca="1" si="31"/>
        <v>8789012094</v>
      </c>
      <c r="AI31" s="43">
        <f t="shared" ca="1" si="31"/>
        <v>9280465515</v>
      </c>
      <c r="AJ31" s="43">
        <f t="shared" ca="1" si="31"/>
        <v>9925000617</v>
      </c>
      <c r="AK31" s="43">
        <f t="shared" ca="1" si="31"/>
        <v>10503655600</v>
      </c>
      <c r="AL31" s="43">
        <f t="shared" ca="1" si="31"/>
        <v>11358960396</v>
      </c>
      <c r="AM31" s="43"/>
      <c r="AN31" s="43"/>
      <c r="AO31" s="43"/>
      <c r="AP31" s="43"/>
    </row>
    <row r="32" spans="1:42" ht="17.25" customHeight="1" x14ac:dyDescent="0.25">
      <c r="A32" s="37">
        <v>2005</v>
      </c>
      <c r="B32" s="38" t="s">
        <v>66</v>
      </c>
      <c r="C32" s="38" t="s">
        <v>27</v>
      </c>
      <c r="D32" s="38" t="s">
        <v>26</v>
      </c>
      <c r="E32" s="38" t="s">
        <v>67</v>
      </c>
      <c r="F32" s="38" t="s">
        <v>67</v>
      </c>
      <c r="G32" s="39">
        <v>31600000000</v>
      </c>
      <c r="H32" s="38" t="s">
        <v>68</v>
      </c>
      <c r="I32" s="40" t="str">
        <f t="shared" si="0"/>
        <v>France-Offline</v>
      </c>
      <c r="J32" s="40" t="str">
        <f t="shared" si="1"/>
        <v/>
      </c>
      <c r="K32" s="40"/>
      <c r="L32" s="41"/>
      <c r="M32" s="35"/>
      <c r="N32" s="35"/>
      <c r="O32" s="35" t="str">
        <f ca="1">IFERROR(__xludf.DUMMYFUNCTION("""COMPUTED_VALUE"""),"Scandinavia")</f>
        <v>Scandinavia</v>
      </c>
      <c r="P32" s="42">
        <f t="shared" ref="P32:AL32" ca="1" si="32">SUMIFS($G$2:$G$2794,$D$2:$D$2794,$O$2:$O$41,$E$2:$E$2794,$M$8,$A$2:$A$2794,P$1)</f>
        <v>9920000000</v>
      </c>
      <c r="Q32" s="42">
        <f t="shared" ca="1" si="32"/>
        <v>10800000000</v>
      </c>
      <c r="R32" s="42">
        <f t="shared" ca="1" si="32"/>
        <v>12400000000</v>
      </c>
      <c r="S32" s="42">
        <f t="shared" ca="1" si="32"/>
        <v>13000000000</v>
      </c>
      <c r="T32" s="43">
        <f t="shared" ca="1" si="32"/>
        <v>11180800986</v>
      </c>
      <c r="U32" s="43">
        <f t="shared" ca="1" si="32"/>
        <v>10691865773</v>
      </c>
      <c r="V32" s="43">
        <f t="shared" ca="1" si="32"/>
        <v>10144771623</v>
      </c>
      <c r="W32" s="43">
        <f t="shared" ca="1" si="32"/>
        <v>9745063678</v>
      </c>
      <c r="X32" s="43">
        <f t="shared" ca="1" si="32"/>
        <v>9856397752</v>
      </c>
      <c r="Y32" s="43">
        <f t="shared" ca="1" si="32"/>
        <v>9290253564</v>
      </c>
      <c r="Z32" s="43">
        <f t="shared" ca="1" si="32"/>
        <v>7414884941</v>
      </c>
      <c r="AA32" s="43">
        <f t="shared" ca="1" si="32"/>
        <v>10098312379</v>
      </c>
      <c r="AB32" s="43">
        <f t="shared" ca="1" si="32"/>
        <v>9599356568</v>
      </c>
      <c r="AC32" s="43">
        <f t="shared" ca="1" si="32"/>
        <v>10020241450</v>
      </c>
      <c r="AD32" s="43">
        <f t="shared" ca="1" si="32"/>
        <v>6428196829</v>
      </c>
      <c r="AE32" s="43">
        <f t="shared" ca="1" si="32"/>
        <v>2606043074</v>
      </c>
      <c r="AF32" s="43">
        <f t="shared" ca="1" si="32"/>
        <v>3234216991</v>
      </c>
      <c r="AG32" s="43">
        <f t="shared" ca="1" si="32"/>
        <v>3688571355</v>
      </c>
      <c r="AH32" s="43">
        <f t="shared" ca="1" si="32"/>
        <v>4163442599</v>
      </c>
      <c r="AI32" s="43">
        <f t="shared" ca="1" si="32"/>
        <v>4517863158</v>
      </c>
      <c r="AJ32" s="43">
        <f t="shared" ca="1" si="32"/>
        <v>4637524600</v>
      </c>
      <c r="AK32" s="43">
        <f t="shared" ca="1" si="32"/>
        <v>4776890035</v>
      </c>
      <c r="AL32" s="43">
        <f t="shared" ca="1" si="32"/>
        <v>4879692982</v>
      </c>
      <c r="AM32" s="43"/>
      <c r="AN32" s="43"/>
      <c r="AO32" s="43"/>
      <c r="AP32" s="43"/>
    </row>
    <row r="33" spans="1:42" ht="17.25" customHeight="1" x14ac:dyDescent="0.25">
      <c r="A33" s="44">
        <v>2005</v>
      </c>
      <c r="B33" s="45" t="s">
        <v>66</v>
      </c>
      <c r="C33" s="45" t="s">
        <v>27</v>
      </c>
      <c r="D33" s="45" t="s">
        <v>26</v>
      </c>
      <c r="E33" s="45" t="s">
        <v>69</v>
      </c>
      <c r="F33" s="45" t="s">
        <v>70</v>
      </c>
      <c r="G33" s="46">
        <v>5160000000</v>
      </c>
      <c r="H33" s="45" t="s">
        <v>68</v>
      </c>
      <c r="I33" s="47" t="str">
        <f t="shared" si="0"/>
        <v>France-Online Supplier-Direct</v>
      </c>
      <c r="J33" s="47" t="str">
        <f t="shared" si="1"/>
        <v/>
      </c>
      <c r="K33" s="47"/>
      <c r="L33" s="41"/>
      <c r="M33" s="35"/>
      <c r="N33" s="35"/>
      <c r="O33" s="35" t="str">
        <f ca="1">IFERROR(__xludf.DUMMYFUNCTION("""COMPUTED_VALUE"""),"Singapore")</f>
        <v>Singapore</v>
      </c>
      <c r="P33" s="42">
        <f t="shared" ref="P33:AL33" ca="1" si="33">SUMIFS($G$2:$G$2794,$D$2:$D$2794,$O$2:$O$41,$E$2:$E$2794,$M$8,$A$2:$A$2794,P$1)</f>
        <v>3590000000</v>
      </c>
      <c r="Q33" s="42">
        <f t="shared" ca="1" si="33"/>
        <v>4160000000</v>
      </c>
      <c r="R33" s="42">
        <f t="shared" ca="1" si="33"/>
        <v>5040000000</v>
      </c>
      <c r="S33" s="42">
        <f t="shared" ca="1" si="33"/>
        <v>5170000000</v>
      </c>
      <c r="T33" s="43">
        <f t="shared" ca="1" si="33"/>
        <v>5183334817</v>
      </c>
      <c r="U33" s="43">
        <f t="shared" ca="1" si="33"/>
        <v>6689543699</v>
      </c>
      <c r="V33" s="43">
        <f t="shared" ca="1" si="33"/>
        <v>7219185203</v>
      </c>
      <c r="W33" s="43">
        <f t="shared" ca="1" si="33"/>
        <v>7620382907</v>
      </c>
      <c r="X33" s="43">
        <f t="shared" ca="1" si="33"/>
        <v>7365826317</v>
      </c>
      <c r="Y33" s="43">
        <f t="shared" ca="1" si="33"/>
        <v>7413725091</v>
      </c>
      <c r="Z33" s="43">
        <f t="shared" ca="1" si="33"/>
        <v>6471000863</v>
      </c>
      <c r="AA33" s="43">
        <f t="shared" ca="1" si="33"/>
        <v>7064411050</v>
      </c>
      <c r="AB33" s="43">
        <f t="shared" ca="1" si="33"/>
        <v>7069872206</v>
      </c>
      <c r="AC33" s="43">
        <f t="shared" ca="1" si="33"/>
        <v>7211448324</v>
      </c>
      <c r="AD33" s="43">
        <f t="shared" ca="1" si="33"/>
        <v>7356876351</v>
      </c>
      <c r="AE33" s="43">
        <f t="shared" ca="1" si="33"/>
        <v>1346702154</v>
      </c>
      <c r="AF33" s="43">
        <f t="shared" ca="1" si="33"/>
        <v>952836392</v>
      </c>
      <c r="AG33" s="43">
        <f t="shared" ca="1" si="33"/>
        <v>3859625680</v>
      </c>
      <c r="AH33" s="43">
        <f t="shared" ca="1" si="33"/>
        <v>5131650232</v>
      </c>
      <c r="AI33" s="43">
        <f t="shared" ca="1" si="33"/>
        <v>5085291697</v>
      </c>
      <c r="AJ33" s="43">
        <f t="shared" ca="1" si="33"/>
        <v>4945157060</v>
      </c>
      <c r="AK33" s="43">
        <f t="shared" ca="1" si="33"/>
        <v>4802059840</v>
      </c>
      <c r="AL33" s="43">
        <f t="shared" ca="1" si="33"/>
        <v>4715595558</v>
      </c>
      <c r="AM33" s="43"/>
      <c r="AN33" s="43"/>
      <c r="AO33" s="43"/>
      <c r="AP33" s="43"/>
    </row>
    <row r="34" spans="1:42" ht="17.25" customHeight="1" x14ac:dyDescent="0.25">
      <c r="A34" s="37">
        <v>2005</v>
      </c>
      <c r="B34" s="38" t="s">
        <v>66</v>
      </c>
      <c r="C34" s="38" t="s">
        <v>27</v>
      </c>
      <c r="D34" s="38" t="s">
        <v>26</v>
      </c>
      <c r="E34" s="38" t="s">
        <v>69</v>
      </c>
      <c r="F34" s="38" t="s">
        <v>71</v>
      </c>
      <c r="G34" s="39">
        <v>5160000000</v>
      </c>
      <c r="H34" s="38" t="s">
        <v>68</v>
      </c>
      <c r="I34" s="40" t="str">
        <f t="shared" si="0"/>
        <v>France-OTA</v>
      </c>
      <c r="J34" s="40" t="str">
        <f t="shared" si="1"/>
        <v/>
      </c>
      <c r="K34" s="40"/>
      <c r="L34" s="41"/>
      <c r="M34" s="35"/>
      <c r="N34" s="35"/>
      <c r="O34" s="35" t="str">
        <f ca="1">IFERROR(__xludf.DUMMYFUNCTION("""COMPUTED_VALUE"""),"South Korea")</f>
        <v>South Korea</v>
      </c>
      <c r="P34" s="42">
        <f t="shared" ref="P34:AL34" ca="1" si="34">SUMIFS($G$2:$G$2794,$D$2:$D$2794,$O$2:$O$41,$E$2:$E$2794,$M$8,$A$2:$A$2794,P$1)</f>
        <v>9190000000</v>
      </c>
      <c r="Q34" s="42">
        <f t="shared" ca="1" si="34"/>
        <v>10300000000</v>
      </c>
      <c r="R34" s="42">
        <f t="shared" ca="1" si="34"/>
        <v>11500000000</v>
      </c>
      <c r="S34" s="42">
        <f t="shared" ca="1" si="34"/>
        <v>9790000000</v>
      </c>
      <c r="T34" s="43">
        <f t="shared" ca="1" si="34"/>
        <v>8827228902</v>
      </c>
      <c r="U34" s="43">
        <f t="shared" ca="1" si="34"/>
        <v>11086683907</v>
      </c>
      <c r="V34" s="43">
        <f t="shared" ca="1" si="34"/>
        <v>12022895752</v>
      </c>
      <c r="W34" s="43">
        <f t="shared" ca="1" si="34"/>
        <v>11692094967</v>
      </c>
      <c r="X34" s="43">
        <f t="shared" ca="1" si="34"/>
        <v>11406465886</v>
      </c>
      <c r="Y34" s="43">
        <f t="shared" ca="1" si="34"/>
        <v>11465539276</v>
      </c>
      <c r="Z34" s="43">
        <f t="shared" ca="1" si="34"/>
        <v>9853245082</v>
      </c>
      <c r="AA34" s="43">
        <f t="shared" ca="1" si="34"/>
        <v>9766619137</v>
      </c>
      <c r="AB34" s="43">
        <f t="shared" ca="1" si="34"/>
        <v>9583131426</v>
      </c>
      <c r="AC34" s="43">
        <f t="shared" ca="1" si="34"/>
        <v>11772758061</v>
      </c>
      <c r="AD34" s="43">
        <f t="shared" ca="1" si="34"/>
        <v>10571229986</v>
      </c>
      <c r="AE34" s="43">
        <f t="shared" ca="1" si="34"/>
        <v>3089998732</v>
      </c>
      <c r="AF34" s="43">
        <f t="shared" ca="1" si="34"/>
        <v>2843620291</v>
      </c>
      <c r="AG34" s="43">
        <f t="shared" ca="1" si="34"/>
        <v>5628632527</v>
      </c>
      <c r="AH34" s="43">
        <f t="shared" ca="1" si="34"/>
        <v>8860113008</v>
      </c>
      <c r="AI34" s="43">
        <f t="shared" ca="1" si="34"/>
        <v>9645056119</v>
      </c>
      <c r="AJ34" s="43">
        <f t="shared" ca="1" si="34"/>
        <v>9983285309</v>
      </c>
      <c r="AK34" s="43">
        <f t="shared" ca="1" si="34"/>
        <v>10008434426</v>
      </c>
      <c r="AL34" s="43">
        <f t="shared" ca="1" si="34"/>
        <v>9979698015</v>
      </c>
      <c r="AM34" s="43"/>
      <c r="AN34" s="43"/>
      <c r="AO34" s="43"/>
      <c r="AP34" s="43"/>
    </row>
    <row r="35" spans="1:42" ht="17.25" customHeight="1" x14ac:dyDescent="0.25">
      <c r="A35" s="44">
        <v>2005</v>
      </c>
      <c r="B35" s="45" t="s">
        <v>66</v>
      </c>
      <c r="C35" s="45" t="s">
        <v>27</v>
      </c>
      <c r="D35" s="45" t="s">
        <v>28</v>
      </c>
      <c r="E35" s="45" t="s">
        <v>67</v>
      </c>
      <c r="F35" s="45" t="s">
        <v>67</v>
      </c>
      <c r="G35" s="46">
        <v>41400000000</v>
      </c>
      <c r="H35" s="45" t="s">
        <v>68</v>
      </c>
      <c r="I35" s="47" t="str">
        <f t="shared" si="0"/>
        <v>Germany-Offline</v>
      </c>
      <c r="J35" s="47" t="str">
        <f t="shared" si="1"/>
        <v/>
      </c>
      <c r="K35" s="47"/>
      <c r="L35" s="41"/>
      <c r="M35" s="35"/>
      <c r="N35" s="35"/>
      <c r="O35" s="35" t="str">
        <f ca="1">IFERROR(__xludf.DUMMYFUNCTION("""COMPUTED_VALUE"""),"Spain")</f>
        <v>Spain</v>
      </c>
      <c r="P35" s="42">
        <f t="shared" ref="P35:AL35" ca="1" si="35">SUMIFS($G$2:$G$2794,$D$2:$D$2794,$O$2:$O$41,$E$2:$E$2794,$M$8,$A$2:$A$2794,P$1)</f>
        <v>17000000000</v>
      </c>
      <c r="Q35" s="42">
        <f t="shared" ca="1" si="35"/>
        <v>18500000000</v>
      </c>
      <c r="R35" s="42">
        <f t="shared" ca="1" si="35"/>
        <v>21600000000</v>
      </c>
      <c r="S35" s="42">
        <f t="shared" ca="1" si="35"/>
        <v>22900000000</v>
      </c>
      <c r="T35" s="43">
        <f t="shared" ca="1" si="35"/>
        <v>20965610600</v>
      </c>
      <c r="U35" s="43">
        <f t="shared" ca="1" si="35"/>
        <v>19779559586</v>
      </c>
      <c r="V35" s="43">
        <f t="shared" ca="1" si="35"/>
        <v>19933474057</v>
      </c>
      <c r="W35" s="43">
        <f t="shared" ca="1" si="35"/>
        <v>17341589307</v>
      </c>
      <c r="X35" s="43">
        <f t="shared" ca="1" si="35"/>
        <v>16772162171</v>
      </c>
      <c r="Y35" s="43">
        <f t="shared" ca="1" si="35"/>
        <v>16995565278</v>
      </c>
      <c r="Z35" s="43">
        <f t="shared" ca="1" si="35"/>
        <v>14493224127</v>
      </c>
      <c r="AA35" s="43">
        <f t="shared" ca="1" si="35"/>
        <v>15470461443</v>
      </c>
      <c r="AB35" s="43">
        <f t="shared" ca="1" si="35"/>
        <v>17088670286</v>
      </c>
      <c r="AC35" s="43">
        <f t="shared" ca="1" si="35"/>
        <v>18382349370</v>
      </c>
      <c r="AD35" s="43">
        <f t="shared" ca="1" si="35"/>
        <v>18056256570</v>
      </c>
      <c r="AE35" s="43">
        <f t="shared" ca="1" si="35"/>
        <v>4569697632</v>
      </c>
      <c r="AF35" s="43">
        <f t="shared" ca="1" si="35"/>
        <v>7506945531</v>
      </c>
      <c r="AG35" s="43">
        <f t="shared" ca="1" si="35"/>
        <v>11180879994</v>
      </c>
      <c r="AH35" s="43">
        <f t="shared" ca="1" si="35"/>
        <v>15287492173</v>
      </c>
      <c r="AI35" s="43">
        <f t="shared" ca="1" si="35"/>
        <v>16051370594</v>
      </c>
      <c r="AJ35" s="43">
        <f t="shared" ca="1" si="35"/>
        <v>16181407445</v>
      </c>
      <c r="AK35" s="43">
        <f t="shared" ca="1" si="35"/>
        <v>16243921669</v>
      </c>
      <c r="AL35" s="43">
        <f t="shared" ca="1" si="35"/>
        <v>16239281969</v>
      </c>
      <c r="AM35" s="43"/>
      <c r="AN35" s="43"/>
      <c r="AO35" s="43"/>
      <c r="AP35" s="43"/>
    </row>
    <row r="36" spans="1:42" ht="17.25" customHeight="1" x14ac:dyDescent="0.25">
      <c r="A36" s="37">
        <v>2005</v>
      </c>
      <c r="B36" s="38" t="s">
        <v>66</v>
      </c>
      <c r="C36" s="38" t="s">
        <v>27</v>
      </c>
      <c r="D36" s="38" t="s">
        <v>28</v>
      </c>
      <c r="E36" s="38" t="s">
        <v>69</v>
      </c>
      <c r="F36" s="38" t="s">
        <v>70</v>
      </c>
      <c r="G36" s="39">
        <v>7890000000</v>
      </c>
      <c r="H36" s="38" t="s">
        <v>68</v>
      </c>
      <c r="I36" s="40" t="str">
        <f t="shared" si="0"/>
        <v>Germany-Online Supplier-Direct</v>
      </c>
      <c r="J36" s="40" t="str">
        <f t="shared" si="1"/>
        <v/>
      </c>
      <c r="K36" s="40"/>
      <c r="L36" s="41"/>
      <c r="M36" s="35"/>
      <c r="N36" s="35"/>
      <c r="O36" s="35" t="str">
        <f ca="1">IFERROR(__xludf.DUMMYFUNCTION("""COMPUTED_VALUE"""),"Taiwan")</f>
        <v>Taiwan</v>
      </c>
      <c r="P36" s="42">
        <f t="shared" ref="P36:AL36" ca="1" si="36">SUMIFS($G$2:$G$2794,$D$2:$D$2794,$O$2:$O$41,$E$2:$E$2794,$M$8,$A$2:$A$2794,P$1)</f>
        <v>4280000000</v>
      </c>
      <c r="Q36" s="42">
        <f t="shared" ca="1" si="36"/>
        <v>4400000000</v>
      </c>
      <c r="R36" s="42">
        <f t="shared" ca="1" si="36"/>
        <v>4620000000</v>
      </c>
      <c r="S36" s="42">
        <f t="shared" ca="1" si="36"/>
        <v>4520000000</v>
      </c>
      <c r="T36" s="43">
        <f t="shared" ca="1" si="36"/>
        <v>4251468513</v>
      </c>
      <c r="U36" s="43">
        <f t="shared" ca="1" si="36"/>
        <v>5436968346</v>
      </c>
      <c r="V36" s="43">
        <f t="shared" ca="1" si="36"/>
        <v>6244067530</v>
      </c>
      <c r="W36" s="43">
        <f t="shared" ca="1" si="36"/>
        <v>7612864586</v>
      </c>
      <c r="X36" s="43">
        <f t="shared" ca="1" si="36"/>
        <v>8014876340</v>
      </c>
      <c r="Y36" s="43">
        <f t="shared" ca="1" si="36"/>
        <v>8191778237</v>
      </c>
      <c r="Z36" s="43">
        <f t="shared" ca="1" si="36"/>
        <v>7689330776</v>
      </c>
      <c r="AA36" s="43">
        <f t="shared" ca="1" si="36"/>
        <v>7405957430</v>
      </c>
      <c r="AB36" s="43">
        <f t="shared" ca="1" si="36"/>
        <v>7920871070</v>
      </c>
      <c r="AC36" s="43">
        <f t="shared" ca="1" si="36"/>
        <v>8417785173</v>
      </c>
      <c r="AD36" s="43">
        <f t="shared" ca="1" si="36"/>
        <v>8241041432</v>
      </c>
      <c r="AE36" s="43">
        <f t="shared" ca="1" si="36"/>
        <v>3644935232</v>
      </c>
      <c r="AF36" s="43">
        <f t="shared" ca="1" si="36"/>
        <v>1043323792</v>
      </c>
      <c r="AG36" s="43">
        <f t="shared" ca="1" si="36"/>
        <v>2119646748</v>
      </c>
      <c r="AH36" s="43">
        <f t="shared" ca="1" si="36"/>
        <v>6108307082</v>
      </c>
      <c r="AI36" s="43">
        <f t="shared" ca="1" si="36"/>
        <v>6545427856</v>
      </c>
      <c r="AJ36" s="43">
        <f t="shared" ca="1" si="36"/>
        <v>6677223530</v>
      </c>
      <c r="AK36" s="43">
        <f t="shared" ca="1" si="36"/>
        <v>6579600385</v>
      </c>
      <c r="AL36" s="43">
        <f t="shared" ca="1" si="36"/>
        <v>6452223543</v>
      </c>
      <c r="AM36" s="43"/>
      <c r="AN36" s="43"/>
      <c r="AO36" s="43"/>
      <c r="AP36" s="43"/>
    </row>
    <row r="37" spans="1:42" ht="17.25" customHeight="1" x14ac:dyDescent="0.25">
      <c r="A37" s="44">
        <v>2005</v>
      </c>
      <c r="B37" s="45" t="s">
        <v>66</v>
      </c>
      <c r="C37" s="45" t="s">
        <v>27</v>
      </c>
      <c r="D37" s="45" t="s">
        <v>28</v>
      </c>
      <c r="E37" s="45" t="s">
        <v>69</v>
      </c>
      <c r="F37" s="45" t="s">
        <v>71</v>
      </c>
      <c r="G37" s="46">
        <v>7890000000</v>
      </c>
      <c r="H37" s="45" t="s">
        <v>68</v>
      </c>
      <c r="I37" s="47" t="str">
        <f t="shared" si="0"/>
        <v>Germany-OTA</v>
      </c>
      <c r="J37" s="47" t="str">
        <f t="shared" si="1"/>
        <v/>
      </c>
      <c r="K37" s="47"/>
      <c r="L37" s="41"/>
      <c r="M37" s="35"/>
      <c r="N37" s="35"/>
      <c r="O37" s="35" t="str">
        <f ca="1">IFERROR(__xludf.DUMMYFUNCTION("""COMPUTED_VALUE"""),"Thailand")</f>
        <v>Thailand</v>
      </c>
      <c r="P37" s="42">
        <f t="shared" ref="P37:AL37" ca="1" si="37">SUMIFS($G$2:$G$2794,$D$2:$D$2794,$O$2:$O$41,$E$2:$E$2794,$M$8,$A$2:$A$2794,P$1)</f>
        <v>5800000000</v>
      </c>
      <c r="Q37" s="42">
        <f t="shared" ca="1" si="37"/>
        <v>6770000000</v>
      </c>
      <c r="R37" s="42">
        <f t="shared" ca="1" si="37"/>
        <v>8010000000</v>
      </c>
      <c r="S37" s="42">
        <f t="shared" ca="1" si="37"/>
        <v>8500000000</v>
      </c>
      <c r="T37" s="43">
        <f t="shared" ca="1" si="37"/>
        <v>8214837771</v>
      </c>
      <c r="U37" s="43">
        <f t="shared" ca="1" si="37"/>
        <v>8480522588</v>
      </c>
      <c r="V37" s="43">
        <f t="shared" ca="1" si="37"/>
        <v>9242916750</v>
      </c>
      <c r="W37" s="43">
        <f t="shared" ca="1" si="37"/>
        <v>8974570559</v>
      </c>
      <c r="X37" s="43">
        <f t="shared" ca="1" si="37"/>
        <v>9606310231</v>
      </c>
      <c r="Y37" s="43">
        <f t="shared" ca="1" si="37"/>
        <v>8664425422</v>
      </c>
      <c r="Z37" s="43">
        <f t="shared" ca="1" si="37"/>
        <v>8705562030</v>
      </c>
      <c r="AA37" s="43">
        <f t="shared" ca="1" si="37"/>
        <v>8498553210</v>
      </c>
      <c r="AB37" s="43">
        <f t="shared" ca="1" si="37"/>
        <v>9247195812</v>
      </c>
      <c r="AC37" s="43">
        <f t="shared" ca="1" si="37"/>
        <v>11002301518</v>
      </c>
      <c r="AD37" s="43">
        <f t="shared" ca="1" si="37"/>
        <v>10846513162</v>
      </c>
      <c r="AE37" s="43">
        <f t="shared" ca="1" si="37"/>
        <v>2875625670</v>
      </c>
      <c r="AF37" s="43">
        <f t="shared" ca="1" si="37"/>
        <v>691219602</v>
      </c>
      <c r="AG37" s="43">
        <f t="shared" ca="1" si="37"/>
        <v>3406795700</v>
      </c>
      <c r="AH37" s="43">
        <f t="shared" ca="1" si="37"/>
        <v>5509867969</v>
      </c>
      <c r="AI37" s="43">
        <f t="shared" ca="1" si="37"/>
        <v>6461548824</v>
      </c>
      <c r="AJ37" s="43">
        <f t="shared" ca="1" si="37"/>
        <v>6595938624</v>
      </c>
      <c r="AK37" s="43">
        <f t="shared" ca="1" si="37"/>
        <v>6504684693</v>
      </c>
      <c r="AL37" s="43">
        <f t="shared" ca="1" si="37"/>
        <v>6269194837</v>
      </c>
      <c r="AM37" s="43"/>
      <c r="AN37" s="43"/>
      <c r="AO37" s="43"/>
      <c r="AP37" s="43"/>
    </row>
    <row r="38" spans="1:42" ht="17.25" customHeight="1" x14ac:dyDescent="0.25">
      <c r="A38" s="37">
        <v>2005</v>
      </c>
      <c r="B38" s="38" t="s">
        <v>66</v>
      </c>
      <c r="C38" s="38" t="s">
        <v>17</v>
      </c>
      <c r="D38" s="38" t="s">
        <v>19</v>
      </c>
      <c r="E38" s="38" t="s">
        <v>67</v>
      </c>
      <c r="F38" s="38" t="s">
        <v>67</v>
      </c>
      <c r="G38" s="39">
        <v>6390000000</v>
      </c>
      <c r="H38" s="38" t="s">
        <v>68</v>
      </c>
      <c r="I38" s="40" t="str">
        <f t="shared" si="0"/>
        <v>Greece-Offline</v>
      </c>
      <c r="J38" s="40" t="str">
        <f t="shared" si="1"/>
        <v/>
      </c>
      <c r="K38" s="40"/>
      <c r="L38" s="41"/>
      <c r="M38" s="35"/>
      <c r="N38" s="35"/>
      <c r="O38" s="35" t="str">
        <f ca="1">IFERROR(__xludf.DUMMYFUNCTION("""COMPUTED_VALUE"""),"U.A.E.")</f>
        <v>U.A.E.</v>
      </c>
      <c r="P38" s="42">
        <f t="shared" ref="P38:AL38" ca="1" si="38">SUMIFS($G$2:$G$2794,$D$2:$D$2794,$O$2:$O$41,$E$2:$E$2794,$M$8,$A$2:$A$2794,P$1)</f>
        <v>13500000000</v>
      </c>
      <c r="Q38" s="42">
        <f t="shared" ca="1" si="38"/>
        <v>16500000000</v>
      </c>
      <c r="R38" s="42">
        <f t="shared" ca="1" si="38"/>
        <v>19100000000</v>
      </c>
      <c r="S38" s="42">
        <f t="shared" ca="1" si="38"/>
        <v>22400000000</v>
      </c>
      <c r="T38" s="43">
        <f t="shared" ca="1" si="38"/>
        <v>17979546687</v>
      </c>
      <c r="U38" s="43">
        <f t="shared" ca="1" si="38"/>
        <v>18982464995</v>
      </c>
      <c r="V38" s="43">
        <f t="shared" ca="1" si="38"/>
        <v>20855350280</v>
      </c>
      <c r="W38" s="43">
        <f t="shared" ca="1" si="38"/>
        <v>22584624660</v>
      </c>
      <c r="X38" s="43">
        <f t="shared" ca="1" si="38"/>
        <v>24298335754</v>
      </c>
      <c r="Y38" s="43">
        <f t="shared" ca="1" si="38"/>
        <v>25316330137</v>
      </c>
      <c r="Z38" s="43">
        <f t="shared" ca="1" si="38"/>
        <v>24618139354</v>
      </c>
      <c r="AA38" s="43">
        <f t="shared" ca="1" si="38"/>
        <v>23959668915</v>
      </c>
      <c r="AB38" s="43">
        <f t="shared" ca="1" si="38"/>
        <v>24442246095</v>
      </c>
      <c r="AC38" s="43">
        <f t="shared" ca="1" si="38"/>
        <v>24631176107</v>
      </c>
      <c r="AD38" s="43">
        <f t="shared" ca="1" si="38"/>
        <v>23479798040</v>
      </c>
      <c r="AE38" s="43">
        <f t="shared" ca="1" si="38"/>
        <v>5675723168</v>
      </c>
      <c r="AF38" s="43">
        <f t="shared" ca="1" si="38"/>
        <v>10891714658</v>
      </c>
      <c r="AG38" s="43">
        <f t="shared" ca="1" si="38"/>
        <v>21737449328</v>
      </c>
      <c r="AH38" s="43">
        <f t="shared" ca="1" si="38"/>
        <v>23547255227</v>
      </c>
      <c r="AI38" s="43">
        <f t="shared" ca="1" si="38"/>
        <v>24755792028</v>
      </c>
      <c r="AJ38" s="43">
        <f t="shared" ca="1" si="38"/>
        <v>25464555623</v>
      </c>
      <c r="AK38" s="43">
        <f t="shared" ca="1" si="38"/>
        <v>26357217073</v>
      </c>
      <c r="AL38" s="43">
        <f t="shared" ca="1" si="38"/>
        <v>27258670742</v>
      </c>
      <c r="AM38" s="43"/>
      <c r="AN38" s="43"/>
      <c r="AO38" s="43"/>
      <c r="AP38" s="43"/>
    </row>
    <row r="39" spans="1:42" ht="17.25" customHeight="1" x14ac:dyDescent="0.25">
      <c r="A39" s="44">
        <v>2005</v>
      </c>
      <c r="B39" s="45" t="s">
        <v>66</v>
      </c>
      <c r="C39" s="45" t="s">
        <v>17</v>
      </c>
      <c r="D39" s="45" t="s">
        <v>19</v>
      </c>
      <c r="E39" s="45" t="s">
        <v>69</v>
      </c>
      <c r="F39" s="45" t="s">
        <v>70</v>
      </c>
      <c r="G39" s="46">
        <v>400000000</v>
      </c>
      <c r="H39" s="45" t="s">
        <v>68</v>
      </c>
      <c r="I39" s="47" t="str">
        <f t="shared" si="0"/>
        <v>Greece-Online Supplier-Direct</v>
      </c>
      <c r="J39" s="47" t="str">
        <f t="shared" si="1"/>
        <v/>
      </c>
      <c r="K39" s="47"/>
      <c r="L39" s="41"/>
      <c r="M39" s="35"/>
      <c r="N39" s="35"/>
      <c r="O39" s="35" t="str">
        <f ca="1">IFERROR(__xludf.DUMMYFUNCTION("""COMPUTED_VALUE"""),"U.K.")</f>
        <v>U.K.</v>
      </c>
      <c r="P39" s="42">
        <f t="shared" ref="P39:AL39" ca="1" si="39">SUMIFS($G$2:$G$2794,$D$2:$D$2794,$O$2:$O$41,$E$2:$E$2794,$M$8,$A$2:$A$2794,P$1)</f>
        <v>40200000000</v>
      </c>
      <c r="Q39" s="42">
        <f t="shared" ca="1" si="39"/>
        <v>42700000000</v>
      </c>
      <c r="R39" s="42">
        <f t="shared" ca="1" si="39"/>
        <v>48600000000</v>
      </c>
      <c r="S39" s="42">
        <f t="shared" ca="1" si="39"/>
        <v>44100000000</v>
      </c>
      <c r="T39" s="43">
        <f t="shared" ca="1" si="39"/>
        <v>36328368743</v>
      </c>
      <c r="U39" s="43">
        <f t="shared" ca="1" si="39"/>
        <v>36128371211</v>
      </c>
      <c r="V39" s="43">
        <f t="shared" ca="1" si="39"/>
        <v>27752167029</v>
      </c>
      <c r="W39" s="43">
        <f t="shared" ca="1" si="39"/>
        <v>32851806903</v>
      </c>
      <c r="X39" s="43">
        <f t="shared" ca="1" si="39"/>
        <v>33766530443</v>
      </c>
      <c r="Y39" s="43">
        <f t="shared" ca="1" si="39"/>
        <v>33408446057</v>
      </c>
      <c r="Z39" s="43">
        <f t="shared" ca="1" si="39"/>
        <v>29698434280</v>
      </c>
      <c r="AA39" s="43">
        <f t="shared" ca="1" si="39"/>
        <v>25753688863</v>
      </c>
      <c r="AB39" s="43">
        <f t="shared" ca="1" si="39"/>
        <v>23894260473</v>
      </c>
      <c r="AC39" s="43">
        <f t="shared" ca="1" si="39"/>
        <v>21779212344</v>
      </c>
      <c r="AD39" s="43">
        <f t="shared" ca="1" si="39"/>
        <v>16486360496</v>
      </c>
      <c r="AE39" s="43">
        <f t="shared" ca="1" si="39"/>
        <v>4836007759</v>
      </c>
      <c r="AF39" s="43">
        <f t="shared" ca="1" si="39"/>
        <v>6930935488</v>
      </c>
      <c r="AG39" s="43">
        <f t="shared" ca="1" si="39"/>
        <v>9068616178</v>
      </c>
      <c r="AH39" s="43">
        <f t="shared" ca="1" si="39"/>
        <v>9852372658</v>
      </c>
      <c r="AI39" s="43">
        <f t="shared" ca="1" si="39"/>
        <v>10372769916</v>
      </c>
      <c r="AJ39" s="43">
        <f t="shared" ca="1" si="39"/>
        <v>11199983896</v>
      </c>
      <c r="AK39" s="43">
        <f t="shared" ca="1" si="39"/>
        <v>12084315663</v>
      </c>
      <c r="AL39" s="43">
        <f t="shared" ca="1" si="39"/>
        <v>12622234694</v>
      </c>
      <c r="AM39" s="43"/>
      <c r="AN39" s="43"/>
      <c r="AO39" s="43"/>
      <c r="AP39" s="43"/>
    </row>
    <row r="40" spans="1:42" ht="17.25" customHeight="1" x14ac:dyDescent="0.25">
      <c r="A40" s="37">
        <v>2005</v>
      </c>
      <c r="B40" s="38" t="s">
        <v>66</v>
      </c>
      <c r="C40" s="38" t="s">
        <v>17</v>
      </c>
      <c r="D40" s="38" t="s">
        <v>19</v>
      </c>
      <c r="E40" s="38" t="s">
        <v>69</v>
      </c>
      <c r="F40" s="38" t="s">
        <v>71</v>
      </c>
      <c r="G40" s="39">
        <v>400000000</v>
      </c>
      <c r="H40" s="38" t="s">
        <v>68</v>
      </c>
      <c r="I40" s="40" t="str">
        <f t="shared" si="0"/>
        <v>Greece-OTA</v>
      </c>
      <c r="J40" s="40" t="str">
        <f t="shared" si="1"/>
        <v/>
      </c>
      <c r="K40" s="40"/>
      <c r="L40" s="41"/>
      <c r="M40" s="35"/>
      <c r="N40" s="35"/>
      <c r="O40" s="35" t="str">
        <f ca="1">IFERROR(__xludf.DUMMYFUNCTION("""COMPUTED_VALUE"""),"U.S.")</f>
        <v>U.S.</v>
      </c>
      <c r="P40" s="42">
        <f t="shared" ref="P40:AL40" ca="1" si="40">SUMIFS($G$2:$G$2794,$D$2:$D$2794,$O$2:$O$41,$E$2:$E$2794,$M$8,$A$2:$A$2794,P$1)</f>
        <v>66900000000</v>
      </c>
      <c r="Q40" s="42">
        <f t="shared" ca="1" si="40"/>
        <v>70700000000</v>
      </c>
      <c r="R40" s="42">
        <f t="shared" ca="1" si="40"/>
        <v>73800000000</v>
      </c>
      <c r="S40" s="42">
        <f t="shared" ca="1" si="40"/>
        <v>72100000000</v>
      </c>
      <c r="T40" s="43">
        <f t="shared" ca="1" si="40"/>
        <v>70691252594</v>
      </c>
      <c r="U40" s="43">
        <f t="shared" ca="1" si="40"/>
        <v>79571855811</v>
      </c>
      <c r="V40" s="43">
        <f t="shared" ca="1" si="40"/>
        <v>87577196761</v>
      </c>
      <c r="W40" s="43">
        <f t="shared" ca="1" si="40"/>
        <v>89003462330</v>
      </c>
      <c r="X40" s="43">
        <f t="shared" ca="1" si="40"/>
        <v>90248313650</v>
      </c>
      <c r="Y40" s="43">
        <f t="shared" ca="1" si="40"/>
        <v>92089086297</v>
      </c>
      <c r="Z40" s="43">
        <f t="shared" ca="1" si="40"/>
        <v>92638916093</v>
      </c>
      <c r="AA40" s="43">
        <f t="shared" ca="1" si="40"/>
        <v>95801091220</v>
      </c>
      <c r="AB40" s="43">
        <f t="shared" ca="1" si="40"/>
        <v>99466647142</v>
      </c>
      <c r="AC40" s="43">
        <f t="shared" ca="1" si="40"/>
        <v>103996694371</v>
      </c>
      <c r="AD40" s="43">
        <f t="shared" ca="1" si="40"/>
        <v>103269768630</v>
      </c>
      <c r="AE40" s="43">
        <f t="shared" ca="1" si="40"/>
        <v>24664446105</v>
      </c>
      <c r="AF40" s="43">
        <f t="shared" ca="1" si="40"/>
        <v>33480458169</v>
      </c>
      <c r="AG40" s="43">
        <f t="shared" ca="1" si="40"/>
        <v>70844328110</v>
      </c>
      <c r="AH40" s="43">
        <f t="shared" ca="1" si="40"/>
        <v>89688915550</v>
      </c>
      <c r="AI40" s="43">
        <f t="shared" ca="1" si="40"/>
        <v>99764613880</v>
      </c>
      <c r="AJ40" s="43">
        <f t="shared" ca="1" si="40"/>
        <v>108533704509</v>
      </c>
      <c r="AK40" s="43">
        <f t="shared" ca="1" si="40"/>
        <v>112095498557</v>
      </c>
      <c r="AL40" s="43">
        <f t="shared" ca="1" si="40"/>
        <v>116388953255</v>
      </c>
      <c r="AM40" s="43"/>
      <c r="AN40" s="43"/>
      <c r="AO40" s="43"/>
      <c r="AP40" s="43"/>
    </row>
    <row r="41" spans="1:42" ht="17.25" customHeight="1" x14ac:dyDescent="0.25">
      <c r="A41" s="44">
        <v>2005</v>
      </c>
      <c r="B41" s="45" t="s">
        <v>66</v>
      </c>
      <c r="C41" s="45" t="s">
        <v>4</v>
      </c>
      <c r="D41" s="45" t="s">
        <v>6</v>
      </c>
      <c r="E41" s="45" t="s">
        <v>67</v>
      </c>
      <c r="F41" s="45" t="s">
        <v>67</v>
      </c>
      <c r="G41" s="46">
        <v>7650000000</v>
      </c>
      <c r="H41" s="45" t="s">
        <v>68</v>
      </c>
      <c r="I41" s="47" t="str">
        <f t="shared" si="0"/>
        <v>Hong Kong-Offline</v>
      </c>
      <c r="J41" s="47" t="str">
        <f t="shared" si="1"/>
        <v/>
      </c>
      <c r="K41" s="47"/>
      <c r="L41" s="41"/>
      <c r="M41" s="35"/>
      <c r="N41" s="35"/>
      <c r="O41" s="35" t="str">
        <f ca="1">IFERROR(__xludf.DUMMYFUNCTION("""COMPUTED_VALUE"""),"Ukraine")</f>
        <v>Ukraine</v>
      </c>
      <c r="P41" s="42">
        <f t="shared" ref="P41:AL41" ca="1" si="41">SUMIFS($G$2:$G$2794,$D$2:$D$2794,$O$2:$O$41,$E$2:$E$2794,$M$8,$A$2:$A$2794,P$1)</f>
        <v>2340000000</v>
      </c>
      <c r="Q41" s="42">
        <f t="shared" ca="1" si="41"/>
        <v>2920000000</v>
      </c>
      <c r="R41" s="42">
        <f t="shared" ca="1" si="41"/>
        <v>3880000000</v>
      </c>
      <c r="S41" s="42">
        <f t="shared" ca="1" si="41"/>
        <v>4690000000</v>
      </c>
      <c r="T41" s="43">
        <f t="shared" ca="1" si="41"/>
        <v>3032952674</v>
      </c>
      <c r="U41" s="43">
        <f t="shared" ca="1" si="41"/>
        <v>3188267735</v>
      </c>
      <c r="V41" s="43">
        <f t="shared" ca="1" si="41"/>
        <v>3674508223</v>
      </c>
      <c r="W41" s="43">
        <f t="shared" ca="1" si="41"/>
        <v>3421264653</v>
      </c>
      <c r="X41" s="43">
        <f t="shared" ca="1" si="41"/>
        <v>3812708033</v>
      </c>
      <c r="Y41" s="43">
        <f t="shared" ca="1" si="41"/>
        <v>2829227526</v>
      </c>
      <c r="Z41" s="43">
        <f t="shared" ca="1" si="41"/>
        <v>1799455755</v>
      </c>
      <c r="AA41" s="43">
        <f t="shared" ca="1" si="41"/>
        <v>1738137447</v>
      </c>
      <c r="AB41" s="43">
        <f t="shared" ca="1" si="41"/>
        <v>1710307506</v>
      </c>
      <c r="AC41" s="43">
        <f t="shared" ca="1" si="41"/>
        <v>1652123450</v>
      </c>
      <c r="AD41" s="43">
        <f t="shared" ca="1" si="41"/>
        <v>1679201182</v>
      </c>
      <c r="AE41" s="43">
        <f t="shared" ca="1" si="41"/>
        <v>802707917</v>
      </c>
      <c r="AF41" s="43">
        <f t="shared" ca="1" si="41"/>
        <v>839885852</v>
      </c>
      <c r="AG41" s="43">
        <f t="shared" ca="1" si="41"/>
        <v>0</v>
      </c>
      <c r="AH41" s="43">
        <f t="shared" ca="1" si="41"/>
        <v>0</v>
      </c>
      <c r="AI41" s="43">
        <f t="shared" ca="1" si="41"/>
        <v>0</v>
      </c>
      <c r="AJ41" s="43">
        <f t="shared" ca="1" si="41"/>
        <v>0</v>
      </c>
      <c r="AK41" s="43">
        <f t="shared" ca="1" si="41"/>
        <v>0</v>
      </c>
      <c r="AL41" s="43">
        <f t="shared" ca="1" si="41"/>
        <v>0</v>
      </c>
      <c r="AM41" s="43"/>
      <c r="AN41" s="43"/>
      <c r="AO41" s="43"/>
      <c r="AP41" s="43"/>
    </row>
    <row r="42" spans="1:42" ht="17.25" customHeight="1" x14ac:dyDescent="0.25">
      <c r="A42" s="37">
        <v>2005</v>
      </c>
      <c r="B42" s="38" t="s">
        <v>66</v>
      </c>
      <c r="C42" s="38" t="s">
        <v>4</v>
      </c>
      <c r="D42" s="38" t="s">
        <v>6</v>
      </c>
      <c r="E42" s="38" t="s">
        <v>69</v>
      </c>
      <c r="F42" s="38" t="s">
        <v>70</v>
      </c>
      <c r="G42" s="39">
        <v>141000000</v>
      </c>
      <c r="H42" s="38" t="s">
        <v>68</v>
      </c>
      <c r="I42" s="40" t="str">
        <f t="shared" si="0"/>
        <v>Hong Kong-Online Supplier-Direct</v>
      </c>
      <c r="J42" s="40" t="str">
        <f t="shared" si="1"/>
        <v/>
      </c>
      <c r="K42" s="40"/>
      <c r="L42" s="41"/>
      <c r="M42" s="35"/>
      <c r="N42" s="35"/>
      <c r="O42" s="35"/>
      <c r="P42" s="35"/>
      <c r="Q42" s="35"/>
      <c r="R42" s="35"/>
      <c r="S42" s="49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</row>
    <row r="43" spans="1:42" ht="17.25" customHeight="1" x14ac:dyDescent="0.25">
      <c r="A43" s="44">
        <v>2005</v>
      </c>
      <c r="B43" s="45" t="s">
        <v>66</v>
      </c>
      <c r="C43" s="45" t="s">
        <v>4</v>
      </c>
      <c r="D43" s="45" t="s">
        <v>6</v>
      </c>
      <c r="E43" s="45" t="s">
        <v>69</v>
      </c>
      <c r="F43" s="45" t="s">
        <v>71</v>
      </c>
      <c r="G43" s="46">
        <v>141000000</v>
      </c>
      <c r="H43" s="45" t="s">
        <v>68</v>
      </c>
      <c r="I43" s="47" t="str">
        <f t="shared" si="0"/>
        <v>Hong Kong-OTA</v>
      </c>
      <c r="J43" s="47" t="str">
        <f t="shared" si="1"/>
        <v/>
      </c>
      <c r="K43" s="47"/>
      <c r="L43" s="41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</row>
    <row r="44" spans="1:42" ht="17.25" customHeight="1" x14ac:dyDescent="0.25">
      <c r="A44" s="37">
        <v>2005</v>
      </c>
      <c r="B44" s="38" t="s">
        <v>66</v>
      </c>
      <c r="C44" s="38" t="s">
        <v>17</v>
      </c>
      <c r="D44" s="38" t="s">
        <v>20</v>
      </c>
      <c r="E44" s="38" t="s">
        <v>67</v>
      </c>
      <c r="F44" s="38" t="s">
        <v>67</v>
      </c>
      <c r="G44" s="39">
        <v>1880000000</v>
      </c>
      <c r="H44" s="38" t="s">
        <v>68</v>
      </c>
      <c r="I44" s="40" t="str">
        <f t="shared" si="0"/>
        <v>Hungary-Offline</v>
      </c>
      <c r="J44" s="40" t="str">
        <f t="shared" si="1"/>
        <v/>
      </c>
      <c r="K44" s="40"/>
      <c r="L44" s="41"/>
      <c r="M44" s="35"/>
      <c r="N44" s="35"/>
      <c r="O44" s="36" t="str">
        <f t="shared" ref="O44:AL44" si="42">O1</f>
        <v>Countries</v>
      </c>
      <c r="P44" s="36">
        <f t="shared" si="42"/>
        <v>2005</v>
      </c>
      <c r="Q44" s="36">
        <f t="shared" si="42"/>
        <v>2006</v>
      </c>
      <c r="R44" s="36">
        <f t="shared" si="42"/>
        <v>2007</v>
      </c>
      <c r="S44" s="36">
        <f t="shared" si="42"/>
        <v>2008</v>
      </c>
      <c r="T44" s="36">
        <f t="shared" si="42"/>
        <v>2009</v>
      </c>
      <c r="U44" s="36">
        <f t="shared" si="42"/>
        <v>2010</v>
      </c>
      <c r="V44" s="36">
        <f t="shared" si="42"/>
        <v>2011</v>
      </c>
      <c r="W44" s="36">
        <f t="shared" si="42"/>
        <v>2012</v>
      </c>
      <c r="X44" s="36">
        <f t="shared" si="42"/>
        <v>2013</v>
      </c>
      <c r="Y44" s="36">
        <f t="shared" si="42"/>
        <v>2014</v>
      </c>
      <c r="Z44" s="36">
        <f t="shared" si="42"/>
        <v>2015</v>
      </c>
      <c r="AA44" s="36">
        <f t="shared" si="42"/>
        <v>2016</v>
      </c>
      <c r="AB44" s="36">
        <f t="shared" si="42"/>
        <v>2017</v>
      </c>
      <c r="AC44" s="36">
        <f t="shared" si="42"/>
        <v>2018</v>
      </c>
      <c r="AD44" s="36">
        <f t="shared" si="42"/>
        <v>2019</v>
      </c>
      <c r="AE44" s="36">
        <f t="shared" si="42"/>
        <v>2020</v>
      </c>
      <c r="AF44" s="36">
        <f t="shared" si="42"/>
        <v>2021</v>
      </c>
      <c r="AG44" s="36">
        <f t="shared" si="42"/>
        <v>2022</v>
      </c>
      <c r="AH44" s="36">
        <f t="shared" si="42"/>
        <v>2023</v>
      </c>
      <c r="AI44" s="36">
        <f t="shared" si="42"/>
        <v>2024</v>
      </c>
      <c r="AJ44" s="36">
        <f t="shared" si="42"/>
        <v>2025</v>
      </c>
      <c r="AK44" s="36">
        <f t="shared" si="42"/>
        <v>2026</v>
      </c>
      <c r="AL44" s="36">
        <f t="shared" si="42"/>
        <v>2027</v>
      </c>
      <c r="AM44" s="36"/>
      <c r="AN44" s="36" t="str">
        <f t="shared" ref="AN44:AP44" si="43">AN1</f>
        <v>Total</v>
      </c>
      <c r="AO44" s="36" t="str">
        <f t="shared" si="43"/>
        <v>2011-2019</v>
      </c>
      <c r="AP44" s="36" t="str">
        <f t="shared" si="43"/>
        <v>2010/2009</v>
      </c>
    </row>
    <row r="45" spans="1:42" ht="17.25" customHeight="1" x14ac:dyDescent="0.25">
      <c r="A45" s="44">
        <v>2005</v>
      </c>
      <c r="B45" s="45" t="s">
        <v>66</v>
      </c>
      <c r="C45" s="45" t="s">
        <v>17</v>
      </c>
      <c r="D45" s="45" t="s">
        <v>20</v>
      </c>
      <c r="E45" s="45" t="s">
        <v>69</v>
      </c>
      <c r="F45" s="45" t="s">
        <v>70</v>
      </c>
      <c r="G45" s="46">
        <v>80744581</v>
      </c>
      <c r="H45" s="45" t="s">
        <v>68</v>
      </c>
      <c r="I45" s="47" t="str">
        <f t="shared" si="0"/>
        <v>Hungary-Online Supplier-Direct</v>
      </c>
      <c r="J45" s="47" t="str">
        <f t="shared" si="1"/>
        <v/>
      </c>
      <c r="K45" s="47"/>
      <c r="L45" s="41"/>
      <c r="M45" s="35"/>
      <c r="N45" s="35"/>
      <c r="O45" s="35" t="str">
        <f t="shared" ref="O45:O84" ca="1" si="44">O2</f>
        <v>Argentina</v>
      </c>
      <c r="P45" s="50" t="str">
        <f t="shared" ref="P45:T45" ca="1" si="45">IFERROR(P2/O2-1,"")</f>
        <v/>
      </c>
      <c r="Q45" s="50">
        <f t="shared" ca="1" si="45"/>
        <v>0.16636197440584999</v>
      </c>
      <c r="R45" s="50">
        <f t="shared" ca="1" si="45"/>
        <v>0.23354231974921635</v>
      </c>
      <c r="S45" s="50">
        <f t="shared" ca="1" si="45"/>
        <v>0.2033036848792884</v>
      </c>
      <c r="T45" s="50">
        <f t="shared" ca="1" si="45"/>
        <v>-7.8901302534318929E-2</v>
      </c>
      <c r="U45" s="51">
        <f t="shared" ref="U45:AL45" ca="1" si="46">U2/T2-1</f>
        <v>2.0657329714490302E-2</v>
      </c>
      <c r="V45" s="51">
        <f t="shared" ca="1" si="46"/>
        <v>2.1543886119856914E-4</v>
      </c>
      <c r="W45" s="51">
        <f t="shared" ca="1" si="46"/>
        <v>-5.1673012226255421E-2</v>
      </c>
      <c r="X45" s="51">
        <f t="shared" ca="1" si="46"/>
        <v>-0.15257976676769014</v>
      </c>
      <c r="Y45" s="51">
        <f t="shared" ca="1" si="46"/>
        <v>-0.31315132289075753</v>
      </c>
      <c r="Z45" s="51">
        <f t="shared" ca="1" si="46"/>
        <v>-0.11390036647112234</v>
      </c>
      <c r="AA45" s="51">
        <f t="shared" ca="1" si="46"/>
        <v>-0.28699978885673094</v>
      </c>
      <c r="AB45" s="51">
        <f t="shared" ca="1" si="46"/>
        <v>-0.15612671472251094</v>
      </c>
      <c r="AC45" s="51">
        <f t="shared" ca="1" si="46"/>
        <v>0.17222418707700671</v>
      </c>
      <c r="AD45" s="51">
        <f t="shared" ca="1" si="46"/>
        <v>0.10047736288886</v>
      </c>
      <c r="AE45" s="51">
        <f t="shared" ca="1" si="46"/>
        <v>-0.68828342608970428</v>
      </c>
      <c r="AF45" s="51">
        <f t="shared" ca="1" si="46"/>
        <v>0.66117403921819662</v>
      </c>
      <c r="AG45" s="51">
        <f t="shared" ca="1" si="46"/>
        <v>1.2747120446833473</v>
      </c>
      <c r="AH45" s="51">
        <f t="shared" ca="1" si="46"/>
        <v>0.10765392099796456</v>
      </c>
      <c r="AI45" s="51">
        <f t="shared" ca="1" si="46"/>
        <v>-7.613713761662233E-2</v>
      </c>
      <c r="AJ45" s="51">
        <f t="shared" ca="1" si="46"/>
        <v>9.4848941927493602E-2</v>
      </c>
      <c r="AK45" s="51">
        <f t="shared" ca="1" si="46"/>
        <v>0.12153036215403934</v>
      </c>
      <c r="AL45" s="51">
        <f t="shared" ca="1" si="46"/>
        <v>0.15042918177812026</v>
      </c>
      <c r="AM45" s="51"/>
      <c r="AN45" s="51">
        <f t="shared" ref="AN45:AN84" ca="1" si="47">AVERAGE(U45:AL45)</f>
        <v>4.8059515203295745E-2</v>
      </c>
      <c r="AO45" s="51">
        <f t="shared" ref="AO45:AO84" ca="1" si="48">AVERAGE(V45:AD45)</f>
        <v>-8.9057109234222442E-2</v>
      </c>
      <c r="AP45" s="51">
        <f t="shared" ref="AP45:AP84" ca="1" si="49">U45</f>
        <v>2.0657329714490302E-2</v>
      </c>
    </row>
    <row r="46" spans="1:42" ht="17.25" customHeight="1" x14ac:dyDescent="0.25">
      <c r="A46" s="37">
        <v>2005</v>
      </c>
      <c r="B46" s="38" t="s">
        <v>66</v>
      </c>
      <c r="C46" s="38" t="s">
        <v>17</v>
      </c>
      <c r="D46" s="38" t="s">
        <v>20</v>
      </c>
      <c r="E46" s="38" t="s">
        <v>69</v>
      </c>
      <c r="F46" s="38" t="s">
        <v>71</v>
      </c>
      <c r="G46" s="39">
        <v>80744581</v>
      </c>
      <c r="H46" s="38" t="s">
        <v>68</v>
      </c>
      <c r="I46" s="40" t="str">
        <f t="shared" si="0"/>
        <v>Hungary-OTA</v>
      </c>
      <c r="J46" s="40" t="str">
        <f t="shared" si="1"/>
        <v/>
      </c>
      <c r="K46" s="40"/>
      <c r="L46" s="41"/>
      <c r="M46" s="35"/>
      <c r="N46" s="35"/>
      <c r="O46" s="35" t="str">
        <f t="shared" ca="1" si="44"/>
        <v>Australia-New Zealand</v>
      </c>
      <c r="P46" s="50" t="str">
        <f t="shared" ref="P46:T46" ca="1" si="50">IFERROR(P3/O3-1,"")</f>
        <v/>
      </c>
      <c r="Q46" s="50">
        <f t="shared" ca="1" si="50"/>
        <v>5.555555555555558E-2</v>
      </c>
      <c r="R46" s="50">
        <f t="shared" ca="1" si="50"/>
        <v>0.15037593984962405</v>
      </c>
      <c r="S46" s="50">
        <f t="shared" ca="1" si="50"/>
        <v>0.15032679738562083</v>
      </c>
      <c r="T46" s="50">
        <f t="shared" ca="1" si="50"/>
        <v>-0.11798116681818183</v>
      </c>
      <c r="U46" s="51">
        <f t="shared" ref="U46:AL46" ca="1" si="51">U3/T3-1</f>
        <v>0.20703509388010466</v>
      </c>
      <c r="V46" s="51">
        <f t="shared" ca="1" si="51"/>
        <v>0.19367097428122881</v>
      </c>
      <c r="W46" s="51">
        <f t="shared" ca="1" si="51"/>
        <v>1.0262150487959643E-2</v>
      </c>
      <c r="X46" s="51">
        <f t="shared" ca="1" si="51"/>
        <v>-9.4841814282961012E-2</v>
      </c>
      <c r="Y46" s="51">
        <f t="shared" ca="1" si="51"/>
        <v>-4.9078100108575384E-2</v>
      </c>
      <c r="Z46" s="51">
        <f t="shared" ca="1" si="51"/>
        <v>-0.1165026438128659</v>
      </c>
      <c r="AA46" s="51">
        <f t="shared" ca="1" si="51"/>
        <v>0.27230658042657829</v>
      </c>
      <c r="AB46" s="51">
        <f t="shared" ca="1" si="51"/>
        <v>-0.12686089314240445</v>
      </c>
      <c r="AC46" s="51">
        <f t="shared" ca="1" si="51"/>
        <v>2.0079288615959534E-4</v>
      </c>
      <c r="AD46" s="51">
        <f t="shared" ca="1" si="51"/>
        <v>-8.2141296880422932E-2</v>
      </c>
      <c r="AE46" s="51">
        <f t="shared" ca="1" si="51"/>
        <v>-0.59321308566902742</v>
      </c>
      <c r="AF46" s="51">
        <f t="shared" ca="1" si="51"/>
        <v>1.6942945887594707E-2</v>
      </c>
      <c r="AG46" s="51">
        <f t="shared" ca="1" si="51"/>
        <v>0.79829556285096803</v>
      </c>
      <c r="AH46" s="51">
        <f t="shared" ca="1" si="51"/>
        <v>0.16057365473665675</v>
      </c>
      <c r="AI46" s="51">
        <f t="shared" ca="1" si="51"/>
        <v>7.8639272466036303E-2</v>
      </c>
      <c r="AJ46" s="51">
        <f t="shared" ca="1" si="51"/>
        <v>5.3061554134157918E-2</v>
      </c>
      <c r="AK46" s="51">
        <f t="shared" ca="1" si="51"/>
        <v>5.2162066052607203E-2</v>
      </c>
      <c r="AL46" s="51">
        <f t="shared" ca="1" si="51"/>
        <v>4.7201615268103181E-2</v>
      </c>
      <c r="AM46" s="51"/>
      <c r="AN46" s="51">
        <f t="shared" ca="1" si="47"/>
        <v>4.5984134970105443E-2</v>
      </c>
      <c r="AO46" s="51">
        <f t="shared" ca="1" si="48"/>
        <v>7.7952776163296245E-4</v>
      </c>
      <c r="AP46" s="51">
        <f t="shared" ca="1" si="49"/>
        <v>0.20703509388010466</v>
      </c>
    </row>
    <row r="47" spans="1:42" ht="17.25" customHeight="1" x14ac:dyDescent="0.25">
      <c r="A47" s="44">
        <v>2005</v>
      </c>
      <c r="B47" s="45" t="s">
        <v>66</v>
      </c>
      <c r="C47" s="45" t="s">
        <v>4</v>
      </c>
      <c r="D47" s="45" t="s">
        <v>7</v>
      </c>
      <c r="E47" s="45" t="s">
        <v>67</v>
      </c>
      <c r="F47" s="45" t="s">
        <v>67</v>
      </c>
      <c r="G47" s="46">
        <v>8820000000</v>
      </c>
      <c r="H47" s="45" t="s">
        <v>68</v>
      </c>
      <c r="I47" s="47" t="str">
        <f t="shared" si="0"/>
        <v>India-Offline</v>
      </c>
      <c r="J47" s="47" t="str">
        <f t="shared" si="1"/>
        <v/>
      </c>
      <c r="K47" s="47"/>
      <c r="L47" s="41"/>
      <c r="M47" s="35"/>
      <c r="N47" s="35"/>
      <c r="O47" s="35" t="str">
        <f t="shared" ca="1" si="44"/>
        <v>Brazil</v>
      </c>
      <c r="P47" s="50" t="str">
        <f t="shared" ref="P47:T47" ca="1" si="52">IFERROR(P4/O4-1,"")</f>
        <v/>
      </c>
      <c r="Q47" s="50">
        <f t="shared" ca="1" si="52"/>
        <v>0.24019607843137258</v>
      </c>
      <c r="R47" s="50">
        <f t="shared" ca="1" si="52"/>
        <v>0.2569169960474309</v>
      </c>
      <c r="S47" s="50">
        <f t="shared" ca="1" si="52"/>
        <v>0.16352201257861632</v>
      </c>
      <c r="T47" s="50">
        <f t="shared" ca="1" si="52"/>
        <v>-1.7016887972972961E-2</v>
      </c>
      <c r="U47" s="51">
        <f t="shared" ref="U47:AL47" ca="1" si="53">U4/T4-1</f>
        <v>3.0249201324261676E-4</v>
      </c>
      <c r="V47" s="51">
        <f t="shared" ca="1" si="53"/>
        <v>-2.0986044515178937E-2</v>
      </c>
      <c r="W47" s="51">
        <f t="shared" ca="1" si="53"/>
        <v>-7.9749998795113464E-2</v>
      </c>
      <c r="X47" s="51">
        <f t="shared" ca="1" si="53"/>
        <v>-0.15521868827395513</v>
      </c>
      <c r="Y47" s="51">
        <f t="shared" ca="1" si="53"/>
        <v>-0.25204627768139476</v>
      </c>
      <c r="Z47" s="51">
        <f t="shared" ca="1" si="53"/>
        <v>-0.37862760078395252</v>
      </c>
      <c r="AA47" s="51">
        <f t="shared" ca="1" si="53"/>
        <v>-0.11543986040092147</v>
      </c>
      <c r="AB47" s="51">
        <f t="shared" ca="1" si="53"/>
        <v>3.8789545099540801E-2</v>
      </c>
      <c r="AC47" s="51">
        <f t="shared" ca="1" si="53"/>
        <v>-9.4641189407983162E-2</v>
      </c>
      <c r="AD47" s="51">
        <f t="shared" ca="1" si="53"/>
        <v>1.870948802011374E-2</v>
      </c>
      <c r="AE47" s="51">
        <f t="shared" ca="1" si="53"/>
        <v>-0.64335232770048401</v>
      </c>
      <c r="AF47" s="51">
        <f t="shared" ca="1" si="53"/>
        <v>0.32508751604900277</v>
      </c>
      <c r="AG47" s="51">
        <f t="shared" ca="1" si="53"/>
        <v>0.58007249981847053</v>
      </c>
      <c r="AH47" s="51">
        <f t="shared" ca="1" si="53"/>
        <v>0.37158831842873652</v>
      </c>
      <c r="AI47" s="51">
        <f t="shared" ca="1" si="53"/>
        <v>4.2750485641946279E-2</v>
      </c>
      <c r="AJ47" s="51">
        <f t="shared" ca="1" si="53"/>
        <v>7.7444156694573163E-2</v>
      </c>
      <c r="AK47" s="51">
        <f t="shared" ca="1" si="53"/>
        <v>6.252267822172497E-2</v>
      </c>
      <c r="AL47" s="51">
        <f t="shared" ca="1" si="53"/>
        <v>6.4963864760224643E-2</v>
      </c>
      <c r="AM47" s="51"/>
      <c r="AN47" s="51">
        <f t="shared" ca="1" si="47"/>
        <v>-8.7683857117448506E-3</v>
      </c>
      <c r="AO47" s="51">
        <f t="shared" ca="1" si="48"/>
        <v>-0.1154678474154272</v>
      </c>
      <c r="AP47" s="51">
        <f t="shared" ca="1" si="49"/>
        <v>3.0249201324261676E-4</v>
      </c>
    </row>
    <row r="48" spans="1:42" ht="17.25" customHeight="1" x14ac:dyDescent="0.25">
      <c r="A48" s="37">
        <v>2005</v>
      </c>
      <c r="B48" s="38" t="s">
        <v>66</v>
      </c>
      <c r="C48" s="38" t="s">
        <v>4</v>
      </c>
      <c r="D48" s="38" t="s">
        <v>7</v>
      </c>
      <c r="E48" s="38" t="s">
        <v>69</v>
      </c>
      <c r="F48" s="38" t="s">
        <v>70</v>
      </c>
      <c r="G48" s="39">
        <v>687000000</v>
      </c>
      <c r="H48" s="38" t="s">
        <v>68</v>
      </c>
      <c r="I48" s="40" t="str">
        <f t="shared" si="0"/>
        <v>India-Online Supplier-Direct</v>
      </c>
      <c r="J48" s="40" t="str">
        <f t="shared" si="1"/>
        <v/>
      </c>
      <c r="K48" s="40"/>
      <c r="L48" s="41"/>
      <c r="M48" s="35"/>
      <c r="N48" s="35"/>
      <c r="O48" s="35" t="str">
        <f t="shared" ca="1" si="44"/>
        <v>Bulgaria</v>
      </c>
      <c r="P48" s="50" t="str">
        <f t="shared" ref="P48:T48" ca="1" si="54">IFERROR(P5/O5-1,"")</f>
        <v/>
      </c>
      <c r="Q48" s="50">
        <f t="shared" ca="1" si="54"/>
        <v>0.14842767295597481</v>
      </c>
      <c r="R48" s="50">
        <f t="shared" ca="1" si="54"/>
        <v>0.29244249726177429</v>
      </c>
      <c r="S48" s="50">
        <f t="shared" ca="1" si="54"/>
        <v>0.16949152542372881</v>
      </c>
      <c r="T48" s="50">
        <f t="shared" ca="1" si="54"/>
        <v>-4.4681131159420295E-2</v>
      </c>
      <c r="U48" s="51">
        <f t="shared" ref="U48:AL48" ca="1" si="55">U5/T5-1</f>
        <v>-6.8526516928459902E-2</v>
      </c>
      <c r="V48" s="51">
        <f t="shared" ca="1" si="55"/>
        <v>2.6530311200925194E-3</v>
      </c>
      <c r="W48" s="51">
        <f t="shared" ca="1" si="55"/>
        <v>2.4578016775830713E-2</v>
      </c>
      <c r="X48" s="51">
        <f t="shared" ca="1" si="55"/>
        <v>-7.0812722211604728E-2</v>
      </c>
      <c r="Y48" s="51">
        <f t="shared" ca="1" si="55"/>
        <v>-5.7429169969837046E-2</v>
      </c>
      <c r="Z48" s="51">
        <f t="shared" ca="1" si="55"/>
        <v>-0.20409510875108372</v>
      </c>
      <c r="AA48" s="51">
        <f t="shared" ca="1" si="55"/>
        <v>8.0920872868639471E-2</v>
      </c>
      <c r="AB48" s="51">
        <f t="shared" ca="1" si="55"/>
        <v>9.1158255647839415E-2</v>
      </c>
      <c r="AC48" s="51">
        <f t="shared" ca="1" si="55"/>
        <v>-0.1776674179561456</v>
      </c>
      <c r="AD48" s="51">
        <f t="shared" ca="1" si="55"/>
        <v>-2.8014358828331587E-2</v>
      </c>
      <c r="AE48" s="51">
        <f t="shared" ca="1" si="55"/>
        <v>-0.64614458920849227</v>
      </c>
      <c r="AF48" s="51">
        <f t="shared" ca="1" si="55"/>
        <v>0.32600397818928895</v>
      </c>
      <c r="AG48" s="51">
        <f t="shared" ca="1" si="55"/>
        <v>0.55668550380007797</v>
      </c>
      <c r="AH48" s="51">
        <f t="shared" ca="1" si="55"/>
        <v>0.19636931536552016</v>
      </c>
      <c r="AI48" s="51">
        <f t="shared" ca="1" si="55"/>
        <v>0.13597132452997696</v>
      </c>
      <c r="AJ48" s="51">
        <f t="shared" ca="1" si="55"/>
        <v>8.7681825690977044E-2</v>
      </c>
      <c r="AK48" s="51">
        <f t="shared" ca="1" si="55"/>
        <v>9.7361757733093635E-2</v>
      </c>
      <c r="AL48" s="51">
        <f t="shared" ca="1" si="55"/>
        <v>6.8523742996612791E-2</v>
      </c>
      <c r="AM48" s="51"/>
      <c r="AN48" s="51">
        <f t="shared" ca="1" si="47"/>
        <v>2.3067652270221933E-2</v>
      </c>
      <c r="AO48" s="51">
        <f t="shared" ca="1" si="48"/>
        <v>-3.7634289033844505E-2</v>
      </c>
      <c r="AP48" s="51">
        <f t="shared" ca="1" si="49"/>
        <v>-6.8526516928459902E-2</v>
      </c>
    </row>
    <row r="49" spans="1:42" ht="17.25" customHeight="1" x14ac:dyDescent="0.25">
      <c r="A49" s="44">
        <v>2005</v>
      </c>
      <c r="B49" s="45" t="s">
        <v>66</v>
      </c>
      <c r="C49" s="45" t="s">
        <v>4</v>
      </c>
      <c r="D49" s="45" t="s">
        <v>7</v>
      </c>
      <c r="E49" s="45" t="s">
        <v>69</v>
      </c>
      <c r="F49" s="45" t="s">
        <v>71</v>
      </c>
      <c r="G49" s="46">
        <v>687000000</v>
      </c>
      <c r="H49" s="45" t="s">
        <v>68</v>
      </c>
      <c r="I49" s="47" t="str">
        <f t="shared" si="0"/>
        <v>India-OTA</v>
      </c>
      <c r="J49" s="47" t="str">
        <f t="shared" si="1"/>
        <v/>
      </c>
      <c r="K49" s="47"/>
      <c r="L49" s="41"/>
      <c r="M49" s="35"/>
      <c r="N49" s="35"/>
      <c r="O49" s="35" t="str">
        <f t="shared" ca="1" si="44"/>
        <v>Canada</v>
      </c>
      <c r="P49" s="50" t="str">
        <f t="shared" ref="P49:T49" ca="1" si="56">IFERROR(P6/O6-1,"")</f>
        <v/>
      </c>
      <c r="Q49" s="50">
        <f t="shared" ca="1" si="56"/>
        <v>0.11940298507462677</v>
      </c>
      <c r="R49" s="50">
        <f t="shared" ca="1" si="56"/>
        <v>0.10666666666666669</v>
      </c>
      <c r="S49" s="50">
        <f t="shared" ca="1" si="56"/>
        <v>1.2048192771084265E-2</v>
      </c>
      <c r="T49" s="50">
        <f t="shared" ca="1" si="56"/>
        <v>-0.11365102720238096</v>
      </c>
      <c r="U49" s="51">
        <f t="shared" ref="U49:AL49" ca="1" si="57">U6/T6-1</f>
        <v>0.20933641771353351</v>
      </c>
      <c r="V49" s="51">
        <f t="shared" ca="1" si="57"/>
        <v>0.18152309151548796</v>
      </c>
      <c r="W49" s="51">
        <f t="shared" ca="1" si="57"/>
        <v>0.11268044275881062</v>
      </c>
      <c r="X49" s="51">
        <f t="shared" ca="1" si="57"/>
        <v>-4.5292138710611218E-2</v>
      </c>
      <c r="Y49" s="51">
        <f t="shared" ca="1" si="57"/>
        <v>-4.6042386179950601E-2</v>
      </c>
      <c r="Z49" s="51">
        <f t="shared" ca="1" si="57"/>
        <v>-0.12395049297233174</v>
      </c>
      <c r="AA49" s="51">
        <f t="shared" ca="1" si="57"/>
        <v>6.4672356056425517E-3</v>
      </c>
      <c r="AB49" s="51">
        <f t="shared" ca="1" si="57"/>
        <v>5.6690869525387599E-2</v>
      </c>
      <c r="AC49" s="51">
        <f t="shared" ca="1" si="57"/>
        <v>-0.49137787890629003</v>
      </c>
      <c r="AD49" s="51">
        <f t="shared" ca="1" si="57"/>
        <v>-0.11155142071946034</v>
      </c>
      <c r="AE49" s="51">
        <f t="shared" ca="1" si="57"/>
        <v>-0.74742477434188115</v>
      </c>
      <c r="AF49" s="51">
        <f t="shared" ca="1" si="57"/>
        <v>-0.39755030149936077</v>
      </c>
      <c r="AG49" s="51">
        <f t="shared" ca="1" si="57"/>
        <v>2.4619362317066158</v>
      </c>
      <c r="AH49" s="51">
        <f t="shared" ca="1" si="57"/>
        <v>0.39772607460728682</v>
      </c>
      <c r="AI49" s="51">
        <f t="shared" ca="1" si="57"/>
        <v>0.11929437537053778</v>
      </c>
      <c r="AJ49" s="51">
        <f t="shared" ca="1" si="57"/>
        <v>2.7108895919297105E-2</v>
      </c>
      <c r="AK49" s="51">
        <f t="shared" ca="1" si="57"/>
        <v>3.4715730035101977E-2</v>
      </c>
      <c r="AL49" s="51">
        <f t="shared" ca="1" si="57"/>
        <v>3.1492469159256853E-2</v>
      </c>
      <c r="AM49" s="51"/>
      <c r="AN49" s="51">
        <f t="shared" ca="1" si="47"/>
        <v>9.3099024477059589E-2</v>
      </c>
      <c r="AO49" s="51">
        <f t="shared" ca="1" si="48"/>
        <v>-5.1205853120368357E-2</v>
      </c>
      <c r="AP49" s="51">
        <f t="shared" ca="1" si="49"/>
        <v>0.20933641771353351</v>
      </c>
    </row>
    <row r="50" spans="1:42" ht="17.25" customHeight="1" x14ac:dyDescent="0.25">
      <c r="A50" s="37">
        <v>2005</v>
      </c>
      <c r="B50" s="38" t="s">
        <v>66</v>
      </c>
      <c r="C50" s="38" t="s">
        <v>4</v>
      </c>
      <c r="D50" s="38" t="s">
        <v>8</v>
      </c>
      <c r="E50" s="38" t="s">
        <v>67</v>
      </c>
      <c r="F50" s="38" t="s">
        <v>67</v>
      </c>
      <c r="G50" s="39">
        <v>2690000000</v>
      </c>
      <c r="H50" s="38" t="s">
        <v>68</v>
      </c>
      <c r="I50" s="40" t="str">
        <f t="shared" si="0"/>
        <v>Indonesia-Offline</v>
      </c>
      <c r="J50" s="40" t="str">
        <f t="shared" si="1"/>
        <v/>
      </c>
      <c r="K50" s="40"/>
      <c r="L50" s="41"/>
      <c r="M50" s="35"/>
      <c r="N50" s="35"/>
      <c r="O50" s="35" t="str">
        <f t="shared" ca="1" si="44"/>
        <v>Chile</v>
      </c>
      <c r="P50" s="50" t="str">
        <f t="shared" ref="P50:T50" ca="1" si="58">IFERROR(P7/O7-1,"")</f>
        <v/>
      </c>
      <c r="Q50" s="50">
        <f t="shared" ca="1" si="58"/>
        <v>0.25352112676056349</v>
      </c>
      <c r="R50" s="50">
        <f t="shared" ca="1" si="58"/>
        <v>0.1179775280898876</v>
      </c>
      <c r="S50" s="50">
        <f t="shared" ca="1" si="58"/>
        <v>0</v>
      </c>
      <c r="T50" s="50">
        <f t="shared" ca="1" si="58"/>
        <v>-4.5323570603015062E-2</v>
      </c>
      <c r="U50" s="51">
        <f t="shared" ref="U50:AL50" ca="1" si="59">U7/T7-1</f>
        <v>2.2618209629077457E-2</v>
      </c>
      <c r="V50" s="51">
        <f t="shared" ca="1" si="59"/>
        <v>1.2011968344433743E-2</v>
      </c>
      <c r="W50" s="51">
        <f t="shared" ca="1" si="59"/>
        <v>-1.5338585536534555E-2</v>
      </c>
      <c r="X50" s="51">
        <f t="shared" ca="1" si="59"/>
        <v>-1.0804163201513006E-2</v>
      </c>
      <c r="Y50" s="51">
        <f t="shared" ca="1" si="59"/>
        <v>-0.10635103715023098</v>
      </c>
      <c r="Z50" s="51">
        <f t="shared" ca="1" si="59"/>
        <v>-9.3618247249016795E-2</v>
      </c>
      <c r="AA50" s="51">
        <f t="shared" ca="1" si="59"/>
        <v>3.8689458987977154E-3</v>
      </c>
      <c r="AB50" s="51">
        <f t="shared" ca="1" si="59"/>
        <v>9.9802406157232904E-2</v>
      </c>
      <c r="AC50" s="51">
        <f t="shared" ca="1" si="59"/>
        <v>-0.10971858717113936</v>
      </c>
      <c r="AD50" s="51">
        <f t="shared" ca="1" si="59"/>
        <v>-9.7374125903910036E-2</v>
      </c>
      <c r="AE50" s="51">
        <f t="shared" ca="1" si="59"/>
        <v>-0.51333123103944223</v>
      </c>
      <c r="AF50" s="51">
        <f t="shared" ca="1" si="59"/>
        <v>9.7230671911608946E-2</v>
      </c>
      <c r="AG50" s="51">
        <f t="shared" ca="1" si="59"/>
        <v>0.18045343511446954</v>
      </c>
      <c r="AH50" s="51">
        <f t="shared" ca="1" si="59"/>
        <v>5.6113087922818661E-2</v>
      </c>
      <c r="AI50" s="51">
        <f t="shared" ca="1" si="59"/>
        <v>3.7100816111407031E-2</v>
      </c>
      <c r="AJ50" s="51">
        <f t="shared" ca="1" si="59"/>
        <v>8.1253502026062963E-2</v>
      </c>
      <c r="AK50" s="51">
        <f t="shared" ca="1" si="59"/>
        <v>8.6922149522803194E-2</v>
      </c>
      <c r="AL50" s="51">
        <f t="shared" ca="1" si="59"/>
        <v>7.3553229138530796E-2</v>
      </c>
      <c r="AM50" s="51"/>
      <c r="AN50" s="51">
        <f t="shared" ca="1" si="47"/>
        <v>-1.0867086415252445E-2</v>
      </c>
      <c r="AO50" s="51">
        <f t="shared" ca="1" si="48"/>
        <v>-3.5280158423542263E-2</v>
      </c>
      <c r="AP50" s="51">
        <f t="shared" ca="1" si="49"/>
        <v>2.2618209629077457E-2</v>
      </c>
    </row>
    <row r="51" spans="1:42" ht="17.25" customHeight="1" x14ac:dyDescent="0.25">
      <c r="A51" s="44">
        <v>2005</v>
      </c>
      <c r="B51" s="45" t="s">
        <v>66</v>
      </c>
      <c r="C51" s="45" t="s">
        <v>4</v>
      </c>
      <c r="D51" s="45" t="s">
        <v>8</v>
      </c>
      <c r="E51" s="45" t="s">
        <v>69</v>
      </c>
      <c r="F51" s="45" t="s">
        <v>70</v>
      </c>
      <c r="G51" s="46">
        <v>12222542</v>
      </c>
      <c r="H51" s="45" t="s">
        <v>68</v>
      </c>
      <c r="I51" s="47" t="str">
        <f t="shared" si="0"/>
        <v>Indonesia-Online Supplier-Direct</v>
      </c>
      <c r="J51" s="47" t="str">
        <f t="shared" si="1"/>
        <v/>
      </c>
      <c r="K51" s="47"/>
      <c r="L51" s="41"/>
      <c r="M51" s="35"/>
      <c r="N51" s="35"/>
      <c r="O51" s="35" t="str">
        <f t="shared" ca="1" si="44"/>
        <v>China</v>
      </c>
      <c r="P51" s="50" t="str">
        <f t="shared" ref="P51:T51" ca="1" si="60">IFERROR(P8/O8-1,"")</f>
        <v/>
      </c>
      <c r="Q51" s="50">
        <f t="shared" ca="1" si="60"/>
        <v>0.19780219780219777</v>
      </c>
      <c r="R51" s="50">
        <f t="shared" ca="1" si="60"/>
        <v>0.28746177370030579</v>
      </c>
      <c r="S51" s="50">
        <f t="shared" ca="1" si="60"/>
        <v>0.23752969121140133</v>
      </c>
      <c r="T51" s="50">
        <f t="shared" ca="1" si="60"/>
        <v>0.11134157046065263</v>
      </c>
      <c r="U51" s="51">
        <f t="shared" ref="U51:AL51" ca="1" si="61">U8/T8-1</f>
        <v>0.20370879147472731</v>
      </c>
      <c r="V51" s="51">
        <f t="shared" ca="1" si="61"/>
        <v>0.16520623006429669</v>
      </c>
      <c r="W51" s="51">
        <f t="shared" ca="1" si="61"/>
        <v>0.1525996485466814</v>
      </c>
      <c r="X51" s="51">
        <f t="shared" ca="1" si="61"/>
        <v>4.7024640354965674E-2</v>
      </c>
      <c r="Y51" s="51">
        <f t="shared" ca="1" si="61"/>
        <v>1.8299895010269962E-2</v>
      </c>
      <c r="Z51" s="51">
        <f t="shared" ca="1" si="61"/>
        <v>-2.6247857426821009E-2</v>
      </c>
      <c r="AA51" s="51">
        <f t="shared" ca="1" si="61"/>
        <v>-0.10240088887959542</v>
      </c>
      <c r="AB51" s="51">
        <f t="shared" ca="1" si="61"/>
        <v>-3.8762093109616758E-2</v>
      </c>
      <c r="AC51" s="51">
        <f t="shared" ca="1" si="61"/>
        <v>1.9751486492498582E-2</v>
      </c>
      <c r="AD51" s="51">
        <f t="shared" ca="1" si="61"/>
        <v>-8.2463654412236576E-2</v>
      </c>
      <c r="AE51" s="51">
        <f t="shared" ca="1" si="61"/>
        <v>-0.43728849460539609</v>
      </c>
      <c r="AF51" s="51">
        <f t="shared" ca="1" si="61"/>
        <v>-8.9156798599158149E-2</v>
      </c>
      <c r="AG51" s="51">
        <f t="shared" ca="1" si="61"/>
        <v>-0.27852595742831843</v>
      </c>
      <c r="AH51" s="51">
        <f t="shared" ca="1" si="61"/>
        <v>0.43630278608190509</v>
      </c>
      <c r="AI51" s="51">
        <f t="shared" ca="1" si="61"/>
        <v>0.11369195958979605</v>
      </c>
      <c r="AJ51" s="51">
        <f t="shared" ca="1" si="61"/>
        <v>1.1733569991662307E-2</v>
      </c>
      <c r="AK51" s="51">
        <f t="shared" ca="1" si="61"/>
        <v>-2.76446346525685E-2</v>
      </c>
      <c r="AL51" s="51">
        <f t="shared" ca="1" si="61"/>
        <v>-2.4894675309031333E-2</v>
      </c>
      <c r="AM51" s="51"/>
      <c r="AN51" s="51">
        <f t="shared" ca="1" si="47"/>
        <v>3.3852196213367113E-3</v>
      </c>
      <c r="AO51" s="51">
        <f t="shared" ca="1" si="48"/>
        <v>1.7000822960049171E-2</v>
      </c>
      <c r="AP51" s="51">
        <f t="shared" ca="1" si="49"/>
        <v>0.20370879147472731</v>
      </c>
    </row>
    <row r="52" spans="1:42" ht="17.25" customHeight="1" x14ac:dyDescent="0.25">
      <c r="A52" s="37">
        <v>2005</v>
      </c>
      <c r="B52" s="38" t="s">
        <v>66</v>
      </c>
      <c r="C52" s="38" t="s">
        <v>4</v>
      </c>
      <c r="D52" s="38" t="s">
        <v>8</v>
      </c>
      <c r="E52" s="38" t="s">
        <v>69</v>
      </c>
      <c r="F52" s="38" t="s">
        <v>71</v>
      </c>
      <c r="G52" s="39">
        <v>12222542</v>
      </c>
      <c r="H52" s="38" t="s">
        <v>68</v>
      </c>
      <c r="I52" s="40" t="str">
        <f t="shared" si="0"/>
        <v>Indonesia-OTA</v>
      </c>
      <c r="J52" s="40" t="str">
        <f t="shared" si="1"/>
        <v/>
      </c>
      <c r="K52" s="40"/>
      <c r="L52" s="41"/>
      <c r="M52" s="35"/>
      <c r="N52" s="35"/>
      <c r="O52" s="35" t="str">
        <f t="shared" ca="1" si="44"/>
        <v>Colombia</v>
      </c>
      <c r="P52" s="50" t="str">
        <f t="shared" ref="P52:T52" ca="1" si="62">IFERROR(P9/O9-1,"")</f>
        <v/>
      </c>
      <c r="Q52" s="50">
        <f t="shared" ca="1" si="62"/>
        <v>0.1095890410958904</v>
      </c>
      <c r="R52" s="50">
        <f t="shared" ca="1" si="62"/>
        <v>0.26984126984126977</v>
      </c>
      <c r="S52" s="50">
        <f t="shared" ca="1" si="62"/>
        <v>0.12638888888888888</v>
      </c>
      <c r="T52" s="50">
        <f t="shared" ca="1" si="62"/>
        <v>-4.1711816029593063E-2</v>
      </c>
      <c r="U52" s="51">
        <f t="shared" ref="U52:AL52" ca="1" si="63">U9/T9-1</f>
        <v>6.167460528889146E-2</v>
      </c>
      <c r="V52" s="51">
        <f t="shared" ca="1" si="63"/>
        <v>1.4898001106603331E-2</v>
      </c>
      <c r="W52" s="51">
        <f t="shared" ca="1" si="63"/>
        <v>2.4257572985117104E-2</v>
      </c>
      <c r="X52" s="51">
        <f t="shared" ca="1" si="63"/>
        <v>-4.0536716960877128E-2</v>
      </c>
      <c r="Y52" s="51">
        <f t="shared" ca="1" si="63"/>
        <v>-6.9217346869028362E-2</v>
      </c>
      <c r="Z52" s="51">
        <f t="shared" ca="1" si="63"/>
        <v>-0.26664997824575654</v>
      </c>
      <c r="AA52" s="51">
        <f t="shared" ca="1" si="63"/>
        <v>-8.3471011725335886E-2</v>
      </c>
      <c r="AB52" s="51">
        <f t="shared" ca="1" si="63"/>
        <v>4.339739965015954E-2</v>
      </c>
      <c r="AC52" s="51">
        <f t="shared" ca="1" si="63"/>
        <v>-3.4609914839144218E-2</v>
      </c>
      <c r="AD52" s="51">
        <f t="shared" ca="1" si="63"/>
        <v>5.1965721908215912E-3</v>
      </c>
      <c r="AE52" s="51">
        <f t="shared" ca="1" si="63"/>
        <v>-0.74595371414738665</v>
      </c>
      <c r="AF52" s="51">
        <f t="shared" ca="1" si="63"/>
        <v>0.51475917138816696</v>
      </c>
      <c r="AG52" s="51">
        <f t="shared" ca="1" si="63"/>
        <v>0.24533985464182484</v>
      </c>
      <c r="AH52" s="51">
        <f t="shared" ca="1" si="63"/>
        <v>0.32713902136487172</v>
      </c>
      <c r="AI52" s="51">
        <f t="shared" ca="1" si="63"/>
        <v>-6.1530319888533747E-2</v>
      </c>
      <c r="AJ52" s="51">
        <f t="shared" ca="1" si="63"/>
        <v>4.8183138603791198E-2</v>
      </c>
      <c r="AK52" s="51">
        <f t="shared" ca="1" si="63"/>
        <v>5.0146998641051654E-2</v>
      </c>
      <c r="AL52" s="51">
        <f t="shared" ca="1" si="63"/>
        <v>4.7025283212151825E-2</v>
      </c>
      <c r="AM52" s="51"/>
      <c r="AN52" s="51">
        <f t="shared" ca="1" si="47"/>
        <v>4.4471453554104888E-3</v>
      </c>
      <c r="AO52" s="51">
        <f t="shared" ca="1" si="48"/>
        <v>-4.5192824745271171E-2</v>
      </c>
      <c r="AP52" s="51">
        <f t="shared" ca="1" si="49"/>
        <v>6.167460528889146E-2</v>
      </c>
    </row>
    <row r="53" spans="1:42" ht="17.25" customHeight="1" x14ac:dyDescent="0.25">
      <c r="A53" s="44">
        <v>2005</v>
      </c>
      <c r="B53" s="45" t="s">
        <v>66</v>
      </c>
      <c r="C53" s="45" t="s">
        <v>27</v>
      </c>
      <c r="D53" s="45" t="s">
        <v>29</v>
      </c>
      <c r="E53" s="45" t="s">
        <v>67</v>
      </c>
      <c r="F53" s="45" t="s">
        <v>67</v>
      </c>
      <c r="G53" s="46">
        <v>18000000000</v>
      </c>
      <c r="H53" s="45" t="s">
        <v>68</v>
      </c>
      <c r="I53" s="47" t="str">
        <f t="shared" si="0"/>
        <v>Italy-Offline</v>
      </c>
      <c r="J53" s="47" t="str">
        <f t="shared" si="1"/>
        <v/>
      </c>
      <c r="K53" s="47"/>
      <c r="L53" s="41"/>
      <c r="M53" s="35"/>
      <c r="N53" s="35"/>
      <c r="O53" s="35" t="str">
        <f t="shared" ca="1" si="44"/>
        <v>Czech Republic</v>
      </c>
      <c r="P53" s="50" t="str">
        <f t="shared" ref="P53:T53" ca="1" si="64">IFERROR(P10/O10-1,"")</f>
        <v/>
      </c>
      <c r="Q53" s="50">
        <f t="shared" ca="1" si="64"/>
        <v>0.13440860215053774</v>
      </c>
      <c r="R53" s="50">
        <f t="shared" ca="1" si="64"/>
        <v>0.21327014218009488</v>
      </c>
      <c r="S53" s="50">
        <f t="shared" ca="1" si="64"/>
        <v>0.19140625</v>
      </c>
      <c r="T53" s="50">
        <f t="shared" ca="1" si="64"/>
        <v>-0.12348732229508197</v>
      </c>
      <c r="U53" s="51">
        <f t="shared" ref="U53:AL53" ca="1" si="65">U10/T10-1</f>
        <v>-7.9644772474571024E-2</v>
      </c>
      <c r="V53" s="51">
        <f t="shared" ca="1" si="65"/>
        <v>5.1967057269112882E-2</v>
      </c>
      <c r="W53" s="51">
        <f t="shared" ca="1" si="65"/>
        <v>-8.5931032353500081E-3</v>
      </c>
      <c r="X53" s="51">
        <f t="shared" ca="1" si="65"/>
        <v>-0.13876394173786943</v>
      </c>
      <c r="Y53" s="51">
        <f t="shared" ca="1" si="65"/>
        <v>7.4768678391012866E-3</v>
      </c>
      <c r="Z53" s="51">
        <f t="shared" ca="1" si="65"/>
        <v>-0.10638706630331995</v>
      </c>
      <c r="AA53" s="51">
        <f t="shared" ca="1" si="65"/>
        <v>2.7857055341276693E-2</v>
      </c>
      <c r="AB53" s="51">
        <f t="shared" ca="1" si="65"/>
        <v>-0.24287498549893083</v>
      </c>
      <c r="AC53" s="51">
        <f t="shared" ca="1" si="65"/>
        <v>0.16264814133673045</v>
      </c>
      <c r="AD53" s="51">
        <f t="shared" ca="1" si="65"/>
        <v>-6.2510224576145301E-2</v>
      </c>
      <c r="AE53" s="51">
        <f t="shared" ca="1" si="65"/>
        <v>-0.50927017179512601</v>
      </c>
      <c r="AF53" s="51">
        <f t="shared" ca="1" si="65"/>
        <v>-8.1737458173283706E-2</v>
      </c>
      <c r="AG53" s="51">
        <f t="shared" ca="1" si="65"/>
        <v>0.56648022047220881</v>
      </c>
      <c r="AH53" s="51">
        <f t="shared" ca="1" si="65"/>
        <v>0.18668212042599519</v>
      </c>
      <c r="AI53" s="51">
        <f t="shared" ca="1" si="65"/>
        <v>6.7144682021206492E-2</v>
      </c>
      <c r="AJ53" s="51">
        <f t="shared" ca="1" si="65"/>
        <v>6.1827933220904852E-2</v>
      </c>
      <c r="AK53" s="51">
        <f t="shared" ca="1" si="65"/>
        <v>4.0867278045232602E-2</v>
      </c>
      <c r="AL53" s="51">
        <f t="shared" ca="1" si="65"/>
        <v>5.2048637566427303E-2</v>
      </c>
      <c r="AM53" s="51"/>
      <c r="AN53" s="51">
        <f t="shared" ca="1" si="47"/>
        <v>-2.6565168091109551E-4</v>
      </c>
      <c r="AO53" s="51">
        <f t="shared" ca="1" si="48"/>
        <v>-3.4353355507266023E-2</v>
      </c>
      <c r="AP53" s="51">
        <f t="shared" ca="1" si="49"/>
        <v>-7.9644772474571024E-2</v>
      </c>
    </row>
    <row r="54" spans="1:42" ht="17.25" customHeight="1" x14ac:dyDescent="0.25">
      <c r="A54" s="37">
        <v>2005</v>
      </c>
      <c r="B54" s="38" t="s">
        <v>66</v>
      </c>
      <c r="C54" s="38" t="s">
        <v>27</v>
      </c>
      <c r="D54" s="38" t="s">
        <v>29</v>
      </c>
      <c r="E54" s="38" t="s">
        <v>69</v>
      </c>
      <c r="F54" s="38" t="s">
        <v>70</v>
      </c>
      <c r="G54" s="39">
        <v>2620000000</v>
      </c>
      <c r="H54" s="38" t="s">
        <v>68</v>
      </c>
      <c r="I54" s="40" t="str">
        <f t="shared" si="0"/>
        <v>Italy-Online Supplier-Direct</v>
      </c>
      <c r="J54" s="40" t="str">
        <f t="shared" si="1"/>
        <v/>
      </c>
      <c r="K54" s="40"/>
      <c r="L54" s="41"/>
      <c r="M54" s="35"/>
      <c r="N54" s="35"/>
      <c r="O54" s="35" t="str">
        <f t="shared" ca="1" si="44"/>
        <v>Egypt</v>
      </c>
      <c r="P54" s="50" t="str">
        <f t="shared" ref="P54:T54" ca="1" si="66">IFERROR(P11/O11-1,"")</f>
        <v/>
      </c>
      <c r="Q54" s="50">
        <f t="shared" ca="1" si="66"/>
        <v>0.19736842105263164</v>
      </c>
      <c r="R54" s="50">
        <f t="shared" ca="1" si="66"/>
        <v>0.20879120879120872</v>
      </c>
      <c r="S54" s="50">
        <f t="shared" ca="1" si="66"/>
        <v>0.1963636363636363</v>
      </c>
      <c r="T54" s="50">
        <f t="shared" ca="1" si="66"/>
        <v>0.16144635197568391</v>
      </c>
      <c r="U54" s="51">
        <f t="shared" ref="U54:AL54" ca="1" si="67">U11/T11-1</f>
        <v>2.1719659507303701E-2</v>
      </c>
      <c r="V54" s="51">
        <f t="shared" ca="1" si="67"/>
        <v>-0.25493871790187572</v>
      </c>
      <c r="W54" s="51">
        <f t="shared" ca="1" si="67"/>
        <v>0.13220607645799265</v>
      </c>
      <c r="X54" s="51">
        <f t="shared" ca="1" si="67"/>
        <v>2.4324013269227729E-2</v>
      </c>
      <c r="Y54" s="51">
        <f t="shared" ca="1" si="67"/>
        <v>1.8421741239095013E-2</v>
      </c>
      <c r="Z54" s="51">
        <f t="shared" ca="1" si="67"/>
        <v>-0.1738533631776743</v>
      </c>
      <c r="AA54" s="51">
        <f t="shared" ca="1" si="67"/>
        <v>-0.26293917786209731</v>
      </c>
      <c r="AB54" s="51">
        <f t="shared" ca="1" si="67"/>
        <v>-0.36326303006537553</v>
      </c>
      <c r="AC54" s="51">
        <f t="shared" ca="1" si="67"/>
        <v>0.11114149195264256</v>
      </c>
      <c r="AD54" s="51">
        <f t="shared" ca="1" si="67"/>
        <v>9.3448904341615346E-2</v>
      </c>
      <c r="AE54" s="51">
        <f t="shared" ca="1" si="67"/>
        <v>-0.51581884014195301</v>
      </c>
      <c r="AF54" s="51">
        <f t="shared" ca="1" si="67"/>
        <v>-0.1974937272889874</v>
      </c>
      <c r="AG54" s="51">
        <f t="shared" ca="1" si="67"/>
        <v>0.54757263008824175</v>
      </c>
      <c r="AH54" s="51">
        <f t="shared" ca="1" si="67"/>
        <v>-0.17689947591431709</v>
      </c>
      <c r="AI54" s="51">
        <f t="shared" ca="1" si="67"/>
        <v>-2.1103099760631405E-2</v>
      </c>
      <c r="AJ54" s="51">
        <f t="shared" ca="1" si="67"/>
        <v>3.3994745704940099E-2</v>
      </c>
      <c r="AK54" s="51">
        <f t="shared" ca="1" si="67"/>
        <v>8.1498372268311581E-3</v>
      </c>
      <c r="AL54" s="51">
        <f t="shared" ca="1" si="67"/>
        <v>5.7509149064915999E-3</v>
      </c>
      <c r="AM54" s="51"/>
      <c r="AN54" s="51">
        <f t="shared" ca="1" si="47"/>
        <v>-5.3865523189918343E-2</v>
      </c>
      <c r="AO54" s="51">
        <f t="shared" ca="1" si="48"/>
        <v>-7.5050229082938846E-2</v>
      </c>
      <c r="AP54" s="51">
        <f t="shared" ca="1" si="49"/>
        <v>2.1719659507303701E-2</v>
      </c>
    </row>
    <row r="55" spans="1:42" ht="17.25" customHeight="1" x14ac:dyDescent="0.25">
      <c r="A55" s="44">
        <v>2005</v>
      </c>
      <c r="B55" s="45" t="s">
        <v>66</v>
      </c>
      <c r="C55" s="45" t="s">
        <v>27</v>
      </c>
      <c r="D55" s="45" t="s">
        <v>29</v>
      </c>
      <c r="E55" s="45" t="s">
        <v>69</v>
      </c>
      <c r="F55" s="45" t="s">
        <v>71</v>
      </c>
      <c r="G55" s="46">
        <v>2620000000</v>
      </c>
      <c r="H55" s="45" t="s">
        <v>68</v>
      </c>
      <c r="I55" s="47" t="str">
        <f t="shared" si="0"/>
        <v>Italy-OTA</v>
      </c>
      <c r="J55" s="47" t="str">
        <f t="shared" si="1"/>
        <v/>
      </c>
      <c r="K55" s="47"/>
      <c r="L55" s="41"/>
      <c r="M55" s="35"/>
      <c r="N55" s="35"/>
      <c r="O55" s="35" t="str">
        <f t="shared" ca="1" si="44"/>
        <v>France</v>
      </c>
      <c r="P55" s="50" t="str">
        <f t="shared" ref="P55:T55" ca="1" si="68">IFERROR(P12/O12-1,"")</f>
        <v/>
      </c>
      <c r="Q55" s="50">
        <f t="shared" ca="1" si="68"/>
        <v>5.3797468354430444E-2</v>
      </c>
      <c r="R55" s="50">
        <f t="shared" ca="1" si="68"/>
        <v>0.14414414414414423</v>
      </c>
      <c r="S55" s="50">
        <f t="shared" ca="1" si="68"/>
        <v>5.5118110236220375E-2</v>
      </c>
      <c r="T55" s="50">
        <f t="shared" ca="1" si="68"/>
        <v>-7.8421572537313411E-2</v>
      </c>
      <c r="U55" s="51">
        <f t="shared" ref="U55:AL55" ca="1" si="69">U12/T12-1</f>
        <v>-4.4135995139352069E-2</v>
      </c>
      <c r="V55" s="51">
        <f t="shared" ca="1" si="69"/>
        <v>1.5589239035965319E-2</v>
      </c>
      <c r="W55" s="51">
        <f t="shared" ca="1" si="69"/>
        <v>-5.7885915804870902E-2</v>
      </c>
      <c r="X55" s="51">
        <f t="shared" ca="1" si="69"/>
        <v>4.1859193395618499E-2</v>
      </c>
      <c r="Y55" s="51">
        <f t="shared" ca="1" si="69"/>
        <v>1.3833503684865134E-2</v>
      </c>
      <c r="Z55" s="51">
        <f t="shared" ca="1" si="69"/>
        <v>-0.18042362175183779</v>
      </c>
      <c r="AA55" s="51">
        <f t="shared" ca="1" si="69"/>
        <v>-3.8144161994823067E-2</v>
      </c>
      <c r="AB55" s="51">
        <f t="shared" ca="1" si="69"/>
        <v>3.3697515509246934E-2</v>
      </c>
      <c r="AC55" s="51">
        <f t="shared" ca="1" si="69"/>
        <v>7.1164669486605048E-2</v>
      </c>
      <c r="AD55" s="51">
        <f t="shared" ca="1" si="69"/>
        <v>-5.0785731027804593E-2</v>
      </c>
      <c r="AE55" s="51">
        <f t="shared" ca="1" si="69"/>
        <v>-0.56951883669279479</v>
      </c>
      <c r="AF55" s="51">
        <f t="shared" ca="1" si="69"/>
        <v>0.47449740045703637</v>
      </c>
      <c r="AG55" s="51">
        <f t="shared" ca="1" si="69"/>
        <v>0.34729619041211035</v>
      </c>
      <c r="AH55" s="51">
        <f t="shared" ca="1" si="69"/>
        <v>0.10394893935593141</v>
      </c>
      <c r="AI55" s="51">
        <f t="shared" ca="1" si="69"/>
        <v>7.2065994528511146E-2</v>
      </c>
      <c r="AJ55" s="51">
        <f t="shared" ca="1" si="69"/>
        <v>-7.1384133024121943E-2</v>
      </c>
      <c r="AK55" s="51">
        <f t="shared" ca="1" si="69"/>
        <v>1.6423112658316308E-2</v>
      </c>
      <c r="AL55" s="51">
        <f t="shared" ca="1" si="69"/>
        <v>1.1351975349256582E-2</v>
      </c>
      <c r="AM55" s="51"/>
      <c r="AN55" s="51">
        <f t="shared" ca="1" si="47"/>
        <v>1.0524963246547663E-2</v>
      </c>
      <c r="AO55" s="51">
        <f t="shared" ca="1" si="48"/>
        <v>-1.6788367718559492E-2</v>
      </c>
      <c r="AP55" s="51">
        <f t="shared" ca="1" si="49"/>
        <v>-4.4135995139352069E-2</v>
      </c>
    </row>
    <row r="56" spans="1:42" ht="17.25" customHeight="1" x14ac:dyDescent="0.25">
      <c r="A56" s="37">
        <v>2005</v>
      </c>
      <c r="B56" s="38" t="s">
        <v>66</v>
      </c>
      <c r="C56" s="38" t="s">
        <v>4</v>
      </c>
      <c r="D56" s="38" t="s">
        <v>9</v>
      </c>
      <c r="E56" s="38" t="s">
        <v>67</v>
      </c>
      <c r="F56" s="38" t="s">
        <v>67</v>
      </c>
      <c r="G56" s="39">
        <v>63800000000</v>
      </c>
      <c r="H56" s="38" t="s">
        <v>68</v>
      </c>
      <c r="I56" s="40" t="str">
        <f t="shared" si="0"/>
        <v>Japan-Offline</v>
      </c>
      <c r="J56" s="40" t="str">
        <f t="shared" si="1"/>
        <v/>
      </c>
      <c r="K56" s="40"/>
      <c r="L56" s="41"/>
      <c r="M56" s="35"/>
      <c r="N56" s="35"/>
      <c r="O56" s="35" t="str">
        <f t="shared" ca="1" si="44"/>
        <v>Germany</v>
      </c>
      <c r="P56" s="50" t="str">
        <f t="shared" ref="P56:T56" ca="1" si="70">IFERROR(P13/O13-1,"")</f>
        <v/>
      </c>
      <c r="Q56" s="50">
        <f t="shared" ca="1" si="70"/>
        <v>4.8309178743961345E-2</v>
      </c>
      <c r="R56" s="50">
        <f t="shared" ca="1" si="70"/>
        <v>0.14055299539170507</v>
      </c>
      <c r="S56" s="50">
        <f t="shared" ca="1" si="70"/>
        <v>4.6464646464646542E-2</v>
      </c>
      <c r="T56" s="50">
        <f t="shared" ca="1" si="70"/>
        <v>-8.6246603359073304E-2</v>
      </c>
      <c r="U56" s="51">
        <f t="shared" ref="U56:AL56" ca="1" si="71">U13/T13-1</f>
        <v>-2.0243203889298456E-2</v>
      </c>
      <c r="V56" s="51">
        <f t="shared" ca="1" si="71"/>
        <v>8.9750505965296545E-2</v>
      </c>
      <c r="W56" s="51">
        <f t="shared" ca="1" si="71"/>
        <v>-1.7657898249364368E-2</v>
      </c>
      <c r="X56" s="51">
        <f t="shared" ca="1" si="71"/>
        <v>1.3333882481519232E-2</v>
      </c>
      <c r="Y56" s="51">
        <f t="shared" ca="1" si="71"/>
        <v>-4.18900065937442E-2</v>
      </c>
      <c r="Z56" s="51">
        <f t="shared" ca="1" si="71"/>
        <v>-0.13359145056039068</v>
      </c>
      <c r="AA56" s="51">
        <f t="shared" ca="1" si="71"/>
        <v>-2.6570220462809879E-2</v>
      </c>
      <c r="AB56" s="51">
        <f t="shared" ca="1" si="71"/>
        <v>3.2437934042480299E-2</v>
      </c>
      <c r="AC56" s="51">
        <f t="shared" ca="1" si="71"/>
        <v>1.2298210830357093E-3</v>
      </c>
      <c r="AD56" s="51">
        <f t="shared" ca="1" si="71"/>
        <v>-0.13114684981107405</v>
      </c>
      <c r="AE56" s="51">
        <f t="shared" ca="1" si="71"/>
        <v>-0.60850625309679396</v>
      </c>
      <c r="AF56" s="51">
        <f t="shared" ca="1" si="71"/>
        <v>6.6416042965142141E-2</v>
      </c>
      <c r="AG56" s="51">
        <f t="shared" ca="1" si="71"/>
        <v>0.64155903986302887</v>
      </c>
      <c r="AH56" s="51">
        <f t="shared" ca="1" si="71"/>
        <v>0.14541872424774871</v>
      </c>
      <c r="AI56" s="51">
        <f t="shared" ca="1" si="71"/>
        <v>-3.2961077756770263E-2</v>
      </c>
      <c r="AJ56" s="51">
        <f t="shared" ca="1" si="71"/>
        <v>-3.7229819722063295E-2</v>
      </c>
      <c r="AK56" s="51">
        <f t="shared" ca="1" si="71"/>
        <v>-4.4398902295820775E-2</v>
      </c>
      <c r="AL56" s="51">
        <f t="shared" ca="1" si="71"/>
        <v>-6.6072598152729034E-2</v>
      </c>
      <c r="AM56" s="51"/>
      <c r="AN56" s="51">
        <f t="shared" ca="1" si="47"/>
        <v>-9.4512405523670805E-3</v>
      </c>
      <c r="AO56" s="51">
        <f t="shared" ca="1" si="48"/>
        <v>-2.3789364678339045E-2</v>
      </c>
      <c r="AP56" s="51">
        <f t="shared" ca="1" si="49"/>
        <v>-2.0243203889298456E-2</v>
      </c>
    </row>
    <row r="57" spans="1:42" ht="17.25" customHeight="1" x14ac:dyDescent="0.25">
      <c r="A57" s="44">
        <v>2005</v>
      </c>
      <c r="B57" s="45" t="s">
        <v>66</v>
      </c>
      <c r="C57" s="45" t="s">
        <v>4</v>
      </c>
      <c r="D57" s="45" t="s">
        <v>9</v>
      </c>
      <c r="E57" s="45" t="s">
        <v>69</v>
      </c>
      <c r="F57" s="45" t="s">
        <v>70</v>
      </c>
      <c r="G57" s="46">
        <v>7790000000</v>
      </c>
      <c r="H57" s="45" t="s">
        <v>68</v>
      </c>
      <c r="I57" s="47" t="str">
        <f t="shared" si="0"/>
        <v>Japan-Online Supplier-Direct</v>
      </c>
      <c r="J57" s="47" t="str">
        <f t="shared" si="1"/>
        <v/>
      </c>
      <c r="K57" s="47"/>
      <c r="L57" s="41"/>
      <c r="M57" s="35"/>
      <c r="N57" s="35"/>
      <c r="O57" s="35" t="str">
        <f t="shared" ca="1" si="44"/>
        <v>Greece</v>
      </c>
      <c r="P57" s="50" t="str">
        <f t="shared" ref="P57:T57" ca="1" si="72">IFERROR(P14/O14-1,"")</f>
        <v/>
      </c>
      <c r="Q57" s="50">
        <f t="shared" ca="1" si="72"/>
        <v>0.107981220657277</v>
      </c>
      <c r="R57" s="50">
        <f t="shared" ca="1" si="72"/>
        <v>0.16384180790960445</v>
      </c>
      <c r="S57" s="50">
        <f t="shared" ca="1" si="72"/>
        <v>7.0388349514563187E-2</v>
      </c>
      <c r="T57" s="50">
        <f t="shared" ca="1" si="72"/>
        <v>-6.9563481065759603E-2</v>
      </c>
      <c r="U57" s="51">
        <f t="shared" ref="U57:AL57" ca="1" si="73">U14/T14-1</f>
        <v>-4.2590865339907746E-2</v>
      </c>
      <c r="V57" s="51">
        <f t="shared" ca="1" si="73"/>
        <v>1.4289377519366653E-2</v>
      </c>
      <c r="W57" s="51">
        <f t="shared" ca="1" si="73"/>
        <v>-4.99428354920326E-2</v>
      </c>
      <c r="X57" s="51">
        <f t="shared" ca="1" si="73"/>
        <v>-0.11437048055627264</v>
      </c>
      <c r="Y57" s="51">
        <f t="shared" ca="1" si="73"/>
        <v>-0.18558961687743669</v>
      </c>
      <c r="Z57" s="51">
        <f t="shared" ca="1" si="73"/>
        <v>-5.5920335516285058E-2</v>
      </c>
      <c r="AA57" s="51">
        <f t="shared" ca="1" si="73"/>
        <v>4.7546108013380772E-2</v>
      </c>
      <c r="AB57" s="51">
        <f t="shared" ca="1" si="73"/>
        <v>-0.40151737185931524</v>
      </c>
      <c r="AC57" s="51">
        <f t="shared" ca="1" si="73"/>
        <v>0.20025518608686199</v>
      </c>
      <c r="AD57" s="51">
        <f t="shared" ca="1" si="73"/>
        <v>-5.6168370214715546E-2</v>
      </c>
      <c r="AE57" s="51">
        <f t="shared" ca="1" si="73"/>
        <v>-0.66168049993567191</v>
      </c>
      <c r="AF57" s="51">
        <f t="shared" ca="1" si="73"/>
        <v>0.70533605646390618</v>
      </c>
      <c r="AG57" s="51">
        <f t="shared" ca="1" si="73"/>
        <v>0.69758180381313251</v>
      </c>
      <c r="AH57" s="51">
        <f t="shared" ca="1" si="73"/>
        <v>0.15831067301051416</v>
      </c>
      <c r="AI57" s="51">
        <f t="shared" ca="1" si="73"/>
        <v>0.10416941829468529</v>
      </c>
      <c r="AJ57" s="51">
        <f t="shared" ca="1" si="73"/>
        <v>4.4327867989901515E-2</v>
      </c>
      <c r="AK57" s="51">
        <f t="shared" ca="1" si="73"/>
        <v>4.4525698964714255E-2</v>
      </c>
      <c r="AL57" s="51">
        <f t="shared" ca="1" si="73"/>
        <v>3.4408917824813923E-2</v>
      </c>
      <c r="AM57" s="51"/>
      <c r="AN57" s="51">
        <f t="shared" ca="1" si="47"/>
        <v>2.6831707343868885E-2</v>
      </c>
      <c r="AO57" s="51">
        <f t="shared" ca="1" si="48"/>
        <v>-6.6824259877383149E-2</v>
      </c>
      <c r="AP57" s="51">
        <f t="shared" ca="1" si="49"/>
        <v>-4.2590865339907746E-2</v>
      </c>
    </row>
    <row r="58" spans="1:42" ht="17.25" customHeight="1" x14ac:dyDescent="0.25">
      <c r="A58" s="37">
        <v>2005</v>
      </c>
      <c r="B58" s="38" t="s">
        <v>66</v>
      </c>
      <c r="C58" s="38" t="s">
        <v>4</v>
      </c>
      <c r="D58" s="38" t="s">
        <v>9</v>
      </c>
      <c r="E58" s="38" t="s">
        <v>69</v>
      </c>
      <c r="F58" s="38" t="s">
        <v>71</v>
      </c>
      <c r="G58" s="39">
        <v>7790000000</v>
      </c>
      <c r="H58" s="38" t="s">
        <v>68</v>
      </c>
      <c r="I58" s="40" t="str">
        <f t="shared" si="0"/>
        <v>Japan-OTA</v>
      </c>
      <c r="J58" s="40" t="str">
        <f t="shared" si="1"/>
        <v/>
      </c>
      <c r="K58" s="40"/>
      <c r="L58" s="41"/>
      <c r="M58" s="35"/>
      <c r="N58" s="35"/>
      <c r="O58" s="35" t="str">
        <f t="shared" ca="1" si="44"/>
        <v>Hong Kong</v>
      </c>
      <c r="P58" s="50" t="str">
        <f t="shared" ref="P58:T58" ca="1" si="74">IFERROR(P15/O15-1,"")</f>
        <v/>
      </c>
      <c r="Q58" s="50">
        <f t="shared" ca="1" si="74"/>
        <v>6.2745098039215685E-2</v>
      </c>
      <c r="R58" s="50">
        <f t="shared" ca="1" si="74"/>
        <v>8.9790897908978984E-2</v>
      </c>
      <c r="S58" s="50">
        <f t="shared" ca="1" si="74"/>
        <v>-6.7720090293453827E-3</v>
      </c>
      <c r="T58" s="50">
        <f t="shared" ca="1" si="74"/>
        <v>-2.4135465454545479E-2</v>
      </c>
      <c r="U58" s="51">
        <f t="shared" ref="U58:AL58" ca="1" si="75">U15/T15-1</f>
        <v>0.22592730591440846</v>
      </c>
      <c r="V58" s="51">
        <f t="shared" ca="1" si="75"/>
        <v>0.15699886553000053</v>
      </c>
      <c r="W58" s="51">
        <f t="shared" ca="1" si="75"/>
        <v>2.2761483800070259E-2</v>
      </c>
      <c r="X58" s="51">
        <f t="shared" ca="1" si="75"/>
        <v>-5.836772260645029E-2</v>
      </c>
      <c r="Y58" s="51">
        <f t="shared" ca="1" si="75"/>
        <v>3.5465739880147673E-2</v>
      </c>
      <c r="Z58" s="51">
        <f t="shared" ca="1" si="75"/>
        <v>-6.225381815261144E-2</v>
      </c>
      <c r="AA58" s="51">
        <f t="shared" ca="1" si="75"/>
        <v>-8.9934632299078388E-2</v>
      </c>
      <c r="AB58" s="51">
        <f t="shared" ca="1" si="75"/>
        <v>-1.5259471036617622E-2</v>
      </c>
      <c r="AC58" s="51">
        <f t="shared" ca="1" si="75"/>
        <v>7.5814921368807298E-2</v>
      </c>
      <c r="AD58" s="51">
        <f t="shared" ca="1" si="75"/>
        <v>-8.6620633602075392E-2</v>
      </c>
      <c r="AE58" s="51">
        <f t="shared" ca="1" si="75"/>
        <v>-0.79702003205757699</v>
      </c>
      <c r="AF58" s="51">
        <f t="shared" ca="1" si="75"/>
        <v>-0.15866793959455339</v>
      </c>
      <c r="AG58" s="51">
        <f t="shared" ca="1" si="75"/>
        <v>0.75250947454381323</v>
      </c>
      <c r="AH58" s="51">
        <f t="shared" ca="1" si="75"/>
        <v>1.3975513720468826</v>
      </c>
      <c r="AI58" s="51">
        <f t="shared" ca="1" si="75"/>
        <v>5.5179755120839946E-2</v>
      </c>
      <c r="AJ58" s="51">
        <f t="shared" ca="1" si="75"/>
        <v>-1.1099993092793525E-3</v>
      </c>
      <c r="AK58" s="51">
        <f t="shared" ca="1" si="75"/>
        <v>-5.0359055706424849E-3</v>
      </c>
      <c r="AL58" s="51">
        <f t="shared" ca="1" si="75"/>
        <v>-9.2669539974550297E-3</v>
      </c>
      <c r="AM58" s="51"/>
      <c r="AN58" s="51">
        <f t="shared" ca="1" si="47"/>
        <v>7.9926211665479432E-2</v>
      </c>
      <c r="AO58" s="51">
        <f t="shared" ca="1" si="48"/>
        <v>-2.3772519019785968E-3</v>
      </c>
      <c r="AP58" s="51">
        <f t="shared" ca="1" si="49"/>
        <v>0.22592730591440846</v>
      </c>
    </row>
    <row r="59" spans="1:42" ht="17.25" customHeight="1" x14ac:dyDescent="0.25">
      <c r="A59" s="44">
        <v>2005</v>
      </c>
      <c r="B59" s="45" t="s">
        <v>66</v>
      </c>
      <c r="C59" s="45" t="s">
        <v>4</v>
      </c>
      <c r="D59" s="45" t="s">
        <v>10</v>
      </c>
      <c r="E59" s="45" t="s">
        <v>67</v>
      </c>
      <c r="F59" s="45" t="s">
        <v>67</v>
      </c>
      <c r="G59" s="46">
        <v>326000000</v>
      </c>
      <c r="H59" s="45" t="s">
        <v>68</v>
      </c>
      <c r="I59" s="47" t="str">
        <f t="shared" si="0"/>
        <v>Macau-Offline</v>
      </c>
      <c r="J59" s="47" t="str">
        <f t="shared" si="1"/>
        <v/>
      </c>
      <c r="K59" s="47"/>
      <c r="L59" s="41"/>
      <c r="M59" s="35"/>
      <c r="N59" s="35"/>
      <c r="O59" s="35" t="str">
        <f t="shared" ca="1" si="44"/>
        <v>Hungary</v>
      </c>
      <c r="P59" s="50" t="str">
        <f t="shared" ref="P59:T59" ca="1" si="76">IFERROR(P16/O16-1,"")</f>
        <v/>
      </c>
      <c r="Q59" s="50">
        <f t="shared" ca="1" si="76"/>
        <v>2.1276595744680771E-2</v>
      </c>
      <c r="R59" s="50">
        <f t="shared" ca="1" si="76"/>
        <v>0.20833333333333326</v>
      </c>
      <c r="S59" s="50">
        <f t="shared" ca="1" si="76"/>
        <v>8.18965517241379E-2</v>
      </c>
      <c r="T59" s="50">
        <f t="shared" ca="1" si="76"/>
        <v>-0.17347487370517933</v>
      </c>
      <c r="U59" s="51">
        <f t="shared" ref="U59:AL59" ca="1" si="77">U16/T16-1</f>
        <v>-1.2952680078633039E-2</v>
      </c>
      <c r="V59" s="51">
        <f t="shared" ca="1" si="77"/>
        <v>5.0832501027865629E-2</v>
      </c>
      <c r="W59" s="51">
        <f t="shared" ca="1" si="77"/>
        <v>-0.21985558185437837</v>
      </c>
      <c r="X59" s="51">
        <f t="shared" ca="1" si="77"/>
        <v>-8.6211798122925787E-2</v>
      </c>
      <c r="Y59" s="51">
        <f t="shared" ca="1" si="77"/>
        <v>1.088647830012679E-2</v>
      </c>
      <c r="Z59" s="51">
        <f t="shared" ca="1" si="77"/>
        <v>-0.15823983189831825</v>
      </c>
      <c r="AA59" s="51">
        <f t="shared" ca="1" si="77"/>
        <v>1.2172254350827583E-2</v>
      </c>
      <c r="AB59" s="51">
        <f t="shared" ca="1" si="77"/>
        <v>-0.27196075472910508</v>
      </c>
      <c r="AC59" s="51">
        <f t="shared" ca="1" si="77"/>
        <v>2.2306361675052289E-2</v>
      </c>
      <c r="AD59" s="51">
        <f t="shared" ca="1" si="77"/>
        <v>-6.6107158029515611E-2</v>
      </c>
      <c r="AE59" s="51">
        <f t="shared" ca="1" si="77"/>
        <v>-0.61687114354222561</v>
      </c>
      <c r="AF59" s="51">
        <f t="shared" ca="1" si="77"/>
        <v>0.1916658535594753</v>
      </c>
      <c r="AG59" s="51">
        <f t="shared" ca="1" si="77"/>
        <v>0.25702887563321686</v>
      </c>
      <c r="AH59" s="51">
        <f t="shared" ca="1" si="77"/>
        <v>0.13316022160509777</v>
      </c>
      <c r="AI59" s="51">
        <f t="shared" ca="1" si="77"/>
        <v>4.7900027426650338E-2</v>
      </c>
      <c r="AJ59" s="51">
        <f t="shared" ca="1" si="77"/>
        <v>4.0224780894218437E-2</v>
      </c>
      <c r="AK59" s="51">
        <f t="shared" ca="1" si="77"/>
        <v>1.4973186967311758E-2</v>
      </c>
      <c r="AL59" s="51">
        <f t="shared" ca="1" si="77"/>
        <v>3.8824428366492469E-2</v>
      </c>
      <c r="AM59" s="51"/>
      <c r="AN59" s="51">
        <f t="shared" ca="1" si="47"/>
        <v>-3.4012443247153704E-2</v>
      </c>
      <c r="AO59" s="51">
        <f t="shared" ca="1" si="48"/>
        <v>-7.8464169920041196E-2</v>
      </c>
      <c r="AP59" s="51">
        <f t="shared" ca="1" si="49"/>
        <v>-1.2952680078633039E-2</v>
      </c>
    </row>
    <row r="60" spans="1:42" ht="17.25" customHeight="1" x14ac:dyDescent="0.25">
      <c r="A60" s="37">
        <v>2005</v>
      </c>
      <c r="B60" s="38" t="s">
        <v>66</v>
      </c>
      <c r="C60" s="38" t="s">
        <v>4</v>
      </c>
      <c r="D60" s="38" t="s">
        <v>10</v>
      </c>
      <c r="E60" s="38" t="s">
        <v>69</v>
      </c>
      <c r="F60" s="38" t="s">
        <v>70</v>
      </c>
      <c r="G60" s="39">
        <v>3275606</v>
      </c>
      <c r="H60" s="38" t="s">
        <v>68</v>
      </c>
      <c r="I60" s="40" t="str">
        <f t="shared" si="0"/>
        <v>Macau-Online Supplier-Direct</v>
      </c>
      <c r="J60" s="40" t="str">
        <f t="shared" si="1"/>
        <v/>
      </c>
      <c r="K60" s="40"/>
      <c r="L60" s="41"/>
      <c r="M60" s="35"/>
      <c r="N60" s="35"/>
      <c r="O60" s="35" t="str">
        <f t="shared" ca="1" si="44"/>
        <v>India</v>
      </c>
      <c r="P60" s="50" t="str">
        <f t="shared" ref="P60:T60" ca="1" si="78">IFERROR(P17/O17-1,"")</f>
        <v/>
      </c>
      <c r="Q60" s="50">
        <f t="shared" ca="1" si="78"/>
        <v>0.14512471655328807</v>
      </c>
      <c r="R60" s="50">
        <f t="shared" ca="1" si="78"/>
        <v>0.28712871287128716</v>
      </c>
      <c r="S60" s="50">
        <f t="shared" ca="1" si="78"/>
        <v>-5.3846153846153877E-2</v>
      </c>
      <c r="T60" s="50">
        <f t="shared" ca="1" si="78"/>
        <v>0.11575396065040655</v>
      </c>
      <c r="U60" s="51">
        <f t="shared" ref="U60:AL60" ca="1" si="79">U17/T17-1</f>
        <v>0.13644187100060745</v>
      </c>
      <c r="V60" s="51">
        <f t="shared" ca="1" si="79"/>
        <v>4.542144358813105E-2</v>
      </c>
      <c r="W60" s="51">
        <f t="shared" ca="1" si="79"/>
        <v>8.6656571428687101E-3</v>
      </c>
      <c r="X60" s="51">
        <f t="shared" ca="1" si="79"/>
        <v>-4.183002608926556E-2</v>
      </c>
      <c r="Y60" s="51">
        <f t="shared" ca="1" si="79"/>
        <v>6.1463085264114481E-2</v>
      </c>
      <c r="Z60" s="51">
        <f t="shared" ca="1" si="79"/>
        <v>-1.4046226172676479E-2</v>
      </c>
      <c r="AA60" s="51">
        <f t="shared" ca="1" si="79"/>
        <v>7.5872190780951421E-2</v>
      </c>
      <c r="AB60" s="51">
        <f t="shared" ca="1" si="79"/>
        <v>5.5956508664182891E-2</v>
      </c>
      <c r="AC60" s="51">
        <f t="shared" ca="1" si="79"/>
        <v>-1.8851978301365202E-3</v>
      </c>
      <c r="AD60" s="51">
        <f t="shared" ca="1" si="79"/>
        <v>-4.6747349054955145E-2</v>
      </c>
      <c r="AE60" s="51">
        <f t="shared" ca="1" si="79"/>
        <v>-0.7016545909845413</v>
      </c>
      <c r="AF60" s="51">
        <f t="shared" ca="1" si="79"/>
        <v>0.70457841676179966</v>
      </c>
      <c r="AG60" s="51">
        <f t="shared" ca="1" si="79"/>
        <v>0.71572947270965148</v>
      </c>
      <c r="AH60" s="51">
        <f t="shared" ca="1" si="79"/>
        <v>8.7814462369183444E-2</v>
      </c>
      <c r="AI60" s="51">
        <f t="shared" ca="1" si="79"/>
        <v>8.1163708653224642E-2</v>
      </c>
      <c r="AJ60" s="51">
        <f t="shared" ca="1" si="79"/>
        <v>8.0853905406172988E-2</v>
      </c>
      <c r="AK60" s="51">
        <f t="shared" ca="1" si="79"/>
        <v>6.4970791621429935E-2</v>
      </c>
      <c r="AL60" s="51">
        <f t="shared" ca="1" si="79"/>
        <v>5.7887014206146725E-2</v>
      </c>
      <c r="AM60" s="51"/>
      <c r="AN60" s="51">
        <f t="shared" ca="1" si="47"/>
        <v>7.61475076687161E-2</v>
      </c>
      <c r="AO60" s="51">
        <f t="shared" ca="1" si="48"/>
        <v>1.5874454032579428E-2</v>
      </c>
      <c r="AP60" s="51">
        <f t="shared" ca="1" si="49"/>
        <v>0.13644187100060745</v>
      </c>
    </row>
    <row r="61" spans="1:42" ht="17.25" customHeight="1" x14ac:dyDescent="0.25">
      <c r="A61" s="44">
        <v>2005</v>
      </c>
      <c r="B61" s="45" t="s">
        <v>66</v>
      </c>
      <c r="C61" s="45" t="s">
        <v>4</v>
      </c>
      <c r="D61" s="45" t="s">
        <v>10</v>
      </c>
      <c r="E61" s="45" t="s">
        <v>69</v>
      </c>
      <c r="F61" s="45" t="s">
        <v>71</v>
      </c>
      <c r="G61" s="46">
        <v>3275606</v>
      </c>
      <c r="H61" s="45" t="s">
        <v>68</v>
      </c>
      <c r="I61" s="47" t="str">
        <f t="shared" si="0"/>
        <v>Macau-OTA</v>
      </c>
      <c r="J61" s="47" t="str">
        <f t="shared" si="1"/>
        <v/>
      </c>
      <c r="K61" s="47"/>
      <c r="L61" s="41"/>
      <c r="M61" s="35"/>
      <c r="N61" s="35"/>
      <c r="O61" s="35" t="str">
        <f t="shared" ca="1" si="44"/>
        <v>Indonesia</v>
      </c>
      <c r="P61" s="50" t="str">
        <f t="shared" ref="P61:T61" ca="1" si="80">IFERROR(P18/O18-1,"")</f>
        <v/>
      </c>
      <c r="Q61" s="50">
        <f t="shared" ca="1" si="80"/>
        <v>0.26765799256505574</v>
      </c>
      <c r="R61" s="50">
        <f t="shared" ca="1" si="80"/>
        <v>0.18181818181818188</v>
      </c>
      <c r="S61" s="50">
        <f t="shared" ca="1" si="80"/>
        <v>0.13151364764267992</v>
      </c>
      <c r="T61" s="50">
        <f t="shared" ca="1" si="80"/>
        <v>5.7757209210526295E-2</v>
      </c>
      <c r="U61" s="51">
        <f t="shared" ref="U61:AL61" ca="1" si="81">U18/T18-1</f>
        <v>0.46858378629261255</v>
      </c>
      <c r="V61" s="51">
        <f t="shared" ca="1" si="81"/>
        <v>0.32347016605610546</v>
      </c>
      <c r="W61" s="51">
        <f t="shared" ca="1" si="81"/>
        <v>5.8706858569665732E-2</v>
      </c>
      <c r="X61" s="51">
        <f t="shared" ca="1" si="81"/>
        <v>6.6521367072552406E-2</v>
      </c>
      <c r="Y61" s="51">
        <f t="shared" ca="1" si="81"/>
        <v>8.9142278059690661E-3</v>
      </c>
      <c r="Z61" s="51">
        <f t="shared" ca="1" si="81"/>
        <v>-0.10460392912325145</v>
      </c>
      <c r="AA61" s="51">
        <f t="shared" ca="1" si="81"/>
        <v>-1.9913958210251659E-2</v>
      </c>
      <c r="AB61" s="51">
        <f t="shared" ca="1" si="81"/>
        <v>9.0311438504708796E-4</v>
      </c>
      <c r="AC61" s="51">
        <f t="shared" ca="1" si="81"/>
        <v>-2.7941637800423469E-2</v>
      </c>
      <c r="AD61" s="51">
        <f t="shared" ca="1" si="81"/>
        <v>-3.0415632898718181E-2</v>
      </c>
      <c r="AE61" s="51">
        <f t="shared" ca="1" si="81"/>
        <v>-0.6702678761509413</v>
      </c>
      <c r="AF61" s="51">
        <f t="shared" ca="1" si="81"/>
        <v>-0.19527312252976503</v>
      </c>
      <c r="AG61" s="51">
        <f t="shared" ca="1" si="81"/>
        <v>0.60193102674052956</v>
      </c>
      <c r="AH61" s="51">
        <f t="shared" ca="1" si="81"/>
        <v>0.34899651092757233</v>
      </c>
      <c r="AI61" s="51">
        <f t="shared" ca="1" si="81"/>
        <v>1.9615559183420173E-2</v>
      </c>
      <c r="AJ61" s="51">
        <f t="shared" ca="1" si="81"/>
        <v>-2.8362094849719743E-2</v>
      </c>
      <c r="AK61" s="51">
        <f t="shared" ca="1" si="81"/>
        <v>-4.1243778608637705E-2</v>
      </c>
      <c r="AL61" s="51">
        <f t="shared" ca="1" si="81"/>
        <v>-6.0349941385980044E-2</v>
      </c>
      <c r="AM61" s="51"/>
      <c r="AN61" s="51">
        <f t="shared" ca="1" si="47"/>
        <v>3.9959480304210322E-2</v>
      </c>
      <c r="AO61" s="51">
        <f t="shared" ca="1" si="48"/>
        <v>3.0626730650743887E-2</v>
      </c>
      <c r="AP61" s="51">
        <f t="shared" ca="1" si="49"/>
        <v>0.46858378629261255</v>
      </c>
    </row>
    <row r="62" spans="1:42" ht="17.25" customHeight="1" x14ac:dyDescent="0.25">
      <c r="A62" s="37">
        <v>2005</v>
      </c>
      <c r="B62" s="38" t="s">
        <v>66</v>
      </c>
      <c r="C62" s="38" t="s">
        <v>4</v>
      </c>
      <c r="D62" s="38" t="s">
        <v>11</v>
      </c>
      <c r="E62" s="38" t="s">
        <v>67</v>
      </c>
      <c r="F62" s="38" t="s">
        <v>67</v>
      </c>
      <c r="G62" s="39">
        <v>3020000000</v>
      </c>
      <c r="H62" s="38" t="s">
        <v>68</v>
      </c>
      <c r="I62" s="40" t="str">
        <f t="shared" si="0"/>
        <v>Malaysia-Offline</v>
      </c>
      <c r="J62" s="40" t="str">
        <f t="shared" si="1"/>
        <v/>
      </c>
      <c r="K62" s="40"/>
      <c r="L62" s="41"/>
      <c r="M62" s="35"/>
      <c r="N62" s="35"/>
      <c r="O62" s="35" t="str">
        <f t="shared" ca="1" si="44"/>
        <v>Italy</v>
      </c>
      <c r="P62" s="50" t="str">
        <f t="shared" ref="P62:T62" ca="1" si="82">IFERROR(P19/O19-1,"")</f>
        <v/>
      </c>
      <c r="Q62" s="50">
        <f t="shared" ca="1" si="82"/>
        <v>5.0000000000000044E-2</v>
      </c>
      <c r="R62" s="50">
        <f t="shared" ca="1" si="82"/>
        <v>0.13227513227513232</v>
      </c>
      <c r="S62" s="50">
        <f t="shared" ca="1" si="82"/>
        <v>4.20560747663552E-2</v>
      </c>
      <c r="T62" s="50">
        <f t="shared" ca="1" si="82"/>
        <v>-8.8057705067264624E-2</v>
      </c>
      <c r="U62" s="51">
        <f t="shared" ref="U62:AL62" ca="1" si="83">U19/T19-1</f>
        <v>-4.3702101667334126E-2</v>
      </c>
      <c r="V62" s="51">
        <f t="shared" ca="1" si="83"/>
        <v>8.0233258041580546E-2</v>
      </c>
      <c r="W62" s="51">
        <f t="shared" ca="1" si="83"/>
        <v>-8.4078780209738135E-2</v>
      </c>
      <c r="X62" s="51">
        <f t="shared" ca="1" si="83"/>
        <v>-2.1044692500589934E-2</v>
      </c>
      <c r="Y62" s="51">
        <f t="shared" ca="1" si="83"/>
        <v>-1.1787555405540773E-2</v>
      </c>
      <c r="Z62" s="51">
        <f t="shared" ca="1" si="83"/>
        <v>-0.13976907448854892</v>
      </c>
      <c r="AA62" s="51">
        <f t="shared" ca="1" si="83"/>
        <v>-4.563235196286819E-2</v>
      </c>
      <c r="AB62" s="51">
        <f t="shared" ca="1" si="83"/>
        <v>5.4143401677971159E-2</v>
      </c>
      <c r="AC62" s="51">
        <f t="shared" ca="1" si="83"/>
        <v>4.4161584026609857E-2</v>
      </c>
      <c r="AD62" s="51">
        <f t="shared" ca="1" si="83"/>
        <v>-7.5272311697623384E-2</v>
      </c>
      <c r="AE62" s="51">
        <f t="shared" ca="1" si="83"/>
        <v>-0.73153826151009493</v>
      </c>
      <c r="AF62" s="51">
        <f t="shared" ca="1" si="83"/>
        <v>0.66891241259224166</v>
      </c>
      <c r="AG62" s="51">
        <f t="shared" ca="1" si="83"/>
        <v>0.4006631041582176</v>
      </c>
      <c r="AH62" s="51">
        <f t="shared" ca="1" si="83"/>
        <v>0.34512964849815386</v>
      </c>
      <c r="AI62" s="51">
        <f t="shared" ca="1" si="83"/>
        <v>8.694687766131115E-2</v>
      </c>
      <c r="AJ62" s="51">
        <f t="shared" ca="1" si="83"/>
        <v>2.0491587012105184E-2</v>
      </c>
      <c r="AK62" s="51">
        <f t="shared" ca="1" si="83"/>
        <v>1.7941717718172656E-2</v>
      </c>
      <c r="AL62" s="51">
        <f t="shared" ca="1" si="83"/>
        <v>1.391101837916553E-2</v>
      </c>
      <c r="AM62" s="51"/>
      <c r="AN62" s="51">
        <f t="shared" ca="1" si="47"/>
        <v>3.2206082240177264E-2</v>
      </c>
      <c r="AO62" s="51">
        <f t="shared" ca="1" si="48"/>
        <v>-2.2116280279860862E-2</v>
      </c>
      <c r="AP62" s="51">
        <f t="shared" ca="1" si="49"/>
        <v>-4.3702101667334126E-2</v>
      </c>
    </row>
    <row r="63" spans="1:42" ht="17.25" customHeight="1" x14ac:dyDescent="0.25">
      <c r="A63" s="44">
        <v>2005</v>
      </c>
      <c r="B63" s="45" t="s">
        <v>66</v>
      </c>
      <c r="C63" s="45" t="s">
        <v>4</v>
      </c>
      <c r="D63" s="45" t="s">
        <v>11</v>
      </c>
      <c r="E63" s="45" t="s">
        <v>69</v>
      </c>
      <c r="F63" s="45" t="s">
        <v>70</v>
      </c>
      <c r="G63" s="46">
        <v>49878591</v>
      </c>
      <c r="H63" s="45" t="s">
        <v>68</v>
      </c>
      <c r="I63" s="47" t="str">
        <f t="shared" si="0"/>
        <v>Malaysia-Online Supplier-Direct</v>
      </c>
      <c r="J63" s="47" t="str">
        <f t="shared" si="1"/>
        <v/>
      </c>
      <c r="K63" s="47"/>
      <c r="L63" s="41"/>
      <c r="M63" s="35"/>
      <c r="N63" s="35"/>
      <c r="O63" s="35" t="str">
        <f t="shared" ca="1" si="44"/>
        <v>Japan</v>
      </c>
      <c r="P63" s="50" t="str">
        <f t="shared" ref="P63:T63" ca="1" si="84">IFERROR(P20/O20-1,"")</f>
        <v/>
      </c>
      <c r="Q63" s="50">
        <f t="shared" ca="1" si="84"/>
        <v>-5.0156739811912265E-2</v>
      </c>
      <c r="R63" s="50">
        <f t="shared" ca="1" si="84"/>
        <v>-8.2508250825082952E-3</v>
      </c>
      <c r="S63" s="50">
        <f t="shared" ca="1" si="84"/>
        <v>6.821963394342756E-2</v>
      </c>
      <c r="T63" s="50">
        <f t="shared" ca="1" si="84"/>
        <v>3.5065486090342768E-2</v>
      </c>
      <c r="U63" s="51">
        <f t="shared" ref="U63:AL63" ca="1" si="85">U20/T20-1</f>
        <v>0.11163788558129006</v>
      </c>
      <c r="V63" s="51">
        <f t="shared" ca="1" si="85"/>
        <v>3.1247230347356991E-2</v>
      </c>
      <c r="W63" s="51">
        <f t="shared" ca="1" si="85"/>
        <v>-3.953885071003882E-2</v>
      </c>
      <c r="X63" s="51">
        <f t="shared" ca="1" si="85"/>
        <v>-0.14684053838230204</v>
      </c>
      <c r="Y63" s="51">
        <f t="shared" ca="1" si="85"/>
        <v>-3.1871862995164091E-2</v>
      </c>
      <c r="Z63" s="51">
        <f t="shared" ca="1" si="85"/>
        <v>-9.9926237588970013E-2</v>
      </c>
      <c r="AA63" s="51">
        <f t="shared" ca="1" si="85"/>
        <v>8.8147581353219762E-2</v>
      </c>
      <c r="AB63" s="51">
        <f t="shared" ca="1" si="85"/>
        <v>-2.7399914974696293E-2</v>
      </c>
      <c r="AC63" s="51">
        <f t="shared" ca="1" si="85"/>
        <v>2.4300093725804661E-2</v>
      </c>
      <c r="AD63" s="51">
        <f t="shared" ca="1" si="85"/>
        <v>3.4365880994604137E-2</v>
      </c>
      <c r="AE63" s="51">
        <f t="shared" ca="1" si="85"/>
        <v>-0.55545179485959761</v>
      </c>
      <c r="AF63" s="51">
        <f t="shared" ca="1" si="85"/>
        <v>-0.23890681233159261</v>
      </c>
      <c r="AG63" s="51">
        <f t="shared" ca="1" si="85"/>
        <v>0.43503931558507269</v>
      </c>
      <c r="AH63" s="51">
        <f t="shared" ca="1" si="85"/>
        <v>0.30649537415615269</v>
      </c>
      <c r="AI63" s="51">
        <f t="shared" ca="1" si="85"/>
        <v>3.8206891897934137E-2</v>
      </c>
      <c r="AJ63" s="51">
        <f t="shared" ca="1" si="85"/>
        <v>1.7172746122464222E-2</v>
      </c>
      <c r="AK63" s="51">
        <f t="shared" ca="1" si="85"/>
        <v>8.0644882828027065E-3</v>
      </c>
      <c r="AL63" s="51">
        <f t="shared" ca="1" si="85"/>
        <v>1.783600477904157E-3</v>
      </c>
      <c r="AM63" s="51"/>
      <c r="AN63" s="51">
        <f t="shared" ca="1" si="47"/>
        <v>-2.4152735176530705E-3</v>
      </c>
      <c r="AO63" s="51">
        <f t="shared" ca="1" si="48"/>
        <v>-1.8612957581131746E-2</v>
      </c>
      <c r="AP63" s="51">
        <f t="shared" ca="1" si="49"/>
        <v>0.11163788558129006</v>
      </c>
    </row>
    <row r="64" spans="1:42" ht="17.25" customHeight="1" x14ac:dyDescent="0.25">
      <c r="A64" s="37">
        <v>2005</v>
      </c>
      <c r="B64" s="38" t="s">
        <v>66</v>
      </c>
      <c r="C64" s="38" t="s">
        <v>4</v>
      </c>
      <c r="D64" s="38" t="s">
        <v>11</v>
      </c>
      <c r="E64" s="38" t="s">
        <v>69</v>
      </c>
      <c r="F64" s="38" t="s">
        <v>71</v>
      </c>
      <c r="G64" s="39">
        <v>49878591</v>
      </c>
      <c r="H64" s="38" t="s">
        <v>68</v>
      </c>
      <c r="I64" s="40" t="str">
        <f t="shared" si="0"/>
        <v>Malaysia-OTA</v>
      </c>
      <c r="J64" s="40" t="str">
        <f t="shared" si="1"/>
        <v/>
      </c>
      <c r="K64" s="40"/>
      <c r="L64" s="41"/>
      <c r="M64" s="35"/>
      <c r="N64" s="35"/>
      <c r="O64" s="35" t="str">
        <f t="shared" ca="1" si="44"/>
        <v>Macau</v>
      </c>
      <c r="P64" s="50" t="str">
        <f t="shared" ref="P64:T64" ca="1" si="86">IFERROR(P21/O21-1,"")</f>
        <v/>
      </c>
      <c r="Q64" s="50">
        <f t="shared" ca="1" si="86"/>
        <v>0.22085889570552153</v>
      </c>
      <c r="R64" s="50">
        <f t="shared" ca="1" si="86"/>
        <v>0.23618090452261309</v>
      </c>
      <c r="S64" s="50">
        <f t="shared" ca="1" si="86"/>
        <v>9.1463414634146423E-2</v>
      </c>
      <c r="T64" s="50">
        <f t="shared" ca="1" si="86"/>
        <v>2.6350214152700113E-2</v>
      </c>
      <c r="U64" s="51">
        <f t="shared" ref="U64:AL64" ca="1" si="87">U21/T21-1</f>
        <v>0.12034073333548467</v>
      </c>
      <c r="V64" s="51">
        <f t="shared" ca="1" si="87"/>
        <v>0.21675292903916366</v>
      </c>
      <c r="W64" s="51">
        <f t="shared" ca="1" si="87"/>
        <v>4.0375806346758081E-2</v>
      </c>
      <c r="X64" s="51">
        <f t="shared" ca="1" si="87"/>
        <v>0.65982391571114163</v>
      </c>
      <c r="Y64" s="51">
        <f t="shared" ca="1" si="87"/>
        <v>0.20183931234311503</v>
      </c>
      <c r="Z64" s="51">
        <f t="shared" ca="1" si="87"/>
        <v>-6.2295137102336806E-2</v>
      </c>
      <c r="AA64" s="51">
        <f t="shared" ca="1" si="87"/>
        <v>-4.5917342276291961E-2</v>
      </c>
      <c r="AB64" s="51">
        <f t="shared" ca="1" si="87"/>
        <v>9.8747285201759016E-2</v>
      </c>
      <c r="AC64" s="51">
        <f t="shared" ca="1" si="87"/>
        <v>0.14562819967097496</v>
      </c>
      <c r="AD64" s="51">
        <f t="shared" ca="1" si="87"/>
        <v>-0.19740959751279874</v>
      </c>
      <c r="AE64" s="51">
        <f t="shared" ca="1" si="87"/>
        <v>-0.80549941981471695</v>
      </c>
      <c r="AF64" s="51">
        <f t="shared" ca="1" si="87"/>
        <v>0.51174440188859349</v>
      </c>
      <c r="AG64" s="51">
        <f t="shared" ca="1" si="87"/>
        <v>-0.43840576584360713</v>
      </c>
      <c r="AH64" s="51">
        <f t="shared" ca="1" si="87"/>
        <v>3.3802524674247847</v>
      </c>
      <c r="AI64" s="51">
        <f t="shared" ca="1" si="87"/>
        <v>-2.9437750517887773E-2</v>
      </c>
      <c r="AJ64" s="51">
        <f t="shared" ca="1" si="87"/>
        <v>-9.0371167112101358E-2</v>
      </c>
      <c r="AK64" s="51">
        <f t="shared" ca="1" si="87"/>
        <v>-9.6359584026007195E-2</v>
      </c>
      <c r="AL64" s="51">
        <f t="shared" ca="1" si="87"/>
        <v>-0.12724091473084809</v>
      </c>
      <c r="AM64" s="51"/>
      <c r="AN64" s="51">
        <f t="shared" ca="1" si="47"/>
        <v>0.19347602066806555</v>
      </c>
      <c r="AO64" s="51">
        <f t="shared" ca="1" si="48"/>
        <v>0.11750504126905387</v>
      </c>
      <c r="AP64" s="51">
        <f t="shared" ca="1" si="49"/>
        <v>0.12034073333548467</v>
      </c>
    </row>
    <row r="65" spans="1:42" ht="17.25" customHeight="1" x14ac:dyDescent="0.25">
      <c r="A65" s="44">
        <v>2005</v>
      </c>
      <c r="B65" s="45" t="s">
        <v>66</v>
      </c>
      <c r="C65" s="45" t="s">
        <v>35</v>
      </c>
      <c r="D65" s="45" t="s">
        <v>39</v>
      </c>
      <c r="E65" s="45" t="s">
        <v>67</v>
      </c>
      <c r="F65" s="45" t="s">
        <v>67</v>
      </c>
      <c r="G65" s="46">
        <v>16500000000</v>
      </c>
      <c r="H65" s="45" t="s">
        <v>68</v>
      </c>
      <c r="I65" s="47" t="str">
        <f t="shared" si="0"/>
        <v>Mexico-Offline</v>
      </c>
      <c r="J65" s="47" t="str">
        <f t="shared" si="1"/>
        <v/>
      </c>
      <c r="K65" s="47"/>
      <c r="L65" s="41"/>
      <c r="M65" s="35"/>
      <c r="N65" s="35"/>
      <c r="O65" s="35" t="str">
        <f t="shared" ca="1" si="44"/>
        <v>Malaysia</v>
      </c>
      <c r="P65" s="50" t="str">
        <f t="shared" ref="P65:T65" ca="1" si="88">IFERROR(P22/O22-1,"")</f>
        <v/>
      </c>
      <c r="Q65" s="50">
        <f t="shared" ca="1" si="88"/>
        <v>0.12913907284768222</v>
      </c>
      <c r="R65" s="50">
        <f t="shared" ca="1" si="88"/>
        <v>0.18475073313782997</v>
      </c>
      <c r="S65" s="50">
        <f t="shared" ca="1" si="88"/>
        <v>0.14108910891089099</v>
      </c>
      <c r="T65" s="50">
        <f t="shared" ca="1" si="88"/>
        <v>-0.12293805162689808</v>
      </c>
      <c r="U65" s="51">
        <f t="shared" ref="U65:AL65" ca="1" si="89">U22/T22-1</f>
        <v>0.24238114487811768</v>
      </c>
      <c r="V65" s="51">
        <f t="shared" ca="1" si="89"/>
        <v>0.19485035123968686</v>
      </c>
      <c r="W65" s="51">
        <f t="shared" ca="1" si="89"/>
        <v>3.7644372744511934E-2</v>
      </c>
      <c r="X65" s="51">
        <f t="shared" ca="1" si="89"/>
        <v>5.3638843246601731E-2</v>
      </c>
      <c r="Y65" s="51">
        <f t="shared" ca="1" si="89"/>
        <v>-1.2673281043758866E-2</v>
      </c>
      <c r="Z65" s="51">
        <f t="shared" ca="1" si="89"/>
        <v>-0.15064509502730283</v>
      </c>
      <c r="AA65" s="51">
        <f t="shared" ca="1" si="89"/>
        <v>-8.3521762231488883E-2</v>
      </c>
      <c r="AB65" s="51">
        <f t="shared" ca="1" si="89"/>
        <v>1.6158831351602565E-3</v>
      </c>
      <c r="AC65" s="51">
        <f t="shared" ca="1" si="89"/>
        <v>7.1400377775854285E-2</v>
      </c>
      <c r="AD65" s="51">
        <f t="shared" ca="1" si="89"/>
        <v>-4.948579086201732E-2</v>
      </c>
      <c r="AE65" s="51">
        <f t="shared" ca="1" si="89"/>
        <v>-0.6737408722607019</v>
      </c>
      <c r="AF65" s="51">
        <f t="shared" ca="1" si="89"/>
        <v>-0.34090343526945155</v>
      </c>
      <c r="AG65" s="51">
        <f t="shared" ca="1" si="89"/>
        <v>1.4391133497085145</v>
      </c>
      <c r="AH65" s="51">
        <f t="shared" ca="1" si="89"/>
        <v>0.23051221565789204</v>
      </c>
      <c r="AI65" s="51">
        <f t="shared" ca="1" si="89"/>
        <v>2.0525972614321653E-2</v>
      </c>
      <c r="AJ65" s="51">
        <f t="shared" ca="1" si="89"/>
        <v>-1.2024161090797625E-2</v>
      </c>
      <c r="AK65" s="51">
        <f t="shared" ca="1" si="89"/>
        <v>-3.4257488203628728E-2</v>
      </c>
      <c r="AL65" s="51">
        <f t="shared" ca="1" si="89"/>
        <v>-4.6851906342987526E-2</v>
      </c>
      <c r="AM65" s="51"/>
      <c r="AN65" s="51">
        <f t="shared" ca="1" si="47"/>
        <v>4.9309928814918094E-2</v>
      </c>
      <c r="AO65" s="51">
        <f t="shared" ca="1" si="48"/>
        <v>6.9804332196941286E-3</v>
      </c>
      <c r="AP65" s="51">
        <f t="shared" ca="1" si="49"/>
        <v>0.24238114487811768</v>
      </c>
    </row>
    <row r="66" spans="1:42" ht="17.25" customHeight="1" x14ac:dyDescent="0.25">
      <c r="A66" s="37">
        <v>2005</v>
      </c>
      <c r="B66" s="38" t="s">
        <v>66</v>
      </c>
      <c r="C66" s="38" t="s">
        <v>35</v>
      </c>
      <c r="D66" s="38" t="s">
        <v>39</v>
      </c>
      <c r="E66" s="38" t="s">
        <v>69</v>
      </c>
      <c r="F66" s="38" t="s">
        <v>70</v>
      </c>
      <c r="G66" s="39">
        <v>1960000000</v>
      </c>
      <c r="H66" s="38" t="s">
        <v>68</v>
      </c>
      <c r="I66" s="40" t="str">
        <f t="shared" si="0"/>
        <v>Mexico-Online Supplier-Direct</v>
      </c>
      <c r="J66" s="40" t="str">
        <f t="shared" si="1"/>
        <v/>
      </c>
      <c r="K66" s="40"/>
      <c r="L66" s="41"/>
      <c r="M66" s="35"/>
      <c r="N66" s="35"/>
      <c r="O66" s="35" t="str">
        <f t="shared" ca="1" si="44"/>
        <v>Mexico</v>
      </c>
      <c r="P66" s="50" t="str">
        <f t="shared" ref="P66:T66" ca="1" si="90">IFERROR(P23/O23-1,"")</f>
        <v/>
      </c>
      <c r="Q66" s="50">
        <f t="shared" ca="1" si="90"/>
        <v>0.10909090909090913</v>
      </c>
      <c r="R66" s="50">
        <f t="shared" ca="1" si="90"/>
        <v>7.6502732240437243E-2</v>
      </c>
      <c r="S66" s="50">
        <f t="shared" ca="1" si="90"/>
        <v>1.0152284263959421E-2</v>
      </c>
      <c r="T66" s="50">
        <f t="shared" ca="1" si="90"/>
        <v>-0.18762587703517586</v>
      </c>
      <c r="U66" s="51">
        <f t="shared" ref="U66:AL66" ca="1" si="91">U23/T23-1</f>
        <v>0.12446732374463187</v>
      </c>
      <c r="V66" s="51">
        <f t="shared" ca="1" si="91"/>
        <v>-2.1921987163326717E-2</v>
      </c>
      <c r="W66" s="51">
        <f t="shared" ca="1" si="91"/>
        <v>3.4884464986743247E-2</v>
      </c>
      <c r="X66" s="51">
        <f t="shared" ca="1" si="91"/>
        <v>6.6070663232069338E-2</v>
      </c>
      <c r="Y66" s="51">
        <f t="shared" ca="1" si="91"/>
        <v>5.8088653773014087E-4</v>
      </c>
      <c r="Z66" s="51">
        <f t="shared" ca="1" si="91"/>
        <v>-0.14112793398789492</v>
      </c>
      <c r="AA66" s="51">
        <f t="shared" ca="1" si="91"/>
        <v>-0.10748009538131331</v>
      </c>
      <c r="AB66" s="51">
        <f t="shared" ca="1" si="91"/>
        <v>1.9888887583601855E-2</v>
      </c>
      <c r="AC66" s="51">
        <f t="shared" ca="1" si="91"/>
        <v>-3.8437796903481036E-2</v>
      </c>
      <c r="AD66" s="51">
        <f t="shared" ca="1" si="91"/>
        <v>4.2481182403451001E-2</v>
      </c>
      <c r="AE66" s="51">
        <f t="shared" ca="1" si="91"/>
        <v>-0.57550700242790387</v>
      </c>
      <c r="AF66" s="51">
        <f t="shared" ca="1" si="91"/>
        <v>0.58226306747229195</v>
      </c>
      <c r="AG66" s="51">
        <f t="shared" ca="1" si="91"/>
        <v>0.25115467925419299</v>
      </c>
      <c r="AH66" s="51">
        <f t="shared" ca="1" si="91"/>
        <v>0.24818652682732267</v>
      </c>
      <c r="AI66" s="51">
        <f t="shared" ca="1" si="91"/>
        <v>-5.9158365271647528E-2</v>
      </c>
      <c r="AJ66" s="51">
        <f t="shared" ca="1" si="91"/>
        <v>5.560657596906271E-2</v>
      </c>
      <c r="AK66" s="51">
        <f t="shared" ca="1" si="91"/>
        <v>6.7212271280115754E-2</v>
      </c>
      <c r="AL66" s="51">
        <f t="shared" ca="1" si="91"/>
        <v>7.1012610755056604E-2</v>
      </c>
      <c r="AM66" s="51"/>
      <c r="AN66" s="51">
        <f t="shared" ca="1" si="47"/>
        <v>3.4454219939483485E-2</v>
      </c>
      <c r="AO66" s="51">
        <f t="shared" ca="1" si="48"/>
        <v>-1.6117969854713379E-2</v>
      </c>
      <c r="AP66" s="51">
        <f t="shared" ca="1" si="49"/>
        <v>0.12446732374463187</v>
      </c>
    </row>
    <row r="67" spans="1:42" ht="17.25" customHeight="1" x14ac:dyDescent="0.25">
      <c r="A67" s="44">
        <v>2005</v>
      </c>
      <c r="B67" s="45" t="s">
        <v>66</v>
      </c>
      <c r="C67" s="45" t="s">
        <v>35</v>
      </c>
      <c r="D67" s="45" t="s">
        <v>39</v>
      </c>
      <c r="E67" s="45" t="s">
        <v>69</v>
      </c>
      <c r="F67" s="45" t="s">
        <v>71</v>
      </c>
      <c r="G67" s="46">
        <v>1960000000</v>
      </c>
      <c r="H67" s="45" t="s">
        <v>68</v>
      </c>
      <c r="I67" s="47" t="str">
        <f t="shared" si="0"/>
        <v>Mexico-OTA</v>
      </c>
      <c r="J67" s="47" t="str">
        <f t="shared" si="1"/>
        <v/>
      </c>
      <c r="K67" s="47"/>
      <c r="L67" s="41"/>
      <c r="M67" s="35"/>
      <c r="N67" s="35"/>
      <c r="O67" s="35" t="str">
        <f t="shared" ca="1" si="44"/>
        <v>Poland</v>
      </c>
      <c r="P67" s="50" t="str">
        <f t="shared" ref="P67:T67" ca="1" si="92">IFERROR(P24/O24-1,"")</f>
        <v/>
      </c>
      <c r="Q67" s="50">
        <f t="shared" ca="1" si="92"/>
        <v>0.12288135593220328</v>
      </c>
      <c r="R67" s="50">
        <f t="shared" ca="1" si="92"/>
        <v>0.23773584905660372</v>
      </c>
      <c r="S67" s="50">
        <f t="shared" ca="1" si="92"/>
        <v>0.19207317073170738</v>
      </c>
      <c r="T67" s="50">
        <f t="shared" ca="1" si="92"/>
        <v>-0.17656189335038364</v>
      </c>
      <c r="U67" s="51">
        <f t="shared" ref="U67:AL67" ca="1" si="93">U24/T24-1</f>
        <v>0.10686024050510601</v>
      </c>
      <c r="V67" s="51">
        <f t="shared" ca="1" si="93"/>
        <v>5.8310833384823457E-2</v>
      </c>
      <c r="W67" s="51">
        <f t="shared" ca="1" si="93"/>
        <v>6.4890420588201048E-2</v>
      </c>
      <c r="X67" s="51">
        <f t="shared" ca="1" si="93"/>
        <v>-1.073789843723405E-2</v>
      </c>
      <c r="Y67" s="51">
        <f t="shared" ca="1" si="93"/>
        <v>2.9749561306204875E-3</v>
      </c>
      <c r="Z67" s="51">
        <f t="shared" ca="1" si="93"/>
        <v>-0.15444372727128208</v>
      </c>
      <c r="AA67" s="51">
        <f t="shared" ca="1" si="93"/>
        <v>-1.0925880911262231E-2</v>
      </c>
      <c r="AB67" s="51">
        <f t="shared" ca="1" si="93"/>
        <v>-0.2005386131328184</v>
      </c>
      <c r="AC67" s="51">
        <f t="shared" ca="1" si="93"/>
        <v>6.8264816265339645E-2</v>
      </c>
      <c r="AD67" s="51">
        <f t="shared" ca="1" si="93"/>
        <v>-6.3725093780557795E-3</v>
      </c>
      <c r="AE67" s="51">
        <f t="shared" ca="1" si="93"/>
        <v>-0.49280553838891505</v>
      </c>
      <c r="AF67" s="51">
        <f t="shared" ca="1" si="93"/>
        <v>0.11109235898996195</v>
      </c>
      <c r="AG67" s="51">
        <f t="shared" ca="1" si="93"/>
        <v>0.38648938409899825</v>
      </c>
      <c r="AH67" s="51">
        <f t="shared" ca="1" si="93"/>
        <v>0.15850595188546857</v>
      </c>
      <c r="AI67" s="51">
        <f t="shared" ca="1" si="93"/>
        <v>0.13131296986724061</v>
      </c>
      <c r="AJ67" s="51">
        <f t="shared" ca="1" si="93"/>
        <v>7.3123758195191568E-2</v>
      </c>
      <c r="AK67" s="51">
        <f t="shared" ca="1" si="93"/>
        <v>6.7921335837314745E-2</v>
      </c>
      <c r="AL67" s="51">
        <f t="shared" ca="1" si="93"/>
        <v>4.8939212703419166E-2</v>
      </c>
      <c r="AM67" s="51"/>
      <c r="AN67" s="51">
        <f t="shared" ca="1" si="47"/>
        <v>2.2381226162895437E-2</v>
      </c>
      <c r="AO67" s="51">
        <f t="shared" ca="1" si="48"/>
        <v>-2.0953066973518657E-2</v>
      </c>
      <c r="AP67" s="51">
        <f t="shared" ca="1" si="49"/>
        <v>0.10686024050510601</v>
      </c>
    </row>
    <row r="68" spans="1:42" ht="17.25" customHeight="1" x14ac:dyDescent="0.25">
      <c r="A68" s="37">
        <v>2005</v>
      </c>
      <c r="B68" s="38" t="s">
        <v>66</v>
      </c>
      <c r="C68" s="38" t="s">
        <v>17</v>
      </c>
      <c r="D68" s="38" t="s">
        <v>21</v>
      </c>
      <c r="E68" s="38" t="s">
        <v>67</v>
      </c>
      <c r="F68" s="38" t="s">
        <v>67</v>
      </c>
      <c r="G68" s="39">
        <v>2360000000</v>
      </c>
      <c r="H68" s="38" t="s">
        <v>68</v>
      </c>
      <c r="I68" s="40" t="str">
        <f t="shared" si="0"/>
        <v>Poland-Offline</v>
      </c>
      <c r="J68" s="40" t="str">
        <f t="shared" si="1"/>
        <v/>
      </c>
      <c r="K68" s="40"/>
      <c r="L68" s="41"/>
      <c r="M68" s="35"/>
      <c r="N68" s="35"/>
      <c r="O68" s="35" t="str">
        <f t="shared" ca="1" si="44"/>
        <v>Qatar</v>
      </c>
      <c r="P68" s="50" t="str">
        <f t="shared" ref="P68:T68" ca="1" si="94">IFERROR(P25/O25-1,"")</f>
        <v/>
      </c>
      <c r="Q68" s="50">
        <f t="shared" ca="1" si="94"/>
        <v>0.36538461538461542</v>
      </c>
      <c r="R68" s="50">
        <f t="shared" ca="1" si="94"/>
        <v>0.30281690140845074</v>
      </c>
      <c r="S68" s="50">
        <f t="shared" ca="1" si="94"/>
        <v>0.38648648648648654</v>
      </c>
      <c r="T68" s="50">
        <f t="shared" ca="1" si="94"/>
        <v>-0.15173772553606235</v>
      </c>
      <c r="U68" s="51">
        <f t="shared" ref="U68:AL68" ca="1" si="95">U25/T25-1</f>
        <v>3.8687336199184186E-2</v>
      </c>
      <c r="V68" s="51">
        <f t="shared" ca="1" si="95"/>
        <v>0.21519102648640231</v>
      </c>
      <c r="W68" s="51">
        <f t="shared" ca="1" si="95"/>
        <v>9.2612692999098467E-2</v>
      </c>
      <c r="X68" s="51">
        <f t="shared" ca="1" si="95"/>
        <v>8.0199046429435983E-2</v>
      </c>
      <c r="Y68" s="51">
        <f t="shared" ca="1" si="95"/>
        <v>8.8512759340588332E-2</v>
      </c>
      <c r="Z68" s="51">
        <f t="shared" ca="1" si="95"/>
        <v>2.5975607999957129E-2</v>
      </c>
      <c r="AA68" s="51">
        <f t="shared" ca="1" si="95"/>
        <v>7.0875209237204029E-2</v>
      </c>
      <c r="AB68" s="51">
        <f t="shared" ca="1" si="95"/>
        <v>2.1002129170525352E-2</v>
      </c>
      <c r="AC68" s="51">
        <f t="shared" ca="1" si="95"/>
        <v>-3.9287014245149576E-2</v>
      </c>
      <c r="AD68" s="51">
        <f t="shared" ca="1" si="95"/>
        <v>7.374218181143366E-3</v>
      </c>
      <c r="AE68" s="51">
        <f t="shared" ca="1" si="95"/>
        <v>-0.77131352349921234</v>
      </c>
      <c r="AF68" s="51">
        <f t="shared" ca="1" si="95"/>
        <v>1.6035521565079494</v>
      </c>
      <c r="AG68" s="51">
        <f t="shared" ca="1" si="95"/>
        <v>0.86628323659404538</v>
      </c>
      <c r="AH68" s="51">
        <f t="shared" ca="1" si="95"/>
        <v>5.1423703377051933E-2</v>
      </c>
      <c r="AI68" s="51">
        <f t="shared" ca="1" si="95"/>
        <v>6.8814821060290576E-2</v>
      </c>
      <c r="AJ68" s="51">
        <f t="shared" ca="1" si="95"/>
        <v>3.9046664180091062E-2</v>
      </c>
      <c r="AK68" s="51">
        <f t="shared" ca="1" si="95"/>
        <v>2.9196976048039724E-2</v>
      </c>
      <c r="AL68" s="51">
        <f t="shared" ca="1" si="95"/>
        <v>2.5485397107339436E-2</v>
      </c>
      <c r="AM68" s="51"/>
      <c r="AN68" s="51">
        <f t="shared" ca="1" si="47"/>
        <v>0.13964624684299917</v>
      </c>
      <c r="AO68" s="51">
        <f t="shared" ca="1" si="48"/>
        <v>6.2495075066578379E-2</v>
      </c>
      <c r="AP68" s="51">
        <f t="shared" ca="1" si="49"/>
        <v>3.8687336199184186E-2</v>
      </c>
    </row>
    <row r="69" spans="1:42" ht="17.25" customHeight="1" x14ac:dyDescent="0.25">
      <c r="A69" s="44">
        <v>2005</v>
      </c>
      <c r="B69" s="45" t="s">
        <v>66</v>
      </c>
      <c r="C69" s="45" t="s">
        <v>17</v>
      </c>
      <c r="D69" s="45" t="s">
        <v>21</v>
      </c>
      <c r="E69" s="45" t="s">
        <v>69</v>
      </c>
      <c r="F69" s="45" t="s">
        <v>70</v>
      </c>
      <c r="G69" s="46">
        <v>112000000</v>
      </c>
      <c r="H69" s="45" t="s">
        <v>68</v>
      </c>
      <c r="I69" s="47" t="str">
        <f t="shared" si="0"/>
        <v>Poland-Online Supplier-Direct</v>
      </c>
      <c r="J69" s="47" t="str">
        <f t="shared" si="1"/>
        <v/>
      </c>
      <c r="K69" s="47"/>
      <c r="L69" s="41"/>
      <c r="M69" s="35"/>
      <c r="N69" s="35"/>
      <c r="O69" s="35" t="str">
        <f t="shared" ca="1" si="44"/>
        <v>Rest of Eastern Europe</v>
      </c>
      <c r="P69" s="50" t="str">
        <f t="shared" ref="P69:T69" ca="1" si="96">IFERROR(P26/O26-1,"")</f>
        <v/>
      </c>
      <c r="Q69" s="50">
        <f t="shared" ca="1" si="96"/>
        <v>0.12234042553191493</v>
      </c>
      <c r="R69" s="50">
        <f t="shared" ca="1" si="96"/>
        <v>0.26066350710900466</v>
      </c>
      <c r="S69" s="50">
        <f t="shared" ca="1" si="96"/>
        <v>0.1729323308270676</v>
      </c>
      <c r="T69" s="50">
        <f t="shared" ca="1" si="96"/>
        <v>-0.16098004647435893</v>
      </c>
      <c r="U69" s="51">
        <f t="shared" ref="U69:AL69" ca="1" si="97">U26/T26-1</f>
        <v>-2.296622667306869E-2</v>
      </c>
      <c r="V69" s="51">
        <f t="shared" ca="1" si="97"/>
        <v>0.4635371286775305</v>
      </c>
      <c r="W69" s="51">
        <f t="shared" ca="1" si="97"/>
        <v>-0.50096826902131575</v>
      </c>
      <c r="X69" s="51">
        <f t="shared" ca="1" si="97"/>
        <v>-8.391876949675503E-2</v>
      </c>
      <c r="Y69" s="51">
        <f t="shared" ca="1" si="97"/>
        <v>-1.0283892019581464E-2</v>
      </c>
      <c r="Z69" s="51">
        <f t="shared" ca="1" si="97"/>
        <v>-0.32484881255259701</v>
      </c>
      <c r="AA69" s="51">
        <f t="shared" ca="1" si="97"/>
        <v>-1.2754287386070651E-2</v>
      </c>
      <c r="AB69" s="51">
        <f t="shared" ca="1" si="97"/>
        <v>-4.6254325229905469E-2</v>
      </c>
      <c r="AC69" s="51">
        <f t="shared" ca="1" si="97"/>
        <v>7.4094746348366103E-2</v>
      </c>
      <c r="AD69" s="51">
        <f t="shared" ca="1" si="97"/>
        <v>-9.2813366685928211E-2</v>
      </c>
      <c r="AE69" s="51">
        <f t="shared" ca="1" si="97"/>
        <v>-0.57643378936854861</v>
      </c>
      <c r="AF69" s="51">
        <f t="shared" ca="1" si="97"/>
        <v>0.14750967975354112</v>
      </c>
      <c r="AG69" s="51">
        <f t="shared" ca="1" si="97"/>
        <v>0.49903091442999181</v>
      </c>
      <c r="AH69" s="51">
        <f t="shared" ca="1" si="97"/>
        <v>0.21675983527003773</v>
      </c>
      <c r="AI69" s="51">
        <f t="shared" ca="1" si="97"/>
        <v>7.1785969209097189E-2</v>
      </c>
      <c r="AJ69" s="51">
        <f t="shared" ca="1" si="97"/>
        <v>5.0743227668691882E-2</v>
      </c>
      <c r="AK69" s="51">
        <f t="shared" ca="1" si="97"/>
        <v>4.1100777413222156E-2</v>
      </c>
      <c r="AL69" s="51">
        <f t="shared" ca="1" si="97"/>
        <v>3.7654097631159011E-2</v>
      </c>
      <c r="AM69" s="51"/>
      <c r="AN69" s="51">
        <f t="shared" ca="1" si="47"/>
        <v>-3.8347423351185275E-3</v>
      </c>
      <c r="AO69" s="51">
        <f t="shared" ca="1" si="48"/>
        <v>-5.9356649707361889E-2</v>
      </c>
      <c r="AP69" s="51">
        <f t="shared" ca="1" si="49"/>
        <v>-2.296622667306869E-2</v>
      </c>
    </row>
    <row r="70" spans="1:42" ht="17.25" customHeight="1" x14ac:dyDescent="0.25">
      <c r="A70" s="37">
        <v>2005</v>
      </c>
      <c r="B70" s="38" t="s">
        <v>66</v>
      </c>
      <c r="C70" s="38" t="s">
        <v>17</v>
      </c>
      <c r="D70" s="38" t="s">
        <v>21</v>
      </c>
      <c r="E70" s="38" t="s">
        <v>69</v>
      </c>
      <c r="F70" s="38" t="s">
        <v>71</v>
      </c>
      <c r="G70" s="39">
        <v>112000000</v>
      </c>
      <c r="H70" s="38" t="s">
        <v>68</v>
      </c>
      <c r="I70" s="40" t="str">
        <f t="shared" si="0"/>
        <v>Poland-OTA</v>
      </c>
      <c r="J70" s="40" t="str">
        <f t="shared" si="1"/>
        <v/>
      </c>
      <c r="K70" s="40"/>
      <c r="L70" s="41"/>
      <c r="M70" s="35"/>
      <c r="N70" s="35"/>
      <c r="O70" s="35" t="str">
        <f t="shared" ca="1" si="44"/>
        <v>Rest of Europe</v>
      </c>
      <c r="P70" s="50" t="str">
        <f t="shared" ref="P70:T70" ca="1" si="98">IFERROR(P27/O27-1,"")</f>
        <v/>
      </c>
      <c r="Q70" s="50">
        <f t="shared" ca="1" si="98"/>
        <v>5.9431524547803649E-2</v>
      </c>
      <c r="R70" s="50">
        <f t="shared" ca="1" si="98"/>
        <v>0.14146341463414625</v>
      </c>
      <c r="S70" s="50">
        <f t="shared" ca="1" si="98"/>
        <v>1.9230769230769162E-2</v>
      </c>
      <c r="T70" s="50">
        <f t="shared" ca="1" si="98"/>
        <v>-0.10168614926624742</v>
      </c>
      <c r="U70" s="51">
        <f t="shared" ref="U70:AL70" ca="1" si="99">U27/T27-1</f>
        <v>-6.5886993549686634E-2</v>
      </c>
      <c r="V70" s="51">
        <f t="shared" ca="1" si="99"/>
        <v>2.9108000041056847E-2</v>
      </c>
      <c r="W70" s="51">
        <f t="shared" ca="1" si="99"/>
        <v>-9.4839687045832233E-2</v>
      </c>
      <c r="X70" s="51">
        <f t="shared" ca="1" si="99"/>
        <v>4.7355128570653049E-2</v>
      </c>
      <c r="Y70" s="51">
        <f t="shared" ca="1" si="99"/>
        <v>-9.8290019592705002E-3</v>
      </c>
      <c r="Z70" s="51">
        <f t="shared" ca="1" si="99"/>
        <v>-0.1426046057939413</v>
      </c>
      <c r="AA70" s="51">
        <f t="shared" ca="1" si="99"/>
        <v>-8.3771011033855203E-3</v>
      </c>
      <c r="AB70" s="51">
        <f t="shared" ca="1" si="99"/>
        <v>7.1465310697151674E-2</v>
      </c>
      <c r="AC70" s="51">
        <f t="shared" ca="1" si="99"/>
        <v>3.7822740561362034E-2</v>
      </c>
      <c r="AD70" s="51">
        <f t="shared" ca="1" si="99"/>
        <v>-0.11432375417162721</v>
      </c>
      <c r="AE70" s="51">
        <f t="shared" ca="1" si="99"/>
        <v>-0.55400575298962629</v>
      </c>
      <c r="AF70" s="51">
        <f t="shared" ca="1" si="99"/>
        <v>0.1171151315563792</v>
      </c>
      <c r="AG70" s="51">
        <f t="shared" ca="1" si="99"/>
        <v>0.42292732950029599</v>
      </c>
      <c r="AH70" s="51">
        <f t="shared" ca="1" si="99"/>
        <v>0.11803981078496983</v>
      </c>
      <c r="AI70" s="51">
        <f t="shared" ca="1" si="99"/>
        <v>4.4812422439524102E-3</v>
      </c>
      <c r="AJ70" s="51">
        <f t="shared" ca="1" si="99"/>
        <v>-1.084361892266239E-4</v>
      </c>
      <c r="AK70" s="51">
        <f t="shared" ca="1" si="99"/>
        <v>3.9174729941618081E-2</v>
      </c>
      <c r="AL70" s="51">
        <f t="shared" ca="1" si="99"/>
        <v>3.2195411783003891E-2</v>
      </c>
      <c r="AM70" s="51"/>
      <c r="AN70" s="51">
        <f t="shared" ca="1" si="47"/>
        <v>-3.9050276178974053E-3</v>
      </c>
      <c r="AO70" s="51">
        <f t="shared" ca="1" si="48"/>
        <v>-2.0469218911537017E-2</v>
      </c>
      <c r="AP70" s="51">
        <f t="shared" ca="1" si="49"/>
        <v>-6.5886993549686634E-2</v>
      </c>
    </row>
    <row r="71" spans="1:42" ht="17.25" customHeight="1" x14ac:dyDescent="0.25">
      <c r="A71" s="44">
        <v>2005</v>
      </c>
      <c r="B71" s="45" t="s">
        <v>66</v>
      </c>
      <c r="C71" s="45" t="s">
        <v>41</v>
      </c>
      <c r="D71" s="45" t="s">
        <v>42</v>
      </c>
      <c r="E71" s="45" t="s">
        <v>67</v>
      </c>
      <c r="F71" s="45" t="s">
        <v>67</v>
      </c>
      <c r="G71" s="46">
        <v>2080000000</v>
      </c>
      <c r="H71" s="45" t="s">
        <v>68</v>
      </c>
      <c r="I71" s="47" t="str">
        <f t="shared" si="0"/>
        <v>Qatar-Offline</v>
      </c>
      <c r="J71" s="47" t="str">
        <f t="shared" si="1"/>
        <v/>
      </c>
      <c r="K71" s="47"/>
      <c r="L71" s="41"/>
      <c r="M71" s="35"/>
      <c r="N71" s="35"/>
      <c r="O71" s="35" t="str">
        <f t="shared" ca="1" si="44"/>
        <v>Rest of Middle East</v>
      </c>
      <c r="P71" s="50" t="str">
        <f t="shared" ref="P71:T71" ca="1" si="100">IFERROR(P28/O28-1,"")</f>
        <v/>
      </c>
      <c r="Q71" s="50">
        <f t="shared" ca="1" si="100"/>
        <v>0.18821292775665399</v>
      </c>
      <c r="R71" s="50">
        <f t="shared" ca="1" si="100"/>
        <v>0.13759999999999994</v>
      </c>
      <c r="S71" s="50">
        <f t="shared" ca="1" si="100"/>
        <v>0.20815752461322079</v>
      </c>
      <c r="T71" s="50">
        <f t="shared" ca="1" si="100"/>
        <v>-0.17883422095459833</v>
      </c>
      <c r="U71" s="51">
        <f t="shared" ref="U71:AL71" ca="1" si="101">U28/T28-1</f>
        <v>5.4429995987126389E-3</v>
      </c>
      <c r="V71" s="51">
        <f t="shared" ca="1" si="101"/>
        <v>-2.7153097932943848E-2</v>
      </c>
      <c r="W71" s="51">
        <f t="shared" ca="1" si="101"/>
        <v>-2.8722549944635301E-3</v>
      </c>
      <c r="X71" s="51">
        <f t="shared" ca="1" si="101"/>
        <v>-5.0570794793757923E-2</v>
      </c>
      <c r="Y71" s="51">
        <f t="shared" ca="1" si="101"/>
        <v>2.539807287607343E-2</v>
      </c>
      <c r="Z71" s="51">
        <f t="shared" ca="1" si="101"/>
        <v>2.1942457450441211E-3</v>
      </c>
      <c r="AA71" s="51">
        <f t="shared" ca="1" si="101"/>
        <v>0.16610914631045159</v>
      </c>
      <c r="AB71" s="51">
        <f t="shared" ca="1" si="101"/>
        <v>4.2955183147963538E-4</v>
      </c>
      <c r="AC71" s="51">
        <f t="shared" ca="1" si="101"/>
        <v>1.6909765934281618E-2</v>
      </c>
      <c r="AD71" s="51">
        <f t="shared" ca="1" si="101"/>
        <v>4.6417742018098895E-2</v>
      </c>
      <c r="AE71" s="51">
        <f t="shared" ca="1" si="101"/>
        <v>-0.70910117660502214</v>
      </c>
      <c r="AF71" s="51">
        <f t="shared" ca="1" si="101"/>
        <v>0.4190589586907123</v>
      </c>
      <c r="AG71" s="51">
        <f t="shared" ca="1" si="101"/>
        <v>0.46127726501205557</v>
      </c>
      <c r="AH71" s="51">
        <f t="shared" ca="1" si="101"/>
        <v>0.28278403307626943</v>
      </c>
      <c r="AI71" s="51">
        <f t="shared" ca="1" si="101"/>
        <v>6.3309087178320622E-2</v>
      </c>
      <c r="AJ71" s="51">
        <f t="shared" ca="1" si="101"/>
        <v>4.9440252720960531E-2</v>
      </c>
      <c r="AK71" s="51">
        <f t="shared" ca="1" si="101"/>
        <v>3.4266911429883029E-2</v>
      </c>
      <c r="AL71" s="51">
        <f t="shared" ca="1" si="101"/>
        <v>2.3242103082970811E-2</v>
      </c>
      <c r="AM71" s="51"/>
      <c r="AN71" s="51">
        <f t="shared" ca="1" si="47"/>
        <v>4.4810156176618154E-2</v>
      </c>
      <c r="AO71" s="51">
        <f t="shared" ca="1" si="48"/>
        <v>1.9651375221584888E-2</v>
      </c>
      <c r="AP71" s="51">
        <f t="shared" ca="1" si="49"/>
        <v>5.4429995987126389E-3</v>
      </c>
    </row>
    <row r="72" spans="1:42" ht="17.25" customHeight="1" x14ac:dyDescent="0.25">
      <c r="A72" s="37">
        <v>2005</v>
      </c>
      <c r="B72" s="38" t="s">
        <v>66</v>
      </c>
      <c r="C72" s="38" t="s">
        <v>41</v>
      </c>
      <c r="D72" s="38" t="s">
        <v>42</v>
      </c>
      <c r="E72" s="38" t="s">
        <v>69</v>
      </c>
      <c r="F72" s="38" t="s">
        <v>70</v>
      </c>
      <c r="G72" s="39">
        <v>45413378</v>
      </c>
      <c r="H72" s="38" t="s">
        <v>68</v>
      </c>
      <c r="I72" s="40" t="str">
        <f t="shared" si="0"/>
        <v>Qatar-Online Supplier-Direct</v>
      </c>
      <c r="J72" s="40" t="str">
        <f t="shared" si="1"/>
        <v/>
      </c>
      <c r="K72" s="40"/>
      <c r="L72" s="41"/>
      <c r="M72" s="35"/>
      <c r="N72" s="35"/>
      <c r="O72" s="35" t="str">
        <f t="shared" ca="1" si="44"/>
        <v>Romania</v>
      </c>
      <c r="P72" s="50" t="str">
        <f t="shared" ref="P72:T72" ca="1" si="102">IFERROR(P29/O29-1,"")</f>
        <v/>
      </c>
      <c r="Q72" s="50">
        <f t="shared" ca="1" si="102"/>
        <v>0.23255813953488369</v>
      </c>
      <c r="R72" s="50">
        <f t="shared" ca="1" si="102"/>
        <v>0.429245283018868</v>
      </c>
      <c r="S72" s="50">
        <f t="shared" ca="1" si="102"/>
        <v>0.17491749174917492</v>
      </c>
      <c r="T72" s="50">
        <f t="shared" ca="1" si="102"/>
        <v>-0.18752630898876399</v>
      </c>
      <c r="U72" s="51">
        <f t="shared" ref="U72:AL72" ca="1" si="103">U29/T29-1</f>
        <v>1.0635917082106872E-2</v>
      </c>
      <c r="V72" s="51">
        <f t="shared" ca="1" si="103"/>
        <v>-1.6596254892669027E-3</v>
      </c>
      <c r="W72" s="51">
        <f t="shared" ca="1" si="103"/>
        <v>-0.11583241904737662</v>
      </c>
      <c r="X72" s="51">
        <f t="shared" ca="1" si="103"/>
        <v>-6.8024796359399842E-2</v>
      </c>
      <c r="Y72" s="51">
        <f t="shared" ca="1" si="103"/>
        <v>-0.16907190087590052</v>
      </c>
      <c r="Z72" s="51">
        <f t="shared" ca="1" si="103"/>
        <v>-8.7636363211613943E-2</v>
      </c>
      <c r="AA72" s="51">
        <f t="shared" ca="1" si="103"/>
        <v>2.0839571624604591E-2</v>
      </c>
      <c r="AB72" s="51">
        <f t="shared" ca="1" si="103"/>
        <v>-0.30965056617279452</v>
      </c>
      <c r="AC72" s="51">
        <f t="shared" ca="1" si="103"/>
        <v>-3.1158500173906867E-2</v>
      </c>
      <c r="AD72" s="51">
        <f t="shared" ca="1" si="103"/>
        <v>-9.7166172938447648E-3</v>
      </c>
      <c r="AE72" s="51">
        <f t="shared" ca="1" si="103"/>
        <v>-0.64474991905037593</v>
      </c>
      <c r="AF72" s="51">
        <f t="shared" ca="1" si="103"/>
        <v>0.43954638063383689</v>
      </c>
      <c r="AG72" s="51">
        <f t="shared" ca="1" si="103"/>
        <v>0.23532353497541325</v>
      </c>
      <c r="AH72" s="51">
        <f t="shared" ca="1" si="103"/>
        <v>0.14721969380507005</v>
      </c>
      <c r="AI72" s="51">
        <f t="shared" ca="1" si="103"/>
        <v>8.8443392408963373E-2</v>
      </c>
      <c r="AJ72" s="51">
        <f t="shared" ca="1" si="103"/>
        <v>8.2483783901925678E-2</v>
      </c>
      <c r="AK72" s="51">
        <f t="shared" ca="1" si="103"/>
        <v>7.8302817187010598E-2</v>
      </c>
      <c r="AL72" s="51">
        <f t="shared" ca="1" si="103"/>
        <v>5.9042339531376831E-2</v>
      </c>
      <c r="AM72" s="51"/>
      <c r="AN72" s="51">
        <f t="shared" ca="1" si="47"/>
        <v>-1.5314626473565098E-2</v>
      </c>
      <c r="AO72" s="51">
        <f t="shared" ca="1" si="48"/>
        <v>-8.5767912999944379E-2</v>
      </c>
      <c r="AP72" s="51">
        <f t="shared" ca="1" si="49"/>
        <v>1.0635917082106872E-2</v>
      </c>
    </row>
    <row r="73" spans="1:42" ht="17.25" customHeight="1" x14ac:dyDescent="0.25">
      <c r="A73" s="44">
        <v>2005</v>
      </c>
      <c r="B73" s="45" t="s">
        <v>66</v>
      </c>
      <c r="C73" s="45" t="s">
        <v>41</v>
      </c>
      <c r="D73" s="45" t="s">
        <v>42</v>
      </c>
      <c r="E73" s="45" t="s">
        <v>69</v>
      </c>
      <c r="F73" s="45" t="s">
        <v>71</v>
      </c>
      <c r="G73" s="46">
        <v>45413378</v>
      </c>
      <c r="H73" s="45" t="s">
        <v>68</v>
      </c>
      <c r="I73" s="47" t="str">
        <f t="shared" si="0"/>
        <v>Qatar-OTA</v>
      </c>
      <c r="J73" s="47" t="str">
        <f t="shared" si="1"/>
        <v/>
      </c>
      <c r="K73" s="47"/>
      <c r="L73" s="41"/>
      <c r="M73" s="35"/>
      <c r="N73" s="35"/>
      <c r="O73" s="35" t="str">
        <f t="shared" ca="1" si="44"/>
        <v>Russia</v>
      </c>
      <c r="P73" s="50" t="str">
        <f t="shared" ref="P73:T73" ca="1" si="104">IFERROR(P30/O30-1,"")</f>
        <v/>
      </c>
      <c r="Q73" s="50">
        <f t="shared" ca="1" si="104"/>
        <v>0.29032258064516125</v>
      </c>
      <c r="R73" s="50">
        <f t="shared" ca="1" si="104"/>
        <v>0.31071428571428572</v>
      </c>
      <c r="S73" s="50">
        <f t="shared" ca="1" si="104"/>
        <v>0.22343324250681196</v>
      </c>
      <c r="T73" s="50">
        <f t="shared" ca="1" si="104"/>
        <v>-0.26365912547884185</v>
      </c>
      <c r="U73" s="51">
        <f t="shared" ref="U73:AL73" ca="1" si="105">U30/T30-1</f>
        <v>0.11751289017736899</v>
      </c>
      <c r="V73" s="51">
        <f t="shared" ca="1" si="105"/>
        <v>7.4381681096391539E-3</v>
      </c>
      <c r="W73" s="51">
        <f t="shared" ca="1" si="105"/>
        <v>-2.9262211894839352E-2</v>
      </c>
      <c r="X73" s="51">
        <f t="shared" ca="1" si="105"/>
        <v>-4.7472556737652605E-2</v>
      </c>
      <c r="Y73" s="51">
        <f t="shared" ca="1" si="105"/>
        <v>-0.42129818726351098</v>
      </c>
      <c r="Z73" s="51">
        <f t="shared" ca="1" si="105"/>
        <v>-0.1018071404198837</v>
      </c>
      <c r="AA73" s="51">
        <f t="shared" ca="1" si="105"/>
        <v>-3.5086343450528301E-2</v>
      </c>
      <c r="AB73" s="51">
        <f t="shared" ca="1" si="105"/>
        <v>0.29412435591526065</v>
      </c>
      <c r="AC73" s="51">
        <f t="shared" ca="1" si="105"/>
        <v>-4.466453953243299E-3</v>
      </c>
      <c r="AD73" s="51">
        <f t="shared" ca="1" si="105"/>
        <v>2.634816707733223E-2</v>
      </c>
      <c r="AE73" s="51">
        <f t="shared" ca="1" si="105"/>
        <v>-0.5980763781606564</v>
      </c>
      <c r="AF73" s="51">
        <f t="shared" ca="1" si="105"/>
        <v>0.39488625999333271</v>
      </c>
      <c r="AG73" s="51">
        <f t="shared" ca="1" si="105"/>
        <v>0.1480186260093781</v>
      </c>
      <c r="AH73" s="51">
        <f t="shared" ca="1" si="105"/>
        <v>-9.0481364013984766E-2</v>
      </c>
      <c r="AI73" s="51">
        <f t="shared" ca="1" si="105"/>
        <v>2.8892341956239465E-2</v>
      </c>
      <c r="AJ73" s="51">
        <f t="shared" ca="1" si="105"/>
        <v>0.13069718777856232</v>
      </c>
      <c r="AK73" s="51">
        <f t="shared" ca="1" si="105"/>
        <v>0.12207225942869382</v>
      </c>
      <c r="AL73" s="51">
        <f t="shared" ca="1" si="105"/>
        <v>9.4220293884692996E-2</v>
      </c>
      <c r="AM73" s="51"/>
      <c r="AN73" s="51">
        <f t="shared" ca="1" si="47"/>
        <v>2.014439690900057E-3</v>
      </c>
      <c r="AO73" s="51">
        <f t="shared" ca="1" si="48"/>
        <v>-3.4609133624158468E-2</v>
      </c>
      <c r="AP73" s="51">
        <f t="shared" ca="1" si="49"/>
        <v>0.11751289017736899</v>
      </c>
    </row>
    <row r="74" spans="1:42" ht="17.25" customHeight="1" x14ac:dyDescent="0.25">
      <c r="A74" s="37">
        <v>2005</v>
      </c>
      <c r="B74" s="38" t="s">
        <v>66</v>
      </c>
      <c r="C74" s="38" t="s">
        <v>17</v>
      </c>
      <c r="D74" s="38" t="s">
        <v>22</v>
      </c>
      <c r="E74" s="38" t="s">
        <v>67</v>
      </c>
      <c r="F74" s="38" t="s">
        <v>67</v>
      </c>
      <c r="G74" s="39">
        <v>1880000000</v>
      </c>
      <c r="H74" s="38" t="s">
        <v>68</v>
      </c>
      <c r="I74" s="40" t="str">
        <f t="shared" si="0"/>
        <v>Rest of Eastern Europe-Offline</v>
      </c>
      <c r="J74" s="40" t="str">
        <f t="shared" si="1"/>
        <v/>
      </c>
      <c r="K74" s="40"/>
      <c r="L74" s="41"/>
      <c r="M74" s="35"/>
      <c r="N74" s="35"/>
      <c r="O74" s="35" t="str">
        <f t="shared" ca="1" si="44"/>
        <v>Saudi Arabia</v>
      </c>
      <c r="P74" s="50" t="str">
        <f t="shared" ref="P74:T74" ca="1" si="106">IFERROR(P31/O31-1,"")</f>
        <v/>
      </c>
      <c r="Q74" s="50">
        <f t="shared" ca="1" si="106"/>
        <v>0.14393939393939403</v>
      </c>
      <c r="R74" s="50">
        <f t="shared" ca="1" si="106"/>
        <v>0.10066225165562903</v>
      </c>
      <c r="S74" s="50">
        <f t="shared" ca="1" si="106"/>
        <v>0.1961492178098676</v>
      </c>
      <c r="T74" s="50">
        <f t="shared" ca="1" si="106"/>
        <v>-0.17410097142857139</v>
      </c>
      <c r="U74" s="51">
        <f t="shared" ref="U74:AL74" ca="1" si="107">U31/T31-1</f>
        <v>2.3245910194489294E-2</v>
      </c>
      <c r="V74" s="51">
        <f t="shared" ca="1" si="107"/>
        <v>-1.386357462310428E-2</v>
      </c>
      <c r="W74" s="51">
        <f t="shared" ca="1" si="107"/>
        <v>-2.4095696889037121E-3</v>
      </c>
      <c r="X74" s="51">
        <f t="shared" ca="1" si="107"/>
        <v>1.4146182992265111E-3</v>
      </c>
      <c r="Y74" s="51">
        <f t="shared" ca="1" si="107"/>
        <v>4.8662729293751816E-2</v>
      </c>
      <c r="Z74" s="51">
        <f t="shared" ca="1" si="107"/>
        <v>3.4610412971010307E-2</v>
      </c>
      <c r="AA74" s="51">
        <f t="shared" ca="1" si="107"/>
        <v>2.6261643135331525E-2</v>
      </c>
      <c r="AB74" s="51">
        <f t="shared" ca="1" si="107"/>
        <v>5.0906803778926202E-2</v>
      </c>
      <c r="AC74" s="51">
        <f t="shared" ca="1" si="107"/>
        <v>2.3638757830806156E-3</v>
      </c>
      <c r="AD74" s="51">
        <f t="shared" ca="1" si="107"/>
        <v>5.8781009176324783E-2</v>
      </c>
      <c r="AE74" s="51">
        <f t="shared" ca="1" si="107"/>
        <v>-0.67632566307369957</v>
      </c>
      <c r="AF74" s="51">
        <f t="shared" ca="1" si="107"/>
        <v>0.27196059667727424</v>
      </c>
      <c r="AG74" s="51">
        <f t="shared" ca="1" si="107"/>
        <v>0.96115805791956577</v>
      </c>
      <c r="AH74" s="51">
        <f t="shared" ca="1" si="107"/>
        <v>5.9210927642234568E-2</v>
      </c>
      <c r="AI74" s="51">
        <f t="shared" ca="1" si="107"/>
        <v>5.5916798810130341E-2</v>
      </c>
      <c r="AJ74" s="51">
        <f t="shared" ca="1" si="107"/>
        <v>6.945072970297006E-2</v>
      </c>
      <c r="AK74" s="51">
        <f t="shared" ca="1" si="107"/>
        <v>5.8302765443545956E-2</v>
      </c>
      <c r="AL74" s="51">
        <f t="shared" ca="1" si="107"/>
        <v>8.1429249831839412E-2</v>
      </c>
      <c r="AM74" s="51"/>
      <c r="AN74" s="51">
        <f t="shared" ca="1" si="47"/>
        <v>6.1726517848555207E-2</v>
      </c>
      <c r="AO74" s="51">
        <f t="shared" ca="1" si="48"/>
        <v>2.2969772013960419E-2</v>
      </c>
      <c r="AP74" s="51">
        <f t="shared" ca="1" si="49"/>
        <v>2.3245910194489294E-2</v>
      </c>
    </row>
    <row r="75" spans="1:42" ht="17.25" customHeight="1" x14ac:dyDescent="0.25">
      <c r="A75" s="44">
        <v>2005</v>
      </c>
      <c r="B75" s="45" t="s">
        <v>66</v>
      </c>
      <c r="C75" s="45" t="s">
        <v>17</v>
      </c>
      <c r="D75" s="45" t="s">
        <v>22</v>
      </c>
      <c r="E75" s="45" t="s">
        <v>69</v>
      </c>
      <c r="F75" s="45" t="s">
        <v>70</v>
      </c>
      <c r="G75" s="46">
        <v>58484152</v>
      </c>
      <c r="H75" s="45" t="s">
        <v>68</v>
      </c>
      <c r="I75" s="47" t="str">
        <f t="shared" si="0"/>
        <v>Rest of Eastern Europe-Online Supplier-Direct</v>
      </c>
      <c r="J75" s="47" t="str">
        <f t="shared" si="1"/>
        <v/>
      </c>
      <c r="K75" s="47"/>
      <c r="L75" s="41"/>
      <c r="M75" s="35"/>
      <c r="N75" s="35"/>
      <c r="O75" s="35" t="str">
        <f t="shared" ca="1" si="44"/>
        <v>Scandinavia</v>
      </c>
      <c r="P75" s="50" t="str">
        <f t="shared" ref="P75:T75" ca="1" si="108">IFERROR(P32/O32-1,"")</f>
        <v/>
      </c>
      <c r="Q75" s="50">
        <f t="shared" ca="1" si="108"/>
        <v>8.870967741935476E-2</v>
      </c>
      <c r="R75" s="50">
        <f t="shared" ca="1" si="108"/>
        <v>0.14814814814814814</v>
      </c>
      <c r="S75" s="50">
        <f t="shared" ca="1" si="108"/>
        <v>4.8387096774193505E-2</v>
      </c>
      <c r="T75" s="50">
        <f t="shared" ca="1" si="108"/>
        <v>-0.13993838569230765</v>
      </c>
      <c r="U75" s="51">
        <f t="shared" ref="U75:AL75" ca="1" si="109">U32/T32-1</f>
        <v>-4.3729891410482891E-2</v>
      </c>
      <c r="V75" s="51">
        <f t="shared" ca="1" si="109"/>
        <v>-5.1169193629569176E-2</v>
      </c>
      <c r="W75" s="51">
        <f t="shared" ca="1" si="109"/>
        <v>-3.940038867841944E-2</v>
      </c>
      <c r="X75" s="51">
        <f t="shared" ca="1" si="109"/>
        <v>1.1424663571090177E-2</v>
      </c>
      <c r="Y75" s="51">
        <f t="shared" ca="1" si="109"/>
        <v>-5.7439259478456184E-2</v>
      </c>
      <c r="Z75" s="51">
        <f t="shared" ca="1" si="109"/>
        <v>-0.20186409445993025</v>
      </c>
      <c r="AA75" s="51">
        <f t="shared" ca="1" si="109"/>
        <v>0.36189738065417676</v>
      </c>
      <c r="AB75" s="51">
        <f t="shared" ca="1" si="109"/>
        <v>-4.9409821391305564E-2</v>
      </c>
      <c r="AC75" s="51">
        <f t="shared" ca="1" si="109"/>
        <v>4.3845113890554233E-2</v>
      </c>
      <c r="AD75" s="51">
        <f t="shared" ca="1" si="109"/>
        <v>-0.35847884893033188</v>
      </c>
      <c r="AE75" s="51">
        <f t="shared" ca="1" si="109"/>
        <v>-0.59459189826870817</v>
      </c>
      <c r="AF75" s="51">
        <f t="shared" ca="1" si="109"/>
        <v>0.24104510139036939</v>
      </c>
      <c r="AG75" s="51">
        <f t="shared" ca="1" si="109"/>
        <v>0.14048357462234362</v>
      </c>
      <c r="AH75" s="51">
        <f t="shared" ca="1" si="109"/>
        <v>0.12874123835405649</v>
      </c>
      <c r="AI75" s="51">
        <f t="shared" ca="1" si="109"/>
        <v>8.5126803257747907E-2</v>
      </c>
      <c r="AJ75" s="51">
        <f t="shared" ca="1" si="109"/>
        <v>2.6486291818757168E-2</v>
      </c>
      <c r="AK75" s="51">
        <f t="shared" ca="1" si="109"/>
        <v>3.0051686410461409E-2</v>
      </c>
      <c r="AL75" s="51">
        <f t="shared" ca="1" si="109"/>
        <v>2.1520894608577645E-2</v>
      </c>
      <c r="AM75" s="51"/>
      <c r="AN75" s="51">
        <f t="shared" ca="1" si="47"/>
        <v>-1.6970035981614933E-2</v>
      </c>
      <c r="AO75" s="51">
        <f t="shared" ca="1" si="48"/>
        <v>-3.7843827605799039E-2</v>
      </c>
      <c r="AP75" s="51">
        <f t="shared" ca="1" si="49"/>
        <v>-4.3729891410482891E-2</v>
      </c>
    </row>
    <row r="76" spans="1:42" ht="17.25" customHeight="1" x14ac:dyDescent="0.25">
      <c r="A76" s="37">
        <v>2005</v>
      </c>
      <c r="B76" s="38" t="s">
        <v>66</v>
      </c>
      <c r="C76" s="38" t="s">
        <v>17</v>
      </c>
      <c r="D76" s="38" t="s">
        <v>22</v>
      </c>
      <c r="E76" s="38" t="s">
        <v>69</v>
      </c>
      <c r="F76" s="38" t="s">
        <v>71</v>
      </c>
      <c r="G76" s="39">
        <v>58484152</v>
      </c>
      <c r="H76" s="38" t="s">
        <v>68</v>
      </c>
      <c r="I76" s="40" t="str">
        <f t="shared" si="0"/>
        <v>Rest of Eastern Europe-OTA</v>
      </c>
      <c r="J76" s="40" t="str">
        <f t="shared" si="1"/>
        <v/>
      </c>
      <c r="K76" s="40"/>
      <c r="L76" s="41"/>
      <c r="M76" s="35"/>
      <c r="N76" s="35"/>
      <c r="O76" s="35" t="str">
        <f t="shared" ca="1" si="44"/>
        <v>Singapore</v>
      </c>
      <c r="P76" s="50" t="str">
        <f t="shared" ref="P76:T76" ca="1" si="110">IFERROR(P33/O33-1,"")</f>
        <v/>
      </c>
      <c r="Q76" s="50">
        <f t="shared" ca="1" si="110"/>
        <v>0.15877437325905297</v>
      </c>
      <c r="R76" s="50">
        <f t="shared" ca="1" si="110"/>
        <v>0.21153846153846145</v>
      </c>
      <c r="S76" s="50">
        <f t="shared" ca="1" si="110"/>
        <v>2.5793650793650702E-2</v>
      </c>
      <c r="T76" s="50">
        <f t="shared" ca="1" si="110"/>
        <v>2.5792682785299448E-3</v>
      </c>
      <c r="U76" s="51">
        <f t="shared" ref="U76:AL76" ca="1" si="111">U33/T33-1</f>
        <v>0.29058683939536833</v>
      </c>
      <c r="V76" s="51">
        <f t="shared" ca="1" si="111"/>
        <v>7.9174533844389883E-2</v>
      </c>
      <c r="W76" s="51">
        <f t="shared" ca="1" si="111"/>
        <v>5.5573820690079989E-2</v>
      </c>
      <c r="X76" s="51">
        <f t="shared" ca="1" si="111"/>
        <v>-3.3404698045575554E-2</v>
      </c>
      <c r="Y76" s="51">
        <f t="shared" ca="1" si="111"/>
        <v>6.5028378268234821E-3</v>
      </c>
      <c r="Z76" s="51">
        <f t="shared" ca="1" si="111"/>
        <v>-0.12715931821432569</v>
      </c>
      <c r="AA76" s="51">
        <f t="shared" ca="1" si="111"/>
        <v>9.1702999205734992E-2</v>
      </c>
      <c r="AB76" s="51">
        <f t="shared" ca="1" si="111"/>
        <v>7.7305184556042406E-4</v>
      </c>
      <c r="AC76" s="51">
        <f t="shared" ca="1" si="111"/>
        <v>2.002527257562714E-2</v>
      </c>
      <c r="AD76" s="51">
        <f t="shared" ca="1" si="111"/>
        <v>2.0166271803683244E-2</v>
      </c>
      <c r="AE76" s="51">
        <f t="shared" ca="1" si="111"/>
        <v>-0.81694647432575829</v>
      </c>
      <c r="AF76" s="51">
        <f t="shared" ca="1" si="111"/>
        <v>-0.29246686866144267</v>
      </c>
      <c r="AG76" s="51">
        <f t="shared" ca="1" si="111"/>
        <v>3.0506698866724227</v>
      </c>
      <c r="AH76" s="51">
        <f t="shared" ca="1" si="111"/>
        <v>0.32957199932403802</v>
      </c>
      <c r="AI76" s="51">
        <f t="shared" ca="1" si="111"/>
        <v>-9.0338454306407856E-3</v>
      </c>
      <c r="AJ76" s="51">
        <f t="shared" ca="1" si="111"/>
        <v>-2.7556853244558366E-2</v>
      </c>
      <c r="AK76" s="51">
        <f t="shared" ca="1" si="111"/>
        <v>-2.8936840279042642E-2</v>
      </c>
      <c r="AL76" s="51">
        <f t="shared" ca="1" si="111"/>
        <v>-1.8005665252184833E-2</v>
      </c>
      <c r="AM76" s="51"/>
      <c r="AN76" s="51">
        <f t="shared" ca="1" si="47"/>
        <v>0.14395760831834439</v>
      </c>
      <c r="AO76" s="51">
        <f t="shared" ca="1" si="48"/>
        <v>1.2594974614666434E-2</v>
      </c>
      <c r="AP76" s="51">
        <f t="shared" ca="1" si="49"/>
        <v>0.29058683939536833</v>
      </c>
    </row>
    <row r="77" spans="1:42" ht="17.25" customHeight="1" x14ac:dyDescent="0.25">
      <c r="A77" s="44">
        <v>2005</v>
      </c>
      <c r="B77" s="45" t="s">
        <v>66</v>
      </c>
      <c r="C77" s="45" t="s">
        <v>27</v>
      </c>
      <c r="D77" s="45" t="s">
        <v>30</v>
      </c>
      <c r="E77" s="45" t="s">
        <v>67</v>
      </c>
      <c r="F77" s="45" t="s">
        <v>67</v>
      </c>
      <c r="G77" s="46">
        <v>38700000000</v>
      </c>
      <c r="H77" s="45" t="s">
        <v>68</v>
      </c>
      <c r="I77" s="47" t="str">
        <f t="shared" si="0"/>
        <v>Rest of Europe-Offline</v>
      </c>
      <c r="J77" s="47" t="str">
        <f t="shared" si="1"/>
        <v/>
      </c>
      <c r="K77" s="47"/>
      <c r="L77" s="41"/>
      <c r="M77" s="35"/>
      <c r="N77" s="35"/>
      <c r="O77" s="35" t="str">
        <f t="shared" ca="1" si="44"/>
        <v>South Korea</v>
      </c>
      <c r="P77" s="50" t="str">
        <f t="shared" ref="P77:T77" ca="1" si="112">IFERROR(P34/O34-1,"")</f>
        <v/>
      </c>
      <c r="Q77" s="50">
        <f t="shared" ca="1" si="112"/>
        <v>0.12078346028291631</v>
      </c>
      <c r="R77" s="50">
        <f t="shared" ca="1" si="112"/>
        <v>0.11650485436893199</v>
      </c>
      <c r="S77" s="50">
        <f t="shared" ca="1" si="112"/>
        <v>-0.14869565217391301</v>
      </c>
      <c r="T77" s="50">
        <f t="shared" ca="1" si="112"/>
        <v>-9.8342298059244104E-2</v>
      </c>
      <c r="U77" s="51">
        <f t="shared" ref="U77:AL77" ca="1" si="113">U34/T34-1</f>
        <v>0.25596424768004722</v>
      </c>
      <c r="V77" s="51">
        <f t="shared" ca="1" si="113"/>
        <v>8.4444713392512805E-2</v>
      </c>
      <c r="W77" s="51">
        <f t="shared" ca="1" si="113"/>
        <v>-2.751423549064469E-2</v>
      </c>
      <c r="X77" s="51">
        <f t="shared" ca="1" si="113"/>
        <v>-2.442924743650865E-2</v>
      </c>
      <c r="Y77" s="51">
        <f t="shared" ca="1" si="113"/>
        <v>5.1789389097727234E-3</v>
      </c>
      <c r="Z77" s="51">
        <f t="shared" ca="1" si="113"/>
        <v>-0.14062087749983998</v>
      </c>
      <c r="AA77" s="51">
        <f t="shared" ca="1" si="113"/>
        <v>-8.791615785366913E-3</v>
      </c>
      <c r="AB77" s="51">
        <f t="shared" ca="1" si="113"/>
        <v>-1.8787229073454093E-2</v>
      </c>
      <c r="AC77" s="51">
        <f t="shared" ca="1" si="113"/>
        <v>0.22848759321606749</v>
      </c>
      <c r="AD77" s="51">
        <f t="shared" ca="1" si="113"/>
        <v>-0.10206003289750265</v>
      </c>
      <c r="AE77" s="51">
        <f t="shared" ca="1" si="113"/>
        <v>-0.70769733171142457</v>
      </c>
      <c r="AF77" s="51">
        <f t="shared" ca="1" si="113"/>
        <v>-7.9734156020359159E-2</v>
      </c>
      <c r="AG77" s="51">
        <f t="shared" ca="1" si="113"/>
        <v>0.97938963398682533</v>
      </c>
      <c r="AH77" s="51">
        <f t="shared" ca="1" si="113"/>
        <v>0.57411466559575608</v>
      </c>
      <c r="AI77" s="51">
        <f t="shared" ca="1" si="113"/>
        <v>8.8592900597459279E-2</v>
      </c>
      <c r="AJ77" s="51">
        <f t="shared" ca="1" si="113"/>
        <v>3.5067622813901078E-2</v>
      </c>
      <c r="AK77" s="51">
        <f t="shared" ca="1" si="113"/>
        <v>2.5191223351423986E-3</v>
      </c>
      <c r="AL77" s="51">
        <f t="shared" ca="1" si="113"/>
        <v>-2.8712193912514561E-3</v>
      </c>
      <c r="AM77" s="51"/>
      <c r="AN77" s="51">
        <f t="shared" ca="1" si="47"/>
        <v>6.3402971845618453E-2</v>
      </c>
      <c r="AO77" s="51">
        <f t="shared" ca="1" si="48"/>
        <v>-4.5466585166266242E-4</v>
      </c>
      <c r="AP77" s="51">
        <f t="shared" ca="1" si="49"/>
        <v>0.25596424768004722</v>
      </c>
    </row>
    <row r="78" spans="1:42" ht="17.25" customHeight="1" x14ac:dyDescent="0.25">
      <c r="A78" s="37">
        <v>2005</v>
      </c>
      <c r="B78" s="38" t="s">
        <v>66</v>
      </c>
      <c r="C78" s="38" t="s">
        <v>27</v>
      </c>
      <c r="D78" s="38" t="s">
        <v>30</v>
      </c>
      <c r="E78" s="38" t="s">
        <v>69</v>
      </c>
      <c r="F78" s="38" t="s">
        <v>70</v>
      </c>
      <c r="G78" s="39">
        <v>4640000000</v>
      </c>
      <c r="H78" s="38" t="s">
        <v>68</v>
      </c>
      <c r="I78" s="40" t="str">
        <f t="shared" si="0"/>
        <v>Rest of Europe-Online Supplier-Direct</v>
      </c>
      <c r="J78" s="40" t="str">
        <f t="shared" si="1"/>
        <v/>
      </c>
      <c r="K78" s="40"/>
      <c r="L78" s="41"/>
      <c r="M78" s="35"/>
      <c r="N78" s="35"/>
      <c r="O78" s="35" t="str">
        <f t="shared" ca="1" si="44"/>
        <v>Spain</v>
      </c>
      <c r="P78" s="50" t="str">
        <f t="shared" ref="P78:T78" ca="1" si="114">IFERROR(P35/O35-1,"")</f>
        <v/>
      </c>
      <c r="Q78" s="50">
        <f t="shared" ca="1" si="114"/>
        <v>8.8235294117646967E-2</v>
      </c>
      <c r="R78" s="50">
        <f t="shared" ca="1" si="114"/>
        <v>0.16756756756756763</v>
      </c>
      <c r="S78" s="50">
        <f t="shared" ca="1" si="114"/>
        <v>6.0185185185185119E-2</v>
      </c>
      <c r="T78" s="50">
        <f t="shared" ca="1" si="114"/>
        <v>-8.4471152838427987E-2</v>
      </c>
      <c r="U78" s="51">
        <f t="shared" ref="U78:AL78" ca="1" si="115">U35/T35-1</f>
        <v>-5.6571260271332191E-2</v>
      </c>
      <c r="V78" s="51">
        <f t="shared" ca="1" si="115"/>
        <v>7.7814913082767667E-3</v>
      </c>
      <c r="W78" s="51">
        <f t="shared" ca="1" si="115"/>
        <v>-0.13002674509162204</v>
      </c>
      <c r="X78" s="51">
        <f t="shared" ca="1" si="115"/>
        <v>-3.2835925584406955E-2</v>
      </c>
      <c r="Y78" s="51">
        <f t="shared" ca="1" si="115"/>
        <v>1.3319875202868925E-2</v>
      </c>
      <c r="Z78" s="51">
        <f t="shared" ca="1" si="115"/>
        <v>-0.14723494688577199</v>
      </c>
      <c r="AA78" s="51">
        <f t="shared" ca="1" si="115"/>
        <v>6.7427185796393285E-2</v>
      </c>
      <c r="AB78" s="51">
        <f t="shared" ca="1" si="115"/>
        <v>0.10459990795763874</v>
      </c>
      <c r="AC78" s="51">
        <f t="shared" ca="1" si="115"/>
        <v>7.5703905707622754E-2</v>
      </c>
      <c r="AD78" s="51">
        <f t="shared" ca="1" si="115"/>
        <v>-1.773945176627878E-2</v>
      </c>
      <c r="AE78" s="51">
        <f t="shared" ca="1" si="115"/>
        <v>-0.74691888020729424</v>
      </c>
      <c r="AF78" s="51">
        <f t="shared" ca="1" si="115"/>
        <v>0.64276635688792116</v>
      </c>
      <c r="AG78" s="51">
        <f t="shared" ca="1" si="115"/>
        <v>0.489404704993323</v>
      </c>
      <c r="AH78" s="51">
        <f t="shared" ca="1" si="115"/>
        <v>0.36728881637256938</v>
      </c>
      <c r="AI78" s="51">
        <f t="shared" ca="1" si="115"/>
        <v>4.9967542900798634E-2</v>
      </c>
      <c r="AJ78" s="51">
        <f t="shared" ca="1" si="115"/>
        <v>8.1012926739483238E-3</v>
      </c>
      <c r="AK78" s="51">
        <f t="shared" ca="1" si="115"/>
        <v>3.86333662337357E-3</v>
      </c>
      <c r="AL78" s="51">
        <f t="shared" ca="1" si="115"/>
        <v>-2.8562683904431729E-4</v>
      </c>
      <c r="AM78" s="51"/>
      <c r="AN78" s="51">
        <f t="shared" ca="1" si="47"/>
        <v>3.8811754432165779E-2</v>
      </c>
      <c r="AO78" s="51">
        <f t="shared" ca="1" si="48"/>
        <v>-6.5560781505865882E-3</v>
      </c>
      <c r="AP78" s="51">
        <f t="shared" ca="1" si="49"/>
        <v>-5.6571260271332191E-2</v>
      </c>
    </row>
    <row r="79" spans="1:42" ht="17.25" customHeight="1" x14ac:dyDescent="0.25">
      <c r="A79" s="44">
        <v>2005</v>
      </c>
      <c r="B79" s="45" t="s">
        <v>66</v>
      </c>
      <c r="C79" s="45" t="s">
        <v>27</v>
      </c>
      <c r="D79" s="45" t="s">
        <v>30</v>
      </c>
      <c r="E79" s="45" t="s">
        <v>69</v>
      </c>
      <c r="F79" s="45" t="s">
        <v>71</v>
      </c>
      <c r="G79" s="46">
        <v>4640000000</v>
      </c>
      <c r="H79" s="45" t="s">
        <v>68</v>
      </c>
      <c r="I79" s="47" t="str">
        <f t="shared" si="0"/>
        <v>Rest of Europe-OTA</v>
      </c>
      <c r="J79" s="47" t="str">
        <f t="shared" si="1"/>
        <v/>
      </c>
      <c r="K79" s="47"/>
      <c r="L79" s="41"/>
      <c r="M79" s="35"/>
      <c r="N79" s="35"/>
      <c r="O79" s="35" t="str">
        <f t="shared" ca="1" si="44"/>
        <v>Taiwan</v>
      </c>
      <c r="P79" s="50" t="str">
        <f t="shared" ref="P79:T79" ca="1" si="116">IFERROR(P36/O36-1,"")</f>
        <v/>
      </c>
      <c r="Q79" s="50">
        <f t="shared" ca="1" si="116"/>
        <v>2.8037383177569986E-2</v>
      </c>
      <c r="R79" s="50">
        <f t="shared" ca="1" si="116"/>
        <v>5.0000000000000044E-2</v>
      </c>
      <c r="S79" s="50">
        <f t="shared" ca="1" si="116"/>
        <v>-2.1645021645021689E-2</v>
      </c>
      <c r="T79" s="50">
        <f t="shared" ca="1" si="116"/>
        <v>-5.9409621017699088E-2</v>
      </c>
      <c r="U79" s="51">
        <f t="shared" ref="U79:AL79" ca="1" si="117">U36/T36-1</f>
        <v>0.27884478724822204</v>
      </c>
      <c r="V79" s="51">
        <f t="shared" ca="1" si="117"/>
        <v>0.14844654826688219</v>
      </c>
      <c r="W79" s="51">
        <f t="shared" ca="1" si="117"/>
        <v>0.2192156073622733</v>
      </c>
      <c r="X79" s="51">
        <f t="shared" ca="1" si="117"/>
        <v>5.2806896728374353E-2</v>
      </c>
      <c r="Y79" s="51">
        <f t="shared" ca="1" si="117"/>
        <v>2.2071693872197651E-2</v>
      </c>
      <c r="Z79" s="51">
        <f t="shared" ca="1" si="117"/>
        <v>-6.1335578974853533E-2</v>
      </c>
      <c r="AA79" s="51">
        <f t="shared" ca="1" si="117"/>
        <v>-3.6852796980000768E-2</v>
      </c>
      <c r="AB79" s="51">
        <f t="shared" ca="1" si="117"/>
        <v>6.9526951088618505E-2</v>
      </c>
      <c r="AC79" s="51">
        <f t="shared" ca="1" si="117"/>
        <v>6.2734779875668334E-2</v>
      </c>
      <c r="AD79" s="51">
        <f t="shared" ca="1" si="117"/>
        <v>-2.0996466097389255E-2</v>
      </c>
      <c r="AE79" s="51">
        <f t="shared" ca="1" si="117"/>
        <v>-0.55770939121277796</v>
      </c>
      <c r="AF79" s="51">
        <f t="shared" ca="1" si="117"/>
        <v>-0.71376067732552784</v>
      </c>
      <c r="AG79" s="51">
        <f t="shared" ca="1" si="117"/>
        <v>1.0316288809409229</v>
      </c>
      <c r="AH79" s="51">
        <f t="shared" ca="1" si="117"/>
        <v>1.881757107765015</v>
      </c>
      <c r="AI79" s="51">
        <f t="shared" ca="1" si="117"/>
        <v>7.1561689373494497E-2</v>
      </c>
      <c r="AJ79" s="51">
        <f t="shared" ca="1" si="117"/>
        <v>2.0135532298195979E-2</v>
      </c>
      <c r="AK79" s="51">
        <f t="shared" ca="1" si="117"/>
        <v>-1.4620320041914159E-2</v>
      </c>
      <c r="AL79" s="51">
        <f t="shared" ca="1" si="117"/>
        <v>-1.9359358402736837E-2</v>
      </c>
      <c r="AM79" s="51"/>
      <c r="AN79" s="51">
        <f t="shared" ca="1" si="47"/>
        <v>0.13522754921025912</v>
      </c>
      <c r="AO79" s="51">
        <f t="shared" ca="1" si="48"/>
        <v>5.0624181682418973E-2</v>
      </c>
      <c r="AP79" s="51">
        <f t="shared" ca="1" si="49"/>
        <v>0.27884478724822204</v>
      </c>
    </row>
    <row r="80" spans="1:42" ht="17.25" customHeight="1" x14ac:dyDescent="0.25">
      <c r="A80" s="37">
        <v>2005</v>
      </c>
      <c r="B80" s="38" t="s">
        <v>66</v>
      </c>
      <c r="C80" s="38" t="s">
        <v>41</v>
      </c>
      <c r="D80" s="38" t="s">
        <v>43</v>
      </c>
      <c r="E80" s="38" t="s">
        <v>67</v>
      </c>
      <c r="F80" s="38" t="s">
        <v>67</v>
      </c>
      <c r="G80" s="39">
        <v>5260000000</v>
      </c>
      <c r="H80" s="38" t="s">
        <v>68</v>
      </c>
      <c r="I80" s="40" t="str">
        <f t="shared" si="0"/>
        <v>Rest of Middle East-Offline</v>
      </c>
      <c r="J80" s="40" t="str">
        <f t="shared" si="1"/>
        <v/>
      </c>
      <c r="K80" s="40"/>
      <c r="L80" s="41"/>
      <c r="M80" s="35"/>
      <c r="N80" s="35"/>
      <c r="O80" s="35" t="str">
        <f t="shared" ca="1" si="44"/>
        <v>Thailand</v>
      </c>
      <c r="P80" s="50" t="str">
        <f t="shared" ref="P80:T80" ca="1" si="118">IFERROR(P37/O37-1,"")</f>
        <v/>
      </c>
      <c r="Q80" s="50">
        <f t="shared" ca="1" si="118"/>
        <v>0.16724137931034488</v>
      </c>
      <c r="R80" s="50">
        <f t="shared" ca="1" si="118"/>
        <v>0.18316100443131456</v>
      </c>
      <c r="S80" s="50">
        <f t="shared" ca="1" si="118"/>
        <v>6.1173533083645371E-2</v>
      </c>
      <c r="T80" s="50">
        <f t="shared" ca="1" si="118"/>
        <v>-3.3548497529411803E-2</v>
      </c>
      <c r="U80" s="51">
        <f t="shared" ref="U80:AL80" ca="1" si="119">U37/T37-1</f>
        <v>3.2342064981236707E-2</v>
      </c>
      <c r="V80" s="51">
        <f t="shared" ca="1" si="119"/>
        <v>8.989943179666704E-2</v>
      </c>
      <c r="W80" s="51">
        <f t="shared" ca="1" si="119"/>
        <v>-2.9032630960351358E-2</v>
      </c>
      <c r="X80" s="51">
        <f t="shared" ca="1" si="119"/>
        <v>7.039218955902804E-2</v>
      </c>
      <c r="Y80" s="51">
        <f t="shared" ca="1" si="119"/>
        <v>-9.8048552081994478E-2</v>
      </c>
      <c r="Z80" s="51">
        <f t="shared" ca="1" si="119"/>
        <v>4.7477594873803763E-3</v>
      </c>
      <c r="AA80" s="51">
        <f t="shared" ca="1" si="119"/>
        <v>-2.3778915053000893E-2</v>
      </c>
      <c r="AB80" s="51">
        <f t="shared" ca="1" si="119"/>
        <v>8.8090594187148819E-2</v>
      </c>
      <c r="AC80" s="51">
        <f t="shared" ca="1" si="119"/>
        <v>0.18979869591627074</v>
      </c>
      <c r="AD80" s="51">
        <f t="shared" ca="1" si="119"/>
        <v>-1.4159615217336774E-2</v>
      </c>
      <c r="AE80" s="51">
        <f t="shared" ca="1" si="119"/>
        <v>-0.73488017512627435</v>
      </c>
      <c r="AF80" s="51">
        <f t="shared" ca="1" si="119"/>
        <v>-0.75962810138636716</v>
      </c>
      <c r="AG80" s="51">
        <f t="shared" ca="1" si="119"/>
        <v>3.9286734492810291</v>
      </c>
      <c r="AH80" s="51">
        <f t="shared" ca="1" si="119"/>
        <v>0.61731681444825126</v>
      </c>
      <c r="AI80" s="51">
        <f t="shared" ca="1" si="119"/>
        <v>0.17272298725748292</v>
      </c>
      <c r="AJ80" s="51">
        <f t="shared" ca="1" si="119"/>
        <v>2.0798388073899332E-2</v>
      </c>
      <c r="AK80" s="51">
        <f t="shared" ca="1" si="119"/>
        <v>-1.3834866605332397E-2</v>
      </c>
      <c r="AL80" s="51">
        <f t="shared" ca="1" si="119"/>
        <v>-3.620311623304695E-2</v>
      </c>
      <c r="AM80" s="51"/>
      <c r="AN80" s="51">
        <f t="shared" ca="1" si="47"/>
        <v>0.1947342445735939</v>
      </c>
      <c r="AO80" s="51">
        <f t="shared" ca="1" si="48"/>
        <v>3.0878773070423502E-2</v>
      </c>
      <c r="AP80" s="51">
        <f t="shared" ca="1" si="49"/>
        <v>3.2342064981236707E-2</v>
      </c>
    </row>
    <row r="81" spans="1:42" ht="17.25" customHeight="1" x14ac:dyDescent="0.25">
      <c r="A81" s="44">
        <v>2005</v>
      </c>
      <c r="B81" s="45" t="s">
        <v>66</v>
      </c>
      <c r="C81" s="45" t="s">
        <v>41</v>
      </c>
      <c r="D81" s="45" t="s">
        <v>43</v>
      </c>
      <c r="E81" s="45" t="s">
        <v>69</v>
      </c>
      <c r="F81" s="45" t="s">
        <v>70</v>
      </c>
      <c r="G81" s="46">
        <v>159000000</v>
      </c>
      <c r="H81" s="45" t="s">
        <v>68</v>
      </c>
      <c r="I81" s="47" t="str">
        <f t="shared" si="0"/>
        <v>Rest of Middle East-Online Supplier-Direct</v>
      </c>
      <c r="J81" s="47" t="str">
        <f t="shared" si="1"/>
        <v/>
      </c>
      <c r="K81" s="47"/>
      <c r="L81" s="41"/>
      <c r="M81" s="35"/>
      <c r="N81" s="35"/>
      <c r="O81" s="35" t="str">
        <f t="shared" ca="1" si="44"/>
        <v>U.A.E.</v>
      </c>
      <c r="P81" s="50" t="str">
        <f t="shared" ref="P81:T81" ca="1" si="120">IFERROR(P38/O38-1,"")</f>
        <v/>
      </c>
      <c r="Q81" s="50">
        <f t="shared" ca="1" si="120"/>
        <v>0.22222222222222232</v>
      </c>
      <c r="R81" s="50">
        <f t="shared" ca="1" si="120"/>
        <v>0.15757575757575748</v>
      </c>
      <c r="S81" s="50">
        <f t="shared" ca="1" si="120"/>
        <v>0.17277486910994755</v>
      </c>
      <c r="T81" s="50">
        <f t="shared" ca="1" si="120"/>
        <v>-0.19734166575892853</v>
      </c>
      <c r="U81" s="51">
        <f t="shared" ref="U81:AL81" ca="1" si="121">U38/T38-1</f>
        <v>5.5781067535209505E-2</v>
      </c>
      <c r="V81" s="51">
        <f t="shared" ca="1" si="121"/>
        <v>9.866396621794471E-2</v>
      </c>
      <c r="W81" s="51">
        <f t="shared" ca="1" si="121"/>
        <v>8.2917541867342903E-2</v>
      </c>
      <c r="X81" s="51">
        <f t="shared" ca="1" si="121"/>
        <v>7.5879547249469326E-2</v>
      </c>
      <c r="Y81" s="51">
        <f t="shared" ca="1" si="121"/>
        <v>4.1895642290333379E-2</v>
      </c>
      <c r="Z81" s="51">
        <f t="shared" ca="1" si="121"/>
        <v>-2.7578672707368024E-2</v>
      </c>
      <c r="AA81" s="51">
        <f t="shared" ca="1" si="121"/>
        <v>-2.6747368252792447E-2</v>
      </c>
      <c r="AB81" s="51">
        <f t="shared" ca="1" si="121"/>
        <v>2.0141229067563771E-2</v>
      </c>
      <c r="AC81" s="51">
        <f t="shared" ca="1" si="121"/>
        <v>7.7296501829531294E-3</v>
      </c>
      <c r="AD81" s="51">
        <f t="shared" ca="1" si="121"/>
        <v>-4.6744745845602842E-2</v>
      </c>
      <c r="AE81" s="51">
        <f t="shared" ca="1" si="121"/>
        <v>-0.75827206186650831</v>
      </c>
      <c r="AF81" s="51">
        <f t="shared" ca="1" si="121"/>
        <v>0.91900033451384844</v>
      </c>
      <c r="AG81" s="51">
        <f t="shared" ca="1" si="121"/>
        <v>0.99577844357442591</v>
      </c>
      <c r="AH81" s="51">
        <f t="shared" ca="1" si="121"/>
        <v>8.3257509733158486E-2</v>
      </c>
      <c r="AI81" s="51">
        <f t="shared" ca="1" si="121"/>
        <v>5.1323892714861152E-2</v>
      </c>
      <c r="AJ81" s="51">
        <f t="shared" ca="1" si="121"/>
        <v>2.863021284870837E-2</v>
      </c>
      <c r="AK81" s="51">
        <f t="shared" ca="1" si="121"/>
        <v>3.5055057045398907E-2</v>
      </c>
      <c r="AL81" s="51">
        <f t="shared" ca="1" si="121"/>
        <v>3.4201397913266041E-2</v>
      </c>
      <c r="AM81" s="51"/>
      <c r="AN81" s="51">
        <f t="shared" ca="1" si="47"/>
        <v>9.2828480226789578E-2</v>
      </c>
      <c r="AO81" s="51">
        <f t="shared" ca="1" si="48"/>
        <v>2.5128532229982656E-2</v>
      </c>
      <c r="AP81" s="51">
        <f t="shared" ca="1" si="49"/>
        <v>5.5781067535209505E-2</v>
      </c>
    </row>
    <row r="82" spans="1:42" ht="17.25" customHeight="1" x14ac:dyDescent="0.25">
      <c r="A82" s="37">
        <v>2005</v>
      </c>
      <c r="B82" s="38" t="s">
        <v>66</v>
      </c>
      <c r="C82" s="38" t="s">
        <v>41</v>
      </c>
      <c r="D82" s="38" t="s">
        <v>43</v>
      </c>
      <c r="E82" s="38" t="s">
        <v>69</v>
      </c>
      <c r="F82" s="38" t="s">
        <v>71</v>
      </c>
      <c r="G82" s="39">
        <v>159000000</v>
      </c>
      <c r="H82" s="38" t="s">
        <v>68</v>
      </c>
      <c r="I82" s="40" t="str">
        <f t="shared" si="0"/>
        <v>Rest of Middle East-OTA</v>
      </c>
      <c r="J82" s="40" t="str">
        <f t="shared" si="1"/>
        <v/>
      </c>
      <c r="K82" s="40"/>
      <c r="L82" s="41"/>
      <c r="M82" s="35"/>
      <c r="N82" s="35"/>
      <c r="O82" s="35" t="str">
        <f t="shared" ca="1" si="44"/>
        <v>U.K.</v>
      </c>
      <c r="P82" s="50" t="str">
        <f t="shared" ref="P82:T82" ca="1" si="122">IFERROR(P39/O39-1,"")</f>
        <v/>
      </c>
      <c r="Q82" s="50">
        <f t="shared" ca="1" si="122"/>
        <v>6.2189054726368154E-2</v>
      </c>
      <c r="R82" s="50">
        <f t="shared" ca="1" si="122"/>
        <v>0.13817330210772827</v>
      </c>
      <c r="S82" s="50">
        <f t="shared" ca="1" si="122"/>
        <v>-9.259259259259256E-2</v>
      </c>
      <c r="T82" s="50">
        <f t="shared" ca="1" si="122"/>
        <v>-0.17622746614512474</v>
      </c>
      <c r="U82" s="51">
        <f t="shared" ref="U82:AL82" ca="1" si="123">U39/T39-1</f>
        <v>-5.5052714702070737E-3</v>
      </c>
      <c r="V82" s="51">
        <f t="shared" ca="1" si="123"/>
        <v>-0.23184560779340357</v>
      </c>
      <c r="W82" s="51">
        <f t="shared" ca="1" si="123"/>
        <v>0.18375645651999228</v>
      </c>
      <c r="X82" s="51">
        <f t="shared" ca="1" si="123"/>
        <v>2.7843933902961915E-2</v>
      </c>
      <c r="Y82" s="51">
        <f t="shared" ca="1" si="123"/>
        <v>-1.060471364105553E-2</v>
      </c>
      <c r="Z82" s="51">
        <f t="shared" ca="1" si="123"/>
        <v>-0.11105011501193873</v>
      </c>
      <c r="AA82" s="51">
        <f t="shared" ca="1" si="123"/>
        <v>-0.13282671334820284</v>
      </c>
      <c r="AB82" s="51">
        <f t="shared" ca="1" si="123"/>
        <v>-7.220046805300262E-2</v>
      </c>
      <c r="AC82" s="51">
        <f t="shared" ca="1" si="123"/>
        <v>-8.85169947565424E-2</v>
      </c>
      <c r="AD82" s="51">
        <f t="shared" ca="1" si="123"/>
        <v>-0.24302310682315098</v>
      </c>
      <c r="AE82" s="51">
        <f t="shared" ca="1" si="123"/>
        <v>-0.70666614016032614</v>
      </c>
      <c r="AF82" s="51">
        <f t="shared" ca="1" si="123"/>
        <v>0.43319362445216458</v>
      </c>
      <c r="AG82" s="51">
        <f t="shared" ca="1" si="123"/>
        <v>0.30842599728436548</v>
      </c>
      <c r="AH82" s="51">
        <f t="shared" ca="1" si="123"/>
        <v>8.6425146308579448E-2</v>
      </c>
      <c r="AI82" s="51">
        <f t="shared" ca="1" si="123"/>
        <v>5.281948582988738E-2</v>
      </c>
      <c r="AJ82" s="51">
        <f t="shared" ca="1" si="123"/>
        <v>7.9748609744444643E-2</v>
      </c>
      <c r="AK82" s="51">
        <f t="shared" ca="1" si="123"/>
        <v>7.8958307012908513E-2</v>
      </c>
      <c r="AL82" s="51">
        <f t="shared" ca="1" si="123"/>
        <v>4.4513818241856296E-2</v>
      </c>
      <c r="AM82" s="51"/>
      <c r="AN82" s="51">
        <f t="shared" ca="1" si="47"/>
        <v>-1.7030763986703851E-2</v>
      </c>
      <c r="AO82" s="51">
        <f t="shared" ca="1" si="48"/>
        <v>-7.5385258778260272E-2</v>
      </c>
      <c r="AP82" s="51">
        <f t="shared" ca="1" si="49"/>
        <v>-5.5052714702070737E-3</v>
      </c>
    </row>
    <row r="83" spans="1:42" ht="17.25" customHeight="1" x14ac:dyDescent="0.25">
      <c r="A83" s="44">
        <v>2005</v>
      </c>
      <c r="B83" s="45" t="s">
        <v>66</v>
      </c>
      <c r="C83" s="45" t="s">
        <v>17</v>
      </c>
      <c r="D83" s="45" t="s">
        <v>23</v>
      </c>
      <c r="E83" s="45" t="s">
        <v>67</v>
      </c>
      <c r="F83" s="45" t="s">
        <v>67</v>
      </c>
      <c r="G83" s="46">
        <v>1720000000</v>
      </c>
      <c r="H83" s="45" t="s">
        <v>68</v>
      </c>
      <c r="I83" s="47" t="str">
        <f t="shared" si="0"/>
        <v>Romania-Offline</v>
      </c>
      <c r="J83" s="47" t="str">
        <f t="shared" si="1"/>
        <v/>
      </c>
      <c r="K83" s="47"/>
      <c r="L83" s="41"/>
      <c r="M83" s="35"/>
      <c r="N83" s="35"/>
      <c r="O83" s="52" t="str">
        <f t="shared" ca="1" si="44"/>
        <v>U.S.</v>
      </c>
      <c r="P83" s="50" t="str">
        <f t="shared" ref="P83:T83" ca="1" si="124">IFERROR(P40/O40-1,"")</f>
        <v/>
      </c>
      <c r="Q83" s="50">
        <f t="shared" ca="1" si="124"/>
        <v>5.6801195814648819E-2</v>
      </c>
      <c r="R83" s="50">
        <f t="shared" ca="1" si="124"/>
        <v>4.3847241867043918E-2</v>
      </c>
      <c r="S83" s="50">
        <f t="shared" ca="1" si="124"/>
        <v>-2.3035230352303482E-2</v>
      </c>
      <c r="T83" s="50">
        <f t="shared" ca="1" si="124"/>
        <v>-1.9538798973647742E-2</v>
      </c>
      <c r="U83" s="53">
        <f t="shared" ref="U83:AL83" ca="1" si="125">U40/T40-1</f>
        <v>0.12562520667166321</v>
      </c>
      <c r="V83" s="53">
        <f t="shared" ca="1" si="125"/>
        <v>0.1006051809199271</v>
      </c>
      <c r="W83" s="53">
        <f t="shared" ca="1" si="125"/>
        <v>1.6285809796953377E-2</v>
      </c>
      <c r="X83" s="53">
        <f t="shared" ca="1" si="125"/>
        <v>1.3986549370230472E-2</v>
      </c>
      <c r="Y83" s="53">
        <f t="shared" ca="1" si="125"/>
        <v>2.0396753939789569E-2</v>
      </c>
      <c r="Z83" s="53">
        <f t="shared" ca="1" si="125"/>
        <v>5.9706292907144576E-3</v>
      </c>
      <c r="AA83" s="53">
        <f t="shared" ca="1" si="125"/>
        <v>3.4134414135691182E-2</v>
      </c>
      <c r="AB83" s="53">
        <f t="shared" ca="1" si="125"/>
        <v>3.826215208324002E-2</v>
      </c>
      <c r="AC83" s="53">
        <f t="shared" ca="1" si="125"/>
        <v>4.5543379204617596E-2</v>
      </c>
      <c r="AD83" s="53">
        <f t="shared" ca="1" si="125"/>
        <v>-6.9898927595405391E-3</v>
      </c>
      <c r="AE83" s="53">
        <f t="shared" ca="1" si="125"/>
        <v>-0.76116489431317513</v>
      </c>
      <c r="AF83" s="53">
        <f t="shared" ca="1" si="125"/>
        <v>0.35743807205193256</v>
      </c>
      <c r="AG83" s="53">
        <f t="shared" ca="1" si="125"/>
        <v>1.1159904010989821</v>
      </c>
      <c r="AH83" s="53">
        <f t="shared" ca="1" si="125"/>
        <v>0.26599994583532505</v>
      </c>
      <c r="AI83" s="53">
        <f t="shared" ca="1" si="125"/>
        <v>0.11234050794585615</v>
      </c>
      <c r="AJ83" s="53">
        <f t="shared" ca="1" si="125"/>
        <v>8.7897805523988071E-2</v>
      </c>
      <c r="AK83" s="53">
        <f t="shared" ca="1" si="125"/>
        <v>3.2817400494282722E-2</v>
      </c>
      <c r="AL83" s="53">
        <f t="shared" ca="1" si="125"/>
        <v>3.8301758351311443E-2</v>
      </c>
      <c r="AM83" s="53"/>
      <c r="AN83" s="53">
        <f t="shared" ca="1" si="47"/>
        <v>9.1302287757877187E-2</v>
      </c>
      <c r="AO83" s="53">
        <f t="shared" ca="1" si="48"/>
        <v>2.9799441775735916E-2</v>
      </c>
      <c r="AP83" s="53">
        <f t="shared" ca="1" si="49"/>
        <v>0.12562520667166321</v>
      </c>
    </row>
    <row r="84" spans="1:42" ht="17.25" customHeight="1" x14ac:dyDescent="0.25">
      <c r="A84" s="37">
        <v>2005</v>
      </c>
      <c r="B84" s="38" t="s">
        <v>66</v>
      </c>
      <c r="C84" s="38" t="s">
        <v>17</v>
      </c>
      <c r="D84" s="38" t="s">
        <v>23</v>
      </c>
      <c r="E84" s="38" t="s">
        <v>69</v>
      </c>
      <c r="F84" s="38" t="s">
        <v>70</v>
      </c>
      <c r="G84" s="39">
        <v>31097416</v>
      </c>
      <c r="H84" s="38" t="s">
        <v>68</v>
      </c>
      <c r="I84" s="40" t="str">
        <f t="shared" si="0"/>
        <v>Romania-Online Supplier-Direct</v>
      </c>
      <c r="J84" s="40" t="str">
        <f t="shared" si="1"/>
        <v/>
      </c>
      <c r="K84" s="40"/>
      <c r="L84" s="41"/>
      <c r="M84" s="35"/>
      <c r="N84" s="35"/>
      <c r="O84" s="35" t="str">
        <f t="shared" ca="1" si="44"/>
        <v>Ukraine</v>
      </c>
      <c r="P84" s="50" t="str">
        <f t="shared" ref="P84:T84" ca="1" si="126">IFERROR(P41/O41-1,"")</f>
        <v/>
      </c>
      <c r="Q84" s="50">
        <f t="shared" ca="1" si="126"/>
        <v>0.24786324786324787</v>
      </c>
      <c r="R84" s="50">
        <f t="shared" ca="1" si="126"/>
        <v>0.32876712328767121</v>
      </c>
      <c r="S84" s="50">
        <f t="shared" ca="1" si="126"/>
        <v>0.20876288659793807</v>
      </c>
      <c r="T84" s="50">
        <f t="shared" ca="1" si="126"/>
        <v>-0.35331499488272922</v>
      </c>
      <c r="U84" s="51">
        <f t="shared" ref="U84:AL84" ca="1" si="127">U41/T41-1</f>
        <v>5.1209193711276413E-2</v>
      </c>
      <c r="V84" s="51">
        <f t="shared" ca="1" si="127"/>
        <v>0.15250930235945193</v>
      </c>
      <c r="W84" s="51">
        <f t="shared" ca="1" si="127"/>
        <v>-6.89190374959191E-2</v>
      </c>
      <c r="X84" s="51">
        <f t="shared" ca="1" si="127"/>
        <v>0.11441482016211624</v>
      </c>
      <c r="Y84" s="51">
        <f t="shared" ca="1" si="127"/>
        <v>-0.25794802499633207</v>
      </c>
      <c r="Z84" s="51">
        <f t="shared" ca="1" si="127"/>
        <v>-0.36397630149453031</v>
      </c>
      <c r="AA84" s="51">
        <f t="shared" ca="1" si="127"/>
        <v>-3.4076029838255195E-2</v>
      </c>
      <c r="AB84" s="51">
        <f t="shared" ca="1" si="127"/>
        <v>-1.6011358047681501E-2</v>
      </c>
      <c r="AC84" s="51">
        <f t="shared" ca="1" si="127"/>
        <v>-3.4019646055391872E-2</v>
      </c>
      <c r="AD84" s="51">
        <f t="shared" ca="1" si="127"/>
        <v>1.6389654175055668E-2</v>
      </c>
      <c r="AE84" s="51">
        <f t="shared" ca="1" si="127"/>
        <v>-0.52197037162399995</v>
      </c>
      <c r="AF84" s="51">
        <f t="shared" ca="1" si="127"/>
        <v>4.6315645096596247E-2</v>
      </c>
      <c r="AG84" s="51">
        <f t="shared" ca="1" si="127"/>
        <v>-1</v>
      </c>
      <c r="AH84" s="51" t="e">
        <f t="shared" ca="1" si="127"/>
        <v>#DIV/0!</v>
      </c>
      <c r="AI84" s="51" t="e">
        <f t="shared" ca="1" si="127"/>
        <v>#DIV/0!</v>
      </c>
      <c r="AJ84" s="51" t="e">
        <f t="shared" ca="1" si="127"/>
        <v>#DIV/0!</v>
      </c>
      <c r="AK84" s="51" t="e">
        <f t="shared" ca="1" si="127"/>
        <v>#DIV/0!</v>
      </c>
      <c r="AL84" s="51" t="e">
        <f t="shared" ca="1" si="127"/>
        <v>#DIV/0!</v>
      </c>
      <c r="AM84" s="51"/>
      <c r="AN84" s="51" t="e">
        <f t="shared" ca="1" si="47"/>
        <v>#DIV/0!</v>
      </c>
      <c r="AO84" s="51">
        <f t="shared" ca="1" si="48"/>
        <v>-5.462629124794291E-2</v>
      </c>
      <c r="AP84" s="51">
        <f t="shared" ca="1" si="49"/>
        <v>5.1209193711276413E-2</v>
      </c>
    </row>
    <row r="85" spans="1:42" ht="17.25" customHeight="1" x14ac:dyDescent="0.25">
      <c r="A85" s="44">
        <v>2005</v>
      </c>
      <c r="B85" s="45" t="s">
        <v>66</v>
      </c>
      <c r="C85" s="45" t="s">
        <v>17</v>
      </c>
      <c r="D85" s="45" t="s">
        <v>23</v>
      </c>
      <c r="E85" s="45" t="s">
        <v>69</v>
      </c>
      <c r="F85" s="45" t="s">
        <v>71</v>
      </c>
      <c r="G85" s="46">
        <v>31097416</v>
      </c>
      <c r="H85" s="45" t="s">
        <v>68</v>
      </c>
      <c r="I85" s="47" t="str">
        <f t="shared" si="0"/>
        <v>Romania-OTA</v>
      </c>
      <c r="J85" s="47" t="str">
        <f t="shared" si="1"/>
        <v/>
      </c>
      <c r="K85" s="47"/>
      <c r="L85" s="41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</row>
    <row r="86" spans="1:42" ht="17.25" customHeight="1" x14ac:dyDescent="0.25">
      <c r="A86" s="37">
        <v>2005</v>
      </c>
      <c r="B86" s="38" t="s">
        <v>66</v>
      </c>
      <c r="C86" s="38" t="s">
        <v>17</v>
      </c>
      <c r="D86" s="38" t="s">
        <v>24</v>
      </c>
      <c r="E86" s="38" t="s">
        <v>67</v>
      </c>
      <c r="F86" s="38" t="s">
        <v>67</v>
      </c>
      <c r="G86" s="39">
        <v>21700000000</v>
      </c>
      <c r="H86" s="38" t="s">
        <v>68</v>
      </c>
      <c r="I86" s="40" t="str">
        <f t="shared" si="0"/>
        <v>Russia-Offline</v>
      </c>
      <c r="J86" s="40" t="str">
        <f t="shared" si="1"/>
        <v/>
      </c>
      <c r="K86" s="40"/>
      <c r="L86" s="41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</row>
    <row r="87" spans="1:42" ht="17.25" customHeight="1" x14ac:dyDescent="0.25">
      <c r="A87" s="44">
        <v>2005</v>
      </c>
      <c r="B87" s="45" t="s">
        <v>66</v>
      </c>
      <c r="C87" s="45" t="s">
        <v>17</v>
      </c>
      <c r="D87" s="45" t="s">
        <v>24</v>
      </c>
      <c r="E87" s="45" t="s">
        <v>69</v>
      </c>
      <c r="F87" s="45" t="s">
        <v>70</v>
      </c>
      <c r="G87" s="46">
        <v>312000000</v>
      </c>
      <c r="H87" s="45" t="s">
        <v>68</v>
      </c>
      <c r="I87" s="47" t="str">
        <f t="shared" si="0"/>
        <v>Russia-Online Supplier-Direct</v>
      </c>
      <c r="J87" s="47" t="str">
        <f t="shared" si="1"/>
        <v/>
      </c>
      <c r="K87" s="47"/>
      <c r="L87" s="41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</row>
    <row r="88" spans="1:42" ht="17.25" customHeight="1" x14ac:dyDescent="0.25">
      <c r="A88" s="37">
        <v>2005</v>
      </c>
      <c r="B88" s="38" t="s">
        <v>66</v>
      </c>
      <c r="C88" s="38" t="s">
        <v>17</v>
      </c>
      <c r="D88" s="38" t="s">
        <v>24</v>
      </c>
      <c r="E88" s="38" t="s">
        <v>69</v>
      </c>
      <c r="F88" s="38" t="s">
        <v>71</v>
      </c>
      <c r="G88" s="39">
        <v>312000000</v>
      </c>
      <c r="H88" s="38" t="s">
        <v>68</v>
      </c>
      <c r="I88" s="40" t="str">
        <f t="shared" si="0"/>
        <v>Russia-OTA</v>
      </c>
      <c r="J88" s="40" t="str">
        <f t="shared" si="1"/>
        <v/>
      </c>
      <c r="K88" s="40"/>
      <c r="L88" s="41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</row>
    <row r="89" spans="1:42" ht="17.25" customHeight="1" x14ac:dyDescent="0.25">
      <c r="A89" s="44">
        <v>2005</v>
      </c>
      <c r="B89" s="45" t="s">
        <v>66</v>
      </c>
      <c r="C89" s="45" t="s">
        <v>41</v>
      </c>
      <c r="D89" s="45" t="s">
        <v>44</v>
      </c>
      <c r="E89" s="45" t="s">
        <v>67</v>
      </c>
      <c r="F89" s="45" t="s">
        <v>67</v>
      </c>
      <c r="G89" s="46">
        <v>6600000000</v>
      </c>
      <c r="H89" s="45" t="s">
        <v>68</v>
      </c>
      <c r="I89" s="47" t="str">
        <f t="shared" si="0"/>
        <v>Saudi Arabia-Offline</v>
      </c>
      <c r="J89" s="47" t="str">
        <f t="shared" si="1"/>
        <v/>
      </c>
      <c r="K89" s="47"/>
      <c r="L89" s="41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</row>
    <row r="90" spans="1:42" ht="17.25" customHeight="1" x14ac:dyDescent="0.25">
      <c r="A90" s="37">
        <v>2005</v>
      </c>
      <c r="B90" s="38" t="s">
        <v>66</v>
      </c>
      <c r="C90" s="38" t="s">
        <v>41</v>
      </c>
      <c r="D90" s="38" t="s">
        <v>44</v>
      </c>
      <c r="E90" s="38" t="s">
        <v>69</v>
      </c>
      <c r="F90" s="38" t="s">
        <v>70</v>
      </c>
      <c r="G90" s="39">
        <v>447000000</v>
      </c>
      <c r="H90" s="38" t="s">
        <v>68</v>
      </c>
      <c r="I90" s="40" t="str">
        <f t="shared" si="0"/>
        <v>Saudi Arabia-Online Supplier-Direct</v>
      </c>
      <c r="J90" s="40" t="str">
        <f t="shared" si="1"/>
        <v/>
      </c>
      <c r="K90" s="40"/>
      <c r="L90" s="41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</row>
    <row r="91" spans="1:42" ht="17.25" customHeight="1" x14ac:dyDescent="0.25">
      <c r="A91" s="44">
        <v>2005</v>
      </c>
      <c r="B91" s="45" t="s">
        <v>66</v>
      </c>
      <c r="C91" s="45" t="s">
        <v>41</v>
      </c>
      <c r="D91" s="45" t="s">
        <v>44</v>
      </c>
      <c r="E91" s="45" t="s">
        <v>69</v>
      </c>
      <c r="F91" s="45" t="s">
        <v>71</v>
      </c>
      <c r="G91" s="46">
        <v>447000000</v>
      </c>
      <c r="H91" s="45" t="s">
        <v>68</v>
      </c>
      <c r="I91" s="47" t="str">
        <f t="shared" si="0"/>
        <v>Saudi Arabia-OTA</v>
      </c>
      <c r="J91" s="47" t="str">
        <f t="shared" si="1"/>
        <v/>
      </c>
      <c r="K91" s="47"/>
      <c r="L91" s="41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</row>
    <row r="92" spans="1:42" ht="17.25" customHeight="1" x14ac:dyDescent="0.25">
      <c r="A92" s="37">
        <v>2005</v>
      </c>
      <c r="B92" s="38" t="s">
        <v>66</v>
      </c>
      <c r="C92" s="38" t="s">
        <v>27</v>
      </c>
      <c r="D92" s="38" t="s">
        <v>31</v>
      </c>
      <c r="E92" s="38" t="s">
        <v>67</v>
      </c>
      <c r="F92" s="38" t="s">
        <v>67</v>
      </c>
      <c r="G92" s="39">
        <v>9920000000</v>
      </c>
      <c r="H92" s="38" t="s">
        <v>68</v>
      </c>
      <c r="I92" s="40" t="str">
        <f t="shared" si="0"/>
        <v>Scandinavia-Offline</v>
      </c>
      <c r="J92" s="40" t="str">
        <f t="shared" si="1"/>
        <v/>
      </c>
      <c r="K92" s="40"/>
      <c r="L92" s="41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</row>
    <row r="93" spans="1:42" ht="17.25" customHeight="1" x14ac:dyDescent="0.25">
      <c r="A93" s="44">
        <v>2005</v>
      </c>
      <c r="B93" s="45" t="s">
        <v>66</v>
      </c>
      <c r="C93" s="45" t="s">
        <v>27</v>
      </c>
      <c r="D93" s="45" t="s">
        <v>31</v>
      </c>
      <c r="E93" s="45" t="s">
        <v>69</v>
      </c>
      <c r="F93" s="45" t="s">
        <v>70</v>
      </c>
      <c r="G93" s="46">
        <v>1780000000</v>
      </c>
      <c r="H93" s="45" t="s">
        <v>68</v>
      </c>
      <c r="I93" s="47" t="str">
        <f t="shared" si="0"/>
        <v>Scandinavia-Online Supplier-Direct</v>
      </c>
      <c r="J93" s="47" t="str">
        <f t="shared" si="1"/>
        <v/>
      </c>
      <c r="K93" s="47"/>
      <c r="L93" s="41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</row>
    <row r="94" spans="1:42" ht="17.25" customHeight="1" x14ac:dyDescent="0.25">
      <c r="A94" s="37">
        <v>2005</v>
      </c>
      <c r="B94" s="38" t="s">
        <v>66</v>
      </c>
      <c r="C94" s="38" t="s">
        <v>27</v>
      </c>
      <c r="D94" s="38" t="s">
        <v>31</v>
      </c>
      <c r="E94" s="38" t="s">
        <v>69</v>
      </c>
      <c r="F94" s="38" t="s">
        <v>71</v>
      </c>
      <c r="G94" s="39">
        <v>1780000000</v>
      </c>
      <c r="H94" s="38" t="s">
        <v>68</v>
      </c>
      <c r="I94" s="40" t="str">
        <f t="shared" si="0"/>
        <v>Scandinavia-OTA</v>
      </c>
      <c r="J94" s="40" t="str">
        <f t="shared" si="1"/>
        <v/>
      </c>
      <c r="K94" s="40"/>
      <c r="L94" s="41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</row>
    <row r="95" spans="1:42" ht="17.25" customHeight="1" x14ac:dyDescent="0.25">
      <c r="A95" s="44">
        <v>2005</v>
      </c>
      <c r="B95" s="45" t="s">
        <v>66</v>
      </c>
      <c r="C95" s="45" t="s">
        <v>4</v>
      </c>
      <c r="D95" s="45" t="s">
        <v>12</v>
      </c>
      <c r="E95" s="45" t="s">
        <v>67</v>
      </c>
      <c r="F95" s="45" t="s">
        <v>67</v>
      </c>
      <c r="G95" s="46">
        <v>3590000000</v>
      </c>
      <c r="H95" s="45" t="s">
        <v>68</v>
      </c>
      <c r="I95" s="47" t="str">
        <f t="shared" si="0"/>
        <v>Singapore-Offline</v>
      </c>
      <c r="J95" s="47" t="str">
        <f t="shared" si="1"/>
        <v/>
      </c>
      <c r="K95" s="47"/>
      <c r="L95" s="41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</row>
    <row r="96" spans="1:42" ht="17.25" customHeight="1" x14ac:dyDescent="0.25">
      <c r="A96" s="37">
        <v>2005</v>
      </c>
      <c r="B96" s="38" t="s">
        <v>66</v>
      </c>
      <c r="C96" s="38" t="s">
        <v>4</v>
      </c>
      <c r="D96" s="38" t="s">
        <v>12</v>
      </c>
      <c r="E96" s="38" t="s">
        <v>69</v>
      </c>
      <c r="F96" s="38" t="s">
        <v>70</v>
      </c>
      <c r="G96" s="39">
        <v>145000000</v>
      </c>
      <c r="H96" s="38" t="s">
        <v>68</v>
      </c>
      <c r="I96" s="40" t="str">
        <f t="shared" si="0"/>
        <v>Singapore-Online Supplier-Direct</v>
      </c>
      <c r="J96" s="40" t="str">
        <f t="shared" si="1"/>
        <v/>
      </c>
      <c r="K96" s="40"/>
      <c r="L96" s="41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</row>
    <row r="97" spans="1:42" ht="17.25" customHeight="1" x14ac:dyDescent="0.25">
      <c r="A97" s="44">
        <v>2005</v>
      </c>
      <c r="B97" s="45" t="s">
        <v>66</v>
      </c>
      <c r="C97" s="45" t="s">
        <v>4</v>
      </c>
      <c r="D97" s="45" t="s">
        <v>12</v>
      </c>
      <c r="E97" s="45" t="s">
        <v>69</v>
      </c>
      <c r="F97" s="45" t="s">
        <v>71</v>
      </c>
      <c r="G97" s="46">
        <v>145000000</v>
      </c>
      <c r="H97" s="45" t="s">
        <v>68</v>
      </c>
      <c r="I97" s="47" t="str">
        <f t="shared" si="0"/>
        <v>Singapore-OTA</v>
      </c>
      <c r="J97" s="47" t="str">
        <f t="shared" si="1"/>
        <v/>
      </c>
      <c r="K97" s="47"/>
      <c r="L97" s="41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</row>
    <row r="98" spans="1:42" ht="17.25" customHeight="1" x14ac:dyDescent="0.25">
      <c r="A98" s="37">
        <v>2005</v>
      </c>
      <c r="B98" s="38" t="s">
        <v>66</v>
      </c>
      <c r="C98" s="38" t="s">
        <v>4</v>
      </c>
      <c r="D98" s="38" t="s">
        <v>13</v>
      </c>
      <c r="E98" s="38" t="s">
        <v>67</v>
      </c>
      <c r="F98" s="38" t="s">
        <v>67</v>
      </c>
      <c r="G98" s="39">
        <v>9190000000</v>
      </c>
      <c r="H98" s="38" t="s">
        <v>68</v>
      </c>
      <c r="I98" s="40" t="str">
        <f t="shared" si="0"/>
        <v>South Korea-Offline</v>
      </c>
      <c r="J98" s="40" t="str">
        <f t="shared" si="1"/>
        <v/>
      </c>
      <c r="K98" s="40"/>
      <c r="L98" s="41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</row>
    <row r="99" spans="1:42" ht="17.25" customHeight="1" x14ac:dyDescent="0.25">
      <c r="A99" s="44">
        <v>2005</v>
      </c>
      <c r="B99" s="45" t="s">
        <v>66</v>
      </c>
      <c r="C99" s="45" t="s">
        <v>4</v>
      </c>
      <c r="D99" s="45" t="s">
        <v>13</v>
      </c>
      <c r="E99" s="45" t="s">
        <v>69</v>
      </c>
      <c r="F99" s="45" t="s">
        <v>70</v>
      </c>
      <c r="G99" s="46">
        <v>97498911</v>
      </c>
      <c r="H99" s="45" t="s">
        <v>68</v>
      </c>
      <c r="I99" s="47" t="str">
        <f t="shared" si="0"/>
        <v>South Korea-Online Supplier-Direct</v>
      </c>
      <c r="J99" s="47" t="str">
        <f t="shared" si="1"/>
        <v/>
      </c>
      <c r="K99" s="47"/>
      <c r="L99" s="41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</row>
    <row r="100" spans="1:42" ht="17.25" customHeight="1" x14ac:dyDescent="0.25">
      <c r="A100" s="37">
        <v>2005</v>
      </c>
      <c r="B100" s="38" t="s">
        <v>66</v>
      </c>
      <c r="C100" s="38" t="s">
        <v>4</v>
      </c>
      <c r="D100" s="38" t="s">
        <v>13</v>
      </c>
      <c r="E100" s="38" t="s">
        <v>69</v>
      </c>
      <c r="F100" s="38" t="s">
        <v>71</v>
      </c>
      <c r="G100" s="39">
        <v>97498911</v>
      </c>
      <c r="H100" s="38" t="s">
        <v>68</v>
      </c>
      <c r="I100" s="40" t="str">
        <f t="shared" si="0"/>
        <v>South Korea-OTA</v>
      </c>
      <c r="J100" s="40" t="str">
        <f t="shared" si="1"/>
        <v/>
      </c>
      <c r="K100" s="40"/>
      <c r="L100" s="41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</row>
    <row r="101" spans="1:42" ht="17.25" customHeight="1" x14ac:dyDescent="0.25">
      <c r="A101" s="44">
        <v>2005</v>
      </c>
      <c r="B101" s="45" t="s">
        <v>66</v>
      </c>
      <c r="C101" s="45" t="s">
        <v>27</v>
      </c>
      <c r="D101" s="45" t="s">
        <v>32</v>
      </c>
      <c r="E101" s="45" t="s">
        <v>67</v>
      </c>
      <c r="F101" s="45" t="s">
        <v>67</v>
      </c>
      <c r="G101" s="46">
        <v>17000000000</v>
      </c>
      <c r="H101" s="45" t="s">
        <v>68</v>
      </c>
      <c r="I101" s="47" t="str">
        <f t="shared" si="0"/>
        <v>Spain-Offline</v>
      </c>
      <c r="J101" s="47" t="str">
        <f t="shared" si="1"/>
        <v/>
      </c>
      <c r="K101" s="47"/>
      <c r="L101" s="41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</row>
    <row r="102" spans="1:42" ht="17.25" customHeight="1" x14ac:dyDescent="0.25">
      <c r="A102" s="37">
        <v>2005</v>
      </c>
      <c r="B102" s="38" t="s">
        <v>66</v>
      </c>
      <c r="C102" s="38" t="s">
        <v>27</v>
      </c>
      <c r="D102" s="38" t="s">
        <v>32</v>
      </c>
      <c r="E102" s="38" t="s">
        <v>69</v>
      </c>
      <c r="F102" s="38" t="s">
        <v>70</v>
      </c>
      <c r="G102" s="39">
        <v>2380000000</v>
      </c>
      <c r="H102" s="38" t="s">
        <v>68</v>
      </c>
      <c r="I102" s="40" t="str">
        <f t="shared" si="0"/>
        <v>Spain-Online Supplier-Direct</v>
      </c>
      <c r="J102" s="40" t="str">
        <f t="shared" si="1"/>
        <v/>
      </c>
      <c r="K102" s="40"/>
      <c r="L102" s="41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</row>
    <row r="103" spans="1:42" ht="17.25" customHeight="1" x14ac:dyDescent="0.25">
      <c r="A103" s="44">
        <v>2005</v>
      </c>
      <c r="B103" s="45" t="s">
        <v>66</v>
      </c>
      <c r="C103" s="45" t="s">
        <v>27</v>
      </c>
      <c r="D103" s="45" t="s">
        <v>32</v>
      </c>
      <c r="E103" s="45" t="s">
        <v>69</v>
      </c>
      <c r="F103" s="45" t="s">
        <v>71</v>
      </c>
      <c r="G103" s="46">
        <v>2380000000</v>
      </c>
      <c r="H103" s="45" t="s">
        <v>68</v>
      </c>
      <c r="I103" s="47" t="str">
        <f t="shared" si="0"/>
        <v>Spain-OTA</v>
      </c>
      <c r="J103" s="47" t="str">
        <f t="shared" si="1"/>
        <v/>
      </c>
      <c r="K103" s="47"/>
      <c r="L103" s="41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</row>
    <row r="104" spans="1:42" ht="17.25" customHeight="1" x14ac:dyDescent="0.25">
      <c r="A104" s="37">
        <v>2005</v>
      </c>
      <c r="B104" s="38" t="s">
        <v>66</v>
      </c>
      <c r="C104" s="38" t="s">
        <v>4</v>
      </c>
      <c r="D104" s="38" t="s">
        <v>14</v>
      </c>
      <c r="E104" s="38" t="s">
        <v>67</v>
      </c>
      <c r="F104" s="38" t="s">
        <v>67</v>
      </c>
      <c r="G104" s="39">
        <v>4280000000</v>
      </c>
      <c r="H104" s="38" t="s">
        <v>68</v>
      </c>
      <c r="I104" s="40" t="str">
        <f t="shared" si="0"/>
        <v>Taiwan-Offline</v>
      </c>
      <c r="J104" s="40" t="str">
        <f t="shared" si="1"/>
        <v/>
      </c>
      <c r="K104" s="40"/>
      <c r="L104" s="41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</row>
    <row r="105" spans="1:42" ht="17.25" customHeight="1" x14ac:dyDescent="0.25">
      <c r="A105" s="44">
        <v>2005</v>
      </c>
      <c r="B105" s="45" t="s">
        <v>66</v>
      </c>
      <c r="C105" s="45" t="s">
        <v>4</v>
      </c>
      <c r="D105" s="45" t="s">
        <v>14</v>
      </c>
      <c r="E105" s="45" t="s">
        <v>69</v>
      </c>
      <c r="F105" s="45" t="s">
        <v>70</v>
      </c>
      <c r="G105" s="46">
        <v>101000000</v>
      </c>
      <c r="H105" s="45" t="s">
        <v>68</v>
      </c>
      <c r="I105" s="47" t="str">
        <f t="shared" si="0"/>
        <v>Taiwan-Online Supplier-Direct</v>
      </c>
      <c r="J105" s="47" t="str">
        <f t="shared" si="1"/>
        <v/>
      </c>
      <c r="K105" s="47"/>
      <c r="L105" s="41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</row>
    <row r="106" spans="1:42" ht="17.25" customHeight="1" x14ac:dyDescent="0.25">
      <c r="A106" s="37">
        <v>2005</v>
      </c>
      <c r="B106" s="38" t="s">
        <v>66</v>
      </c>
      <c r="C106" s="38" t="s">
        <v>4</v>
      </c>
      <c r="D106" s="38" t="s">
        <v>14</v>
      </c>
      <c r="E106" s="38" t="s">
        <v>69</v>
      </c>
      <c r="F106" s="38" t="s">
        <v>71</v>
      </c>
      <c r="G106" s="39">
        <v>101000000</v>
      </c>
      <c r="H106" s="38" t="s">
        <v>68</v>
      </c>
      <c r="I106" s="40" t="str">
        <f t="shared" si="0"/>
        <v>Taiwan-OTA</v>
      </c>
      <c r="J106" s="40" t="str">
        <f t="shared" si="1"/>
        <v/>
      </c>
      <c r="K106" s="40"/>
      <c r="L106" s="41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</row>
    <row r="107" spans="1:42" ht="17.25" customHeight="1" x14ac:dyDescent="0.25">
      <c r="A107" s="44">
        <v>2005</v>
      </c>
      <c r="B107" s="45" t="s">
        <v>66</v>
      </c>
      <c r="C107" s="45" t="s">
        <v>4</v>
      </c>
      <c r="D107" s="45" t="s">
        <v>15</v>
      </c>
      <c r="E107" s="45" t="s">
        <v>67</v>
      </c>
      <c r="F107" s="45" t="s">
        <v>67</v>
      </c>
      <c r="G107" s="46">
        <v>5800000000</v>
      </c>
      <c r="H107" s="45" t="s">
        <v>68</v>
      </c>
      <c r="I107" s="47" t="str">
        <f t="shared" si="0"/>
        <v>Thailand-Offline</v>
      </c>
      <c r="J107" s="47" t="str">
        <f t="shared" si="1"/>
        <v/>
      </c>
      <c r="K107" s="47"/>
      <c r="L107" s="41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</row>
    <row r="108" spans="1:42" ht="17.25" customHeight="1" x14ac:dyDescent="0.25">
      <c r="A108" s="37">
        <v>2005</v>
      </c>
      <c r="B108" s="38" t="s">
        <v>66</v>
      </c>
      <c r="C108" s="38" t="s">
        <v>4</v>
      </c>
      <c r="D108" s="38" t="s">
        <v>15</v>
      </c>
      <c r="E108" s="38" t="s">
        <v>69</v>
      </c>
      <c r="F108" s="38" t="s">
        <v>70</v>
      </c>
      <c r="G108" s="39">
        <v>315000000</v>
      </c>
      <c r="H108" s="38" t="s">
        <v>68</v>
      </c>
      <c r="I108" s="40" t="str">
        <f t="shared" si="0"/>
        <v>Thailand-Online Supplier-Direct</v>
      </c>
      <c r="J108" s="40" t="str">
        <f t="shared" si="1"/>
        <v/>
      </c>
      <c r="K108" s="40"/>
      <c r="L108" s="41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</row>
    <row r="109" spans="1:42" ht="17.25" customHeight="1" x14ac:dyDescent="0.25">
      <c r="A109" s="44">
        <v>2005</v>
      </c>
      <c r="B109" s="45" t="s">
        <v>66</v>
      </c>
      <c r="C109" s="45" t="s">
        <v>4</v>
      </c>
      <c r="D109" s="45" t="s">
        <v>15</v>
      </c>
      <c r="E109" s="45" t="s">
        <v>69</v>
      </c>
      <c r="F109" s="45" t="s">
        <v>71</v>
      </c>
      <c r="G109" s="46">
        <v>315000000</v>
      </c>
      <c r="H109" s="45" t="s">
        <v>68</v>
      </c>
      <c r="I109" s="47" t="str">
        <f t="shared" si="0"/>
        <v>Thailand-OTA</v>
      </c>
      <c r="J109" s="47" t="str">
        <f t="shared" si="1"/>
        <v/>
      </c>
      <c r="K109" s="47"/>
      <c r="L109" s="41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</row>
    <row r="110" spans="1:42" ht="17.25" customHeight="1" x14ac:dyDescent="0.25">
      <c r="A110" s="37">
        <v>2005</v>
      </c>
      <c r="B110" s="38" t="s">
        <v>66</v>
      </c>
      <c r="C110" s="38" t="s">
        <v>41</v>
      </c>
      <c r="D110" s="38" t="s">
        <v>45</v>
      </c>
      <c r="E110" s="38" t="s">
        <v>67</v>
      </c>
      <c r="F110" s="38" t="s">
        <v>67</v>
      </c>
      <c r="G110" s="39">
        <v>13500000000</v>
      </c>
      <c r="H110" s="38" t="s">
        <v>68</v>
      </c>
      <c r="I110" s="40" t="str">
        <f t="shared" si="0"/>
        <v>U.A.E.-Offline</v>
      </c>
      <c r="J110" s="40" t="str">
        <f t="shared" si="1"/>
        <v/>
      </c>
      <c r="K110" s="40"/>
      <c r="L110" s="41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</row>
    <row r="111" spans="1:42" ht="17.25" customHeight="1" x14ac:dyDescent="0.25">
      <c r="A111" s="44">
        <v>2005</v>
      </c>
      <c r="B111" s="45" t="s">
        <v>66</v>
      </c>
      <c r="C111" s="45" t="s">
        <v>41</v>
      </c>
      <c r="D111" s="45" t="s">
        <v>45</v>
      </c>
      <c r="E111" s="45" t="s">
        <v>69</v>
      </c>
      <c r="F111" s="45" t="s">
        <v>70</v>
      </c>
      <c r="G111" s="46">
        <v>894000000</v>
      </c>
      <c r="H111" s="45" t="s">
        <v>68</v>
      </c>
      <c r="I111" s="47" t="str">
        <f t="shared" si="0"/>
        <v>U.A.E.-Online Supplier-Direct</v>
      </c>
      <c r="J111" s="47" t="str">
        <f t="shared" si="1"/>
        <v/>
      </c>
      <c r="K111" s="47"/>
      <c r="L111" s="41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</row>
    <row r="112" spans="1:42" ht="17.25" customHeight="1" x14ac:dyDescent="0.25">
      <c r="A112" s="37">
        <v>2005</v>
      </c>
      <c r="B112" s="38" t="s">
        <v>66</v>
      </c>
      <c r="C112" s="38" t="s">
        <v>41</v>
      </c>
      <c r="D112" s="38" t="s">
        <v>45</v>
      </c>
      <c r="E112" s="38" t="s">
        <v>69</v>
      </c>
      <c r="F112" s="38" t="s">
        <v>71</v>
      </c>
      <c r="G112" s="39">
        <v>894000000</v>
      </c>
      <c r="H112" s="38" t="s">
        <v>68</v>
      </c>
      <c r="I112" s="40" t="str">
        <f t="shared" si="0"/>
        <v>U.A.E.-OTA</v>
      </c>
      <c r="J112" s="40" t="str">
        <f t="shared" si="1"/>
        <v/>
      </c>
      <c r="K112" s="40"/>
      <c r="L112" s="41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</row>
    <row r="113" spans="1:42" ht="17.25" customHeight="1" x14ac:dyDescent="0.25">
      <c r="A113" s="44">
        <v>2005</v>
      </c>
      <c r="B113" s="45" t="s">
        <v>66</v>
      </c>
      <c r="C113" s="45" t="s">
        <v>27</v>
      </c>
      <c r="D113" s="45" t="s">
        <v>33</v>
      </c>
      <c r="E113" s="45" t="s">
        <v>67</v>
      </c>
      <c r="F113" s="45" t="s">
        <v>67</v>
      </c>
      <c r="G113" s="46">
        <v>40200000000</v>
      </c>
      <c r="H113" s="45" t="s">
        <v>68</v>
      </c>
      <c r="I113" s="47" t="str">
        <f t="shared" si="0"/>
        <v>U.K.-Offline</v>
      </c>
      <c r="J113" s="47" t="str">
        <f t="shared" si="1"/>
        <v/>
      </c>
      <c r="K113" s="47"/>
      <c r="L113" s="41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</row>
    <row r="114" spans="1:42" ht="17.25" customHeight="1" x14ac:dyDescent="0.25">
      <c r="A114" s="37">
        <v>2005</v>
      </c>
      <c r="B114" s="38" t="s">
        <v>66</v>
      </c>
      <c r="C114" s="38" t="s">
        <v>27</v>
      </c>
      <c r="D114" s="38" t="s">
        <v>33</v>
      </c>
      <c r="E114" s="38" t="s">
        <v>69</v>
      </c>
      <c r="F114" s="38" t="s">
        <v>70</v>
      </c>
      <c r="G114" s="39">
        <v>5900000000</v>
      </c>
      <c r="H114" s="38" t="s">
        <v>68</v>
      </c>
      <c r="I114" s="40" t="str">
        <f t="shared" si="0"/>
        <v>U.K.-Online Supplier-Direct</v>
      </c>
      <c r="J114" s="40" t="str">
        <f t="shared" si="1"/>
        <v/>
      </c>
      <c r="K114" s="40"/>
      <c r="L114" s="41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</row>
    <row r="115" spans="1:42" ht="17.25" customHeight="1" x14ac:dyDescent="0.25">
      <c r="A115" s="44">
        <v>2005</v>
      </c>
      <c r="B115" s="45" t="s">
        <v>66</v>
      </c>
      <c r="C115" s="45" t="s">
        <v>27</v>
      </c>
      <c r="D115" s="45" t="s">
        <v>33</v>
      </c>
      <c r="E115" s="45" t="s">
        <v>69</v>
      </c>
      <c r="F115" s="45" t="s">
        <v>71</v>
      </c>
      <c r="G115" s="46">
        <v>5900000000</v>
      </c>
      <c r="H115" s="45" t="s">
        <v>68</v>
      </c>
      <c r="I115" s="47" t="str">
        <f t="shared" si="0"/>
        <v>U.K.-OTA</v>
      </c>
      <c r="J115" s="47" t="str">
        <f t="shared" si="1"/>
        <v/>
      </c>
      <c r="K115" s="47"/>
      <c r="L115" s="41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</row>
    <row r="116" spans="1:42" ht="17.25" customHeight="1" x14ac:dyDescent="0.25">
      <c r="A116" s="37">
        <v>2005</v>
      </c>
      <c r="B116" s="38" t="s">
        <v>66</v>
      </c>
      <c r="C116" s="38" t="s">
        <v>47</v>
      </c>
      <c r="D116" s="38" t="s">
        <v>48</v>
      </c>
      <c r="E116" s="38" t="s">
        <v>72</v>
      </c>
      <c r="F116" s="38" t="s">
        <v>73</v>
      </c>
      <c r="G116" s="39">
        <v>66700000000</v>
      </c>
      <c r="H116" s="38" t="s">
        <v>68</v>
      </c>
      <c r="I116" s="40" t="str">
        <f t="shared" si="0"/>
        <v>U.S.-Central Reservation</v>
      </c>
      <c r="J116" s="40" t="str">
        <f t="shared" si="1"/>
        <v/>
      </c>
      <c r="K116" s="40"/>
      <c r="L116" s="41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</row>
    <row r="117" spans="1:42" ht="17.25" customHeight="1" x14ac:dyDescent="0.25">
      <c r="A117" s="44">
        <v>2005</v>
      </c>
      <c r="B117" s="45" t="s">
        <v>66</v>
      </c>
      <c r="C117" s="45" t="s">
        <v>47</v>
      </c>
      <c r="D117" s="45" t="s">
        <v>48</v>
      </c>
      <c r="E117" s="45" t="s">
        <v>67</v>
      </c>
      <c r="F117" s="45" t="s">
        <v>74</v>
      </c>
      <c r="G117" s="46">
        <v>66900000000</v>
      </c>
      <c r="H117" s="45" t="s">
        <v>68</v>
      </c>
      <c r="I117" s="47" t="str">
        <f t="shared" si="0"/>
        <v>U.S.-Travel Agency/TMC</v>
      </c>
      <c r="J117" s="47" t="str">
        <f t="shared" si="1"/>
        <v/>
      </c>
      <c r="K117" s="47"/>
      <c r="L117" s="41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</row>
    <row r="118" spans="1:42" ht="17.25" customHeight="1" x14ac:dyDescent="0.25">
      <c r="A118" s="37">
        <v>2005</v>
      </c>
      <c r="B118" s="38" t="s">
        <v>66</v>
      </c>
      <c r="C118" s="38" t="s">
        <v>47</v>
      </c>
      <c r="D118" s="38" t="s">
        <v>48</v>
      </c>
      <c r="E118" s="38" t="s">
        <v>69</v>
      </c>
      <c r="F118" s="38" t="s">
        <v>70</v>
      </c>
      <c r="G118" s="39">
        <v>38400000000</v>
      </c>
      <c r="H118" s="38" t="s">
        <v>68</v>
      </c>
      <c r="I118" s="40" t="str">
        <f t="shared" si="0"/>
        <v>U.S.-Online Supplier-Direct</v>
      </c>
      <c r="J118" s="40" t="str">
        <f t="shared" si="1"/>
        <v/>
      </c>
      <c r="K118" s="40"/>
      <c r="L118" s="41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</row>
    <row r="119" spans="1:42" ht="17.25" customHeight="1" x14ac:dyDescent="0.25">
      <c r="A119" s="44">
        <v>2005</v>
      </c>
      <c r="B119" s="45" t="s">
        <v>66</v>
      </c>
      <c r="C119" s="45" t="s">
        <v>47</v>
      </c>
      <c r="D119" s="45" t="s">
        <v>48</v>
      </c>
      <c r="E119" s="45" t="s">
        <v>69</v>
      </c>
      <c r="F119" s="45" t="s">
        <v>71</v>
      </c>
      <c r="G119" s="46">
        <v>38400000000</v>
      </c>
      <c r="H119" s="45" t="s">
        <v>68</v>
      </c>
      <c r="I119" s="47" t="str">
        <f t="shared" si="0"/>
        <v>U.S.-OTA</v>
      </c>
      <c r="J119" s="47" t="str">
        <f t="shared" si="1"/>
        <v/>
      </c>
      <c r="K119" s="47"/>
      <c r="L119" s="41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</row>
    <row r="120" spans="1:42" ht="17.25" customHeight="1" x14ac:dyDescent="0.25">
      <c r="A120" s="37">
        <v>2005</v>
      </c>
      <c r="B120" s="38" t="s">
        <v>66</v>
      </c>
      <c r="C120" s="38" t="s">
        <v>17</v>
      </c>
      <c r="D120" s="38" t="s">
        <v>25</v>
      </c>
      <c r="E120" s="38" t="s">
        <v>67</v>
      </c>
      <c r="F120" s="38" t="s">
        <v>67</v>
      </c>
      <c r="G120" s="39">
        <v>2340000000</v>
      </c>
      <c r="H120" s="38" t="s">
        <v>68</v>
      </c>
      <c r="I120" s="40" t="str">
        <f t="shared" si="0"/>
        <v>Ukraine-Offline</v>
      </c>
      <c r="J120" s="40" t="str">
        <f t="shared" si="1"/>
        <v/>
      </c>
      <c r="K120" s="40"/>
      <c r="L120" s="41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</row>
    <row r="121" spans="1:42" ht="17.25" customHeight="1" x14ac:dyDescent="0.25">
      <c r="A121" s="44">
        <v>2005</v>
      </c>
      <c r="B121" s="45" t="s">
        <v>66</v>
      </c>
      <c r="C121" s="45" t="s">
        <v>17</v>
      </c>
      <c r="D121" s="45" t="s">
        <v>25</v>
      </c>
      <c r="E121" s="45" t="s">
        <v>69</v>
      </c>
      <c r="F121" s="45" t="s">
        <v>70</v>
      </c>
      <c r="G121" s="46">
        <v>63225647</v>
      </c>
      <c r="H121" s="45" t="s">
        <v>68</v>
      </c>
      <c r="I121" s="47" t="str">
        <f t="shared" si="0"/>
        <v>Ukraine-Online Supplier-Direct</v>
      </c>
      <c r="J121" s="47" t="str">
        <f t="shared" si="1"/>
        <v/>
      </c>
      <c r="K121" s="47"/>
      <c r="L121" s="41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</row>
    <row r="122" spans="1:42" ht="17.25" customHeight="1" x14ac:dyDescent="0.25">
      <c r="A122" s="37">
        <v>2005</v>
      </c>
      <c r="B122" s="38" t="s">
        <v>66</v>
      </c>
      <c r="C122" s="38" t="s">
        <v>17</v>
      </c>
      <c r="D122" s="38" t="s">
        <v>25</v>
      </c>
      <c r="E122" s="38" t="s">
        <v>69</v>
      </c>
      <c r="F122" s="38" t="s">
        <v>71</v>
      </c>
      <c r="G122" s="39">
        <v>63225647</v>
      </c>
      <c r="H122" s="38" t="s">
        <v>68</v>
      </c>
      <c r="I122" s="40" t="str">
        <f t="shared" si="0"/>
        <v>Ukraine-OTA</v>
      </c>
      <c r="J122" s="40" t="str">
        <f t="shared" si="1"/>
        <v/>
      </c>
      <c r="K122" s="40"/>
      <c r="L122" s="41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</row>
    <row r="123" spans="1:42" ht="17.25" customHeight="1" x14ac:dyDescent="0.25">
      <c r="A123" s="44">
        <v>2006</v>
      </c>
      <c r="B123" s="45" t="s">
        <v>66</v>
      </c>
      <c r="C123" s="45" t="s">
        <v>35</v>
      </c>
      <c r="D123" s="45" t="s">
        <v>34</v>
      </c>
      <c r="E123" s="45" t="s">
        <v>67</v>
      </c>
      <c r="F123" s="45" t="s">
        <v>67</v>
      </c>
      <c r="G123" s="46">
        <v>6380000000</v>
      </c>
      <c r="H123" s="45" t="s">
        <v>68</v>
      </c>
      <c r="I123" s="47" t="str">
        <f t="shared" si="0"/>
        <v>Argentina-Offline</v>
      </c>
      <c r="J123" s="47" t="str">
        <f t="shared" si="1"/>
        <v/>
      </c>
      <c r="K123" s="47"/>
      <c r="L123" s="41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</row>
    <row r="124" spans="1:42" ht="17.25" customHeight="1" x14ac:dyDescent="0.25">
      <c r="A124" s="37">
        <v>2006</v>
      </c>
      <c r="B124" s="38" t="s">
        <v>66</v>
      </c>
      <c r="C124" s="38" t="s">
        <v>35</v>
      </c>
      <c r="D124" s="38" t="s">
        <v>34</v>
      </c>
      <c r="E124" s="38" t="s">
        <v>69</v>
      </c>
      <c r="F124" s="38" t="s">
        <v>70</v>
      </c>
      <c r="G124" s="39">
        <v>141000000</v>
      </c>
      <c r="H124" s="38" t="s">
        <v>68</v>
      </c>
      <c r="I124" s="40" t="str">
        <f t="shared" si="0"/>
        <v>Argentina-Online Supplier-Direct</v>
      </c>
      <c r="J124" s="40" t="str">
        <f t="shared" si="1"/>
        <v/>
      </c>
      <c r="K124" s="40"/>
      <c r="L124" s="41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</row>
    <row r="125" spans="1:42" ht="17.25" customHeight="1" x14ac:dyDescent="0.25">
      <c r="A125" s="44">
        <v>2006</v>
      </c>
      <c r="B125" s="45" t="s">
        <v>66</v>
      </c>
      <c r="C125" s="45" t="s">
        <v>35</v>
      </c>
      <c r="D125" s="45" t="s">
        <v>34</v>
      </c>
      <c r="E125" s="45" t="s">
        <v>69</v>
      </c>
      <c r="F125" s="45" t="s">
        <v>71</v>
      </c>
      <c r="G125" s="46">
        <v>141000000</v>
      </c>
      <c r="H125" s="45" t="s">
        <v>68</v>
      </c>
      <c r="I125" s="47" t="str">
        <f t="shared" si="0"/>
        <v>Argentina-OTA</v>
      </c>
      <c r="J125" s="47" t="str">
        <f t="shared" si="1"/>
        <v/>
      </c>
      <c r="K125" s="47"/>
      <c r="L125" s="41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</row>
    <row r="126" spans="1:42" ht="17.25" customHeight="1" x14ac:dyDescent="0.25">
      <c r="A126" s="37">
        <v>2006</v>
      </c>
      <c r="B126" s="38" t="s">
        <v>66</v>
      </c>
      <c r="C126" s="38" t="s">
        <v>4</v>
      </c>
      <c r="D126" s="38" t="s">
        <v>3</v>
      </c>
      <c r="E126" s="38" t="s">
        <v>67</v>
      </c>
      <c r="F126" s="38" t="s">
        <v>67</v>
      </c>
      <c r="G126" s="39">
        <v>13300000000</v>
      </c>
      <c r="H126" s="38" t="s">
        <v>68</v>
      </c>
      <c r="I126" s="40" t="str">
        <f t="shared" si="0"/>
        <v>Australia-New Zealand-Offline</v>
      </c>
      <c r="J126" s="40" t="str">
        <f t="shared" si="1"/>
        <v/>
      </c>
      <c r="K126" s="40"/>
      <c r="L126" s="41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</row>
    <row r="127" spans="1:42" ht="17.25" customHeight="1" x14ac:dyDescent="0.25">
      <c r="A127" s="44">
        <v>2006</v>
      </c>
      <c r="B127" s="45" t="s">
        <v>66</v>
      </c>
      <c r="C127" s="45" t="s">
        <v>4</v>
      </c>
      <c r="D127" s="45" t="s">
        <v>3</v>
      </c>
      <c r="E127" s="45" t="s">
        <v>69</v>
      </c>
      <c r="F127" s="45" t="s">
        <v>70</v>
      </c>
      <c r="G127" s="46">
        <v>1060000000</v>
      </c>
      <c r="H127" s="45" t="s">
        <v>68</v>
      </c>
      <c r="I127" s="47" t="str">
        <f t="shared" si="0"/>
        <v>Australia-New Zealand-Online Supplier-Direct</v>
      </c>
      <c r="J127" s="47" t="str">
        <f t="shared" si="1"/>
        <v/>
      </c>
      <c r="K127" s="47"/>
      <c r="L127" s="41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</row>
    <row r="128" spans="1:42" ht="17.25" customHeight="1" x14ac:dyDescent="0.25">
      <c r="A128" s="37">
        <v>2006</v>
      </c>
      <c r="B128" s="38" t="s">
        <v>66</v>
      </c>
      <c r="C128" s="38" t="s">
        <v>4</v>
      </c>
      <c r="D128" s="38" t="s">
        <v>3</v>
      </c>
      <c r="E128" s="38" t="s">
        <v>69</v>
      </c>
      <c r="F128" s="38" t="s">
        <v>71</v>
      </c>
      <c r="G128" s="39">
        <v>1060000000</v>
      </c>
      <c r="H128" s="38" t="s">
        <v>68</v>
      </c>
      <c r="I128" s="40" t="str">
        <f t="shared" si="0"/>
        <v>Australia-New Zealand-OTA</v>
      </c>
      <c r="J128" s="40" t="str">
        <f t="shared" si="1"/>
        <v/>
      </c>
      <c r="K128" s="40"/>
      <c r="L128" s="41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</row>
    <row r="129" spans="1:42" ht="17.25" customHeight="1" x14ac:dyDescent="0.25">
      <c r="A129" s="44">
        <v>2006</v>
      </c>
      <c r="B129" s="45" t="s">
        <v>66</v>
      </c>
      <c r="C129" s="45" t="s">
        <v>35</v>
      </c>
      <c r="D129" s="45" t="s">
        <v>36</v>
      </c>
      <c r="E129" s="45" t="s">
        <v>67</v>
      </c>
      <c r="F129" s="45" t="s">
        <v>67</v>
      </c>
      <c r="G129" s="46">
        <v>25300000000</v>
      </c>
      <c r="H129" s="45" t="s">
        <v>68</v>
      </c>
      <c r="I129" s="47" t="str">
        <f t="shared" si="0"/>
        <v>Brazil-Offline</v>
      </c>
      <c r="J129" s="47" t="str">
        <f t="shared" si="1"/>
        <v/>
      </c>
      <c r="K129" s="47"/>
      <c r="L129" s="41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</row>
    <row r="130" spans="1:42" ht="17.25" customHeight="1" x14ac:dyDescent="0.25">
      <c r="A130" s="37">
        <v>2006</v>
      </c>
      <c r="B130" s="38" t="s">
        <v>66</v>
      </c>
      <c r="C130" s="38" t="s">
        <v>35</v>
      </c>
      <c r="D130" s="38" t="s">
        <v>36</v>
      </c>
      <c r="E130" s="38" t="s">
        <v>69</v>
      </c>
      <c r="F130" s="38" t="s">
        <v>70</v>
      </c>
      <c r="G130" s="39">
        <v>1640000000</v>
      </c>
      <c r="H130" s="38" t="s">
        <v>68</v>
      </c>
      <c r="I130" s="40" t="str">
        <f t="shared" si="0"/>
        <v>Brazil-Online Supplier-Direct</v>
      </c>
      <c r="J130" s="40" t="str">
        <f t="shared" si="1"/>
        <v/>
      </c>
      <c r="K130" s="40"/>
      <c r="L130" s="41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</row>
    <row r="131" spans="1:42" ht="17.25" customHeight="1" x14ac:dyDescent="0.25">
      <c r="A131" s="44">
        <v>2006</v>
      </c>
      <c r="B131" s="45" t="s">
        <v>66</v>
      </c>
      <c r="C131" s="45" t="s">
        <v>35</v>
      </c>
      <c r="D131" s="45" t="s">
        <v>36</v>
      </c>
      <c r="E131" s="45" t="s">
        <v>69</v>
      </c>
      <c r="F131" s="45" t="s">
        <v>71</v>
      </c>
      <c r="G131" s="46">
        <v>1640000000</v>
      </c>
      <c r="H131" s="45" t="s">
        <v>68</v>
      </c>
      <c r="I131" s="47" t="str">
        <f t="shared" si="0"/>
        <v>Brazil-OTA</v>
      </c>
      <c r="J131" s="47" t="str">
        <f t="shared" si="1"/>
        <v/>
      </c>
      <c r="K131" s="47"/>
      <c r="L131" s="41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</row>
    <row r="132" spans="1:42" ht="17.25" customHeight="1" x14ac:dyDescent="0.25">
      <c r="A132" s="37">
        <v>2006</v>
      </c>
      <c r="B132" s="38" t="s">
        <v>66</v>
      </c>
      <c r="C132" s="38" t="s">
        <v>17</v>
      </c>
      <c r="D132" s="38" t="s">
        <v>16</v>
      </c>
      <c r="E132" s="38" t="s">
        <v>67</v>
      </c>
      <c r="F132" s="38" t="s">
        <v>67</v>
      </c>
      <c r="G132" s="39">
        <v>913000000</v>
      </c>
      <c r="H132" s="38" t="s">
        <v>68</v>
      </c>
      <c r="I132" s="40" t="str">
        <f t="shared" si="0"/>
        <v>Bulgaria-Offline</v>
      </c>
      <c r="J132" s="40" t="str">
        <f t="shared" si="1"/>
        <v/>
      </c>
      <c r="K132" s="40"/>
      <c r="L132" s="41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</row>
    <row r="133" spans="1:42" ht="17.25" customHeight="1" x14ac:dyDescent="0.25">
      <c r="A133" s="44">
        <v>2006</v>
      </c>
      <c r="B133" s="45" t="s">
        <v>66</v>
      </c>
      <c r="C133" s="45" t="s">
        <v>17</v>
      </c>
      <c r="D133" s="45" t="s">
        <v>16</v>
      </c>
      <c r="E133" s="45" t="s">
        <v>69</v>
      </c>
      <c r="F133" s="45" t="s">
        <v>70</v>
      </c>
      <c r="G133" s="46">
        <v>9708950</v>
      </c>
      <c r="H133" s="45" t="s">
        <v>68</v>
      </c>
      <c r="I133" s="47" t="str">
        <f t="shared" si="0"/>
        <v>Bulgaria-Online Supplier-Direct</v>
      </c>
      <c r="J133" s="47" t="str">
        <f t="shared" si="1"/>
        <v/>
      </c>
      <c r="K133" s="47"/>
      <c r="L133" s="41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</row>
    <row r="134" spans="1:42" ht="17.25" customHeight="1" x14ac:dyDescent="0.25">
      <c r="A134" s="37">
        <v>2006</v>
      </c>
      <c r="B134" s="38" t="s">
        <v>66</v>
      </c>
      <c r="C134" s="38" t="s">
        <v>17</v>
      </c>
      <c r="D134" s="38" t="s">
        <v>16</v>
      </c>
      <c r="E134" s="38" t="s">
        <v>69</v>
      </c>
      <c r="F134" s="38" t="s">
        <v>71</v>
      </c>
      <c r="G134" s="39">
        <v>9708950</v>
      </c>
      <c r="H134" s="38" t="s">
        <v>68</v>
      </c>
      <c r="I134" s="40" t="str">
        <f t="shared" si="0"/>
        <v>Bulgaria-OTA</v>
      </c>
      <c r="J134" s="40" t="str">
        <f t="shared" si="1"/>
        <v/>
      </c>
      <c r="K134" s="40"/>
      <c r="L134" s="41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</row>
    <row r="135" spans="1:42" ht="17.25" customHeight="1" x14ac:dyDescent="0.25">
      <c r="A135" s="44">
        <v>2006</v>
      </c>
      <c r="B135" s="45" t="s">
        <v>66</v>
      </c>
      <c r="C135" s="45" t="s">
        <v>47</v>
      </c>
      <c r="D135" s="45" t="s">
        <v>46</v>
      </c>
      <c r="E135" s="45" t="s">
        <v>67</v>
      </c>
      <c r="F135" s="45" t="s">
        <v>67</v>
      </c>
      <c r="G135" s="46">
        <v>15000000000</v>
      </c>
      <c r="H135" s="45" t="s">
        <v>68</v>
      </c>
      <c r="I135" s="47" t="str">
        <f t="shared" si="0"/>
        <v>Canada-Offline</v>
      </c>
      <c r="J135" s="47" t="str">
        <f t="shared" si="1"/>
        <v/>
      </c>
      <c r="K135" s="47"/>
      <c r="L135" s="41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</row>
    <row r="136" spans="1:42" ht="17.25" customHeight="1" x14ac:dyDescent="0.25">
      <c r="A136" s="37">
        <v>2006</v>
      </c>
      <c r="B136" s="38" t="s">
        <v>66</v>
      </c>
      <c r="C136" s="38" t="s">
        <v>47</v>
      </c>
      <c r="D136" s="38" t="s">
        <v>46</v>
      </c>
      <c r="E136" s="38" t="s">
        <v>69</v>
      </c>
      <c r="F136" s="38" t="s">
        <v>70</v>
      </c>
      <c r="G136" s="39">
        <v>2600000000</v>
      </c>
      <c r="H136" s="38" t="s">
        <v>68</v>
      </c>
      <c r="I136" s="40" t="str">
        <f t="shared" si="0"/>
        <v>Canada-Online Supplier-Direct</v>
      </c>
      <c r="J136" s="40" t="str">
        <f t="shared" si="1"/>
        <v/>
      </c>
      <c r="K136" s="40"/>
      <c r="L136" s="41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</row>
    <row r="137" spans="1:42" ht="17.25" customHeight="1" x14ac:dyDescent="0.25">
      <c r="A137" s="44">
        <v>2006</v>
      </c>
      <c r="B137" s="45" t="s">
        <v>66</v>
      </c>
      <c r="C137" s="45" t="s">
        <v>47</v>
      </c>
      <c r="D137" s="45" t="s">
        <v>46</v>
      </c>
      <c r="E137" s="45" t="s">
        <v>69</v>
      </c>
      <c r="F137" s="45" t="s">
        <v>71</v>
      </c>
      <c r="G137" s="46">
        <v>2600000000</v>
      </c>
      <c r="H137" s="45" t="s">
        <v>68</v>
      </c>
      <c r="I137" s="47" t="str">
        <f t="shared" si="0"/>
        <v>Canada-OTA</v>
      </c>
      <c r="J137" s="47" t="str">
        <f t="shared" si="1"/>
        <v/>
      </c>
      <c r="K137" s="47"/>
      <c r="L137" s="41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</row>
    <row r="138" spans="1:42" ht="17.25" customHeight="1" x14ac:dyDescent="0.25">
      <c r="A138" s="37">
        <v>2006</v>
      </c>
      <c r="B138" s="38" t="s">
        <v>66</v>
      </c>
      <c r="C138" s="38" t="s">
        <v>35</v>
      </c>
      <c r="D138" s="38" t="s">
        <v>37</v>
      </c>
      <c r="E138" s="38" t="s">
        <v>67</v>
      </c>
      <c r="F138" s="38" t="s">
        <v>67</v>
      </c>
      <c r="G138" s="39">
        <v>3560000000</v>
      </c>
      <c r="H138" s="38" t="s">
        <v>68</v>
      </c>
      <c r="I138" s="40" t="str">
        <f t="shared" si="0"/>
        <v>Chile-Offline</v>
      </c>
      <c r="J138" s="40" t="str">
        <f t="shared" si="1"/>
        <v/>
      </c>
      <c r="K138" s="40"/>
      <c r="L138" s="41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</row>
    <row r="139" spans="1:42" ht="17.25" customHeight="1" x14ac:dyDescent="0.25">
      <c r="A139" s="44">
        <v>2006</v>
      </c>
      <c r="B139" s="45" t="s">
        <v>66</v>
      </c>
      <c r="C139" s="45" t="s">
        <v>35</v>
      </c>
      <c r="D139" s="45" t="s">
        <v>37</v>
      </c>
      <c r="E139" s="45" t="s">
        <v>69</v>
      </c>
      <c r="F139" s="45" t="s">
        <v>70</v>
      </c>
      <c r="G139" s="46">
        <v>177000000</v>
      </c>
      <c r="H139" s="45" t="s">
        <v>68</v>
      </c>
      <c r="I139" s="47" t="str">
        <f t="shared" si="0"/>
        <v>Chile-Online Supplier-Direct</v>
      </c>
      <c r="J139" s="47" t="str">
        <f t="shared" si="1"/>
        <v/>
      </c>
      <c r="K139" s="47"/>
      <c r="L139" s="41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</row>
    <row r="140" spans="1:42" ht="17.25" customHeight="1" x14ac:dyDescent="0.25">
      <c r="A140" s="37">
        <v>2006</v>
      </c>
      <c r="B140" s="38" t="s">
        <v>66</v>
      </c>
      <c r="C140" s="38" t="s">
        <v>35</v>
      </c>
      <c r="D140" s="38" t="s">
        <v>37</v>
      </c>
      <c r="E140" s="38" t="s">
        <v>69</v>
      </c>
      <c r="F140" s="38" t="s">
        <v>71</v>
      </c>
      <c r="G140" s="39">
        <v>177000000</v>
      </c>
      <c r="H140" s="38" t="s">
        <v>68</v>
      </c>
      <c r="I140" s="40" t="str">
        <f t="shared" si="0"/>
        <v>Chile-OTA</v>
      </c>
      <c r="J140" s="40" t="str">
        <f t="shared" si="1"/>
        <v/>
      </c>
      <c r="K140" s="40"/>
      <c r="L140" s="41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</row>
    <row r="141" spans="1:42" ht="17.25" customHeight="1" x14ac:dyDescent="0.25">
      <c r="A141" s="44">
        <v>2006</v>
      </c>
      <c r="B141" s="45" t="s">
        <v>66</v>
      </c>
      <c r="C141" s="45" t="s">
        <v>4</v>
      </c>
      <c r="D141" s="45" t="s">
        <v>5</v>
      </c>
      <c r="E141" s="45" t="s">
        <v>67</v>
      </c>
      <c r="F141" s="45" t="s">
        <v>67</v>
      </c>
      <c r="G141" s="46">
        <v>32700000000</v>
      </c>
      <c r="H141" s="45" t="s">
        <v>68</v>
      </c>
      <c r="I141" s="47" t="str">
        <f t="shared" si="0"/>
        <v>China-Offline</v>
      </c>
      <c r="J141" s="47" t="str">
        <f t="shared" si="1"/>
        <v/>
      </c>
      <c r="K141" s="47"/>
      <c r="L141" s="41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</row>
    <row r="142" spans="1:42" ht="17.25" customHeight="1" x14ac:dyDescent="0.25">
      <c r="A142" s="37">
        <v>2006</v>
      </c>
      <c r="B142" s="38" t="s">
        <v>66</v>
      </c>
      <c r="C142" s="38" t="s">
        <v>4</v>
      </c>
      <c r="D142" s="38" t="s">
        <v>5</v>
      </c>
      <c r="E142" s="38" t="s">
        <v>69</v>
      </c>
      <c r="F142" s="38" t="s">
        <v>70</v>
      </c>
      <c r="G142" s="39">
        <v>850000000</v>
      </c>
      <c r="H142" s="38" t="s">
        <v>68</v>
      </c>
      <c r="I142" s="40" t="str">
        <f t="shared" si="0"/>
        <v>China-Online Supplier-Direct</v>
      </c>
      <c r="J142" s="40" t="str">
        <f t="shared" si="1"/>
        <v/>
      </c>
      <c r="K142" s="40"/>
      <c r="L142" s="41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</row>
    <row r="143" spans="1:42" ht="17.25" customHeight="1" x14ac:dyDescent="0.25">
      <c r="A143" s="44">
        <v>2006</v>
      </c>
      <c r="B143" s="45" t="s">
        <v>66</v>
      </c>
      <c r="C143" s="45" t="s">
        <v>4</v>
      </c>
      <c r="D143" s="45" t="s">
        <v>5</v>
      </c>
      <c r="E143" s="45" t="s">
        <v>69</v>
      </c>
      <c r="F143" s="45" t="s">
        <v>71</v>
      </c>
      <c r="G143" s="46">
        <v>850000000</v>
      </c>
      <c r="H143" s="45" t="s">
        <v>68</v>
      </c>
      <c r="I143" s="47" t="str">
        <f t="shared" si="0"/>
        <v>China-OTA</v>
      </c>
      <c r="J143" s="47" t="str">
        <f t="shared" si="1"/>
        <v/>
      </c>
      <c r="K143" s="47"/>
      <c r="L143" s="41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</row>
    <row r="144" spans="1:42" ht="17.25" customHeight="1" x14ac:dyDescent="0.25">
      <c r="A144" s="37">
        <v>2006</v>
      </c>
      <c r="B144" s="38" t="s">
        <v>66</v>
      </c>
      <c r="C144" s="38" t="s">
        <v>35</v>
      </c>
      <c r="D144" s="38" t="s">
        <v>38</v>
      </c>
      <c r="E144" s="38" t="s">
        <v>67</v>
      </c>
      <c r="F144" s="38" t="s">
        <v>67</v>
      </c>
      <c r="G144" s="39">
        <v>5670000000</v>
      </c>
      <c r="H144" s="38" t="s">
        <v>68</v>
      </c>
      <c r="I144" s="40" t="str">
        <f t="shared" si="0"/>
        <v>Colombia-Offline</v>
      </c>
      <c r="J144" s="40" t="str">
        <f t="shared" si="1"/>
        <v/>
      </c>
      <c r="K144" s="40"/>
      <c r="L144" s="41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</row>
    <row r="145" spans="1:42" ht="17.25" customHeight="1" x14ac:dyDescent="0.25">
      <c r="A145" s="44">
        <v>2006</v>
      </c>
      <c r="B145" s="45" t="s">
        <v>66</v>
      </c>
      <c r="C145" s="45" t="s">
        <v>35</v>
      </c>
      <c r="D145" s="45" t="s">
        <v>38</v>
      </c>
      <c r="E145" s="45" t="s">
        <v>69</v>
      </c>
      <c r="F145" s="45" t="s">
        <v>70</v>
      </c>
      <c r="G145" s="46">
        <v>210000000</v>
      </c>
      <c r="H145" s="45" t="s">
        <v>68</v>
      </c>
      <c r="I145" s="47" t="str">
        <f t="shared" si="0"/>
        <v>Colombia-Online Supplier-Direct</v>
      </c>
      <c r="J145" s="47" t="str">
        <f t="shared" si="1"/>
        <v/>
      </c>
      <c r="K145" s="47"/>
      <c r="L145" s="41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</row>
    <row r="146" spans="1:42" ht="17.25" customHeight="1" x14ac:dyDescent="0.25">
      <c r="A146" s="37">
        <v>2006</v>
      </c>
      <c r="B146" s="38" t="s">
        <v>66</v>
      </c>
      <c r="C146" s="38" t="s">
        <v>35</v>
      </c>
      <c r="D146" s="38" t="s">
        <v>38</v>
      </c>
      <c r="E146" s="38" t="s">
        <v>69</v>
      </c>
      <c r="F146" s="38" t="s">
        <v>71</v>
      </c>
      <c r="G146" s="39">
        <v>210000000</v>
      </c>
      <c r="H146" s="38" t="s">
        <v>68</v>
      </c>
      <c r="I146" s="40" t="str">
        <f t="shared" si="0"/>
        <v>Colombia-OTA</v>
      </c>
      <c r="J146" s="40" t="str">
        <f t="shared" si="1"/>
        <v/>
      </c>
      <c r="K146" s="40"/>
      <c r="L146" s="41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</row>
    <row r="147" spans="1:42" ht="17.25" customHeight="1" x14ac:dyDescent="0.25">
      <c r="A147" s="44">
        <v>2006</v>
      </c>
      <c r="B147" s="45" t="s">
        <v>66</v>
      </c>
      <c r="C147" s="45" t="s">
        <v>17</v>
      </c>
      <c r="D147" s="45" t="s">
        <v>18</v>
      </c>
      <c r="E147" s="45" t="s">
        <v>67</v>
      </c>
      <c r="F147" s="45" t="s">
        <v>67</v>
      </c>
      <c r="G147" s="46">
        <v>2110000000</v>
      </c>
      <c r="H147" s="45" t="s">
        <v>68</v>
      </c>
      <c r="I147" s="47" t="str">
        <f t="shared" si="0"/>
        <v>Czech Republic-Offline</v>
      </c>
      <c r="J147" s="47" t="str">
        <f t="shared" si="1"/>
        <v/>
      </c>
      <c r="K147" s="47"/>
      <c r="L147" s="41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</row>
    <row r="148" spans="1:42" ht="17.25" customHeight="1" x14ac:dyDescent="0.25">
      <c r="A148" s="37">
        <v>2006</v>
      </c>
      <c r="B148" s="38" t="s">
        <v>66</v>
      </c>
      <c r="C148" s="38" t="s">
        <v>17</v>
      </c>
      <c r="D148" s="38" t="s">
        <v>18</v>
      </c>
      <c r="E148" s="38" t="s">
        <v>69</v>
      </c>
      <c r="F148" s="38" t="s">
        <v>70</v>
      </c>
      <c r="G148" s="39">
        <v>180000000</v>
      </c>
      <c r="H148" s="38" t="s">
        <v>68</v>
      </c>
      <c r="I148" s="40" t="str">
        <f t="shared" si="0"/>
        <v>Czech Republic-Online Supplier-Direct</v>
      </c>
      <c r="J148" s="40" t="str">
        <f t="shared" si="1"/>
        <v/>
      </c>
      <c r="K148" s="40"/>
      <c r="L148" s="41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</row>
    <row r="149" spans="1:42" ht="17.25" customHeight="1" x14ac:dyDescent="0.25">
      <c r="A149" s="44">
        <v>2006</v>
      </c>
      <c r="B149" s="45" t="s">
        <v>66</v>
      </c>
      <c r="C149" s="45" t="s">
        <v>17</v>
      </c>
      <c r="D149" s="45" t="s">
        <v>18</v>
      </c>
      <c r="E149" s="45" t="s">
        <v>69</v>
      </c>
      <c r="F149" s="45" t="s">
        <v>71</v>
      </c>
      <c r="G149" s="46">
        <v>180000000</v>
      </c>
      <c r="H149" s="45" t="s">
        <v>68</v>
      </c>
      <c r="I149" s="47" t="str">
        <f t="shared" si="0"/>
        <v>Czech Republic-OTA</v>
      </c>
      <c r="J149" s="47" t="str">
        <f t="shared" si="1"/>
        <v/>
      </c>
      <c r="K149" s="47"/>
      <c r="L149" s="41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</row>
    <row r="150" spans="1:42" ht="17.25" customHeight="1" x14ac:dyDescent="0.25">
      <c r="A150" s="37">
        <v>2006</v>
      </c>
      <c r="B150" s="38" t="s">
        <v>66</v>
      </c>
      <c r="C150" s="38" t="s">
        <v>41</v>
      </c>
      <c r="D150" s="38" t="s">
        <v>40</v>
      </c>
      <c r="E150" s="38" t="s">
        <v>67</v>
      </c>
      <c r="F150" s="38" t="s">
        <v>67</v>
      </c>
      <c r="G150" s="39">
        <v>4550000000</v>
      </c>
      <c r="H150" s="38" t="s">
        <v>68</v>
      </c>
      <c r="I150" s="40" t="str">
        <f t="shared" si="0"/>
        <v>Egypt-Offline</v>
      </c>
      <c r="J150" s="40" t="str">
        <f t="shared" si="1"/>
        <v/>
      </c>
      <c r="K150" s="40"/>
      <c r="L150" s="41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</row>
    <row r="151" spans="1:42" ht="17.25" customHeight="1" x14ac:dyDescent="0.25">
      <c r="A151" s="44">
        <v>2006</v>
      </c>
      <c r="B151" s="45" t="s">
        <v>66</v>
      </c>
      <c r="C151" s="45" t="s">
        <v>41</v>
      </c>
      <c r="D151" s="45" t="s">
        <v>40</v>
      </c>
      <c r="E151" s="45" t="s">
        <v>69</v>
      </c>
      <c r="F151" s="45" t="s">
        <v>70</v>
      </c>
      <c r="G151" s="46">
        <v>143000000</v>
      </c>
      <c r="H151" s="45" t="s">
        <v>68</v>
      </c>
      <c r="I151" s="47" t="str">
        <f t="shared" si="0"/>
        <v>Egypt-Online Supplier-Direct</v>
      </c>
      <c r="J151" s="47" t="str">
        <f t="shared" si="1"/>
        <v/>
      </c>
      <c r="K151" s="47"/>
      <c r="L151" s="41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</row>
    <row r="152" spans="1:42" ht="17.25" customHeight="1" x14ac:dyDescent="0.25">
      <c r="A152" s="37">
        <v>2006</v>
      </c>
      <c r="B152" s="38" t="s">
        <v>66</v>
      </c>
      <c r="C152" s="38" t="s">
        <v>41</v>
      </c>
      <c r="D152" s="38" t="s">
        <v>40</v>
      </c>
      <c r="E152" s="38" t="s">
        <v>69</v>
      </c>
      <c r="F152" s="38" t="s">
        <v>71</v>
      </c>
      <c r="G152" s="39">
        <v>143000000</v>
      </c>
      <c r="H152" s="38" t="s">
        <v>68</v>
      </c>
      <c r="I152" s="40" t="str">
        <f t="shared" si="0"/>
        <v>Egypt-OTA</v>
      </c>
      <c r="J152" s="40" t="str">
        <f t="shared" si="1"/>
        <v/>
      </c>
      <c r="K152" s="40"/>
      <c r="L152" s="41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</row>
    <row r="153" spans="1:42" ht="17.25" customHeight="1" x14ac:dyDescent="0.25">
      <c r="A153" s="44">
        <v>2006</v>
      </c>
      <c r="B153" s="45" t="s">
        <v>66</v>
      </c>
      <c r="C153" s="45" t="s">
        <v>27</v>
      </c>
      <c r="D153" s="45" t="s">
        <v>26</v>
      </c>
      <c r="E153" s="45" t="s">
        <v>67</v>
      </c>
      <c r="F153" s="45" t="s">
        <v>67</v>
      </c>
      <c r="G153" s="46">
        <v>33300000000</v>
      </c>
      <c r="H153" s="45" t="s">
        <v>68</v>
      </c>
      <c r="I153" s="47" t="str">
        <f t="shared" si="0"/>
        <v>France-Offline</v>
      </c>
      <c r="J153" s="47" t="str">
        <f t="shared" si="1"/>
        <v/>
      </c>
      <c r="K153" s="47"/>
      <c r="L153" s="41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</row>
    <row r="154" spans="1:42" ht="17.25" customHeight="1" x14ac:dyDescent="0.25">
      <c r="A154" s="37">
        <v>2006</v>
      </c>
      <c r="B154" s="38" t="s">
        <v>66</v>
      </c>
      <c r="C154" s="38" t="s">
        <v>27</v>
      </c>
      <c r="D154" s="38" t="s">
        <v>26</v>
      </c>
      <c r="E154" s="38" t="s">
        <v>69</v>
      </c>
      <c r="F154" s="38" t="s">
        <v>70</v>
      </c>
      <c r="G154" s="39">
        <v>5590000000</v>
      </c>
      <c r="H154" s="38" t="s">
        <v>68</v>
      </c>
      <c r="I154" s="40" t="str">
        <f t="shared" si="0"/>
        <v>France-Online Supplier-Direct</v>
      </c>
      <c r="J154" s="40" t="str">
        <f t="shared" si="1"/>
        <v/>
      </c>
      <c r="K154" s="40"/>
      <c r="L154" s="41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</row>
    <row r="155" spans="1:42" ht="17.25" customHeight="1" x14ac:dyDescent="0.25">
      <c r="A155" s="44">
        <v>2006</v>
      </c>
      <c r="B155" s="45" t="s">
        <v>66</v>
      </c>
      <c r="C155" s="45" t="s">
        <v>27</v>
      </c>
      <c r="D155" s="45" t="s">
        <v>26</v>
      </c>
      <c r="E155" s="45" t="s">
        <v>69</v>
      </c>
      <c r="F155" s="45" t="s">
        <v>71</v>
      </c>
      <c r="G155" s="46">
        <v>5590000000</v>
      </c>
      <c r="H155" s="45" t="s">
        <v>68</v>
      </c>
      <c r="I155" s="47" t="str">
        <f t="shared" si="0"/>
        <v>France-OTA</v>
      </c>
      <c r="J155" s="47" t="str">
        <f t="shared" si="1"/>
        <v/>
      </c>
      <c r="K155" s="47"/>
      <c r="L155" s="41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</row>
    <row r="156" spans="1:42" ht="17.25" customHeight="1" x14ac:dyDescent="0.25">
      <c r="A156" s="37">
        <v>2006</v>
      </c>
      <c r="B156" s="38" t="s">
        <v>66</v>
      </c>
      <c r="C156" s="38" t="s">
        <v>27</v>
      </c>
      <c r="D156" s="38" t="s">
        <v>28</v>
      </c>
      <c r="E156" s="38" t="s">
        <v>67</v>
      </c>
      <c r="F156" s="38" t="s">
        <v>67</v>
      </c>
      <c r="G156" s="39">
        <v>43400000000</v>
      </c>
      <c r="H156" s="38" t="s">
        <v>68</v>
      </c>
      <c r="I156" s="40" t="str">
        <f t="shared" si="0"/>
        <v>Germany-Offline</v>
      </c>
      <c r="J156" s="40" t="str">
        <f t="shared" si="1"/>
        <v/>
      </c>
      <c r="K156" s="40"/>
      <c r="L156" s="41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</row>
    <row r="157" spans="1:42" ht="17.25" customHeight="1" x14ac:dyDescent="0.25">
      <c r="A157" s="44">
        <v>2006</v>
      </c>
      <c r="B157" s="45" t="s">
        <v>66</v>
      </c>
      <c r="C157" s="45" t="s">
        <v>27</v>
      </c>
      <c r="D157" s="45" t="s">
        <v>28</v>
      </c>
      <c r="E157" s="45" t="s">
        <v>69</v>
      </c>
      <c r="F157" s="45" t="s">
        <v>70</v>
      </c>
      <c r="G157" s="46">
        <v>8480000000</v>
      </c>
      <c r="H157" s="45" t="s">
        <v>68</v>
      </c>
      <c r="I157" s="47" t="str">
        <f t="shared" si="0"/>
        <v>Germany-Online Supplier-Direct</v>
      </c>
      <c r="J157" s="47" t="str">
        <f t="shared" si="1"/>
        <v/>
      </c>
      <c r="K157" s="47"/>
      <c r="L157" s="41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</row>
    <row r="158" spans="1:42" ht="17.25" customHeight="1" x14ac:dyDescent="0.25">
      <c r="A158" s="37">
        <v>2006</v>
      </c>
      <c r="B158" s="38" t="s">
        <v>66</v>
      </c>
      <c r="C158" s="38" t="s">
        <v>27</v>
      </c>
      <c r="D158" s="38" t="s">
        <v>28</v>
      </c>
      <c r="E158" s="38" t="s">
        <v>69</v>
      </c>
      <c r="F158" s="38" t="s">
        <v>71</v>
      </c>
      <c r="G158" s="39">
        <v>8480000000</v>
      </c>
      <c r="H158" s="38" t="s">
        <v>68</v>
      </c>
      <c r="I158" s="40" t="str">
        <f t="shared" si="0"/>
        <v>Germany-OTA</v>
      </c>
      <c r="J158" s="40" t="str">
        <f t="shared" si="1"/>
        <v/>
      </c>
      <c r="K158" s="40"/>
      <c r="L158" s="41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</row>
    <row r="159" spans="1:42" ht="17.25" customHeight="1" x14ac:dyDescent="0.25">
      <c r="A159" s="44">
        <v>2006</v>
      </c>
      <c r="B159" s="45" t="s">
        <v>66</v>
      </c>
      <c r="C159" s="45" t="s">
        <v>17</v>
      </c>
      <c r="D159" s="45" t="s">
        <v>19</v>
      </c>
      <c r="E159" s="45" t="s">
        <v>67</v>
      </c>
      <c r="F159" s="45" t="s">
        <v>67</v>
      </c>
      <c r="G159" s="46">
        <v>7080000000</v>
      </c>
      <c r="H159" s="45" t="s">
        <v>68</v>
      </c>
      <c r="I159" s="47" t="str">
        <f t="shared" si="0"/>
        <v>Greece-Offline</v>
      </c>
      <c r="J159" s="47" t="str">
        <f t="shared" si="1"/>
        <v/>
      </c>
      <c r="K159" s="47"/>
      <c r="L159" s="41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</row>
    <row r="160" spans="1:42" ht="17.25" customHeight="1" x14ac:dyDescent="0.25">
      <c r="A160" s="37">
        <v>2006</v>
      </c>
      <c r="B160" s="38" t="s">
        <v>66</v>
      </c>
      <c r="C160" s="38" t="s">
        <v>17</v>
      </c>
      <c r="D160" s="38" t="s">
        <v>19</v>
      </c>
      <c r="E160" s="38" t="s">
        <v>69</v>
      </c>
      <c r="F160" s="38" t="s">
        <v>70</v>
      </c>
      <c r="G160" s="39">
        <v>477000000</v>
      </c>
      <c r="H160" s="38" t="s">
        <v>68</v>
      </c>
      <c r="I160" s="40" t="str">
        <f t="shared" si="0"/>
        <v>Greece-Online Supplier-Direct</v>
      </c>
      <c r="J160" s="40" t="str">
        <f t="shared" si="1"/>
        <v/>
      </c>
      <c r="K160" s="40"/>
      <c r="L160" s="41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</row>
    <row r="161" spans="1:42" ht="17.25" customHeight="1" x14ac:dyDescent="0.25">
      <c r="A161" s="44">
        <v>2006</v>
      </c>
      <c r="B161" s="45" t="s">
        <v>66</v>
      </c>
      <c r="C161" s="45" t="s">
        <v>17</v>
      </c>
      <c r="D161" s="45" t="s">
        <v>19</v>
      </c>
      <c r="E161" s="45" t="s">
        <v>69</v>
      </c>
      <c r="F161" s="45" t="s">
        <v>71</v>
      </c>
      <c r="G161" s="46">
        <v>477000000</v>
      </c>
      <c r="H161" s="45" t="s">
        <v>68</v>
      </c>
      <c r="I161" s="47" t="str">
        <f t="shared" si="0"/>
        <v>Greece-OTA</v>
      </c>
      <c r="J161" s="47" t="str">
        <f t="shared" si="1"/>
        <v/>
      </c>
      <c r="K161" s="47"/>
      <c r="L161" s="41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</row>
    <row r="162" spans="1:42" ht="17.25" customHeight="1" x14ac:dyDescent="0.25">
      <c r="A162" s="37">
        <v>2006</v>
      </c>
      <c r="B162" s="38" t="s">
        <v>66</v>
      </c>
      <c r="C162" s="38" t="s">
        <v>4</v>
      </c>
      <c r="D162" s="38" t="s">
        <v>6</v>
      </c>
      <c r="E162" s="38" t="s">
        <v>67</v>
      </c>
      <c r="F162" s="38" t="s">
        <v>67</v>
      </c>
      <c r="G162" s="39">
        <v>8130000000</v>
      </c>
      <c r="H162" s="38" t="s">
        <v>68</v>
      </c>
      <c r="I162" s="40" t="str">
        <f t="shared" si="0"/>
        <v>Hong Kong-Offline</v>
      </c>
      <c r="J162" s="40" t="str">
        <f t="shared" si="1"/>
        <v/>
      </c>
      <c r="K162" s="40"/>
      <c r="L162" s="41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</row>
    <row r="163" spans="1:42" ht="17.25" customHeight="1" x14ac:dyDescent="0.25">
      <c r="A163" s="44">
        <v>2006</v>
      </c>
      <c r="B163" s="45" t="s">
        <v>66</v>
      </c>
      <c r="C163" s="45" t="s">
        <v>4</v>
      </c>
      <c r="D163" s="45" t="s">
        <v>6</v>
      </c>
      <c r="E163" s="45" t="s">
        <v>69</v>
      </c>
      <c r="F163" s="45" t="s">
        <v>70</v>
      </c>
      <c r="G163" s="46">
        <v>153000000</v>
      </c>
      <c r="H163" s="45" t="s">
        <v>68</v>
      </c>
      <c r="I163" s="47" t="str">
        <f t="shared" si="0"/>
        <v>Hong Kong-Online Supplier-Direct</v>
      </c>
      <c r="J163" s="47" t="str">
        <f t="shared" si="1"/>
        <v/>
      </c>
      <c r="K163" s="47"/>
      <c r="L163" s="41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</row>
    <row r="164" spans="1:42" ht="17.25" customHeight="1" x14ac:dyDescent="0.25">
      <c r="A164" s="37">
        <v>2006</v>
      </c>
      <c r="B164" s="38" t="s">
        <v>66</v>
      </c>
      <c r="C164" s="38" t="s">
        <v>4</v>
      </c>
      <c r="D164" s="38" t="s">
        <v>6</v>
      </c>
      <c r="E164" s="38" t="s">
        <v>69</v>
      </c>
      <c r="F164" s="38" t="s">
        <v>71</v>
      </c>
      <c r="G164" s="39">
        <v>153000000</v>
      </c>
      <c r="H164" s="38" t="s">
        <v>68</v>
      </c>
      <c r="I164" s="40" t="str">
        <f t="shared" si="0"/>
        <v>Hong Kong-OTA</v>
      </c>
      <c r="J164" s="40" t="str">
        <f t="shared" si="1"/>
        <v/>
      </c>
      <c r="K164" s="40"/>
      <c r="L164" s="41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</row>
    <row r="165" spans="1:42" ht="17.25" customHeight="1" x14ac:dyDescent="0.25">
      <c r="A165" s="44">
        <v>2006</v>
      </c>
      <c r="B165" s="45" t="s">
        <v>66</v>
      </c>
      <c r="C165" s="45" t="s">
        <v>17</v>
      </c>
      <c r="D165" s="45" t="s">
        <v>20</v>
      </c>
      <c r="E165" s="45" t="s">
        <v>67</v>
      </c>
      <c r="F165" s="45" t="s">
        <v>67</v>
      </c>
      <c r="G165" s="46">
        <v>1920000000</v>
      </c>
      <c r="H165" s="45" t="s">
        <v>68</v>
      </c>
      <c r="I165" s="47" t="str">
        <f t="shared" si="0"/>
        <v>Hungary-Offline</v>
      </c>
      <c r="J165" s="47" t="str">
        <f t="shared" si="1"/>
        <v/>
      </c>
      <c r="K165" s="47"/>
      <c r="L165" s="41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</row>
    <row r="166" spans="1:42" ht="17.25" customHeight="1" x14ac:dyDescent="0.25">
      <c r="A166" s="37">
        <v>2006</v>
      </c>
      <c r="B166" s="38" t="s">
        <v>66</v>
      </c>
      <c r="C166" s="38" t="s">
        <v>17</v>
      </c>
      <c r="D166" s="38" t="s">
        <v>20</v>
      </c>
      <c r="E166" s="38" t="s">
        <v>69</v>
      </c>
      <c r="F166" s="38" t="s">
        <v>70</v>
      </c>
      <c r="G166" s="39">
        <v>82563447</v>
      </c>
      <c r="H166" s="38" t="s">
        <v>68</v>
      </c>
      <c r="I166" s="40" t="str">
        <f t="shared" si="0"/>
        <v>Hungary-Online Supplier-Direct</v>
      </c>
      <c r="J166" s="40" t="str">
        <f t="shared" si="1"/>
        <v/>
      </c>
      <c r="K166" s="40"/>
      <c r="L166" s="41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</row>
    <row r="167" spans="1:42" ht="17.25" customHeight="1" x14ac:dyDescent="0.25">
      <c r="A167" s="44">
        <v>2006</v>
      </c>
      <c r="B167" s="45" t="s">
        <v>66</v>
      </c>
      <c r="C167" s="45" t="s">
        <v>17</v>
      </c>
      <c r="D167" s="45" t="s">
        <v>20</v>
      </c>
      <c r="E167" s="45" t="s">
        <v>69</v>
      </c>
      <c r="F167" s="45" t="s">
        <v>71</v>
      </c>
      <c r="G167" s="46">
        <v>82563447</v>
      </c>
      <c r="H167" s="45" t="s">
        <v>68</v>
      </c>
      <c r="I167" s="47" t="str">
        <f t="shared" si="0"/>
        <v>Hungary-OTA</v>
      </c>
      <c r="J167" s="47" t="str">
        <f t="shared" si="1"/>
        <v/>
      </c>
      <c r="K167" s="47"/>
      <c r="L167" s="41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</row>
    <row r="168" spans="1:42" ht="17.25" customHeight="1" x14ac:dyDescent="0.25">
      <c r="A168" s="37">
        <v>2006</v>
      </c>
      <c r="B168" s="38" t="s">
        <v>66</v>
      </c>
      <c r="C168" s="38" t="s">
        <v>4</v>
      </c>
      <c r="D168" s="38" t="s">
        <v>7</v>
      </c>
      <c r="E168" s="38" t="s">
        <v>67</v>
      </c>
      <c r="F168" s="38" t="s">
        <v>67</v>
      </c>
      <c r="G168" s="39">
        <v>10100000000</v>
      </c>
      <c r="H168" s="38" t="s">
        <v>68</v>
      </c>
      <c r="I168" s="40" t="str">
        <f t="shared" si="0"/>
        <v>India-Offline</v>
      </c>
      <c r="J168" s="40" t="str">
        <f t="shared" si="1"/>
        <v/>
      </c>
      <c r="K168" s="40"/>
      <c r="L168" s="41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</row>
    <row r="169" spans="1:42" ht="17.25" customHeight="1" x14ac:dyDescent="0.25">
      <c r="A169" s="44">
        <v>2006</v>
      </c>
      <c r="B169" s="45" t="s">
        <v>66</v>
      </c>
      <c r="C169" s="45" t="s">
        <v>4</v>
      </c>
      <c r="D169" s="45" t="s">
        <v>7</v>
      </c>
      <c r="E169" s="45" t="s">
        <v>69</v>
      </c>
      <c r="F169" s="45" t="s">
        <v>70</v>
      </c>
      <c r="G169" s="46">
        <v>867000000</v>
      </c>
      <c r="H169" s="45" t="s">
        <v>68</v>
      </c>
      <c r="I169" s="47" t="str">
        <f t="shared" si="0"/>
        <v>India-Online Supplier-Direct</v>
      </c>
      <c r="J169" s="47" t="str">
        <f t="shared" si="1"/>
        <v/>
      </c>
      <c r="K169" s="47"/>
      <c r="L169" s="41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</row>
    <row r="170" spans="1:42" ht="17.25" customHeight="1" x14ac:dyDescent="0.25">
      <c r="A170" s="37">
        <v>2006</v>
      </c>
      <c r="B170" s="38" t="s">
        <v>66</v>
      </c>
      <c r="C170" s="38" t="s">
        <v>4</v>
      </c>
      <c r="D170" s="38" t="s">
        <v>7</v>
      </c>
      <c r="E170" s="38" t="s">
        <v>69</v>
      </c>
      <c r="F170" s="38" t="s">
        <v>71</v>
      </c>
      <c r="G170" s="39">
        <v>867000000</v>
      </c>
      <c r="H170" s="38" t="s">
        <v>68</v>
      </c>
      <c r="I170" s="40" t="str">
        <f t="shared" si="0"/>
        <v>India-OTA</v>
      </c>
      <c r="J170" s="40" t="str">
        <f t="shared" si="1"/>
        <v/>
      </c>
      <c r="K170" s="40"/>
      <c r="L170" s="41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</row>
    <row r="171" spans="1:42" ht="17.25" customHeight="1" x14ac:dyDescent="0.25">
      <c r="A171" s="44">
        <v>2006</v>
      </c>
      <c r="B171" s="45" t="s">
        <v>66</v>
      </c>
      <c r="C171" s="45" t="s">
        <v>4</v>
      </c>
      <c r="D171" s="45" t="s">
        <v>8</v>
      </c>
      <c r="E171" s="45" t="s">
        <v>67</v>
      </c>
      <c r="F171" s="45" t="s">
        <v>67</v>
      </c>
      <c r="G171" s="46">
        <v>3410000000</v>
      </c>
      <c r="H171" s="45" t="s">
        <v>68</v>
      </c>
      <c r="I171" s="47" t="str">
        <f t="shared" si="0"/>
        <v>Indonesia-Offline</v>
      </c>
      <c r="J171" s="47" t="str">
        <f t="shared" si="1"/>
        <v/>
      </c>
      <c r="K171" s="47"/>
      <c r="L171" s="41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</row>
    <row r="172" spans="1:42" ht="17.25" customHeight="1" x14ac:dyDescent="0.25">
      <c r="A172" s="37">
        <v>2006</v>
      </c>
      <c r="B172" s="38" t="s">
        <v>66</v>
      </c>
      <c r="C172" s="38" t="s">
        <v>4</v>
      </c>
      <c r="D172" s="38" t="s">
        <v>8</v>
      </c>
      <c r="E172" s="38" t="s">
        <v>69</v>
      </c>
      <c r="F172" s="38" t="s">
        <v>70</v>
      </c>
      <c r="G172" s="39">
        <v>20157123</v>
      </c>
      <c r="H172" s="38" t="s">
        <v>68</v>
      </c>
      <c r="I172" s="40" t="str">
        <f t="shared" si="0"/>
        <v>Indonesia-Online Supplier-Direct</v>
      </c>
      <c r="J172" s="40" t="str">
        <f t="shared" si="1"/>
        <v/>
      </c>
      <c r="K172" s="40"/>
      <c r="L172" s="41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</row>
    <row r="173" spans="1:42" ht="17.25" customHeight="1" x14ac:dyDescent="0.25">
      <c r="A173" s="44">
        <v>2006</v>
      </c>
      <c r="B173" s="45" t="s">
        <v>66</v>
      </c>
      <c r="C173" s="45" t="s">
        <v>4</v>
      </c>
      <c r="D173" s="45" t="s">
        <v>8</v>
      </c>
      <c r="E173" s="45" t="s">
        <v>69</v>
      </c>
      <c r="F173" s="45" t="s">
        <v>71</v>
      </c>
      <c r="G173" s="46">
        <v>20157123</v>
      </c>
      <c r="H173" s="45" t="s">
        <v>68</v>
      </c>
      <c r="I173" s="47" t="str">
        <f t="shared" si="0"/>
        <v>Indonesia-OTA</v>
      </c>
      <c r="J173" s="47" t="str">
        <f t="shared" si="1"/>
        <v/>
      </c>
      <c r="K173" s="47"/>
      <c r="L173" s="41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</row>
    <row r="174" spans="1:42" ht="17.25" customHeight="1" x14ac:dyDescent="0.25">
      <c r="A174" s="37">
        <v>2006</v>
      </c>
      <c r="B174" s="38" t="s">
        <v>66</v>
      </c>
      <c r="C174" s="38" t="s">
        <v>27</v>
      </c>
      <c r="D174" s="38" t="s">
        <v>29</v>
      </c>
      <c r="E174" s="38" t="s">
        <v>67</v>
      </c>
      <c r="F174" s="38" t="s">
        <v>67</v>
      </c>
      <c r="G174" s="39">
        <v>18900000000</v>
      </c>
      <c r="H174" s="38" t="s">
        <v>68</v>
      </c>
      <c r="I174" s="40" t="str">
        <f t="shared" si="0"/>
        <v>Italy-Offline</v>
      </c>
      <c r="J174" s="40" t="str">
        <f t="shared" si="1"/>
        <v/>
      </c>
      <c r="K174" s="40"/>
      <c r="L174" s="41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</row>
    <row r="175" spans="1:42" ht="17.25" customHeight="1" x14ac:dyDescent="0.25">
      <c r="A175" s="44">
        <v>2006</v>
      </c>
      <c r="B175" s="45" t="s">
        <v>66</v>
      </c>
      <c r="C175" s="45" t="s">
        <v>27</v>
      </c>
      <c r="D175" s="45" t="s">
        <v>29</v>
      </c>
      <c r="E175" s="45" t="s">
        <v>69</v>
      </c>
      <c r="F175" s="45" t="s">
        <v>70</v>
      </c>
      <c r="G175" s="46">
        <v>2800000000</v>
      </c>
      <c r="H175" s="45" t="s">
        <v>68</v>
      </c>
      <c r="I175" s="47" t="str">
        <f t="shared" si="0"/>
        <v>Italy-Online Supplier-Direct</v>
      </c>
      <c r="J175" s="47" t="str">
        <f t="shared" si="1"/>
        <v/>
      </c>
      <c r="K175" s="47"/>
      <c r="L175" s="41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</row>
    <row r="176" spans="1:42" ht="17.25" customHeight="1" x14ac:dyDescent="0.25">
      <c r="A176" s="37">
        <v>2006</v>
      </c>
      <c r="B176" s="38" t="s">
        <v>66</v>
      </c>
      <c r="C176" s="38" t="s">
        <v>27</v>
      </c>
      <c r="D176" s="38" t="s">
        <v>29</v>
      </c>
      <c r="E176" s="38" t="s">
        <v>69</v>
      </c>
      <c r="F176" s="38" t="s">
        <v>71</v>
      </c>
      <c r="G176" s="39">
        <v>2800000000</v>
      </c>
      <c r="H176" s="38" t="s">
        <v>68</v>
      </c>
      <c r="I176" s="40" t="str">
        <f t="shared" si="0"/>
        <v>Italy-OTA</v>
      </c>
      <c r="J176" s="40" t="str">
        <f t="shared" si="1"/>
        <v/>
      </c>
      <c r="K176" s="40"/>
      <c r="L176" s="41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</row>
    <row r="177" spans="1:42" ht="17.25" customHeight="1" x14ac:dyDescent="0.25">
      <c r="A177" s="44">
        <v>2006</v>
      </c>
      <c r="B177" s="45" t="s">
        <v>66</v>
      </c>
      <c r="C177" s="45" t="s">
        <v>4</v>
      </c>
      <c r="D177" s="45" t="s">
        <v>9</v>
      </c>
      <c r="E177" s="45" t="s">
        <v>67</v>
      </c>
      <c r="F177" s="45" t="s">
        <v>67</v>
      </c>
      <c r="G177" s="46">
        <v>60600000000</v>
      </c>
      <c r="H177" s="45" t="s">
        <v>68</v>
      </c>
      <c r="I177" s="47" t="str">
        <f t="shared" si="0"/>
        <v>Japan-Offline</v>
      </c>
      <c r="J177" s="47" t="str">
        <f t="shared" si="1"/>
        <v/>
      </c>
      <c r="K177" s="47"/>
      <c r="L177" s="41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</row>
    <row r="178" spans="1:42" ht="17.25" customHeight="1" x14ac:dyDescent="0.25">
      <c r="A178" s="37">
        <v>2006</v>
      </c>
      <c r="B178" s="38" t="s">
        <v>66</v>
      </c>
      <c r="C178" s="38" t="s">
        <v>4</v>
      </c>
      <c r="D178" s="38" t="s">
        <v>9</v>
      </c>
      <c r="E178" s="38" t="s">
        <v>69</v>
      </c>
      <c r="F178" s="38" t="s">
        <v>70</v>
      </c>
      <c r="G178" s="39">
        <v>7090000000</v>
      </c>
      <c r="H178" s="38" t="s">
        <v>68</v>
      </c>
      <c r="I178" s="40" t="str">
        <f t="shared" si="0"/>
        <v>Japan-Online Supplier-Direct</v>
      </c>
      <c r="J178" s="40" t="str">
        <f t="shared" si="1"/>
        <v/>
      </c>
      <c r="K178" s="40"/>
      <c r="L178" s="41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</row>
    <row r="179" spans="1:42" ht="17.25" customHeight="1" x14ac:dyDescent="0.25">
      <c r="A179" s="44">
        <v>2006</v>
      </c>
      <c r="B179" s="45" t="s">
        <v>66</v>
      </c>
      <c r="C179" s="45" t="s">
        <v>4</v>
      </c>
      <c r="D179" s="45" t="s">
        <v>9</v>
      </c>
      <c r="E179" s="45" t="s">
        <v>69</v>
      </c>
      <c r="F179" s="45" t="s">
        <v>71</v>
      </c>
      <c r="G179" s="46">
        <v>7090000000</v>
      </c>
      <c r="H179" s="45" t="s">
        <v>68</v>
      </c>
      <c r="I179" s="47" t="str">
        <f t="shared" si="0"/>
        <v>Japan-OTA</v>
      </c>
      <c r="J179" s="47" t="str">
        <f t="shared" si="1"/>
        <v/>
      </c>
      <c r="K179" s="47"/>
      <c r="L179" s="41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</row>
    <row r="180" spans="1:42" ht="17.25" customHeight="1" x14ac:dyDescent="0.25">
      <c r="A180" s="37">
        <v>2006</v>
      </c>
      <c r="B180" s="38" t="s">
        <v>66</v>
      </c>
      <c r="C180" s="38" t="s">
        <v>4</v>
      </c>
      <c r="D180" s="38" t="s">
        <v>10</v>
      </c>
      <c r="E180" s="38" t="s">
        <v>67</v>
      </c>
      <c r="F180" s="38" t="s">
        <v>67</v>
      </c>
      <c r="G180" s="39">
        <v>398000000</v>
      </c>
      <c r="H180" s="38" t="s">
        <v>68</v>
      </c>
      <c r="I180" s="40" t="str">
        <f t="shared" si="0"/>
        <v>Macau-Offline</v>
      </c>
      <c r="J180" s="40" t="str">
        <f t="shared" si="1"/>
        <v/>
      </c>
      <c r="K180" s="40"/>
      <c r="L180" s="41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</row>
    <row r="181" spans="1:42" ht="17.25" customHeight="1" x14ac:dyDescent="0.25">
      <c r="A181" s="44">
        <v>2006</v>
      </c>
      <c r="B181" s="45" t="s">
        <v>66</v>
      </c>
      <c r="C181" s="45" t="s">
        <v>4</v>
      </c>
      <c r="D181" s="45" t="s">
        <v>10</v>
      </c>
      <c r="E181" s="45" t="s">
        <v>69</v>
      </c>
      <c r="F181" s="45" t="s">
        <v>70</v>
      </c>
      <c r="G181" s="46">
        <v>4910661</v>
      </c>
      <c r="H181" s="45" t="s">
        <v>68</v>
      </c>
      <c r="I181" s="47" t="str">
        <f t="shared" si="0"/>
        <v>Macau-Online Supplier-Direct</v>
      </c>
      <c r="J181" s="47" t="str">
        <f t="shared" si="1"/>
        <v/>
      </c>
      <c r="K181" s="47"/>
      <c r="L181" s="41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</row>
    <row r="182" spans="1:42" ht="17.25" customHeight="1" x14ac:dyDescent="0.25">
      <c r="A182" s="37">
        <v>2006</v>
      </c>
      <c r="B182" s="38" t="s">
        <v>66</v>
      </c>
      <c r="C182" s="38" t="s">
        <v>4</v>
      </c>
      <c r="D182" s="38" t="s">
        <v>10</v>
      </c>
      <c r="E182" s="38" t="s">
        <v>69</v>
      </c>
      <c r="F182" s="38" t="s">
        <v>71</v>
      </c>
      <c r="G182" s="39">
        <v>4910661</v>
      </c>
      <c r="H182" s="38" t="s">
        <v>68</v>
      </c>
      <c r="I182" s="40" t="str">
        <f t="shared" si="0"/>
        <v>Macau-OTA</v>
      </c>
      <c r="J182" s="40" t="str">
        <f t="shared" si="1"/>
        <v/>
      </c>
      <c r="K182" s="40"/>
      <c r="L182" s="41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</row>
    <row r="183" spans="1:42" ht="17.25" customHeight="1" x14ac:dyDescent="0.25">
      <c r="A183" s="44">
        <v>2006</v>
      </c>
      <c r="B183" s="45" t="s">
        <v>66</v>
      </c>
      <c r="C183" s="45" t="s">
        <v>4</v>
      </c>
      <c r="D183" s="45" t="s">
        <v>11</v>
      </c>
      <c r="E183" s="45" t="s">
        <v>67</v>
      </c>
      <c r="F183" s="45" t="s">
        <v>67</v>
      </c>
      <c r="G183" s="46">
        <v>3410000000</v>
      </c>
      <c r="H183" s="45" t="s">
        <v>68</v>
      </c>
      <c r="I183" s="47" t="str">
        <f t="shared" si="0"/>
        <v>Malaysia-Offline</v>
      </c>
      <c r="J183" s="47" t="str">
        <f t="shared" si="1"/>
        <v/>
      </c>
      <c r="K183" s="47"/>
      <c r="L183" s="41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</row>
    <row r="184" spans="1:42" ht="17.25" customHeight="1" x14ac:dyDescent="0.25">
      <c r="A184" s="37">
        <v>2006</v>
      </c>
      <c r="B184" s="38" t="s">
        <v>66</v>
      </c>
      <c r="C184" s="38" t="s">
        <v>4</v>
      </c>
      <c r="D184" s="38" t="s">
        <v>11</v>
      </c>
      <c r="E184" s="38" t="s">
        <v>69</v>
      </c>
      <c r="F184" s="38" t="s">
        <v>70</v>
      </c>
      <c r="G184" s="39">
        <v>63060605</v>
      </c>
      <c r="H184" s="38" t="s">
        <v>68</v>
      </c>
      <c r="I184" s="40" t="str">
        <f t="shared" si="0"/>
        <v>Malaysia-Online Supplier-Direct</v>
      </c>
      <c r="J184" s="40" t="str">
        <f t="shared" si="1"/>
        <v/>
      </c>
      <c r="K184" s="40"/>
      <c r="L184" s="41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</row>
    <row r="185" spans="1:42" ht="17.25" customHeight="1" x14ac:dyDescent="0.25">
      <c r="A185" s="44">
        <v>2006</v>
      </c>
      <c r="B185" s="45" t="s">
        <v>66</v>
      </c>
      <c r="C185" s="45" t="s">
        <v>4</v>
      </c>
      <c r="D185" s="45" t="s">
        <v>11</v>
      </c>
      <c r="E185" s="45" t="s">
        <v>69</v>
      </c>
      <c r="F185" s="45" t="s">
        <v>71</v>
      </c>
      <c r="G185" s="46">
        <v>63060605</v>
      </c>
      <c r="H185" s="45" t="s">
        <v>68</v>
      </c>
      <c r="I185" s="47" t="str">
        <f t="shared" si="0"/>
        <v>Malaysia-OTA</v>
      </c>
      <c r="J185" s="47" t="str">
        <f t="shared" si="1"/>
        <v/>
      </c>
      <c r="K185" s="47"/>
      <c r="L185" s="41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</row>
    <row r="186" spans="1:42" ht="17.25" customHeight="1" x14ac:dyDescent="0.25">
      <c r="A186" s="37">
        <v>2006</v>
      </c>
      <c r="B186" s="38" t="s">
        <v>66</v>
      </c>
      <c r="C186" s="38" t="s">
        <v>35</v>
      </c>
      <c r="D186" s="38" t="s">
        <v>39</v>
      </c>
      <c r="E186" s="38" t="s">
        <v>67</v>
      </c>
      <c r="F186" s="38" t="s">
        <v>67</v>
      </c>
      <c r="G186" s="39">
        <v>18300000000</v>
      </c>
      <c r="H186" s="38" t="s">
        <v>68</v>
      </c>
      <c r="I186" s="40" t="str">
        <f t="shared" si="0"/>
        <v>Mexico-Offline</v>
      </c>
      <c r="J186" s="40" t="str">
        <f t="shared" si="1"/>
        <v/>
      </c>
      <c r="K186" s="40"/>
      <c r="L186" s="41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</row>
    <row r="187" spans="1:42" ht="17.25" customHeight="1" x14ac:dyDescent="0.25">
      <c r="A187" s="44">
        <v>2006</v>
      </c>
      <c r="B187" s="45" t="s">
        <v>66</v>
      </c>
      <c r="C187" s="45" t="s">
        <v>35</v>
      </c>
      <c r="D187" s="45" t="s">
        <v>39</v>
      </c>
      <c r="E187" s="45" t="s">
        <v>69</v>
      </c>
      <c r="F187" s="45" t="s">
        <v>70</v>
      </c>
      <c r="G187" s="46">
        <v>2290000000</v>
      </c>
      <c r="H187" s="45" t="s">
        <v>68</v>
      </c>
      <c r="I187" s="47" t="str">
        <f t="shared" si="0"/>
        <v>Mexico-Online Supplier-Direct</v>
      </c>
      <c r="J187" s="47" t="str">
        <f t="shared" si="1"/>
        <v/>
      </c>
      <c r="K187" s="47"/>
      <c r="L187" s="41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</row>
    <row r="188" spans="1:42" ht="17.25" customHeight="1" x14ac:dyDescent="0.25">
      <c r="A188" s="37">
        <v>2006</v>
      </c>
      <c r="B188" s="38" t="s">
        <v>66</v>
      </c>
      <c r="C188" s="38" t="s">
        <v>35</v>
      </c>
      <c r="D188" s="38" t="s">
        <v>39</v>
      </c>
      <c r="E188" s="38" t="s">
        <v>69</v>
      </c>
      <c r="F188" s="38" t="s">
        <v>71</v>
      </c>
      <c r="G188" s="39">
        <v>2290000000</v>
      </c>
      <c r="H188" s="38" t="s">
        <v>68</v>
      </c>
      <c r="I188" s="40" t="str">
        <f t="shared" si="0"/>
        <v>Mexico-OTA</v>
      </c>
      <c r="J188" s="40" t="str">
        <f t="shared" si="1"/>
        <v/>
      </c>
      <c r="K188" s="40"/>
      <c r="L188" s="41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</row>
    <row r="189" spans="1:42" ht="17.25" customHeight="1" x14ac:dyDescent="0.25">
      <c r="A189" s="44">
        <v>2006</v>
      </c>
      <c r="B189" s="45" t="s">
        <v>66</v>
      </c>
      <c r="C189" s="45" t="s">
        <v>17</v>
      </c>
      <c r="D189" s="45" t="s">
        <v>21</v>
      </c>
      <c r="E189" s="45" t="s">
        <v>67</v>
      </c>
      <c r="F189" s="45" t="s">
        <v>67</v>
      </c>
      <c r="G189" s="46">
        <v>2650000000</v>
      </c>
      <c r="H189" s="45" t="s">
        <v>68</v>
      </c>
      <c r="I189" s="47" t="str">
        <f t="shared" si="0"/>
        <v>Poland-Offline</v>
      </c>
      <c r="J189" s="47" t="str">
        <f t="shared" si="1"/>
        <v/>
      </c>
      <c r="K189" s="47"/>
      <c r="L189" s="41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</row>
    <row r="190" spans="1:42" ht="17.25" customHeight="1" x14ac:dyDescent="0.25">
      <c r="A190" s="37">
        <v>2006</v>
      </c>
      <c r="B190" s="38" t="s">
        <v>66</v>
      </c>
      <c r="C190" s="38" t="s">
        <v>17</v>
      </c>
      <c r="D190" s="38" t="s">
        <v>21</v>
      </c>
      <c r="E190" s="38" t="s">
        <v>69</v>
      </c>
      <c r="F190" s="38" t="s">
        <v>70</v>
      </c>
      <c r="G190" s="39">
        <v>143000000</v>
      </c>
      <c r="H190" s="38" t="s">
        <v>68</v>
      </c>
      <c r="I190" s="40" t="str">
        <f t="shared" si="0"/>
        <v>Poland-Online Supplier-Direct</v>
      </c>
      <c r="J190" s="40" t="str">
        <f t="shared" si="1"/>
        <v/>
      </c>
      <c r="K190" s="40"/>
      <c r="L190" s="41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</row>
    <row r="191" spans="1:42" ht="17.25" customHeight="1" x14ac:dyDescent="0.25">
      <c r="A191" s="44">
        <v>2006</v>
      </c>
      <c r="B191" s="45" t="s">
        <v>66</v>
      </c>
      <c r="C191" s="45" t="s">
        <v>17</v>
      </c>
      <c r="D191" s="45" t="s">
        <v>21</v>
      </c>
      <c r="E191" s="45" t="s">
        <v>69</v>
      </c>
      <c r="F191" s="45" t="s">
        <v>71</v>
      </c>
      <c r="G191" s="46">
        <v>143000000</v>
      </c>
      <c r="H191" s="45" t="s">
        <v>68</v>
      </c>
      <c r="I191" s="47" t="str">
        <f t="shared" si="0"/>
        <v>Poland-OTA</v>
      </c>
      <c r="J191" s="47" t="str">
        <f t="shared" si="1"/>
        <v/>
      </c>
      <c r="K191" s="47"/>
      <c r="L191" s="41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</row>
    <row r="192" spans="1:42" ht="17.25" customHeight="1" x14ac:dyDescent="0.25">
      <c r="A192" s="37">
        <v>2006</v>
      </c>
      <c r="B192" s="38" t="s">
        <v>66</v>
      </c>
      <c r="C192" s="38" t="s">
        <v>41</v>
      </c>
      <c r="D192" s="38" t="s">
        <v>42</v>
      </c>
      <c r="E192" s="38" t="s">
        <v>67</v>
      </c>
      <c r="F192" s="38" t="s">
        <v>67</v>
      </c>
      <c r="G192" s="39">
        <v>2840000000</v>
      </c>
      <c r="H192" s="38" t="s">
        <v>68</v>
      </c>
      <c r="I192" s="40" t="str">
        <f t="shared" si="0"/>
        <v>Qatar-Offline</v>
      </c>
      <c r="J192" s="40" t="str">
        <f t="shared" si="1"/>
        <v/>
      </c>
      <c r="K192" s="40"/>
      <c r="L192" s="41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</row>
    <row r="193" spans="1:42" ht="17.25" customHeight="1" x14ac:dyDescent="0.25">
      <c r="A193" s="44">
        <v>2006</v>
      </c>
      <c r="B193" s="45" t="s">
        <v>66</v>
      </c>
      <c r="C193" s="45" t="s">
        <v>41</v>
      </c>
      <c r="D193" s="45" t="s">
        <v>42</v>
      </c>
      <c r="E193" s="45" t="s">
        <v>69</v>
      </c>
      <c r="F193" s="45" t="s">
        <v>70</v>
      </c>
      <c r="G193" s="46">
        <v>164000000</v>
      </c>
      <c r="H193" s="45" t="s">
        <v>68</v>
      </c>
      <c r="I193" s="47" t="str">
        <f t="shared" si="0"/>
        <v>Qatar-Online Supplier-Direct</v>
      </c>
      <c r="J193" s="47" t="str">
        <f t="shared" si="1"/>
        <v/>
      </c>
      <c r="K193" s="47"/>
      <c r="L193" s="41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</row>
    <row r="194" spans="1:42" ht="17.25" customHeight="1" x14ac:dyDescent="0.25">
      <c r="A194" s="37">
        <v>2006</v>
      </c>
      <c r="B194" s="38" t="s">
        <v>66</v>
      </c>
      <c r="C194" s="38" t="s">
        <v>41</v>
      </c>
      <c r="D194" s="38" t="s">
        <v>42</v>
      </c>
      <c r="E194" s="38" t="s">
        <v>69</v>
      </c>
      <c r="F194" s="38" t="s">
        <v>71</v>
      </c>
      <c r="G194" s="39">
        <v>164000000</v>
      </c>
      <c r="H194" s="38" t="s">
        <v>68</v>
      </c>
      <c r="I194" s="40" t="str">
        <f t="shared" si="0"/>
        <v>Qatar-OTA</v>
      </c>
      <c r="J194" s="40" t="str">
        <f t="shared" si="1"/>
        <v/>
      </c>
      <c r="K194" s="40"/>
      <c r="L194" s="41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</row>
    <row r="195" spans="1:42" ht="17.25" customHeight="1" x14ac:dyDescent="0.25">
      <c r="A195" s="44">
        <v>2006</v>
      </c>
      <c r="B195" s="45" t="s">
        <v>66</v>
      </c>
      <c r="C195" s="45" t="s">
        <v>17</v>
      </c>
      <c r="D195" s="45" t="s">
        <v>22</v>
      </c>
      <c r="E195" s="45" t="s">
        <v>67</v>
      </c>
      <c r="F195" s="45" t="s">
        <v>67</v>
      </c>
      <c r="G195" s="46">
        <v>2110000000</v>
      </c>
      <c r="H195" s="45" t="s">
        <v>68</v>
      </c>
      <c r="I195" s="47" t="str">
        <f t="shared" si="0"/>
        <v>Rest of Eastern Europe-Offline</v>
      </c>
      <c r="J195" s="47" t="str">
        <f t="shared" si="1"/>
        <v/>
      </c>
      <c r="K195" s="47"/>
      <c r="L195" s="41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</row>
    <row r="196" spans="1:42" ht="17.25" customHeight="1" x14ac:dyDescent="0.25">
      <c r="A196" s="37">
        <v>2006</v>
      </c>
      <c r="B196" s="38" t="s">
        <v>66</v>
      </c>
      <c r="C196" s="38" t="s">
        <v>17</v>
      </c>
      <c r="D196" s="38" t="s">
        <v>22</v>
      </c>
      <c r="E196" s="38" t="s">
        <v>69</v>
      </c>
      <c r="F196" s="38" t="s">
        <v>70</v>
      </c>
      <c r="G196" s="39">
        <v>75178580</v>
      </c>
      <c r="H196" s="38" t="s">
        <v>68</v>
      </c>
      <c r="I196" s="40" t="str">
        <f t="shared" si="0"/>
        <v>Rest of Eastern Europe-Online Supplier-Direct</v>
      </c>
      <c r="J196" s="40" t="str">
        <f t="shared" si="1"/>
        <v/>
      </c>
      <c r="K196" s="40"/>
      <c r="L196" s="41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</row>
    <row r="197" spans="1:42" ht="17.25" customHeight="1" x14ac:dyDescent="0.25">
      <c r="A197" s="44">
        <v>2006</v>
      </c>
      <c r="B197" s="45" t="s">
        <v>66</v>
      </c>
      <c r="C197" s="45" t="s">
        <v>17</v>
      </c>
      <c r="D197" s="45" t="s">
        <v>22</v>
      </c>
      <c r="E197" s="45" t="s">
        <v>69</v>
      </c>
      <c r="F197" s="45" t="s">
        <v>71</v>
      </c>
      <c r="G197" s="46">
        <v>75178580</v>
      </c>
      <c r="H197" s="45" t="s">
        <v>68</v>
      </c>
      <c r="I197" s="47" t="str">
        <f t="shared" si="0"/>
        <v>Rest of Eastern Europe-OTA</v>
      </c>
      <c r="J197" s="47" t="str">
        <f t="shared" si="1"/>
        <v/>
      </c>
      <c r="K197" s="47"/>
      <c r="L197" s="41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</row>
    <row r="198" spans="1:42" ht="17.25" customHeight="1" x14ac:dyDescent="0.25">
      <c r="A198" s="37">
        <v>2006</v>
      </c>
      <c r="B198" s="38" t="s">
        <v>66</v>
      </c>
      <c r="C198" s="38" t="s">
        <v>27</v>
      </c>
      <c r="D198" s="38" t="s">
        <v>30</v>
      </c>
      <c r="E198" s="38" t="s">
        <v>67</v>
      </c>
      <c r="F198" s="38" t="s">
        <v>67</v>
      </c>
      <c r="G198" s="39">
        <v>41000000000</v>
      </c>
      <c r="H198" s="38" t="s">
        <v>68</v>
      </c>
      <c r="I198" s="40" t="str">
        <f t="shared" si="0"/>
        <v>Rest of Europe-Offline</v>
      </c>
      <c r="J198" s="40" t="str">
        <f t="shared" si="1"/>
        <v/>
      </c>
      <c r="K198" s="40"/>
      <c r="L198" s="41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</row>
    <row r="199" spans="1:42" ht="17.25" customHeight="1" x14ac:dyDescent="0.25">
      <c r="A199" s="44">
        <v>2006</v>
      </c>
      <c r="B199" s="45" t="s">
        <v>66</v>
      </c>
      <c r="C199" s="45" t="s">
        <v>27</v>
      </c>
      <c r="D199" s="45" t="s">
        <v>30</v>
      </c>
      <c r="E199" s="45" t="s">
        <v>69</v>
      </c>
      <c r="F199" s="45" t="s">
        <v>70</v>
      </c>
      <c r="G199" s="46">
        <v>5040000000</v>
      </c>
      <c r="H199" s="45" t="s">
        <v>68</v>
      </c>
      <c r="I199" s="47" t="str">
        <f t="shared" si="0"/>
        <v>Rest of Europe-Online Supplier-Direct</v>
      </c>
      <c r="J199" s="47" t="str">
        <f t="shared" si="1"/>
        <v/>
      </c>
      <c r="K199" s="47"/>
      <c r="L199" s="41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</row>
    <row r="200" spans="1:42" ht="17.25" customHeight="1" x14ac:dyDescent="0.25">
      <c r="A200" s="37">
        <v>2006</v>
      </c>
      <c r="B200" s="38" t="s">
        <v>66</v>
      </c>
      <c r="C200" s="38" t="s">
        <v>27</v>
      </c>
      <c r="D200" s="38" t="s">
        <v>30</v>
      </c>
      <c r="E200" s="38" t="s">
        <v>69</v>
      </c>
      <c r="F200" s="38" t="s">
        <v>71</v>
      </c>
      <c r="G200" s="39">
        <v>5040000000</v>
      </c>
      <c r="H200" s="38" t="s">
        <v>68</v>
      </c>
      <c r="I200" s="40" t="str">
        <f t="shared" si="0"/>
        <v>Rest of Europe-OTA</v>
      </c>
      <c r="J200" s="40" t="str">
        <f t="shared" si="1"/>
        <v/>
      </c>
      <c r="K200" s="40"/>
      <c r="L200" s="41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</row>
    <row r="201" spans="1:42" ht="17.25" customHeight="1" x14ac:dyDescent="0.25">
      <c r="A201" s="44">
        <v>2006</v>
      </c>
      <c r="B201" s="45" t="s">
        <v>66</v>
      </c>
      <c r="C201" s="45" t="s">
        <v>41</v>
      </c>
      <c r="D201" s="45" t="s">
        <v>43</v>
      </c>
      <c r="E201" s="45" t="s">
        <v>67</v>
      </c>
      <c r="F201" s="45" t="s">
        <v>67</v>
      </c>
      <c r="G201" s="46">
        <v>6250000000</v>
      </c>
      <c r="H201" s="45" t="s">
        <v>68</v>
      </c>
      <c r="I201" s="47" t="str">
        <f t="shared" si="0"/>
        <v>Rest of Middle East-Offline</v>
      </c>
      <c r="J201" s="47" t="str">
        <f t="shared" si="1"/>
        <v/>
      </c>
      <c r="K201" s="47"/>
      <c r="L201" s="41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</row>
    <row r="202" spans="1:42" ht="17.25" customHeight="1" x14ac:dyDescent="0.25">
      <c r="A202" s="37">
        <v>2006</v>
      </c>
      <c r="B202" s="38" t="s">
        <v>66</v>
      </c>
      <c r="C202" s="38" t="s">
        <v>41</v>
      </c>
      <c r="D202" s="38" t="s">
        <v>43</v>
      </c>
      <c r="E202" s="38" t="s">
        <v>69</v>
      </c>
      <c r="F202" s="38" t="s">
        <v>70</v>
      </c>
      <c r="G202" s="39">
        <v>227000000</v>
      </c>
      <c r="H202" s="38" t="s">
        <v>68</v>
      </c>
      <c r="I202" s="40" t="str">
        <f t="shared" si="0"/>
        <v>Rest of Middle East-Online Supplier-Direct</v>
      </c>
      <c r="J202" s="40" t="str">
        <f t="shared" si="1"/>
        <v/>
      </c>
      <c r="K202" s="40"/>
      <c r="L202" s="41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</row>
    <row r="203" spans="1:42" ht="17.25" customHeight="1" x14ac:dyDescent="0.25">
      <c r="A203" s="44">
        <v>2006</v>
      </c>
      <c r="B203" s="45" t="s">
        <v>66</v>
      </c>
      <c r="C203" s="45" t="s">
        <v>41</v>
      </c>
      <c r="D203" s="45" t="s">
        <v>43</v>
      </c>
      <c r="E203" s="45" t="s">
        <v>69</v>
      </c>
      <c r="F203" s="45" t="s">
        <v>71</v>
      </c>
      <c r="G203" s="46">
        <v>227000000</v>
      </c>
      <c r="H203" s="45" t="s">
        <v>68</v>
      </c>
      <c r="I203" s="47" t="str">
        <f t="shared" si="0"/>
        <v>Rest of Middle East-OTA</v>
      </c>
      <c r="J203" s="47" t="str">
        <f t="shared" si="1"/>
        <v/>
      </c>
      <c r="K203" s="47"/>
      <c r="L203" s="41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</row>
    <row r="204" spans="1:42" ht="17.25" customHeight="1" x14ac:dyDescent="0.25">
      <c r="A204" s="37">
        <v>2006</v>
      </c>
      <c r="B204" s="38" t="s">
        <v>66</v>
      </c>
      <c r="C204" s="38" t="s">
        <v>17</v>
      </c>
      <c r="D204" s="38" t="s">
        <v>23</v>
      </c>
      <c r="E204" s="38" t="s">
        <v>67</v>
      </c>
      <c r="F204" s="38" t="s">
        <v>67</v>
      </c>
      <c r="G204" s="39">
        <v>2120000000</v>
      </c>
      <c r="H204" s="38" t="s">
        <v>68</v>
      </c>
      <c r="I204" s="40" t="str">
        <f t="shared" si="0"/>
        <v>Romania-Offline</v>
      </c>
      <c r="J204" s="40" t="str">
        <f t="shared" si="1"/>
        <v/>
      </c>
      <c r="K204" s="40"/>
      <c r="L204" s="41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</row>
    <row r="205" spans="1:42" ht="17.25" customHeight="1" x14ac:dyDescent="0.25">
      <c r="A205" s="44">
        <v>2006</v>
      </c>
      <c r="B205" s="45" t="s">
        <v>66</v>
      </c>
      <c r="C205" s="45" t="s">
        <v>17</v>
      </c>
      <c r="D205" s="45" t="s">
        <v>23</v>
      </c>
      <c r="E205" s="45" t="s">
        <v>69</v>
      </c>
      <c r="F205" s="45" t="s">
        <v>70</v>
      </c>
      <c r="G205" s="46">
        <v>57170272</v>
      </c>
      <c r="H205" s="45" t="s">
        <v>68</v>
      </c>
      <c r="I205" s="47" t="str">
        <f t="shared" si="0"/>
        <v>Romania-Online Supplier-Direct</v>
      </c>
      <c r="J205" s="47" t="str">
        <f t="shared" si="1"/>
        <v/>
      </c>
      <c r="K205" s="47"/>
      <c r="L205" s="41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</row>
    <row r="206" spans="1:42" ht="17.25" customHeight="1" x14ac:dyDescent="0.25">
      <c r="A206" s="37">
        <v>2006</v>
      </c>
      <c r="B206" s="38" t="s">
        <v>66</v>
      </c>
      <c r="C206" s="38" t="s">
        <v>17</v>
      </c>
      <c r="D206" s="38" t="s">
        <v>23</v>
      </c>
      <c r="E206" s="38" t="s">
        <v>69</v>
      </c>
      <c r="F206" s="38" t="s">
        <v>71</v>
      </c>
      <c r="G206" s="39">
        <v>57170272</v>
      </c>
      <c r="H206" s="38" t="s">
        <v>68</v>
      </c>
      <c r="I206" s="40" t="str">
        <f t="shared" si="0"/>
        <v>Romania-OTA</v>
      </c>
      <c r="J206" s="40" t="str">
        <f t="shared" si="1"/>
        <v/>
      </c>
      <c r="K206" s="40"/>
      <c r="L206" s="41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</row>
    <row r="207" spans="1:42" ht="17.25" customHeight="1" x14ac:dyDescent="0.25">
      <c r="A207" s="44">
        <v>2006</v>
      </c>
      <c r="B207" s="45" t="s">
        <v>66</v>
      </c>
      <c r="C207" s="45" t="s">
        <v>17</v>
      </c>
      <c r="D207" s="45" t="s">
        <v>24</v>
      </c>
      <c r="E207" s="45" t="s">
        <v>67</v>
      </c>
      <c r="F207" s="45" t="s">
        <v>67</v>
      </c>
      <c r="G207" s="46">
        <v>28000000000</v>
      </c>
      <c r="H207" s="45" t="s">
        <v>68</v>
      </c>
      <c r="I207" s="47" t="str">
        <f t="shared" si="0"/>
        <v>Russia-Offline</v>
      </c>
      <c r="J207" s="47" t="str">
        <f t="shared" si="1"/>
        <v/>
      </c>
      <c r="K207" s="47"/>
      <c r="L207" s="41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</row>
    <row r="208" spans="1:42" ht="17.25" customHeight="1" x14ac:dyDescent="0.25">
      <c r="A208" s="37">
        <v>2006</v>
      </c>
      <c r="B208" s="38" t="s">
        <v>66</v>
      </c>
      <c r="C208" s="38" t="s">
        <v>17</v>
      </c>
      <c r="D208" s="38" t="s">
        <v>24</v>
      </c>
      <c r="E208" s="38" t="s">
        <v>69</v>
      </c>
      <c r="F208" s="38" t="s">
        <v>70</v>
      </c>
      <c r="G208" s="39">
        <v>634000000</v>
      </c>
      <c r="H208" s="38" t="s">
        <v>68</v>
      </c>
      <c r="I208" s="40" t="str">
        <f t="shared" si="0"/>
        <v>Russia-Online Supplier-Direct</v>
      </c>
      <c r="J208" s="40" t="str">
        <f t="shared" si="1"/>
        <v/>
      </c>
      <c r="K208" s="40"/>
      <c r="L208" s="41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</row>
    <row r="209" spans="1:42" ht="17.25" customHeight="1" x14ac:dyDescent="0.25">
      <c r="A209" s="44">
        <v>2006</v>
      </c>
      <c r="B209" s="45" t="s">
        <v>66</v>
      </c>
      <c r="C209" s="45" t="s">
        <v>17</v>
      </c>
      <c r="D209" s="45" t="s">
        <v>24</v>
      </c>
      <c r="E209" s="45" t="s">
        <v>69</v>
      </c>
      <c r="F209" s="45" t="s">
        <v>71</v>
      </c>
      <c r="G209" s="46">
        <v>634000000</v>
      </c>
      <c r="H209" s="45" t="s">
        <v>68</v>
      </c>
      <c r="I209" s="47" t="str">
        <f t="shared" si="0"/>
        <v>Russia-OTA</v>
      </c>
      <c r="J209" s="47" t="str">
        <f t="shared" si="1"/>
        <v/>
      </c>
      <c r="K209" s="47"/>
      <c r="L209" s="41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</row>
    <row r="210" spans="1:42" ht="17.25" customHeight="1" x14ac:dyDescent="0.25">
      <c r="A210" s="37">
        <v>2006</v>
      </c>
      <c r="B210" s="38" t="s">
        <v>66</v>
      </c>
      <c r="C210" s="38" t="s">
        <v>41</v>
      </c>
      <c r="D210" s="38" t="s">
        <v>44</v>
      </c>
      <c r="E210" s="38" t="s">
        <v>67</v>
      </c>
      <c r="F210" s="38" t="s">
        <v>67</v>
      </c>
      <c r="G210" s="39">
        <v>7550000000</v>
      </c>
      <c r="H210" s="38" t="s">
        <v>68</v>
      </c>
      <c r="I210" s="40" t="str">
        <f t="shared" si="0"/>
        <v>Saudi Arabia-Offline</v>
      </c>
      <c r="J210" s="40" t="str">
        <f t="shared" si="1"/>
        <v/>
      </c>
      <c r="K210" s="40"/>
      <c r="L210" s="41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</row>
    <row r="211" spans="1:42" ht="17.25" customHeight="1" x14ac:dyDescent="0.25">
      <c r="A211" s="44">
        <v>2006</v>
      </c>
      <c r="B211" s="45" t="s">
        <v>66</v>
      </c>
      <c r="C211" s="45" t="s">
        <v>41</v>
      </c>
      <c r="D211" s="45" t="s">
        <v>44</v>
      </c>
      <c r="E211" s="45" t="s">
        <v>69</v>
      </c>
      <c r="F211" s="45" t="s">
        <v>70</v>
      </c>
      <c r="G211" s="46">
        <v>575000000</v>
      </c>
      <c r="H211" s="45" t="s">
        <v>68</v>
      </c>
      <c r="I211" s="47" t="str">
        <f t="shared" si="0"/>
        <v>Saudi Arabia-Online Supplier-Direct</v>
      </c>
      <c r="J211" s="47" t="str">
        <f t="shared" si="1"/>
        <v/>
      </c>
      <c r="K211" s="47"/>
      <c r="L211" s="41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</row>
    <row r="212" spans="1:42" ht="17.25" customHeight="1" x14ac:dyDescent="0.25">
      <c r="A212" s="37">
        <v>2006</v>
      </c>
      <c r="B212" s="38" t="s">
        <v>66</v>
      </c>
      <c r="C212" s="38" t="s">
        <v>41</v>
      </c>
      <c r="D212" s="38" t="s">
        <v>44</v>
      </c>
      <c r="E212" s="38" t="s">
        <v>69</v>
      </c>
      <c r="F212" s="38" t="s">
        <v>71</v>
      </c>
      <c r="G212" s="39">
        <v>575000000</v>
      </c>
      <c r="H212" s="38" t="s">
        <v>68</v>
      </c>
      <c r="I212" s="40" t="str">
        <f t="shared" si="0"/>
        <v>Saudi Arabia-OTA</v>
      </c>
      <c r="J212" s="40" t="str">
        <f t="shared" si="1"/>
        <v/>
      </c>
      <c r="K212" s="40"/>
      <c r="L212" s="41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</row>
    <row r="213" spans="1:42" ht="17.25" customHeight="1" x14ac:dyDescent="0.25">
      <c r="A213" s="44">
        <v>2006</v>
      </c>
      <c r="B213" s="45" t="s">
        <v>66</v>
      </c>
      <c r="C213" s="45" t="s">
        <v>27</v>
      </c>
      <c r="D213" s="45" t="s">
        <v>31</v>
      </c>
      <c r="E213" s="45" t="s">
        <v>67</v>
      </c>
      <c r="F213" s="45" t="s">
        <v>67</v>
      </c>
      <c r="G213" s="46">
        <v>10800000000</v>
      </c>
      <c r="H213" s="45" t="s">
        <v>68</v>
      </c>
      <c r="I213" s="47" t="str">
        <f t="shared" si="0"/>
        <v>Scandinavia-Offline</v>
      </c>
      <c r="J213" s="47" t="str">
        <f t="shared" si="1"/>
        <v/>
      </c>
      <c r="K213" s="47"/>
      <c r="L213" s="41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</row>
    <row r="214" spans="1:42" ht="17.25" customHeight="1" x14ac:dyDescent="0.25">
      <c r="A214" s="37">
        <v>2006</v>
      </c>
      <c r="B214" s="38" t="s">
        <v>66</v>
      </c>
      <c r="C214" s="38" t="s">
        <v>27</v>
      </c>
      <c r="D214" s="38" t="s">
        <v>31</v>
      </c>
      <c r="E214" s="38" t="s">
        <v>69</v>
      </c>
      <c r="F214" s="38" t="s">
        <v>70</v>
      </c>
      <c r="G214" s="39">
        <v>2040000000</v>
      </c>
      <c r="H214" s="38" t="s">
        <v>68</v>
      </c>
      <c r="I214" s="40" t="str">
        <f t="shared" si="0"/>
        <v>Scandinavia-Online Supplier-Direct</v>
      </c>
      <c r="J214" s="40" t="str">
        <f t="shared" si="1"/>
        <v/>
      </c>
      <c r="K214" s="40"/>
      <c r="L214" s="41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</row>
    <row r="215" spans="1:42" ht="17.25" customHeight="1" x14ac:dyDescent="0.25">
      <c r="A215" s="44">
        <v>2006</v>
      </c>
      <c r="B215" s="45" t="s">
        <v>66</v>
      </c>
      <c r="C215" s="45" t="s">
        <v>27</v>
      </c>
      <c r="D215" s="45" t="s">
        <v>31</v>
      </c>
      <c r="E215" s="45" t="s">
        <v>69</v>
      </c>
      <c r="F215" s="45" t="s">
        <v>71</v>
      </c>
      <c r="G215" s="46">
        <v>2040000000</v>
      </c>
      <c r="H215" s="45" t="s">
        <v>68</v>
      </c>
      <c r="I215" s="47" t="str">
        <f t="shared" si="0"/>
        <v>Scandinavia-OTA</v>
      </c>
      <c r="J215" s="47" t="str">
        <f t="shared" si="1"/>
        <v/>
      </c>
      <c r="K215" s="47"/>
      <c r="L215" s="41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</row>
    <row r="216" spans="1:42" ht="17.25" customHeight="1" x14ac:dyDescent="0.25">
      <c r="A216" s="37">
        <v>2006</v>
      </c>
      <c r="B216" s="38" t="s">
        <v>66</v>
      </c>
      <c r="C216" s="38" t="s">
        <v>4</v>
      </c>
      <c r="D216" s="38" t="s">
        <v>12</v>
      </c>
      <c r="E216" s="38" t="s">
        <v>67</v>
      </c>
      <c r="F216" s="38" t="s">
        <v>67</v>
      </c>
      <c r="G216" s="39">
        <v>4160000000</v>
      </c>
      <c r="H216" s="38" t="s">
        <v>68</v>
      </c>
      <c r="I216" s="40" t="str">
        <f t="shared" si="0"/>
        <v>Singapore-Offline</v>
      </c>
      <c r="J216" s="40" t="str">
        <f t="shared" si="1"/>
        <v/>
      </c>
      <c r="K216" s="40"/>
      <c r="L216" s="41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</row>
    <row r="217" spans="1:42" ht="17.25" customHeight="1" x14ac:dyDescent="0.25">
      <c r="A217" s="44">
        <v>2006</v>
      </c>
      <c r="B217" s="45" t="s">
        <v>66</v>
      </c>
      <c r="C217" s="45" t="s">
        <v>4</v>
      </c>
      <c r="D217" s="45" t="s">
        <v>12</v>
      </c>
      <c r="E217" s="45" t="s">
        <v>69</v>
      </c>
      <c r="F217" s="45" t="s">
        <v>70</v>
      </c>
      <c r="G217" s="46">
        <v>190000000</v>
      </c>
      <c r="H217" s="45" t="s">
        <v>68</v>
      </c>
      <c r="I217" s="47" t="str">
        <f t="shared" si="0"/>
        <v>Singapore-Online Supplier-Direct</v>
      </c>
      <c r="J217" s="47" t="str">
        <f t="shared" si="1"/>
        <v/>
      </c>
      <c r="K217" s="47"/>
      <c r="L217" s="41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</row>
    <row r="218" spans="1:42" ht="17.25" customHeight="1" x14ac:dyDescent="0.25">
      <c r="A218" s="37">
        <v>2006</v>
      </c>
      <c r="B218" s="38" t="s">
        <v>66</v>
      </c>
      <c r="C218" s="38" t="s">
        <v>4</v>
      </c>
      <c r="D218" s="38" t="s">
        <v>12</v>
      </c>
      <c r="E218" s="38" t="s">
        <v>69</v>
      </c>
      <c r="F218" s="38" t="s">
        <v>71</v>
      </c>
      <c r="G218" s="39">
        <v>190000000</v>
      </c>
      <c r="H218" s="38" t="s">
        <v>68</v>
      </c>
      <c r="I218" s="40" t="str">
        <f t="shared" si="0"/>
        <v>Singapore-OTA</v>
      </c>
      <c r="J218" s="40" t="str">
        <f t="shared" si="1"/>
        <v/>
      </c>
      <c r="K218" s="40"/>
      <c r="L218" s="41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</row>
    <row r="219" spans="1:42" ht="17.25" customHeight="1" x14ac:dyDescent="0.25">
      <c r="A219" s="44">
        <v>2006</v>
      </c>
      <c r="B219" s="45" t="s">
        <v>66</v>
      </c>
      <c r="C219" s="45" t="s">
        <v>4</v>
      </c>
      <c r="D219" s="45" t="s">
        <v>13</v>
      </c>
      <c r="E219" s="45" t="s">
        <v>67</v>
      </c>
      <c r="F219" s="45" t="s">
        <v>67</v>
      </c>
      <c r="G219" s="46">
        <v>10300000000</v>
      </c>
      <c r="H219" s="45" t="s">
        <v>68</v>
      </c>
      <c r="I219" s="47" t="str">
        <f t="shared" si="0"/>
        <v>South Korea-Offline</v>
      </c>
      <c r="J219" s="47" t="str">
        <f t="shared" si="1"/>
        <v/>
      </c>
      <c r="K219" s="47"/>
      <c r="L219" s="41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</row>
    <row r="220" spans="1:42" ht="17.25" customHeight="1" x14ac:dyDescent="0.25">
      <c r="A220" s="37">
        <v>2006</v>
      </c>
      <c r="B220" s="38" t="s">
        <v>66</v>
      </c>
      <c r="C220" s="38" t="s">
        <v>4</v>
      </c>
      <c r="D220" s="38" t="s">
        <v>13</v>
      </c>
      <c r="E220" s="38" t="s">
        <v>69</v>
      </c>
      <c r="F220" s="38" t="s">
        <v>70</v>
      </c>
      <c r="G220" s="39">
        <v>115000000</v>
      </c>
      <c r="H220" s="38" t="s">
        <v>68</v>
      </c>
      <c r="I220" s="40" t="str">
        <f t="shared" si="0"/>
        <v>South Korea-Online Supplier-Direct</v>
      </c>
      <c r="J220" s="40" t="str">
        <f t="shared" si="1"/>
        <v/>
      </c>
      <c r="K220" s="40"/>
      <c r="L220" s="41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</row>
    <row r="221" spans="1:42" ht="17.25" customHeight="1" x14ac:dyDescent="0.25">
      <c r="A221" s="44">
        <v>2006</v>
      </c>
      <c r="B221" s="45" t="s">
        <v>66</v>
      </c>
      <c r="C221" s="45" t="s">
        <v>4</v>
      </c>
      <c r="D221" s="45" t="s">
        <v>13</v>
      </c>
      <c r="E221" s="45" t="s">
        <v>69</v>
      </c>
      <c r="F221" s="45" t="s">
        <v>71</v>
      </c>
      <c r="G221" s="46">
        <v>115000000</v>
      </c>
      <c r="H221" s="45" t="s">
        <v>68</v>
      </c>
      <c r="I221" s="47" t="str">
        <f t="shared" si="0"/>
        <v>South Korea-OTA</v>
      </c>
      <c r="J221" s="47" t="str">
        <f t="shared" si="1"/>
        <v/>
      </c>
      <c r="K221" s="47"/>
      <c r="L221" s="41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</row>
    <row r="222" spans="1:42" ht="17.25" customHeight="1" x14ac:dyDescent="0.25">
      <c r="A222" s="37">
        <v>2006</v>
      </c>
      <c r="B222" s="38" t="s">
        <v>66</v>
      </c>
      <c r="C222" s="38" t="s">
        <v>27</v>
      </c>
      <c r="D222" s="38" t="s">
        <v>32</v>
      </c>
      <c r="E222" s="38" t="s">
        <v>67</v>
      </c>
      <c r="F222" s="38" t="s">
        <v>67</v>
      </c>
      <c r="G222" s="39">
        <v>18500000000</v>
      </c>
      <c r="H222" s="38" t="s">
        <v>68</v>
      </c>
      <c r="I222" s="40" t="str">
        <f t="shared" si="0"/>
        <v>Spain-Offline</v>
      </c>
      <c r="J222" s="40" t="str">
        <f t="shared" si="1"/>
        <v/>
      </c>
      <c r="K222" s="40"/>
      <c r="L222" s="41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</row>
    <row r="223" spans="1:42" ht="17.25" customHeight="1" x14ac:dyDescent="0.25">
      <c r="A223" s="44">
        <v>2006</v>
      </c>
      <c r="B223" s="45" t="s">
        <v>66</v>
      </c>
      <c r="C223" s="45" t="s">
        <v>27</v>
      </c>
      <c r="D223" s="45" t="s">
        <v>32</v>
      </c>
      <c r="E223" s="45" t="s">
        <v>69</v>
      </c>
      <c r="F223" s="45" t="s">
        <v>70</v>
      </c>
      <c r="G223" s="46">
        <v>2750000000</v>
      </c>
      <c r="H223" s="45" t="s">
        <v>68</v>
      </c>
      <c r="I223" s="47" t="str">
        <f t="shared" si="0"/>
        <v>Spain-Online Supplier-Direct</v>
      </c>
      <c r="J223" s="47" t="str">
        <f t="shared" si="1"/>
        <v/>
      </c>
      <c r="K223" s="47"/>
      <c r="L223" s="41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</row>
    <row r="224" spans="1:42" ht="17.25" customHeight="1" x14ac:dyDescent="0.25">
      <c r="A224" s="37">
        <v>2006</v>
      </c>
      <c r="B224" s="38" t="s">
        <v>66</v>
      </c>
      <c r="C224" s="38" t="s">
        <v>27</v>
      </c>
      <c r="D224" s="38" t="s">
        <v>32</v>
      </c>
      <c r="E224" s="38" t="s">
        <v>69</v>
      </c>
      <c r="F224" s="38" t="s">
        <v>71</v>
      </c>
      <c r="G224" s="39">
        <v>2750000000</v>
      </c>
      <c r="H224" s="38" t="s">
        <v>68</v>
      </c>
      <c r="I224" s="40" t="str">
        <f t="shared" si="0"/>
        <v>Spain-OTA</v>
      </c>
      <c r="J224" s="40" t="str">
        <f t="shared" si="1"/>
        <v/>
      </c>
      <c r="K224" s="40"/>
      <c r="L224" s="41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</row>
    <row r="225" spans="1:42" ht="17.25" customHeight="1" x14ac:dyDescent="0.25">
      <c r="A225" s="44">
        <v>2006</v>
      </c>
      <c r="B225" s="45" t="s">
        <v>66</v>
      </c>
      <c r="C225" s="45" t="s">
        <v>4</v>
      </c>
      <c r="D225" s="45" t="s">
        <v>14</v>
      </c>
      <c r="E225" s="45" t="s">
        <v>67</v>
      </c>
      <c r="F225" s="45" t="s">
        <v>67</v>
      </c>
      <c r="G225" s="46">
        <v>4400000000</v>
      </c>
      <c r="H225" s="45" t="s">
        <v>68</v>
      </c>
      <c r="I225" s="47" t="str">
        <f t="shared" si="0"/>
        <v>Taiwan-Offline</v>
      </c>
      <c r="J225" s="47" t="str">
        <f t="shared" si="1"/>
        <v/>
      </c>
      <c r="K225" s="47"/>
      <c r="L225" s="41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</row>
    <row r="226" spans="1:42" ht="17.25" customHeight="1" x14ac:dyDescent="0.25">
      <c r="A226" s="37">
        <v>2006</v>
      </c>
      <c r="B226" s="38" t="s">
        <v>66</v>
      </c>
      <c r="C226" s="38" t="s">
        <v>4</v>
      </c>
      <c r="D226" s="38" t="s">
        <v>14</v>
      </c>
      <c r="E226" s="38" t="s">
        <v>69</v>
      </c>
      <c r="F226" s="38" t="s">
        <v>70</v>
      </c>
      <c r="G226" s="39">
        <v>105000000</v>
      </c>
      <c r="H226" s="38" t="s">
        <v>68</v>
      </c>
      <c r="I226" s="40" t="str">
        <f t="shared" si="0"/>
        <v>Taiwan-Online Supplier-Direct</v>
      </c>
      <c r="J226" s="40" t="str">
        <f t="shared" si="1"/>
        <v/>
      </c>
      <c r="K226" s="40"/>
      <c r="L226" s="41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</row>
    <row r="227" spans="1:42" ht="17.25" customHeight="1" x14ac:dyDescent="0.25">
      <c r="A227" s="44">
        <v>2006</v>
      </c>
      <c r="B227" s="45" t="s">
        <v>66</v>
      </c>
      <c r="C227" s="45" t="s">
        <v>4</v>
      </c>
      <c r="D227" s="45" t="s">
        <v>14</v>
      </c>
      <c r="E227" s="45" t="s">
        <v>69</v>
      </c>
      <c r="F227" s="45" t="s">
        <v>71</v>
      </c>
      <c r="G227" s="46">
        <v>105000000</v>
      </c>
      <c r="H227" s="45" t="s">
        <v>68</v>
      </c>
      <c r="I227" s="47" t="str">
        <f t="shared" si="0"/>
        <v>Taiwan-OTA</v>
      </c>
      <c r="J227" s="47" t="str">
        <f t="shared" si="1"/>
        <v/>
      </c>
      <c r="K227" s="47"/>
      <c r="L227" s="41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</row>
    <row r="228" spans="1:42" ht="17.25" customHeight="1" x14ac:dyDescent="0.25">
      <c r="A228" s="37">
        <v>2006</v>
      </c>
      <c r="B228" s="38" t="s">
        <v>66</v>
      </c>
      <c r="C228" s="38" t="s">
        <v>4</v>
      </c>
      <c r="D228" s="38" t="s">
        <v>15</v>
      </c>
      <c r="E228" s="38" t="s">
        <v>67</v>
      </c>
      <c r="F228" s="38" t="s">
        <v>67</v>
      </c>
      <c r="G228" s="39">
        <v>6770000000</v>
      </c>
      <c r="H228" s="38" t="s">
        <v>68</v>
      </c>
      <c r="I228" s="40" t="str">
        <f t="shared" si="0"/>
        <v>Thailand-Offline</v>
      </c>
      <c r="J228" s="40" t="str">
        <f t="shared" si="1"/>
        <v/>
      </c>
      <c r="K228" s="40"/>
      <c r="L228" s="41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</row>
    <row r="229" spans="1:42" ht="17.25" customHeight="1" x14ac:dyDescent="0.25">
      <c r="A229" s="44">
        <v>2006</v>
      </c>
      <c r="B229" s="45" t="s">
        <v>66</v>
      </c>
      <c r="C229" s="45" t="s">
        <v>4</v>
      </c>
      <c r="D229" s="45" t="s">
        <v>15</v>
      </c>
      <c r="E229" s="45" t="s">
        <v>69</v>
      </c>
      <c r="F229" s="45" t="s">
        <v>70</v>
      </c>
      <c r="G229" s="46">
        <v>418000000</v>
      </c>
      <c r="H229" s="45" t="s">
        <v>68</v>
      </c>
      <c r="I229" s="47" t="str">
        <f t="shared" si="0"/>
        <v>Thailand-Online Supplier-Direct</v>
      </c>
      <c r="J229" s="47" t="str">
        <f t="shared" si="1"/>
        <v/>
      </c>
      <c r="K229" s="47"/>
      <c r="L229" s="41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</row>
    <row r="230" spans="1:42" ht="17.25" customHeight="1" x14ac:dyDescent="0.25">
      <c r="A230" s="37">
        <v>2006</v>
      </c>
      <c r="B230" s="38" t="s">
        <v>66</v>
      </c>
      <c r="C230" s="38" t="s">
        <v>4</v>
      </c>
      <c r="D230" s="38" t="s">
        <v>15</v>
      </c>
      <c r="E230" s="38" t="s">
        <v>69</v>
      </c>
      <c r="F230" s="38" t="s">
        <v>71</v>
      </c>
      <c r="G230" s="39">
        <v>418000000</v>
      </c>
      <c r="H230" s="38" t="s">
        <v>68</v>
      </c>
      <c r="I230" s="40" t="str">
        <f t="shared" si="0"/>
        <v>Thailand-OTA</v>
      </c>
      <c r="J230" s="40" t="str">
        <f t="shared" si="1"/>
        <v/>
      </c>
      <c r="K230" s="40"/>
      <c r="L230" s="41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</row>
    <row r="231" spans="1:42" ht="17.25" customHeight="1" x14ac:dyDescent="0.25">
      <c r="A231" s="44">
        <v>2006</v>
      </c>
      <c r="B231" s="45" t="s">
        <v>66</v>
      </c>
      <c r="C231" s="45" t="s">
        <v>41</v>
      </c>
      <c r="D231" s="45" t="s">
        <v>45</v>
      </c>
      <c r="E231" s="45" t="s">
        <v>67</v>
      </c>
      <c r="F231" s="45" t="s">
        <v>67</v>
      </c>
      <c r="G231" s="46">
        <v>16500000000</v>
      </c>
      <c r="H231" s="45" t="s">
        <v>68</v>
      </c>
      <c r="I231" s="47" t="str">
        <f t="shared" si="0"/>
        <v>U.A.E.-Offline</v>
      </c>
      <c r="J231" s="47" t="str">
        <f t="shared" si="1"/>
        <v/>
      </c>
      <c r="K231" s="47"/>
      <c r="L231" s="41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</row>
    <row r="232" spans="1:42" ht="17.25" customHeight="1" x14ac:dyDescent="0.25">
      <c r="A232" s="37">
        <v>2006</v>
      </c>
      <c r="B232" s="38" t="s">
        <v>66</v>
      </c>
      <c r="C232" s="38" t="s">
        <v>41</v>
      </c>
      <c r="D232" s="38" t="s">
        <v>45</v>
      </c>
      <c r="E232" s="38" t="s">
        <v>69</v>
      </c>
      <c r="F232" s="38" t="s">
        <v>70</v>
      </c>
      <c r="G232" s="39">
        <v>1360000000</v>
      </c>
      <c r="H232" s="38" t="s">
        <v>68</v>
      </c>
      <c r="I232" s="40" t="str">
        <f t="shared" si="0"/>
        <v>U.A.E.-Online Supplier-Direct</v>
      </c>
      <c r="J232" s="40" t="str">
        <f t="shared" si="1"/>
        <v/>
      </c>
      <c r="K232" s="40"/>
      <c r="L232" s="41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</row>
    <row r="233" spans="1:42" ht="17.25" customHeight="1" x14ac:dyDescent="0.25">
      <c r="A233" s="44">
        <v>2006</v>
      </c>
      <c r="B233" s="45" t="s">
        <v>66</v>
      </c>
      <c r="C233" s="45" t="s">
        <v>41</v>
      </c>
      <c r="D233" s="45" t="s">
        <v>45</v>
      </c>
      <c r="E233" s="45" t="s">
        <v>69</v>
      </c>
      <c r="F233" s="45" t="s">
        <v>71</v>
      </c>
      <c r="G233" s="46">
        <v>1360000000</v>
      </c>
      <c r="H233" s="45" t="s">
        <v>68</v>
      </c>
      <c r="I233" s="47" t="str">
        <f t="shared" si="0"/>
        <v>U.A.E.-OTA</v>
      </c>
      <c r="J233" s="47" t="str">
        <f t="shared" si="1"/>
        <v/>
      </c>
      <c r="K233" s="47"/>
      <c r="L233" s="41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</row>
    <row r="234" spans="1:42" ht="17.25" customHeight="1" x14ac:dyDescent="0.25">
      <c r="A234" s="37">
        <v>2006</v>
      </c>
      <c r="B234" s="38" t="s">
        <v>66</v>
      </c>
      <c r="C234" s="38" t="s">
        <v>27</v>
      </c>
      <c r="D234" s="38" t="s">
        <v>33</v>
      </c>
      <c r="E234" s="38" t="s">
        <v>67</v>
      </c>
      <c r="F234" s="38" t="s">
        <v>67</v>
      </c>
      <c r="G234" s="39">
        <v>42700000000</v>
      </c>
      <c r="H234" s="38" t="s">
        <v>68</v>
      </c>
      <c r="I234" s="40" t="str">
        <f t="shared" si="0"/>
        <v>U.K.-Offline</v>
      </c>
      <c r="J234" s="40" t="str">
        <f t="shared" si="1"/>
        <v/>
      </c>
      <c r="K234" s="40"/>
      <c r="L234" s="41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</row>
    <row r="235" spans="1:42" ht="17.25" customHeight="1" x14ac:dyDescent="0.25">
      <c r="A235" s="44">
        <v>2006</v>
      </c>
      <c r="B235" s="45" t="s">
        <v>66</v>
      </c>
      <c r="C235" s="45" t="s">
        <v>27</v>
      </c>
      <c r="D235" s="45" t="s">
        <v>33</v>
      </c>
      <c r="E235" s="45" t="s">
        <v>69</v>
      </c>
      <c r="F235" s="45" t="s">
        <v>70</v>
      </c>
      <c r="G235" s="46">
        <v>6410000000</v>
      </c>
      <c r="H235" s="45" t="s">
        <v>68</v>
      </c>
      <c r="I235" s="47" t="str">
        <f t="shared" si="0"/>
        <v>U.K.-Online Supplier-Direct</v>
      </c>
      <c r="J235" s="47" t="str">
        <f t="shared" si="1"/>
        <v/>
      </c>
      <c r="K235" s="47"/>
      <c r="L235" s="41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</row>
    <row r="236" spans="1:42" ht="17.25" customHeight="1" x14ac:dyDescent="0.25">
      <c r="A236" s="37">
        <v>2006</v>
      </c>
      <c r="B236" s="38" t="s">
        <v>66</v>
      </c>
      <c r="C236" s="38" t="s">
        <v>27</v>
      </c>
      <c r="D236" s="38" t="s">
        <v>33</v>
      </c>
      <c r="E236" s="38" t="s">
        <v>69</v>
      </c>
      <c r="F236" s="38" t="s">
        <v>71</v>
      </c>
      <c r="G236" s="39">
        <v>6410000000</v>
      </c>
      <c r="H236" s="38" t="s">
        <v>68</v>
      </c>
      <c r="I236" s="40" t="str">
        <f t="shared" si="0"/>
        <v>U.K.-OTA</v>
      </c>
      <c r="J236" s="40" t="str">
        <f t="shared" si="1"/>
        <v/>
      </c>
      <c r="K236" s="40"/>
      <c r="L236" s="41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</row>
    <row r="237" spans="1:42" ht="17.25" customHeight="1" x14ac:dyDescent="0.25">
      <c r="A237" s="44">
        <v>2006</v>
      </c>
      <c r="B237" s="45" t="s">
        <v>66</v>
      </c>
      <c r="C237" s="45" t="s">
        <v>47</v>
      </c>
      <c r="D237" s="45" t="s">
        <v>48</v>
      </c>
      <c r="E237" s="45" t="s">
        <v>72</v>
      </c>
      <c r="F237" s="45" t="s">
        <v>73</v>
      </c>
      <c r="G237" s="46">
        <v>70700000000</v>
      </c>
      <c r="H237" s="45" t="s">
        <v>68</v>
      </c>
      <c r="I237" s="47" t="str">
        <f t="shared" si="0"/>
        <v>U.S.-Central Reservation</v>
      </c>
      <c r="J237" s="47" t="str">
        <f t="shared" si="1"/>
        <v/>
      </c>
      <c r="K237" s="47"/>
      <c r="L237" s="41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</row>
    <row r="238" spans="1:42" ht="17.25" customHeight="1" x14ac:dyDescent="0.25">
      <c r="A238" s="37">
        <v>2006</v>
      </c>
      <c r="B238" s="38" t="s">
        <v>66</v>
      </c>
      <c r="C238" s="38" t="s">
        <v>47</v>
      </c>
      <c r="D238" s="38" t="s">
        <v>48</v>
      </c>
      <c r="E238" s="38" t="s">
        <v>67</v>
      </c>
      <c r="F238" s="38" t="s">
        <v>74</v>
      </c>
      <c r="G238" s="39">
        <v>70700000000</v>
      </c>
      <c r="H238" s="38" t="s">
        <v>68</v>
      </c>
      <c r="I238" s="40" t="str">
        <f t="shared" si="0"/>
        <v>U.S.-Travel Agency/TMC</v>
      </c>
      <c r="J238" s="40" t="str">
        <f t="shared" si="1"/>
        <v/>
      </c>
      <c r="K238" s="40"/>
      <c r="L238" s="41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</row>
    <row r="239" spans="1:42" ht="17.25" customHeight="1" x14ac:dyDescent="0.25">
      <c r="A239" s="44">
        <v>2006</v>
      </c>
      <c r="B239" s="45" t="s">
        <v>66</v>
      </c>
      <c r="C239" s="45" t="s">
        <v>47</v>
      </c>
      <c r="D239" s="45" t="s">
        <v>48</v>
      </c>
      <c r="E239" s="45" t="s">
        <v>69</v>
      </c>
      <c r="F239" s="45" t="s">
        <v>70</v>
      </c>
      <c r="G239" s="46">
        <v>41300000000</v>
      </c>
      <c r="H239" s="45" t="s">
        <v>68</v>
      </c>
      <c r="I239" s="47" t="str">
        <f t="shared" si="0"/>
        <v>U.S.-Online Supplier-Direct</v>
      </c>
      <c r="J239" s="47" t="str">
        <f t="shared" si="1"/>
        <v/>
      </c>
      <c r="K239" s="47"/>
      <c r="L239" s="41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</row>
    <row r="240" spans="1:42" ht="17.25" customHeight="1" x14ac:dyDescent="0.25">
      <c r="A240" s="37">
        <v>2006</v>
      </c>
      <c r="B240" s="38" t="s">
        <v>66</v>
      </c>
      <c r="C240" s="38" t="s">
        <v>47</v>
      </c>
      <c r="D240" s="38" t="s">
        <v>48</v>
      </c>
      <c r="E240" s="38" t="s">
        <v>69</v>
      </c>
      <c r="F240" s="38" t="s">
        <v>71</v>
      </c>
      <c r="G240" s="39">
        <v>41300000000</v>
      </c>
      <c r="H240" s="38" t="s">
        <v>68</v>
      </c>
      <c r="I240" s="40" t="str">
        <f t="shared" si="0"/>
        <v>U.S.-OTA</v>
      </c>
      <c r="J240" s="40" t="str">
        <f t="shared" si="1"/>
        <v/>
      </c>
      <c r="K240" s="40"/>
      <c r="L240" s="41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</row>
    <row r="241" spans="1:42" ht="17.25" customHeight="1" x14ac:dyDescent="0.25">
      <c r="A241" s="44">
        <v>2006</v>
      </c>
      <c r="B241" s="45" t="s">
        <v>66</v>
      </c>
      <c r="C241" s="45" t="s">
        <v>17</v>
      </c>
      <c r="D241" s="45" t="s">
        <v>25</v>
      </c>
      <c r="E241" s="45" t="s">
        <v>67</v>
      </c>
      <c r="F241" s="45" t="s">
        <v>67</v>
      </c>
      <c r="G241" s="46">
        <v>2920000000</v>
      </c>
      <c r="H241" s="45" t="s">
        <v>68</v>
      </c>
      <c r="I241" s="47" t="str">
        <f t="shared" si="0"/>
        <v>Ukraine-Offline</v>
      </c>
      <c r="J241" s="47" t="str">
        <f t="shared" si="1"/>
        <v/>
      </c>
      <c r="K241" s="47"/>
      <c r="L241" s="41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</row>
    <row r="242" spans="1:42" ht="17.25" customHeight="1" x14ac:dyDescent="0.25">
      <c r="A242" s="37">
        <v>2006</v>
      </c>
      <c r="B242" s="38" t="s">
        <v>66</v>
      </c>
      <c r="C242" s="38" t="s">
        <v>17</v>
      </c>
      <c r="D242" s="38" t="s">
        <v>25</v>
      </c>
      <c r="E242" s="38" t="s">
        <v>69</v>
      </c>
      <c r="F242" s="38" t="s">
        <v>70</v>
      </c>
      <c r="G242" s="39">
        <v>115000000</v>
      </c>
      <c r="H242" s="38" t="s">
        <v>68</v>
      </c>
      <c r="I242" s="40" t="str">
        <f t="shared" si="0"/>
        <v>Ukraine-Online Supplier-Direct</v>
      </c>
      <c r="J242" s="40" t="str">
        <f t="shared" si="1"/>
        <v/>
      </c>
      <c r="K242" s="40"/>
      <c r="L242" s="41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</row>
    <row r="243" spans="1:42" ht="17.25" customHeight="1" x14ac:dyDescent="0.25">
      <c r="A243" s="44">
        <v>2006</v>
      </c>
      <c r="B243" s="45" t="s">
        <v>66</v>
      </c>
      <c r="C243" s="45" t="s">
        <v>17</v>
      </c>
      <c r="D243" s="45" t="s">
        <v>25</v>
      </c>
      <c r="E243" s="45" t="s">
        <v>69</v>
      </c>
      <c r="F243" s="45" t="s">
        <v>71</v>
      </c>
      <c r="G243" s="46">
        <v>115000000</v>
      </c>
      <c r="H243" s="45" t="s">
        <v>68</v>
      </c>
      <c r="I243" s="47" t="str">
        <f t="shared" si="0"/>
        <v>Ukraine-OTA</v>
      </c>
      <c r="J243" s="47" t="str">
        <f t="shared" si="1"/>
        <v/>
      </c>
      <c r="K243" s="47"/>
      <c r="L243" s="41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</row>
    <row r="244" spans="1:42" ht="17.25" customHeight="1" x14ac:dyDescent="0.25">
      <c r="A244" s="37">
        <v>2007</v>
      </c>
      <c r="B244" s="38" t="s">
        <v>66</v>
      </c>
      <c r="C244" s="38" t="s">
        <v>35</v>
      </c>
      <c r="D244" s="38" t="s">
        <v>34</v>
      </c>
      <c r="E244" s="38" t="s">
        <v>67</v>
      </c>
      <c r="F244" s="38" t="s">
        <v>67</v>
      </c>
      <c r="G244" s="39">
        <v>7870000000</v>
      </c>
      <c r="H244" s="38" t="s">
        <v>68</v>
      </c>
      <c r="I244" s="40" t="str">
        <f t="shared" si="0"/>
        <v>Argentina-Offline</v>
      </c>
      <c r="J244" s="40" t="str">
        <f t="shared" si="1"/>
        <v/>
      </c>
      <c r="K244" s="40"/>
      <c r="L244" s="41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</row>
    <row r="245" spans="1:42" ht="17.25" customHeight="1" x14ac:dyDescent="0.25">
      <c r="A245" s="44">
        <v>2007</v>
      </c>
      <c r="B245" s="45" t="s">
        <v>66</v>
      </c>
      <c r="C245" s="45" t="s">
        <v>35</v>
      </c>
      <c r="D245" s="45" t="s">
        <v>34</v>
      </c>
      <c r="E245" s="45" t="s">
        <v>69</v>
      </c>
      <c r="F245" s="45" t="s">
        <v>70</v>
      </c>
      <c r="G245" s="46">
        <v>207000000</v>
      </c>
      <c r="H245" s="45" t="s">
        <v>68</v>
      </c>
      <c r="I245" s="47" t="str">
        <f t="shared" si="0"/>
        <v>Argentina-Online Supplier-Direct</v>
      </c>
      <c r="J245" s="47" t="str">
        <f t="shared" si="1"/>
        <v/>
      </c>
      <c r="K245" s="47"/>
      <c r="L245" s="41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</row>
    <row r="246" spans="1:42" ht="17.25" customHeight="1" x14ac:dyDescent="0.25">
      <c r="A246" s="37">
        <v>2007</v>
      </c>
      <c r="B246" s="38" t="s">
        <v>66</v>
      </c>
      <c r="C246" s="38" t="s">
        <v>35</v>
      </c>
      <c r="D246" s="38" t="s">
        <v>34</v>
      </c>
      <c r="E246" s="38" t="s">
        <v>69</v>
      </c>
      <c r="F246" s="38" t="s">
        <v>71</v>
      </c>
      <c r="G246" s="39">
        <v>207000000</v>
      </c>
      <c r="H246" s="38" t="s">
        <v>68</v>
      </c>
      <c r="I246" s="40" t="str">
        <f t="shared" si="0"/>
        <v>Argentina-OTA</v>
      </c>
      <c r="J246" s="40" t="str">
        <f t="shared" si="1"/>
        <v/>
      </c>
      <c r="K246" s="40"/>
      <c r="L246" s="41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</row>
    <row r="247" spans="1:42" ht="17.25" customHeight="1" x14ac:dyDescent="0.25">
      <c r="A247" s="44">
        <v>2007</v>
      </c>
      <c r="B247" s="45" t="s">
        <v>66</v>
      </c>
      <c r="C247" s="45" t="s">
        <v>4</v>
      </c>
      <c r="D247" s="45" t="s">
        <v>3</v>
      </c>
      <c r="E247" s="45" t="s">
        <v>67</v>
      </c>
      <c r="F247" s="45" t="s">
        <v>67</v>
      </c>
      <c r="G247" s="46">
        <v>15300000000</v>
      </c>
      <c r="H247" s="45" t="s">
        <v>68</v>
      </c>
      <c r="I247" s="47" t="str">
        <f t="shared" si="0"/>
        <v>Australia-New Zealand-Offline</v>
      </c>
      <c r="J247" s="47" t="str">
        <f t="shared" si="1"/>
        <v/>
      </c>
      <c r="K247" s="47"/>
      <c r="L247" s="41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</row>
    <row r="248" spans="1:42" ht="17.25" customHeight="1" x14ac:dyDescent="0.25">
      <c r="A248" s="37">
        <v>2007</v>
      </c>
      <c r="B248" s="38" t="s">
        <v>66</v>
      </c>
      <c r="C248" s="38" t="s">
        <v>4</v>
      </c>
      <c r="D248" s="38" t="s">
        <v>3</v>
      </c>
      <c r="E248" s="38" t="s">
        <v>69</v>
      </c>
      <c r="F248" s="38" t="s">
        <v>70</v>
      </c>
      <c r="G248" s="39">
        <v>1340000000</v>
      </c>
      <c r="H248" s="38" t="s">
        <v>68</v>
      </c>
      <c r="I248" s="40" t="str">
        <f t="shared" si="0"/>
        <v>Australia-New Zealand-Online Supplier-Direct</v>
      </c>
      <c r="J248" s="40" t="str">
        <f t="shared" si="1"/>
        <v/>
      </c>
      <c r="K248" s="40"/>
      <c r="L248" s="41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</row>
    <row r="249" spans="1:42" ht="17.25" customHeight="1" x14ac:dyDescent="0.25">
      <c r="A249" s="44">
        <v>2007</v>
      </c>
      <c r="B249" s="45" t="s">
        <v>66</v>
      </c>
      <c r="C249" s="45" t="s">
        <v>4</v>
      </c>
      <c r="D249" s="45" t="s">
        <v>3</v>
      </c>
      <c r="E249" s="45" t="s">
        <v>69</v>
      </c>
      <c r="F249" s="45" t="s">
        <v>71</v>
      </c>
      <c r="G249" s="46">
        <v>1340000000</v>
      </c>
      <c r="H249" s="45" t="s">
        <v>68</v>
      </c>
      <c r="I249" s="47" t="str">
        <f t="shared" si="0"/>
        <v>Australia-New Zealand-OTA</v>
      </c>
      <c r="J249" s="47" t="str">
        <f t="shared" si="1"/>
        <v/>
      </c>
      <c r="K249" s="47"/>
      <c r="L249" s="41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</row>
    <row r="250" spans="1:42" ht="17.25" customHeight="1" x14ac:dyDescent="0.25">
      <c r="A250" s="37">
        <v>2007</v>
      </c>
      <c r="B250" s="38" t="s">
        <v>66</v>
      </c>
      <c r="C250" s="38" t="s">
        <v>35</v>
      </c>
      <c r="D250" s="38" t="s">
        <v>36</v>
      </c>
      <c r="E250" s="38" t="s">
        <v>67</v>
      </c>
      <c r="F250" s="38" t="s">
        <v>67</v>
      </c>
      <c r="G250" s="39">
        <v>31800000000</v>
      </c>
      <c r="H250" s="38" t="s">
        <v>68</v>
      </c>
      <c r="I250" s="40" t="str">
        <f t="shared" si="0"/>
        <v>Brazil-Offline</v>
      </c>
      <c r="J250" s="40" t="str">
        <f t="shared" si="1"/>
        <v/>
      </c>
      <c r="K250" s="40"/>
      <c r="L250" s="41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</row>
    <row r="251" spans="1:42" ht="17.25" customHeight="1" x14ac:dyDescent="0.25">
      <c r="A251" s="44">
        <v>2007</v>
      </c>
      <c r="B251" s="45" t="s">
        <v>66</v>
      </c>
      <c r="C251" s="45" t="s">
        <v>35</v>
      </c>
      <c r="D251" s="45" t="s">
        <v>36</v>
      </c>
      <c r="E251" s="45" t="s">
        <v>69</v>
      </c>
      <c r="F251" s="45" t="s">
        <v>70</v>
      </c>
      <c r="G251" s="46">
        <v>2470000000</v>
      </c>
      <c r="H251" s="45" t="s">
        <v>68</v>
      </c>
      <c r="I251" s="47" t="str">
        <f t="shared" si="0"/>
        <v>Brazil-Online Supplier-Direct</v>
      </c>
      <c r="J251" s="47" t="str">
        <f t="shared" si="1"/>
        <v/>
      </c>
      <c r="K251" s="47"/>
      <c r="L251" s="41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</row>
    <row r="252" spans="1:42" ht="17.25" customHeight="1" x14ac:dyDescent="0.25">
      <c r="A252" s="37">
        <v>2007</v>
      </c>
      <c r="B252" s="38" t="s">
        <v>66</v>
      </c>
      <c r="C252" s="38" t="s">
        <v>35</v>
      </c>
      <c r="D252" s="38" t="s">
        <v>36</v>
      </c>
      <c r="E252" s="38" t="s">
        <v>69</v>
      </c>
      <c r="F252" s="38" t="s">
        <v>71</v>
      </c>
      <c r="G252" s="39">
        <v>2470000000</v>
      </c>
      <c r="H252" s="38" t="s">
        <v>68</v>
      </c>
      <c r="I252" s="40" t="str">
        <f t="shared" si="0"/>
        <v>Brazil-OTA</v>
      </c>
      <c r="J252" s="40" t="str">
        <f t="shared" si="1"/>
        <v/>
      </c>
      <c r="K252" s="40"/>
      <c r="L252" s="41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</row>
    <row r="253" spans="1:42" ht="17.25" customHeight="1" x14ac:dyDescent="0.25">
      <c r="A253" s="44">
        <v>2007</v>
      </c>
      <c r="B253" s="45" t="s">
        <v>66</v>
      </c>
      <c r="C253" s="45" t="s">
        <v>17</v>
      </c>
      <c r="D253" s="45" t="s">
        <v>16</v>
      </c>
      <c r="E253" s="45" t="s">
        <v>67</v>
      </c>
      <c r="F253" s="45" t="s">
        <v>67</v>
      </c>
      <c r="G253" s="46">
        <v>1180000000</v>
      </c>
      <c r="H253" s="45" t="s">
        <v>68</v>
      </c>
      <c r="I253" s="47" t="str">
        <f t="shared" si="0"/>
        <v>Bulgaria-Offline</v>
      </c>
      <c r="J253" s="47" t="str">
        <f t="shared" si="1"/>
        <v/>
      </c>
      <c r="K253" s="47"/>
      <c r="L253" s="41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</row>
    <row r="254" spans="1:42" ht="17.25" customHeight="1" x14ac:dyDescent="0.25">
      <c r="A254" s="37">
        <v>2007</v>
      </c>
      <c r="B254" s="38" t="s">
        <v>66</v>
      </c>
      <c r="C254" s="38" t="s">
        <v>17</v>
      </c>
      <c r="D254" s="38" t="s">
        <v>16</v>
      </c>
      <c r="E254" s="38" t="s">
        <v>69</v>
      </c>
      <c r="F254" s="38" t="s">
        <v>70</v>
      </c>
      <c r="G254" s="39">
        <v>15435468</v>
      </c>
      <c r="H254" s="38" t="s">
        <v>68</v>
      </c>
      <c r="I254" s="40" t="str">
        <f t="shared" si="0"/>
        <v>Bulgaria-Online Supplier-Direct</v>
      </c>
      <c r="J254" s="40" t="str">
        <f t="shared" si="1"/>
        <v/>
      </c>
      <c r="K254" s="40"/>
      <c r="L254" s="41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</row>
    <row r="255" spans="1:42" ht="17.25" customHeight="1" x14ac:dyDescent="0.25">
      <c r="A255" s="44">
        <v>2007</v>
      </c>
      <c r="B255" s="45" t="s">
        <v>66</v>
      </c>
      <c r="C255" s="45" t="s">
        <v>17</v>
      </c>
      <c r="D255" s="45" t="s">
        <v>16</v>
      </c>
      <c r="E255" s="45" t="s">
        <v>69</v>
      </c>
      <c r="F255" s="45" t="s">
        <v>71</v>
      </c>
      <c r="G255" s="46">
        <v>15435468</v>
      </c>
      <c r="H255" s="45" t="s">
        <v>68</v>
      </c>
      <c r="I255" s="47" t="str">
        <f t="shared" si="0"/>
        <v>Bulgaria-OTA</v>
      </c>
      <c r="J255" s="47" t="str">
        <f t="shared" si="1"/>
        <v/>
      </c>
      <c r="K255" s="47"/>
      <c r="L255" s="41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</row>
    <row r="256" spans="1:42" ht="17.25" customHeight="1" x14ac:dyDescent="0.25">
      <c r="A256" s="37">
        <v>2007</v>
      </c>
      <c r="B256" s="38" t="s">
        <v>66</v>
      </c>
      <c r="C256" s="38" t="s">
        <v>47</v>
      </c>
      <c r="D256" s="38" t="s">
        <v>46</v>
      </c>
      <c r="E256" s="38" t="s">
        <v>67</v>
      </c>
      <c r="F256" s="38" t="s">
        <v>67</v>
      </c>
      <c r="G256" s="39">
        <v>16600000000</v>
      </c>
      <c r="H256" s="38" t="s">
        <v>68</v>
      </c>
      <c r="I256" s="40" t="str">
        <f t="shared" si="0"/>
        <v>Canada-Offline</v>
      </c>
      <c r="J256" s="40" t="str">
        <f t="shared" si="1"/>
        <v/>
      </c>
      <c r="K256" s="40"/>
      <c r="L256" s="41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</row>
    <row r="257" spans="1:42" ht="17.25" customHeight="1" x14ac:dyDescent="0.25">
      <c r="A257" s="44">
        <v>2007</v>
      </c>
      <c r="B257" s="45" t="s">
        <v>66</v>
      </c>
      <c r="C257" s="45" t="s">
        <v>47</v>
      </c>
      <c r="D257" s="45" t="s">
        <v>46</v>
      </c>
      <c r="E257" s="45" t="s">
        <v>69</v>
      </c>
      <c r="F257" s="45" t="s">
        <v>70</v>
      </c>
      <c r="G257" s="46">
        <v>3030000000</v>
      </c>
      <c r="H257" s="45" t="s">
        <v>68</v>
      </c>
      <c r="I257" s="47" t="str">
        <f t="shared" ref="I257:I511" si="128">D257&amp;"-"&amp;F257</f>
        <v>Canada-Online Supplier-Direct</v>
      </c>
      <c r="J257" s="47" t="str">
        <f t="shared" ref="J257:J485" si="129">IF(I257&lt;&gt;I741,"diff","")</f>
        <v/>
      </c>
      <c r="K257" s="47"/>
      <c r="L257" s="41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</row>
    <row r="258" spans="1:42" ht="17.25" customHeight="1" x14ac:dyDescent="0.25">
      <c r="A258" s="37">
        <v>2007</v>
      </c>
      <c r="B258" s="38" t="s">
        <v>66</v>
      </c>
      <c r="C258" s="38" t="s">
        <v>47</v>
      </c>
      <c r="D258" s="38" t="s">
        <v>46</v>
      </c>
      <c r="E258" s="38" t="s">
        <v>69</v>
      </c>
      <c r="F258" s="38" t="s">
        <v>71</v>
      </c>
      <c r="G258" s="39">
        <v>3030000000</v>
      </c>
      <c r="H258" s="38" t="s">
        <v>68</v>
      </c>
      <c r="I258" s="40" t="str">
        <f t="shared" si="128"/>
        <v>Canada-OTA</v>
      </c>
      <c r="J258" s="40" t="str">
        <f t="shared" si="129"/>
        <v/>
      </c>
      <c r="K258" s="40"/>
      <c r="L258" s="41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</row>
    <row r="259" spans="1:42" ht="17.25" customHeight="1" x14ac:dyDescent="0.25">
      <c r="A259" s="44">
        <v>2007</v>
      </c>
      <c r="B259" s="45" t="s">
        <v>66</v>
      </c>
      <c r="C259" s="45" t="s">
        <v>35</v>
      </c>
      <c r="D259" s="45" t="s">
        <v>37</v>
      </c>
      <c r="E259" s="45" t="s">
        <v>67</v>
      </c>
      <c r="F259" s="45" t="s">
        <v>67</v>
      </c>
      <c r="G259" s="46">
        <v>3980000000</v>
      </c>
      <c r="H259" s="45" t="s">
        <v>68</v>
      </c>
      <c r="I259" s="47" t="str">
        <f t="shared" si="128"/>
        <v>Chile-Offline</v>
      </c>
      <c r="J259" s="47" t="str">
        <f t="shared" si="129"/>
        <v/>
      </c>
      <c r="K259" s="47"/>
      <c r="L259" s="41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</row>
    <row r="260" spans="1:42" ht="17.25" customHeight="1" x14ac:dyDescent="0.25">
      <c r="A260" s="37">
        <v>2007</v>
      </c>
      <c r="B260" s="38" t="s">
        <v>66</v>
      </c>
      <c r="C260" s="38" t="s">
        <v>35</v>
      </c>
      <c r="D260" s="38" t="s">
        <v>37</v>
      </c>
      <c r="E260" s="38" t="s">
        <v>69</v>
      </c>
      <c r="F260" s="38" t="s">
        <v>70</v>
      </c>
      <c r="G260" s="39">
        <v>208000000</v>
      </c>
      <c r="H260" s="38" t="s">
        <v>68</v>
      </c>
      <c r="I260" s="40" t="str">
        <f t="shared" si="128"/>
        <v>Chile-Online Supplier-Direct</v>
      </c>
      <c r="J260" s="40" t="str">
        <f t="shared" si="129"/>
        <v/>
      </c>
      <c r="K260" s="40"/>
      <c r="L260" s="41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</row>
    <row r="261" spans="1:42" ht="17.25" customHeight="1" x14ac:dyDescent="0.25">
      <c r="A261" s="44">
        <v>2007</v>
      </c>
      <c r="B261" s="45" t="s">
        <v>66</v>
      </c>
      <c r="C261" s="45" t="s">
        <v>35</v>
      </c>
      <c r="D261" s="45" t="s">
        <v>37</v>
      </c>
      <c r="E261" s="45" t="s">
        <v>69</v>
      </c>
      <c r="F261" s="45" t="s">
        <v>71</v>
      </c>
      <c r="G261" s="46">
        <v>208000000</v>
      </c>
      <c r="H261" s="45" t="s">
        <v>68</v>
      </c>
      <c r="I261" s="47" t="str">
        <f t="shared" si="128"/>
        <v>Chile-OTA</v>
      </c>
      <c r="J261" s="47" t="str">
        <f t="shared" si="129"/>
        <v/>
      </c>
      <c r="K261" s="47"/>
      <c r="L261" s="41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</row>
    <row r="262" spans="1:42" ht="17.25" customHeight="1" x14ac:dyDescent="0.25">
      <c r="A262" s="37">
        <v>2007</v>
      </c>
      <c r="B262" s="38" t="s">
        <v>66</v>
      </c>
      <c r="C262" s="38" t="s">
        <v>4</v>
      </c>
      <c r="D262" s="38" t="s">
        <v>5</v>
      </c>
      <c r="E262" s="38" t="s">
        <v>67</v>
      </c>
      <c r="F262" s="38" t="s">
        <v>67</v>
      </c>
      <c r="G262" s="39">
        <v>42100000000</v>
      </c>
      <c r="H262" s="38" t="s">
        <v>68</v>
      </c>
      <c r="I262" s="40" t="str">
        <f t="shared" si="128"/>
        <v>China-Offline</v>
      </c>
      <c r="J262" s="40" t="str">
        <f t="shared" si="129"/>
        <v/>
      </c>
      <c r="K262" s="40"/>
      <c r="L262" s="41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</row>
    <row r="263" spans="1:42" ht="17.25" customHeight="1" x14ac:dyDescent="0.25">
      <c r="A263" s="44">
        <v>2007</v>
      </c>
      <c r="B263" s="45" t="s">
        <v>66</v>
      </c>
      <c r="C263" s="45" t="s">
        <v>4</v>
      </c>
      <c r="D263" s="45" t="s">
        <v>5</v>
      </c>
      <c r="E263" s="45" t="s">
        <v>69</v>
      </c>
      <c r="F263" s="45" t="s">
        <v>70</v>
      </c>
      <c r="G263" s="46">
        <v>1380000000</v>
      </c>
      <c r="H263" s="45" t="s">
        <v>68</v>
      </c>
      <c r="I263" s="47" t="str">
        <f t="shared" si="128"/>
        <v>China-Online Supplier-Direct</v>
      </c>
      <c r="J263" s="47" t="str">
        <f t="shared" si="129"/>
        <v/>
      </c>
      <c r="K263" s="47"/>
      <c r="L263" s="41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</row>
    <row r="264" spans="1:42" ht="17.25" customHeight="1" x14ac:dyDescent="0.25">
      <c r="A264" s="37">
        <v>2007</v>
      </c>
      <c r="B264" s="38" t="s">
        <v>66</v>
      </c>
      <c r="C264" s="38" t="s">
        <v>4</v>
      </c>
      <c r="D264" s="38" t="s">
        <v>5</v>
      </c>
      <c r="E264" s="38" t="s">
        <v>69</v>
      </c>
      <c r="F264" s="38" t="s">
        <v>71</v>
      </c>
      <c r="G264" s="39">
        <v>1380000000</v>
      </c>
      <c r="H264" s="38" t="s">
        <v>68</v>
      </c>
      <c r="I264" s="40" t="str">
        <f t="shared" si="128"/>
        <v>China-OTA</v>
      </c>
      <c r="J264" s="40" t="str">
        <f t="shared" si="129"/>
        <v/>
      </c>
      <c r="K264" s="40"/>
      <c r="L264" s="41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</row>
    <row r="265" spans="1:42" ht="17.25" customHeight="1" x14ac:dyDescent="0.25">
      <c r="A265" s="44">
        <v>2007</v>
      </c>
      <c r="B265" s="45" t="s">
        <v>66</v>
      </c>
      <c r="C265" s="45" t="s">
        <v>35</v>
      </c>
      <c r="D265" s="45" t="s">
        <v>38</v>
      </c>
      <c r="E265" s="45" t="s">
        <v>67</v>
      </c>
      <c r="F265" s="45" t="s">
        <v>67</v>
      </c>
      <c r="G265" s="46">
        <v>7200000000</v>
      </c>
      <c r="H265" s="45" t="s">
        <v>68</v>
      </c>
      <c r="I265" s="47" t="str">
        <f t="shared" si="128"/>
        <v>Colombia-Offline</v>
      </c>
      <c r="J265" s="47" t="str">
        <f t="shared" si="129"/>
        <v/>
      </c>
      <c r="K265" s="47"/>
      <c r="L265" s="41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</row>
    <row r="266" spans="1:42" ht="17.25" customHeight="1" x14ac:dyDescent="0.25">
      <c r="A266" s="37">
        <v>2007</v>
      </c>
      <c r="B266" s="38" t="s">
        <v>66</v>
      </c>
      <c r="C266" s="38" t="s">
        <v>35</v>
      </c>
      <c r="D266" s="38" t="s">
        <v>38</v>
      </c>
      <c r="E266" s="38" t="s">
        <v>69</v>
      </c>
      <c r="F266" s="38" t="s">
        <v>70</v>
      </c>
      <c r="G266" s="39">
        <v>319000000</v>
      </c>
      <c r="H266" s="38" t="s">
        <v>68</v>
      </c>
      <c r="I266" s="40" t="str">
        <f t="shared" si="128"/>
        <v>Colombia-Online Supplier-Direct</v>
      </c>
      <c r="J266" s="40" t="str">
        <f t="shared" si="129"/>
        <v/>
      </c>
      <c r="K266" s="40"/>
      <c r="L266" s="41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</row>
    <row r="267" spans="1:42" ht="17.25" customHeight="1" x14ac:dyDescent="0.25">
      <c r="A267" s="44">
        <v>2007</v>
      </c>
      <c r="B267" s="45" t="s">
        <v>66</v>
      </c>
      <c r="C267" s="45" t="s">
        <v>35</v>
      </c>
      <c r="D267" s="45" t="s">
        <v>38</v>
      </c>
      <c r="E267" s="45" t="s">
        <v>69</v>
      </c>
      <c r="F267" s="45" t="s">
        <v>71</v>
      </c>
      <c r="G267" s="46">
        <v>319000000</v>
      </c>
      <c r="H267" s="45" t="s">
        <v>68</v>
      </c>
      <c r="I267" s="47" t="str">
        <f t="shared" si="128"/>
        <v>Colombia-OTA</v>
      </c>
      <c r="J267" s="47" t="str">
        <f t="shared" si="129"/>
        <v/>
      </c>
      <c r="K267" s="47"/>
      <c r="L267" s="41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</row>
    <row r="268" spans="1:42" ht="17.25" customHeight="1" x14ac:dyDescent="0.25">
      <c r="A268" s="37">
        <v>2007</v>
      </c>
      <c r="B268" s="38" t="s">
        <v>66</v>
      </c>
      <c r="C268" s="38" t="s">
        <v>17</v>
      </c>
      <c r="D268" s="38" t="s">
        <v>18</v>
      </c>
      <c r="E268" s="38" t="s">
        <v>67</v>
      </c>
      <c r="F268" s="38" t="s">
        <v>67</v>
      </c>
      <c r="G268" s="39">
        <v>2560000000</v>
      </c>
      <c r="H268" s="38" t="s">
        <v>68</v>
      </c>
      <c r="I268" s="40" t="str">
        <f t="shared" si="128"/>
        <v>Czech Republic-Offline</v>
      </c>
      <c r="J268" s="40" t="str">
        <f t="shared" si="129"/>
        <v/>
      </c>
      <c r="K268" s="40"/>
      <c r="L268" s="41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</row>
    <row r="269" spans="1:42" ht="17.25" customHeight="1" x14ac:dyDescent="0.25">
      <c r="A269" s="44">
        <v>2007</v>
      </c>
      <c r="B269" s="45" t="s">
        <v>66</v>
      </c>
      <c r="C269" s="45" t="s">
        <v>17</v>
      </c>
      <c r="D269" s="45" t="s">
        <v>18</v>
      </c>
      <c r="E269" s="45" t="s">
        <v>69</v>
      </c>
      <c r="F269" s="45" t="s">
        <v>70</v>
      </c>
      <c r="G269" s="46">
        <v>254000000</v>
      </c>
      <c r="H269" s="45" t="s">
        <v>68</v>
      </c>
      <c r="I269" s="47" t="str">
        <f t="shared" si="128"/>
        <v>Czech Republic-Online Supplier-Direct</v>
      </c>
      <c r="J269" s="47" t="str">
        <f t="shared" si="129"/>
        <v/>
      </c>
      <c r="K269" s="47"/>
      <c r="L269" s="41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</row>
    <row r="270" spans="1:42" ht="17.25" customHeight="1" x14ac:dyDescent="0.25">
      <c r="A270" s="37">
        <v>2007</v>
      </c>
      <c r="B270" s="38" t="s">
        <v>66</v>
      </c>
      <c r="C270" s="38" t="s">
        <v>17</v>
      </c>
      <c r="D270" s="38" t="s">
        <v>18</v>
      </c>
      <c r="E270" s="38" t="s">
        <v>69</v>
      </c>
      <c r="F270" s="38" t="s">
        <v>71</v>
      </c>
      <c r="G270" s="39">
        <v>254000000</v>
      </c>
      <c r="H270" s="38" t="s">
        <v>68</v>
      </c>
      <c r="I270" s="40" t="str">
        <f t="shared" si="128"/>
        <v>Czech Republic-OTA</v>
      </c>
      <c r="J270" s="40" t="str">
        <f t="shared" si="129"/>
        <v/>
      </c>
      <c r="K270" s="40"/>
      <c r="L270" s="41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</row>
    <row r="271" spans="1:42" ht="17.25" customHeight="1" x14ac:dyDescent="0.25">
      <c r="A271" s="44">
        <v>2007</v>
      </c>
      <c r="B271" s="45" t="s">
        <v>66</v>
      </c>
      <c r="C271" s="45" t="s">
        <v>41</v>
      </c>
      <c r="D271" s="45" t="s">
        <v>40</v>
      </c>
      <c r="E271" s="45" t="s">
        <v>67</v>
      </c>
      <c r="F271" s="45" t="s">
        <v>67</v>
      </c>
      <c r="G271" s="46">
        <v>5500000000</v>
      </c>
      <c r="H271" s="45" t="s">
        <v>68</v>
      </c>
      <c r="I271" s="47" t="str">
        <f t="shared" si="128"/>
        <v>Egypt-Offline</v>
      </c>
      <c r="J271" s="47" t="str">
        <f t="shared" si="129"/>
        <v/>
      </c>
      <c r="K271" s="47"/>
      <c r="L271" s="41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</row>
    <row r="272" spans="1:42" ht="17.25" customHeight="1" x14ac:dyDescent="0.25">
      <c r="A272" s="37">
        <v>2007</v>
      </c>
      <c r="B272" s="38" t="s">
        <v>66</v>
      </c>
      <c r="C272" s="38" t="s">
        <v>41</v>
      </c>
      <c r="D272" s="38" t="s">
        <v>40</v>
      </c>
      <c r="E272" s="38" t="s">
        <v>69</v>
      </c>
      <c r="F272" s="38" t="s">
        <v>70</v>
      </c>
      <c r="G272" s="39">
        <v>202000000</v>
      </c>
      <c r="H272" s="38" t="s">
        <v>68</v>
      </c>
      <c r="I272" s="40" t="str">
        <f t="shared" si="128"/>
        <v>Egypt-Online Supplier-Direct</v>
      </c>
      <c r="J272" s="40" t="str">
        <f t="shared" si="129"/>
        <v/>
      </c>
      <c r="K272" s="40"/>
      <c r="L272" s="41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</row>
    <row r="273" spans="1:42" ht="17.25" customHeight="1" x14ac:dyDescent="0.25">
      <c r="A273" s="44">
        <v>2007</v>
      </c>
      <c r="B273" s="45" t="s">
        <v>66</v>
      </c>
      <c r="C273" s="45" t="s">
        <v>41</v>
      </c>
      <c r="D273" s="45" t="s">
        <v>40</v>
      </c>
      <c r="E273" s="45" t="s">
        <v>69</v>
      </c>
      <c r="F273" s="45" t="s">
        <v>71</v>
      </c>
      <c r="G273" s="46">
        <v>202000000</v>
      </c>
      <c r="H273" s="45" t="s">
        <v>68</v>
      </c>
      <c r="I273" s="47" t="str">
        <f t="shared" si="128"/>
        <v>Egypt-OTA</v>
      </c>
      <c r="J273" s="47" t="str">
        <f t="shared" si="129"/>
        <v/>
      </c>
      <c r="K273" s="47"/>
      <c r="L273" s="41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</row>
    <row r="274" spans="1:42" ht="17.25" customHeight="1" x14ac:dyDescent="0.25">
      <c r="A274" s="37">
        <v>2007</v>
      </c>
      <c r="B274" s="38" t="s">
        <v>66</v>
      </c>
      <c r="C274" s="38" t="s">
        <v>27</v>
      </c>
      <c r="D274" s="38" t="s">
        <v>26</v>
      </c>
      <c r="E274" s="38" t="s">
        <v>67</v>
      </c>
      <c r="F274" s="38" t="s">
        <v>67</v>
      </c>
      <c r="G274" s="39">
        <v>38100000000</v>
      </c>
      <c r="H274" s="38" t="s">
        <v>68</v>
      </c>
      <c r="I274" s="40" t="str">
        <f t="shared" si="128"/>
        <v>France-Offline</v>
      </c>
      <c r="J274" s="40" t="str">
        <f t="shared" si="129"/>
        <v/>
      </c>
      <c r="K274" s="40"/>
      <c r="L274" s="41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</row>
    <row r="275" spans="1:42" ht="17.25" customHeight="1" x14ac:dyDescent="0.25">
      <c r="A275" s="44">
        <v>2007</v>
      </c>
      <c r="B275" s="45" t="s">
        <v>66</v>
      </c>
      <c r="C275" s="45" t="s">
        <v>27</v>
      </c>
      <c r="D275" s="45" t="s">
        <v>26</v>
      </c>
      <c r="E275" s="45" t="s">
        <v>69</v>
      </c>
      <c r="F275" s="45" t="s">
        <v>70</v>
      </c>
      <c r="G275" s="46">
        <v>6870000000</v>
      </c>
      <c r="H275" s="45" t="s">
        <v>68</v>
      </c>
      <c r="I275" s="47" t="str">
        <f t="shared" si="128"/>
        <v>France-Online Supplier-Direct</v>
      </c>
      <c r="J275" s="47" t="str">
        <f t="shared" si="129"/>
        <v/>
      </c>
      <c r="K275" s="47"/>
      <c r="L275" s="41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</row>
    <row r="276" spans="1:42" ht="17.25" customHeight="1" x14ac:dyDescent="0.25">
      <c r="A276" s="37">
        <v>2007</v>
      </c>
      <c r="B276" s="38" t="s">
        <v>66</v>
      </c>
      <c r="C276" s="38" t="s">
        <v>27</v>
      </c>
      <c r="D276" s="38" t="s">
        <v>26</v>
      </c>
      <c r="E276" s="38" t="s">
        <v>69</v>
      </c>
      <c r="F276" s="38" t="s">
        <v>71</v>
      </c>
      <c r="G276" s="39">
        <v>6870000000</v>
      </c>
      <c r="H276" s="38" t="s">
        <v>68</v>
      </c>
      <c r="I276" s="40" t="str">
        <f t="shared" si="128"/>
        <v>France-OTA</v>
      </c>
      <c r="J276" s="40" t="str">
        <f t="shared" si="129"/>
        <v/>
      </c>
      <c r="K276" s="40"/>
      <c r="L276" s="41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</row>
    <row r="277" spans="1:42" ht="17.25" customHeight="1" x14ac:dyDescent="0.25">
      <c r="A277" s="44">
        <v>2007</v>
      </c>
      <c r="B277" s="45" t="s">
        <v>66</v>
      </c>
      <c r="C277" s="45" t="s">
        <v>27</v>
      </c>
      <c r="D277" s="45" t="s">
        <v>28</v>
      </c>
      <c r="E277" s="45" t="s">
        <v>67</v>
      </c>
      <c r="F277" s="45" t="s">
        <v>67</v>
      </c>
      <c r="G277" s="46">
        <v>49500000000</v>
      </c>
      <c r="H277" s="45" t="s">
        <v>68</v>
      </c>
      <c r="I277" s="47" t="str">
        <f t="shared" si="128"/>
        <v>Germany-Offline</v>
      </c>
      <c r="J277" s="47" t="str">
        <f t="shared" si="129"/>
        <v/>
      </c>
      <c r="K277" s="47"/>
      <c r="L277" s="41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</row>
    <row r="278" spans="1:42" ht="17.25" customHeight="1" x14ac:dyDescent="0.25">
      <c r="A278" s="37">
        <v>2007</v>
      </c>
      <c r="B278" s="38" t="s">
        <v>66</v>
      </c>
      <c r="C278" s="38" t="s">
        <v>27</v>
      </c>
      <c r="D278" s="38" t="s">
        <v>28</v>
      </c>
      <c r="E278" s="38" t="s">
        <v>69</v>
      </c>
      <c r="F278" s="38" t="s">
        <v>70</v>
      </c>
      <c r="G278" s="39">
        <v>10400000000</v>
      </c>
      <c r="H278" s="38" t="s">
        <v>68</v>
      </c>
      <c r="I278" s="40" t="str">
        <f t="shared" si="128"/>
        <v>Germany-Online Supplier-Direct</v>
      </c>
      <c r="J278" s="40" t="str">
        <f t="shared" si="129"/>
        <v/>
      </c>
      <c r="K278" s="40"/>
      <c r="L278" s="41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</row>
    <row r="279" spans="1:42" ht="17.25" customHeight="1" x14ac:dyDescent="0.25">
      <c r="A279" s="44">
        <v>2007</v>
      </c>
      <c r="B279" s="45" t="s">
        <v>66</v>
      </c>
      <c r="C279" s="45" t="s">
        <v>27</v>
      </c>
      <c r="D279" s="45" t="s">
        <v>28</v>
      </c>
      <c r="E279" s="45" t="s">
        <v>69</v>
      </c>
      <c r="F279" s="45" t="s">
        <v>71</v>
      </c>
      <c r="G279" s="46">
        <v>10400000000</v>
      </c>
      <c r="H279" s="45" t="s">
        <v>68</v>
      </c>
      <c r="I279" s="47" t="str">
        <f t="shared" si="128"/>
        <v>Germany-OTA</v>
      </c>
      <c r="J279" s="47" t="str">
        <f t="shared" si="129"/>
        <v/>
      </c>
      <c r="K279" s="47"/>
      <c r="L279" s="41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</row>
    <row r="280" spans="1:42" ht="17.25" customHeight="1" x14ac:dyDescent="0.25">
      <c r="A280" s="37">
        <v>2007</v>
      </c>
      <c r="B280" s="38" t="s">
        <v>66</v>
      </c>
      <c r="C280" s="38" t="s">
        <v>17</v>
      </c>
      <c r="D280" s="38" t="s">
        <v>19</v>
      </c>
      <c r="E280" s="38" t="s">
        <v>67</v>
      </c>
      <c r="F280" s="38" t="s">
        <v>67</v>
      </c>
      <c r="G280" s="39">
        <v>8240000000</v>
      </c>
      <c r="H280" s="38" t="s">
        <v>68</v>
      </c>
      <c r="I280" s="40" t="str">
        <f t="shared" si="128"/>
        <v>Greece-Offline</v>
      </c>
      <c r="J280" s="40" t="str">
        <f t="shared" si="129"/>
        <v/>
      </c>
      <c r="K280" s="40"/>
      <c r="L280" s="41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</row>
    <row r="281" spans="1:42" ht="17.25" customHeight="1" x14ac:dyDescent="0.25">
      <c r="A281" s="44">
        <v>2007</v>
      </c>
      <c r="B281" s="45" t="s">
        <v>66</v>
      </c>
      <c r="C281" s="45" t="s">
        <v>17</v>
      </c>
      <c r="D281" s="45" t="s">
        <v>19</v>
      </c>
      <c r="E281" s="45" t="s">
        <v>69</v>
      </c>
      <c r="F281" s="45" t="s">
        <v>70</v>
      </c>
      <c r="G281" s="46">
        <v>607000000</v>
      </c>
      <c r="H281" s="45" t="s">
        <v>68</v>
      </c>
      <c r="I281" s="47" t="str">
        <f t="shared" si="128"/>
        <v>Greece-Online Supplier-Direct</v>
      </c>
      <c r="J281" s="47" t="str">
        <f t="shared" si="129"/>
        <v/>
      </c>
      <c r="K281" s="47"/>
      <c r="L281" s="41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</row>
    <row r="282" spans="1:42" ht="17.25" customHeight="1" x14ac:dyDescent="0.25">
      <c r="A282" s="37">
        <v>2007</v>
      </c>
      <c r="B282" s="38" t="s">
        <v>66</v>
      </c>
      <c r="C282" s="38" t="s">
        <v>17</v>
      </c>
      <c r="D282" s="38" t="s">
        <v>19</v>
      </c>
      <c r="E282" s="38" t="s">
        <v>69</v>
      </c>
      <c r="F282" s="38" t="s">
        <v>71</v>
      </c>
      <c r="G282" s="39">
        <v>607000000</v>
      </c>
      <c r="H282" s="38" t="s">
        <v>68</v>
      </c>
      <c r="I282" s="40" t="str">
        <f t="shared" si="128"/>
        <v>Greece-OTA</v>
      </c>
      <c r="J282" s="40" t="str">
        <f t="shared" si="129"/>
        <v/>
      </c>
      <c r="K282" s="40"/>
      <c r="L282" s="41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</row>
    <row r="283" spans="1:42" ht="17.25" customHeight="1" x14ac:dyDescent="0.25">
      <c r="A283" s="44">
        <v>2007</v>
      </c>
      <c r="B283" s="45" t="s">
        <v>66</v>
      </c>
      <c r="C283" s="45" t="s">
        <v>4</v>
      </c>
      <c r="D283" s="45" t="s">
        <v>6</v>
      </c>
      <c r="E283" s="45" t="s">
        <v>67</v>
      </c>
      <c r="F283" s="45" t="s">
        <v>67</v>
      </c>
      <c r="G283" s="46">
        <v>8860000000</v>
      </c>
      <c r="H283" s="45" t="s">
        <v>68</v>
      </c>
      <c r="I283" s="47" t="str">
        <f t="shared" si="128"/>
        <v>Hong Kong-Offline</v>
      </c>
      <c r="J283" s="47" t="str">
        <f t="shared" si="129"/>
        <v/>
      </c>
      <c r="K283" s="47"/>
      <c r="L283" s="41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</row>
    <row r="284" spans="1:42" ht="17.25" customHeight="1" x14ac:dyDescent="0.25">
      <c r="A284" s="37">
        <v>2007</v>
      </c>
      <c r="B284" s="38" t="s">
        <v>66</v>
      </c>
      <c r="C284" s="38" t="s">
        <v>4</v>
      </c>
      <c r="D284" s="38" t="s">
        <v>6</v>
      </c>
      <c r="E284" s="38" t="s">
        <v>69</v>
      </c>
      <c r="F284" s="38" t="s">
        <v>70</v>
      </c>
      <c r="G284" s="39">
        <v>173000000</v>
      </c>
      <c r="H284" s="38" t="s">
        <v>68</v>
      </c>
      <c r="I284" s="40" t="str">
        <f t="shared" si="128"/>
        <v>Hong Kong-Online Supplier-Direct</v>
      </c>
      <c r="J284" s="40" t="str">
        <f t="shared" si="129"/>
        <v/>
      </c>
      <c r="K284" s="40"/>
      <c r="L284" s="41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</row>
    <row r="285" spans="1:42" ht="17.25" customHeight="1" x14ac:dyDescent="0.25">
      <c r="A285" s="44">
        <v>2007</v>
      </c>
      <c r="B285" s="45" t="s">
        <v>66</v>
      </c>
      <c r="C285" s="45" t="s">
        <v>4</v>
      </c>
      <c r="D285" s="45" t="s">
        <v>6</v>
      </c>
      <c r="E285" s="45" t="s">
        <v>69</v>
      </c>
      <c r="F285" s="45" t="s">
        <v>71</v>
      </c>
      <c r="G285" s="46">
        <v>173000000</v>
      </c>
      <c r="H285" s="45" t="s">
        <v>68</v>
      </c>
      <c r="I285" s="47" t="str">
        <f t="shared" si="128"/>
        <v>Hong Kong-OTA</v>
      </c>
      <c r="J285" s="47" t="str">
        <f t="shared" si="129"/>
        <v/>
      </c>
      <c r="K285" s="47"/>
      <c r="L285" s="41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</row>
    <row r="286" spans="1:42" ht="17.25" customHeight="1" x14ac:dyDescent="0.25">
      <c r="A286" s="37">
        <v>2007</v>
      </c>
      <c r="B286" s="38" t="s">
        <v>66</v>
      </c>
      <c r="C286" s="38" t="s">
        <v>17</v>
      </c>
      <c r="D286" s="38" t="s">
        <v>20</v>
      </c>
      <c r="E286" s="38" t="s">
        <v>67</v>
      </c>
      <c r="F286" s="38" t="s">
        <v>67</v>
      </c>
      <c r="G286" s="39">
        <v>2320000000</v>
      </c>
      <c r="H286" s="38" t="s">
        <v>68</v>
      </c>
      <c r="I286" s="40" t="str">
        <f t="shared" si="128"/>
        <v>Hungary-Offline</v>
      </c>
      <c r="J286" s="40" t="str">
        <f t="shared" si="129"/>
        <v/>
      </c>
      <c r="K286" s="40"/>
      <c r="L286" s="41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</row>
    <row r="287" spans="1:42" ht="17.25" customHeight="1" x14ac:dyDescent="0.25">
      <c r="A287" s="44">
        <v>2007</v>
      </c>
      <c r="B287" s="45" t="s">
        <v>66</v>
      </c>
      <c r="C287" s="45" t="s">
        <v>17</v>
      </c>
      <c r="D287" s="45" t="s">
        <v>20</v>
      </c>
      <c r="E287" s="45" t="s">
        <v>69</v>
      </c>
      <c r="F287" s="45" t="s">
        <v>70</v>
      </c>
      <c r="G287" s="46">
        <v>113000000</v>
      </c>
      <c r="H287" s="45" t="s">
        <v>68</v>
      </c>
      <c r="I287" s="47" t="str">
        <f t="shared" si="128"/>
        <v>Hungary-Online Supplier-Direct</v>
      </c>
      <c r="J287" s="47" t="str">
        <f t="shared" si="129"/>
        <v/>
      </c>
      <c r="K287" s="47"/>
      <c r="L287" s="41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</row>
    <row r="288" spans="1:42" ht="17.25" customHeight="1" x14ac:dyDescent="0.25">
      <c r="A288" s="37">
        <v>2007</v>
      </c>
      <c r="B288" s="38" t="s">
        <v>66</v>
      </c>
      <c r="C288" s="38" t="s">
        <v>17</v>
      </c>
      <c r="D288" s="38" t="s">
        <v>20</v>
      </c>
      <c r="E288" s="38" t="s">
        <v>69</v>
      </c>
      <c r="F288" s="38" t="s">
        <v>71</v>
      </c>
      <c r="G288" s="39">
        <v>113000000</v>
      </c>
      <c r="H288" s="38" t="s">
        <v>68</v>
      </c>
      <c r="I288" s="40" t="str">
        <f t="shared" si="128"/>
        <v>Hungary-OTA</v>
      </c>
      <c r="J288" s="40" t="str">
        <f t="shared" si="129"/>
        <v/>
      </c>
      <c r="K288" s="40"/>
      <c r="L288" s="41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</row>
    <row r="289" spans="1:42" ht="17.25" customHeight="1" x14ac:dyDescent="0.25">
      <c r="A289" s="44">
        <v>2007</v>
      </c>
      <c r="B289" s="45" t="s">
        <v>66</v>
      </c>
      <c r="C289" s="45" t="s">
        <v>4</v>
      </c>
      <c r="D289" s="45" t="s">
        <v>7</v>
      </c>
      <c r="E289" s="45" t="s">
        <v>67</v>
      </c>
      <c r="F289" s="45" t="s">
        <v>67</v>
      </c>
      <c r="G289" s="46">
        <v>13000000000</v>
      </c>
      <c r="H289" s="45" t="s">
        <v>68</v>
      </c>
      <c r="I289" s="47" t="str">
        <f t="shared" si="128"/>
        <v>India-Offline</v>
      </c>
      <c r="J289" s="47" t="str">
        <f t="shared" si="129"/>
        <v/>
      </c>
      <c r="K289" s="47"/>
      <c r="L289" s="41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</row>
    <row r="290" spans="1:42" ht="17.25" customHeight="1" x14ac:dyDescent="0.25">
      <c r="A290" s="37">
        <v>2007</v>
      </c>
      <c r="B290" s="38" t="s">
        <v>66</v>
      </c>
      <c r="C290" s="38" t="s">
        <v>4</v>
      </c>
      <c r="D290" s="38" t="s">
        <v>7</v>
      </c>
      <c r="E290" s="38" t="s">
        <v>69</v>
      </c>
      <c r="F290" s="38" t="s">
        <v>70</v>
      </c>
      <c r="G290" s="39">
        <v>1290000000</v>
      </c>
      <c r="H290" s="38" t="s">
        <v>68</v>
      </c>
      <c r="I290" s="40" t="str">
        <f t="shared" si="128"/>
        <v>India-Online Supplier-Direct</v>
      </c>
      <c r="J290" s="40" t="str">
        <f t="shared" si="129"/>
        <v/>
      </c>
      <c r="K290" s="40"/>
      <c r="L290" s="41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</row>
    <row r="291" spans="1:42" ht="17.25" customHeight="1" x14ac:dyDescent="0.25">
      <c r="A291" s="44">
        <v>2007</v>
      </c>
      <c r="B291" s="45" t="s">
        <v>66</v>
      </c>
      <c r="C291" s="45" t="s">
        <v>4</v>
      </c>
      <c r="D291" s="45" t="s">
        <v>7</v>
      </c>
      <c r="E291" s="45" t="s">
        <v>69</v>
      </c>
      <c r="F291" s="45" t="s">
        <v>71</v>
      </c>
      <c r="G291" s="46">
        <v>1290000000</v>
      </c>
      <c r="H291" s="45" t="s">
        <v>68</v>
      </c>
      <c r="I291" s="47" t="str">
        <f t="shared" si="128"/>
        <v>India-OTA</v>
      </c>
      <c r="J291" s="47" t="str">
        <f t="shared" si="129"/>
        <v/>
      </c>
      <c r="K291" s="47"/>
      <c r="L291" s="41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</row>
    <row r="292" spans="1:42" ht="17.25" customHeight="1" x14ac:dyDescent="0.25">
      <c r="A292" s="37">
        <v>2007</v>
      </c>
      <c r="B292" s="38" t="s">
        <v>66</v>
      </c>
      <c r="C292" s="38" t="s">
        <v>4</v>
      </c>
      <c r="D292" s="38" t="s">
        <v>8</v>
      </c>
      <c r="E292" s="38" t="s">
        <v>67</v>
      </c>
      <c r="F292" s="38" t="s">
        <v>67</v>
      </c>
      <c r="G292" s="39">
        <v>4030000000</v>
      </c>
      <c r="H292" s="38" t="s">
        <v>68</v>
      </c>
      <c r="I292" s="40" t="str">
        <f t="shared" si="128"/>
        <v>Indonesia-Offline</v>
      </c>
      <c r="J292" s="40" t="str">
        <f t="shared" si="129"/>
        <v/>
      </c>
      <c r="K292" s="40"/>
      <c r="L292" s="41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</row>
    <row r="293" spans="1:42" ht="17.25" customHeight="1" x14ac:dyDescent="0.25">
      <c r="A293" s="44">
        <v>2007</v>
      </c>
      <c r="B293" s="45" t="s">
        <v>66</v>
      </c>
      <c r="C293" s="45" t="s">
        <v>4</v>
      </c>
      <c r="D293" s="45" t="s">
        <v>8</v>
      </c>
      <c r="E293" s="45" t="s">
        <v>69</v>
      </c>
      <c r="F293" s="45" t="s">
        <v>70</v>
      </c>
      <c r="G293" s="46">
        <v>26666113</v>
      </c>
      <c r="H293" s="45" t="s">
        <v>68</v>
      </c>
      <c r="I293" s="47" t="str">
        <f t="shared" si="128"/>
        <v>Indonesia-Online Supplier-Direct</v>
      </c>
      <c r="J293" s="47" t="str">
        <f t="shared" si="129"/>
        <v/>
      </c>
      <c r="K293" s="47"/>
      <c r="L293" s="41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</row>
    <row r="294" spans="1:42" ht="17.25" customHeight="1" x14ac:dyDescent="0.25">
      <c r="A294" s="37">
        <v>2007</v>
      </c>
      <c r="B294" s="38" t="s">
        <v>66</v>
      </c>
      <c r="C294" s="38" t="s">
        <v>4</v>
      </c>
      <c r="D294" s="38" t="s">
        <v>8</v>
      </c>
      <c r="E294" s="38" t="s">
        <v>69</v>
      </c>
      <c r="F294" s="38" t="s">
        <v>71</v>
      </c>
      <c r="G294" s="39">
        <v>26666113</v>
      </c>
      <c r="H294" s="38" t="s">
        <v>68</v>
      </c>
      <c r="I294" s="40" t="str">
        <f t="shared" si="128"/>
        <v>Indonesia-OTA</v>
      </c>
      <c r="J294" s="40" t="str">
        <f t="shared" si="129"/>
        <v/>
      </c>
      <c r="K294" s="40"/>
      <c r="L294" s="41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</row>
    <row r="295" spans="1:42" ht="17.25" customHeight="1" x14ac:dyDescent="0.25">
      <c r="A295" s="44">
        <v>2007</v>
      </c>
      <c r="B295" s="45" t="s">
        <v>66</v>
      </c>
      <c r="C295" s="45" t="s">
        <v>27</v>
      </c>
      <c r="D295" s="45" t="s">
        <v>29</v>
      </c>
      <c r="E295" s="45" t="s">
        <v>67</v>
      </c>
      <c r="F295" s="45" t="s">
        <v>67</v>
      </c>
      <c r="G295" s="46">
        <v>21400000000</v>
      </c>
      <c r="H295" s="45" t="s">
        <v>68</v>
      </c>
      <c r="I295" s="47" t="str">
        <f t="shared" si="128"/>
        <v>Italy-Offline</v>
      </c>
      <c r="J295" s="47" t="str">
        <f t="shared" si="129"/>
        <v/>
      </c>
      <c r="K295" s="47"/>
      <c r="L295" s="41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</row>
    <row r="296" spans="1:42" ht="17.25" customHeight="1" x14ac:dyDescent="0.25">
      <c r="A296" s="37">
        <v>2007</v>
      </c>
      <c r="B296" s="38" t="s">
        <v>66</v>
      </c>
      <c r="C296" s="38" t="s">
        <v>27</v>
      </c>
      <c r="D296" s="38" t="s">
        <v>29</v>
      </c>
      <c r="E296" s="38" t="s">
        <v>69</v>
      </c>
      <c r="F296" s="38" t="s">
        <v>70</v>
      </c>
      <c r="G296" s="39">
        <v>3380000000</v>
      </c>
      <c r="H296" s="38" t="s">
        <v>68</v>
      </c>
      <c r="I296" s="40" t="str">
        <f t="shared" si="128"/>
        <v>Italy-Online Supplier-Direct</v>
      </c>
      <c r="J296" s="40" t="str">
        <f t="shared" si="129"/>
        <v/>
      </c>
      <c r="K296" s="40"/>
      <c r="L296" s="41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</row>
    <row r="297" spans="1:42" ht="17.25" customHeight="1" x14ac:dyDescent="0.25">
      <c r="A297" s="44">
        <v>2007</v>
      </c>
      <c r="B297" s="45" t="s">
        <v>66</v>
      </c>
      <c r="C297" s="45" t="s">
        <v>27</v>
      </c>
      <c r="D297" s="45" t="s">
        <v>29</v>
      </c>
      <c r="E297" s="45" t="s">
        <v>69</v>
      </c>
      <c r="F297" s="45" t="s">
        <v>71</v>
      </c>
      <c r="G297" s="46">
        <v>3380000000</v>
      </c>
      <c r="H297" s="45" t="s">
        <v>68</v>
      </c>
      <c r="I297" s="47" t="str">
        <f t="shared" si="128"/>
        <v>Italy-OTA</v>
      </c>
      <c r="J297" s="47" t="str">
        <f t="shared" si="129"/>
        <v/>
      </c>
      <c r="K297" s="47"/>
      <c r="L297" s="41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</row>
    <row r="298" spans="1:42" ht="17.25" customHeight="1" x14ac:dyDescent="0.25">
      <c r="A298" s="37">
        <v>2007</v>
      </c>
      <c r="B298" s="38" t="s">
        <v>66</v>
      </c>
      <c r="C298" s="38" t="s">
        <v>4</v>
      </c>
      <c r="D298" s="38" t="s">
        <v>9</v>
      </c>
      <c r="E298" s="38" t="s">
        <v>67</v>
      </c>
      <c r="F298" s="38" t="s">
        <v>67</v>
      </c>
      <c r="G298" s="39">
        <v>60100000000</v>
      </c>
      <c r="H298" s="38" t="s">
        <v>68</v>
      </c>
      <c r="I298" s="40" t="str">
        <f t="shared" si="128"/>
        <v>Japan-Offline</v>
      </c>
      <c r="J298" s="40" t="str">
        <f t="shared" si="129"/>
        <v/>
      </c>
      <c r="K298" s="40"/>
      <c r="L298" s="41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</row>
    <row r="299" spans="1:42" ht="17.25" customHeight="1" x14ac:dyDescent="0.25">
      <c r="A299" s="44">
        <v>2007</v>
      </c>
      <c r="B299" s="45" t="s">
        <v>66</v>
      </c>
      <c r="C299" s="45" t="s">
        <v>4</v>
      </c>
      <c r="D299" s="45" t="s">
        <v>9</v>
      </c>
      <c r="E299" s="45" t="s">
        <v>69</v>
      </c>
      <c r="F299" s="45" t="s">
        <v>70</v>
      </c>
      <c r="G299" s="46">
        <v>6900000000</v>
      </c>
      <c r="H299" s="45" t="s">
        <v>68</v>
      </c>
      <c r="I299" s="47" t="str">
        <f t="shared" si="128"/>
        <v>Japan-Online Supplier-Direct</v>
      </c>
      <c r="J299" s="47" t="str">
        <f t="shared" si="129"/>
        <v/>
      </c>
      <c r="K299" s="47"/>
      <c r="L299" s="41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</row>
    <row r="300" spans="1:42" ht="17.25" customHeight="1" x14ac:dyDescent="0.25">
      <c r="A300" s="37">
        <v>2007</v>
      </c>
      <c r="B300" s="38" t="s">
        <v>66</v>
      </c>
      <c r="C300" s="38" t="s">
        <v>4</v>
      </c>
      <c r="D300" s="38" t="s">
        <v>9</v>
      </c>
      <c r="E300" s="38" t="s">
        <v>69</v>
      </c>
      <c r="F300" s="38" t="s">
        <v>71</v>
      </c>
      <c r="G300" s="39">
        <v>6900000000</v>
      </c>
      <c r="H300" s="38" t="s">
        <v>68</v>
      </c>
      <c r="I300" s="40" t="str">
        <f t="shared" si="128"/>
        <v>Japan-OTA</v>
      </c>
      <c r="J300" s="40" t="str">
        <f t="shared" si="129"/>
        <v/>
      </c>
      <c r="K300" s="40"/>
      <c r="L300" s="41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</row>
    <row r="301" spans="1:42" ht="17.25" customHeight="1" x14ac:dyDescent="0.25">
      <c r="A301" s="44">
        <v>2007</v>
      </c>
      <c r="B301" s="45" t="s">
        <v>66</v>
      </c>
      <c r="C301" s="45" t="s">
        <v>4</v>
      </c>
      <c r="D301" s="45" t="s">
        <v>10</v>
      </c>
      <c r="E301" s="45" t="s">
        <v>67</v>
      </c>
      <c r="F301" s="45" t="s">
        <v>67</v>
      </c>
      <c r="G301" s="46">
        <v>492000000</v>
      </c>
      <c r="H301" s="45" t="s">
        <v>68</v>
      </c>
      <c r="I301" s="47" t="str">
        <f t="shared" si="128"/>
        <v>Macau-Offline</v>
      </c>
      <c r="J301" s="47" t="str">
        <f t="shared" si="129"/>
        <v/>
      </c>
      <c r="K301" s="47"/>
      <c r="L301" s="41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</row>
    <row r="302" spans="1:42" ht="17.25" customHeight="1" x14ac:dyDescent="0.25">
      <c r="A302" s="37">
        <v>2007</v>
      </c>
      <c r="B302" s="38" t="s">
        <v>66</v>
      </c>
      <c r="C302" s="38" t="s">
        <v>4</v>
      </c>
      <c r="D302" s="38" t="s">
        <v>10</v>
      </c>
      <c r="E302" s="38" t="s">
        <v>69</v>
      </c>
      <c r="F302" s="38" t="s">
        <v>70</v>
      </c>
      <c r="G302" s="39">
        <v>7005244</v>
      </c>
      <c r="H302" s="38" t="s">
        <v>68</v>
      </c>
      <c r="I302" s="40" t="str">
        <f t="shared" si="128"/>
        <v>Macau-Online Supplier-Direct</v>
      </c>
      <c r="J302" s="40" t="str">
        <f t="shared" si="129"/>
        <v/>
      </c>
      <c r="K302" s="40"/>
      <c r="L302" s="41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</row>
    <row r="303" spans="1:42" ht="17.25" customHeight="1" x14ac:dyDescent="0.25">
      <c r="A303" s="44">
        <v>2007</v>
      </c>
      <c r="B303" s="45" t="s">
        <v>66</v>
      </c>
      <c r="C303" s="45" t="s">
        <v>4</v>
      </c>
      <c r="D303" s="45" t="s">
        <v>10</v>
      </c>
      <c r="E303" s="45" t="s">
        <v>69</v>
      </c>
      <c r="F303" s="45" t="s">
        <v>71</v>
      </c>
      <c r="G303" s="46">
        <v>7005244</v>
      </c>
      <c r="H303" s="45" t="s">
        <v>68</v>
      </c>
      <c r="I303" s="47" t="str">
        <f t="shared" si="128"/>
        <v>Macau-OTA</v>
      </c>
      <c r="J303" s="47" t="str">
        <f t="shared" si="129"/>
        <v/>
      </c>
      <c r="K303" s="47"/>
      <c r="L303" s="41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</row>
    <row r="304" spans="1:42" ht="17.25" customHeight="1" x14ac:dyDescent="0.25">
      <c r="A304" s="37">
        <v>2007</v>
      </c>
      <c r="B304" s="38" t="s">
        <v>66</v>
      </c>
      <c r="C304" s="38" t="s">
        <v>4</v>
      </c>
      <c r="D304" s="38" t="s">
        <v>11</v>
      </c>
      <c r="E304" s="38" t="s">
        <v>67</v>
      </c>
      <c r="F304" s="38" t="s">
        <v>67</v>
      </c>
      <c r="G304" s="39">
        <v>4040000000</v>
      </c>
      <c r="H304" s="38" t="s">
        <v>68</v>
      </c>
      <c r="I304" s="40" t="str">
        <f t="shared" si="128"/>
        <v>Malaysia-Offline</v>
      </c>
      <c r="J304" s="40" t="str">
        <f t="shared" si="129"/>
        <v/>
      </c>
      <c r="K304" s="40"/>
      <c r="L304" s="41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</row>
    <row r="305" spans="1:42" ht="17.25" customHeight="1" x14ac:dyDescent="0.25">
      <c r="A305" s="44">
        <v>2007</v>
      </c>
      <c r="B305" s="45" t="s">
        <v>66</v>
      </c>
      <c r="C305" s="45" t="s">
        <v>4</v>
      </c>
      <c r="D305" s="45" t="s">
        <v>11</v>
      </c>
      <c r="E305" s="45" t="s">
        <v>69</v>
      </c>
      <c r="F305" s="45" t="s">
        <v>70</v>
      </c>
      <c r="G305" s="46">
        <v>84167978</v>
      </c>
      <c r="H305" s="45" t="s">
        <v>68</v>
      </c>
      <c r="I305" s="47" t="str">
        <f t="shared" si="128"/>
        <v>Malaysia-Online Supplier-Direct</v>
      </c>
      <c r="J305" s="47" t="str">
        <f t="shared" si="129"/>
        <v/>
      </c>
      <c r="K305" s="47"/>
      <c r="L305" s="41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</row>
    <row r="306" spans="1:42" ht="17.25" customHeight="1" x14ac:dyDescent="0.25">
      <c r="A306" s="37">
        <v>2007</v>
      </c>
      <c r="B306" s="38" t="s">
        <v>66</v>
      </c>
      <c r="C306" s="38" t="s">
        <v>4</v>
      </c>
      <c r="D306" s="38" t="s">
        <v>11</v>
      </c>
      <c r="E306" s="38" t="s">
        <v>69</v>
      </c>
      <c r="F306" s="38" t="s">
        <v>71</v>
      </c>
      <c r="G306" s="39">
        <v>84167978</v>
      </c>
      <c r="H306" s="38" t="s">
        <v>68</v>
      </c>
      <c r="I306" s="40" t="str">
        <f t="shared" si="128"/>
        <v>Malaysia-OTA</v>
      </c>
      <c r="J306" s="40" t="str">
        <f t="shared" si="129"/>
        <v/>
      </c>
      <c r="K306" s="40"/>
      <c r="L306" s="41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</row>
    <row r="307" spans="1:42" ht="17.25" customHeight="1" x14ac:dyDescent="0.25">
      <c r="A307" s="44">
        <v>2007</v>
      </c>
      <c r="B307" s="45" t="s">
        <v>66</v>
      </c>
      <c r="C307" s="45" t="s">
        <v>35</v>
      </c>
      <c r="D307" s="45" t="s">
        <v>39</v>
      </c>
      <c r="E307" s="45" t="s">
        <v>67</v>
      </c>
      <c r="F307" s="45" t="s">
        <v>67</v>
      </c>
      <c r="G307" s="46">
        <v>19700000000</v>
      </c>
      <c r="H307" s="45" t="s">
        <v>68</v>
      </c>
      <c r="I307" s="47" t="str">
        <f t="shared" si="128"/>
        <v>Mexico-Offline</v>
      </c>
      <c r="J307" s="47" t="str">
        <f t="shared" si="129"/>
        <v/>
      </c>
      <c r="K307" s="47"/>
      <c r="L307" s="41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</row>
    <row r="308" spans="1:42" ht="17.25" customHeight="1" x14ac:dyDescent="0.25">
      <c r="A308" s="37">
        <v>2007</v>
      </c>
      <c r="B308" s="38" t="s">
        <v>66</v>
      </c>
      <c r="C308" s="38" t="s">
        <v>35</v>
      </c>
      <c r="D308" s="38" t="s">
        <v>39</v>
      </c>
      <c r="E308" s="38" t="s">
        <v>69</v>
      </c>
      <c r="F308" s="38" t="s">
        <v>70</v>
      </c>
      <c r="G308" s="39">
        <v>2540000000</v>
      </c>
      <c r="H308" s="38" t="s">
        <v>68</v>
      </c>
      <c r="I308" s="40" t="str">
        <f t="shared" si="128"/>
        <v>Mexico-Online Supplier-Direct</v>
      </c>
      <c r="J308" s="40" t="str">
        <f t="shared" si="129"/>
        <v/>
      </c>
      <c r="K308" s="40"/>
      <c r="L308" s="41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</row>
    <row r="309" spans="1:42" ht="17.25" customHeight="1" x14ac:dyDescent="0.25">
      <c r="A309" s="44">
        <v>2007</v>
      </c>
      <c r="B309" s="45" t="s">
        <v>66</v>
      </c>
      <c r="C309" s="45" t="s">
        <v>35</v>
      </c>
      <c r="D309" s="45" t="s">
        <v>39</v>
      </c>
      <c r="E309" s="45" t="s">
        <v>69</v>
      </c>
      <c r="F309" s="45" t="s">
        <v>71</v>
      </c>
      <c r="G309" s="46">
        <v>2540000000</v>
      </c>
      <c r="H309" s="45" t="s">
        <v>68</v>
      </c>
      <c r="I309" s="47" t="str">
        <f t="shared" si="128"/>
        <v>Mexico-OTA</v>
      </c>
      <c r="J309" s="47" t="str">
        <f t="shared" si="129"/>
        <v/>
      </c>
      <c r="K309" s="47"/>
      <c r="L309" s="41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</row>
    <row r="310" spans="1:42" ht="17.25" customHeight="1" x14ac:dyDescent="0.25">
      <c r="A310" s="37">
        <v>2007</v>
      </c>
      <c r="B310" s="38" t="s">
        <v>66</v>
      </c>
      <c r="C310" s="38" t="s">
        <v>17</v>
      </c>
      <c r="D310" s="38" t="s">
        <v>21</v>
      </c>
      <c r="E310" s="38" t="s">
        <v>67</v>
      </c>
      <c r="F310" s="38" t="s">
        <v>67</v>
      </c>
      <c r="G310" s="39">
        <v>3280000000</v>
      </c>
      <c r="H310" s="38" t="s">
        <v>68</v>
      </c>
      <c r="I310" s="40" t="str">
        <f t="shared" si="128"/>
        <v>Poland-Offline</v>
      </c>
      <c r="J310" s="40" t="str">
        <f t="shared" si="129"/>
        <v/>
      </c>
      <c r="K310" s="40"/>
      <c r="L310" s="41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</row>
    <row r="311" spans="1:42" ht="17.25" customHeight="1" x14ac:dyDescent="0.25">
      <c r="A311" s="44">
        <v>2007</v>
      </c>
      <c r="B311" s="45" t="s">
        <v>66</v>
      </c>
      <c r="C311" s="45" t="s">
        <v>17</v>
      </c>
      <c r="D311" s="45" t="s">
        <v>21</v>
      </c>
      <c r="E311" s="45" t="s">
        <v>69</v>
      </c>
      <c r="F311" s="45" t="s">
        <v>70</v>
      </c>
      <c r="G311" s="46">
        <v>211000000</v>
      </c>
      <c r="H311" s="45" t="s">
        <v>68</v>
      </c>
      <c r="I311" s="47" t="str">
        <f t="shared" si="128"/>
        <v>Poland-Online Supplier-Direct</v>
      </c>
      <c r="J311" s="47" t="str">
        <f t="shared" si="129"/>
        <v/>
      </c>
      <c r="K311" s="47"/>
      <c r="L311" s="41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</row>
    <row r="312" spans="1:42" ht="17.25" customHeight="1" x14ac:dyDescent="0.25">
      <c r="A312" s="37">
        <v>2007</v>
      </c>
      <c r="B312" s="38" t="s">
        <v>66</v>
      </c>
      <c r="C312" s="38" t="s">
        <v>17</v>
      </c>
      <c r="D312" s="38" t="s">
        <v>21</v>
      </c>
      <c r="E312" s="38" t="s">
        <v>69</v>
      </c>
      <c r="F312" s="38" t="s">
        <v>71</v>
      </c>
      <c r="G312" s="39">
        <v>211000000</v>
      </c>
      <c r="H312" s="38" t="s">
        <v>68</v>
      </c>
      <c r="I312" s="40" t="str">
        <f t="shared" si="128"/>
        <v>Poland-OTA</v>
      </c>
      <c r="J312" s="40" t="str">
        <f t="shared" si="129"/>
        <v/>
      </c>
      <c r="K312" s="40"/>
      <c r="L312" s="41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</row>
    <row r="313" spans="1:42" ht="17.25" customHeight="1" x14ac:dyDescent="0.25">
      <c r="A313" s="44">
        <v>2007</v>
      </c>
      <c r="B313" s="45" t="s">
        <v>66</v>
      </c>
      <c r="C313" s="45" t="s">
        <v>41</v>
      </c>
      <c r="D313" s="45" t="s">
        <v>42</v>
      </c>
      <c r="E313" s="45" t="s">
        <v>67</v>
      </c>
      <c r="F313" s="45" t="s">
        <v>67</v>
      </c>
      <c r="G313" s="46">
        <v>3700000000</v>
      </c>
      <c r="H313" s="45" t="s">
        <v>68</v>
      </c>
      <c r="I313" s="47" t="str">
        <f t="shared" si="128"/>
        <v>Qatar-Offline</v>
      </c>
      <c r="J313" s="47" t="str">
        <f t="shared" si="129"/>
        <v/>
      </c>
      <c r="K313" s="47"/>
      <c r="L313" s="41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</row>
    <row r="314" spans="1:42" ht="17.25" customHeight="1" x14ac:dyDescent="0.25">
      <c r="A314" s="37">
        <v>2007</v>
      </c>
      <c r="B314" s="38" t="s">
        <v>66</v>
      </c>
      <c r="C314" s="38" t="s">
        <v>41</v>
      </c>
      <c r="D314" s="38" t="s">
        <v>42</v>
      </c>
      <c r="E314" s="38" t="s">
        <v>69</v>
      </c>
      <c r="F314" s="38" t="s">
        <v>70</v>
      </c>
      <c r="G314" s="39">
        <v>296000000</v>
      </c>
      <c r="H314" s="38" t="s">
        <v>68</v>
      </c>
      <c r="I314" s="40" t="str">
        <f t="shared" si="128"/>
        <v>Qatar-Online Supplier-Direct</v>
      </c>
      <c r="J314" s="40" t="str">
        <f t="shared" si="129"/>
        <v/>
      </c>
      <c r="K314" s="40"/>
      <c r="L314" s="41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</row>
    <row r="315" spans="1:42" ht="17.25" customHeight="1" x14ac:dyDescent="0.25">
      <c r="A315" s="44">
        <v>2007</v>
      </c>
      <c r="B315" s="45" t="s">
        <v>66</v>
      </c>
      <c r="C315" s="45" t="s">
        <v>41</v>
      </c>
      <c r="D315" s="45" t="s">
        <v>42</v>
      </c>
      <c r="E315" s="45" t="s">
        <v>69</v>
      </c>
      <c r="F315" s="45" t="s">
        <v>71</v>
      </c>
      <c r="G315" s="46">
        <v>296000000</v>
      </c>
      <c r="H315" s="45" t="s">
        <v>68</v>
      </c>
      <c r="I315" s="47" t="str">
        <f t="shared" si="128"/>
        <v>Qatar-OTA</v>
      </c>
      <c r="J315" s="47" t="str">
        <f t="shared" si="129"/>
        <v/>
      </c>
      <c r="K315" s="47"/>
      <c r="L315" s="41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</row>
    <row r="316" spans="1:42" ht="17.25" customHeight="1" x14ac:dyDescent="0.25">
      <c r="A316" s="37">
        <v>2007</v>
      </c>
      <c r="B316" s="38" t="s">
        <v>66</v>
      </c>
      <c r="C316" s="38" t="s">
        <v>17</v>
      </c>
      <c r="D316" s="38" t="s">
        <v>22</v>
      </c>
      <c r="E316" s="38" t="s">
        <v>67</v>
      </c>
      <c r="F316" s="38" t="s">
        <v>67</v>
      </c>
      <c r="G316" s="39">
        <v>2660000000</v>
      </c>
      <c r="H316" s="38" t="s">
        <v>68</v>
      </c>
      <c r="I316" s="40" t="str">
        <f t="shared" si="128"/>
        <v>Rest of Eastern Europe-Offline</v>
      </c>
      <c r="J316" s="40" t="str">
        <f t="shared" si="129"/>
        <v/>
      </c>
      <c r="K316" s="40"/>
      <c r="L316" s="41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</row>
    <row r="317" spans="1:42" ht="17.25" customHeight="1" x14ac:dyDescent="0.25">
      <c r="A317" s="44">
        <v>2007</v>
      </c>
      <c r="B317" s="45" t="s">
        <v>66</v>
      </c>
      <c r="C317" s="45" t="s">
        <v>17</v>
      </c>
      <c r="D317" s="45" t="s">
        <v>22</v>
      </c>
      <c r="E317" s="45" t="s">
        <v>69</v>
      </c>
      <c r="F317" s="45" t="s">
        <v>70</v>
      </c>
      <c r="G317" s="46">
        <v>114000000</v>
      </c>
      <c r="H317" s="45" t="s">
        <v>68</v>
      </c>
      <c r="I317" s="47" t="str">
        <f t="shared" si="128"/>
        <v>Rest of Eastern Europe-Online Supplier-Direct</v>
      </c>
      <c r="J317" s="47" t="str">
        <f t="shared" si="129"/>
        <v/>
      </c>
      <c r="K317" s="47"/>
      <c r="L317" s="41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</row>
    <row r="318" spans="1:42" ht="17.25" customHeight="1" x14ac:dyDescent="0.25">
      <c r="A318" s="37">
        <v>2007</v>
      </c>
      <c r="B318" s="38" t="s">
        <v>66</v>
      </c>
      <c r="C318" s="38" t="s">
        <v>17</v>
      </c>
      <c r="D318" s="38" t="s">
        <v>22</v>
      </c>
      <c r="E318" s="38" t="s">
        <v>69</v>
      </c>
      <c r="F318" s="38" t="s">
        <v>71</v>
      </c>
      <c r="G318" s="39">
        <v>114000000</v>
      </c>
      <c r="H318" s="38" t="s">
        <v>68</v>
      </c>
      <c r="I318" s="40" t="str">
        <f t="shared" si="128"/>
        <v>Rest of Eastern Europe-OTA</v>
      </c>
      <c r="J318" s="40" t="str">
        <f t="shared" si="129"/>
        <v/>
      </c>
      <c r="K318" s="40"/>
      <c r="L318" s="41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</row>
    <row r="319" spans="1:42" ht="17.25" customHeight="1" x14ac:dyDescent="0.25">
      <c r="A319" s="44">
        <v>2007</v>
      </c>
      <c r="B319" s="45" t="s">
        <v>66</v>
      </c>
      <c r="C319" s="45" t="s">
        <v>27</v>
      </c>
      <c r="D319" s="45" t="s">
        <v>30</v>
      </c>
      <c r="E319" s="45" t="s">
        <v>67</v>
      </c>
      <c r="F319" s="45" t="s">
        <v>67</v>
      </c>
      <c r="G319" s="46">
        <v>46800000000</v>
      </c>
      <c r="H319" s="45" t="s">
        <v>68</v>
      </c>
      <c r="I319" s="47" t="str">
        <f t="shared" si="128"/>
        <v>Rest of Europe-Offline</v>
      </c>
      <c r="J319" s="47" t="str">
        <f t="shared" si="129"/>
        <v/>
      </c>
      <c r="K319" s="47"/>
      <c r="L319" s="41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</row>
    <row r="320" spans="1:42" ht="17.25" customHeight="1" x14ac:dyDescent="0.25">
      <c r="A320" s="37">
        <v>2007</v>
      </c>
      <c r="B320" s="38" t="s">
        <v>66</v>
      </c>
      <c r="C320" s="38" t="s">
        <v>27</v>
      </c>
      <c r="D320" s="38" t="s">
        <v>30</v>
      </c>
      <c r="E320" s="38" t="s">
        <v>69</v>
      </c>
      <c r="F320" s="38" t="s">
        <v>70</v>
      </c>
      <c r="G320" s="39">
        <v>6170000000</v>
      </c>
      <c r="H320" s="38" t="s">
        <v>68</v>
      </c>
      <c r="I320" s="40" t="str">
        <f t="shared" si="128"/>
        <v>Rest of Europe-Online Supplier-Direct</v>
      </c>
      <c r="J320" s="40" t="str">
        <f t="shared" si="129"/>
        <v/>
      </c>
      <c r="K320" s="40"/>
      <c r="L320" s="41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</row>
    <row r="321" spans="1:42" ht="17.25" customHeight="1" x14ac:dyDescent="0.25">
      <c r="A321" s="44">
        <v>2007</v>
      </c>
      <c r="B321" s="45" t="s">
        <v>66</v>
      </c>
      <c r="C321" s="45" t="s">
        <v>27</v>
      </c>
      <c r="D321" s="45" t="s">
        <v>30</v>
      </c>
      <c r="E321" s="45" t="s">
        <v>69</v>
      </c>
      <c r="F321" s="45" t="s">
        <v>71</v>
      </c>
      <c r="G321" s="46">
        <v>6170000000</v>
      </c>
      <c r="H321" s="45" t="s">
        <v>68</v>
      </c>
      <c r="I321" s="47" t="str">
        <f t="shared" si="128"/>
        <v>Rest of Europe-OTA</v>
      </c>
      <c r="J321" s="47" t="str">
        <f t="shared" si="129"/>
        <v/>
      </c>
      <c r="K321" s="47"/>
      <c r="L321" s="41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</row>
    <row r="322" spans="1:42" ht="17.25" customHeight="1" x14ac:dyDescent="0.25">
      <c r="A322" s="37">
        <v>2007</v>
      </c>
      <c r="B322" s="38" t="s">
        <v>66</v>
      </c>
      <c r="C322" s="38" t="s">
        <v>41</v>
      </c>
      <c r="D322" s="38" t="s">
        <v>43</v>
      </c>
      <c r="E322" s="38" t="s">
        <v>67</v>
      </c>
      <c r="F322" s="38" t="s">
        <v>67</v>
      </c>
      <c r="G322" s="39">
        <v>7110000000</v>
      </c>
      <c r="H322" s="38" t="s">
        <v>68</v>
      </c>
      <c r="I322" s="40" t="str">
        <f t="shared" si="128"/>
        <v>Rest of Middle East-Offline</v>
      </c>
      <c r="J322" s="40" t="str">
        <f t="shared" si="129"/>
        <v/>
      </c>
      <c r="K322" s="40"/>
      <c r="L322" s="41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</row>
    <row r="323" spans="1:42" ht="17.25" customHeight="1" x14ac:dyDescent="0.25">
      <c r="A323" s="44">
        <v>2007</v>
      </c>
      <c r="B323" s="45" t="s">
        <v>66</v>
      </c>
      <c r="C323" s="45" t="s">
        <v>41</v>
      </c>
      <c r="D323" s="45" t="s">
        <v>43</v>
      </c>
      <c r="E323" s="45" t="s">
        <v>69</v>
      </c>
      <c r="F323" s="45" t="s">
        <v>70</v>
      </c>
      <c r="G323" s="46">
        <v>283000000</v>
      </c>
      <c r="H323" s="45" t="s">
        <v>68</v>
      </c>
      <c r="I323" s="47" t="str">
        <f t="shared" si="128"/>
        <v>Rest of Middle East-Online Supplier-Direct</v>
      </c>
      <c r="J323" s="47" t="str">
        <f t="shared" si="129"/>
        <v/>
      </c>
      <c r="K323" s="47"/>
      <c r="L323" s="41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</row>
    <row r="324" spans="1:42" ht="17.25" customHeight="1" x14ac:dyDescent="0.25">
      <c r="A324" s="37">
        <v>2007</v>
      </c>
      <c r="B324" s="38" t="s">
        <v>66</v>
      </c>
      <c r="C324" s="38" t="s">
        <v>41</v>
      </c>
      <c r="D324" s="38" t="s">
        <v>43</v>
      </c>
      <c r="E324" s="38" t="s">
        <v>69</v>
      </c>
      <c r="F324" s="38" t="s">
        <v>71</v>
      </c>
      <c r="G324" s="39">
        <v>283000000</v>
      </c>
      <c r="H324" s="38" t="s">
        <v>68</v>
      </c>
      <c r="I324" s="40" t="str">
        <f t="shared" si="128"/>
        <v>Rest of Middle East-OTA</v>
      </c>
      <c r="J324" s="40" t="str">
        <f t="shared" si="129"/>
        <v/>
      </c>
      <c r="K324" s="40"/>
      <c r="L324" s="41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</row>
    <row r="325" spans="1:42" ht="17.25" customHeight="1" x14ac:dyDescent="0.25">
      <c r="A325" s="44">
        <v>2007</v>
      </c>
      <c r="B325" s="45" t="s">
        <v>66</v>
      </c>
      <c r="C325" s="45" t="s">
        <v>17</v>
      </c>
      <c r="D325" s="45" t="s">
        <v>23</v>
      </c>
      <c r="E325" s="45" t="s">
        <v>67</v>
      </c>
      <c r="F325" s="45" t="s">
        <v>67</v>
      </c>
      <c r="G325" s="46">
        <v>3030000000</v>
      </c>
      <c r="H325" s="45" t="s">
        <v>68</v>
      </c>
      <c r="I325" s="47" t="str">
        <f t="shared" si="128"/>
        <v>Romania-Offline</v>
      </c>
      <c r="J325" s="47" t="str">
        <f t="shared" si="129"/>
        <v/>
      </c>
      <c r="K325" s="47"/>
      <c r="L325" s="41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</row>
    <row r="326" spans="1:42" ht="17.25" customHeight="1" x14ac:dyDescent="0.25">
      <c r="A326" s="37">
        <v>2007</v>
      </c>
      <c r="B326" s="38" t="s">
        <v>66</v>
      </c>
      <c r="C326" s="38" t="s">
        <v>17</v>
      </c>
      <c r="D326" s="38" t="s">
        <v>23</v>
      </c>
      <c r="E326" s="38" t="s">
        <v>69</v>
      </c>
      <c r="F326" s="38" t="s">
        <v>70</v>
      </c>
      <c r="G326" s="39">
        <v>114000000</v>
      </c>
      <c r="H326" s="38" t="s">
        <v>68</v>
      </c>
      <c r="I326" s="40" t="str">
        <f t="shared" si="128"/>
        <v>Romania-Online Supplier-Direct</v>
      </c>
      <c r="J326" s="40" t="str">
        <f t="shared" si="129"/>
        <v/>
      </c>
      <c r="K326" s="40"/>
      <c r="L326" s="41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</row>
    <row r="327" spans="1:42" ht="17.25" customHeight="1" x14ac:dyDescent="0.25">
      <c r="A327" s="44">
        <v>2007</v>
      </c>
      <c r="B327" s="45" t="s">
        <v>66</v>
      </c>
      <c r="C327" s="45" t="s">
        <v>17</v>
      </c>
      <c r="D327" s="45" t="s">
        <v>23</v>
      </c>
      <c r="E327" s="45" t="s">
        <v>69</v>
      </c>
      <c r="F327" s="45" t="s">
        <v>71</v>
      </c>
      <c r="G327" s="46">
        <v>114000000</v>
      </c>
      <c r="H327" s="45" t="s">
        <v>68</v>
      </c>
      <c r="I327" s="47" t="str">
        <f t="shared" si="128"/>
        <v>Romania-OTA</v>
      </c>
      <c r="J327" s="47" t="str">
        <f t="shared" si="129"/>
        <v/>
      </c>
      <c r="K327" s="47"/>
      <c r="L327" s="41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</row>
    <row r="328" spans="1:42" ht="17.25" customHeight="1" x14ac:dyDescent="0.25">
      <c r="A328" s="37">
        <v>2007</v>
      </c>
      <c r="B328" s="38" t="s">
        <v>66</v>
      </c>
      <c r="C328" s="38" t="s">
        <v>17</v>
      </c>
      <c r="D328" s="38" t="s">
        <v>24</v>
      </c>
      <c r="E328" s="38" t="s">
        <v>67</v>
      </c>
      <c r="F328" s="38" t="s">
        <v>67</v>
      </c>
      <c r="G328" s="39">
        <v>36700000000</v>
      </c>
      <c r="H328" s="38" t="s">
        <v>68</v>
      </c>
      <c r="I328" s="40" t="str">
        <f t="shared" si="128"/>
        <v>Russia-Offline</v>
      </c>
      <c r="J328" s="40" t="str">
        <f t="shared" si="129"/>
        <v/>
      </c>
      <c r="K328" s="40"/>
      <c r="L328" s="41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</row>
    <row r="329" spans="1:42" ht="17.25" customHeight="1" x14ac:dyDescent="0.25">
      <c r="A329" s="44">
        <v>2007</v>
      </c>
      <c r="B329" s="45" t="s">
        <v>66</v>
      </c>
      <c r="C329" s="45" t="s">
        <v>17</v>
      </c>
      <c r="D329" s="45" t="s">
        <v>24</v>
      </c>
      <c r="E329" s="45" t="s">
        <v>69</v>
      </c>
      <c r="F329" s="45" t="s">
        <v>70</v>
      </c>
      <c r="G329" s="46">
        <v>1060000000</v>
      </c>
      <c r="H329" s="45" t="s">
        <v>68</v>
      </c>
      <c r="I329" s="47" t="str">
        <f t="shared" si="128"/>
        <v>Russia-Online Supplier-Direct</v>
      </c>
      <c r="J329" s="47" t="str">
        <f t="shared" si="129"/>
        <v/>
      </c>
      <c r="K329" s="47"/>
      <c r="L329" s="41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</row>
    <row r="330" spans="1:42" ht="17.25" customHeight="1" x14ac:dyDescent="0.25">
      <c r="A330" s="37">
        <v>2007</v>
      </c>
      <c r="B330" s="38" t="s">
        <v>66</v>
      </c>
      <c r="C330" s="38" t="s">
        <v>17</v>
      </c>
      <c r="D330" s="38" t="s">
        <v>24</v>
      </c>
      <c r="E330" s="38" t="s">
        <v>69</v>
      </c>
      <c r="F330" s="38" t="s">
        <v>71</v>
      </c>
      <c r="G330" s="39">
        <v>1060000000</v>
      </c>
      <c r="H330" s="38" t="s">
        <v>68</v>
      </c>
      <c r="I330" s="40" t="str">
        <f t="shared" si="128"/>
        <v>Russia-OTA</v>
      </c>
      <c r="J330" s="40" t="str">
        <f t="shared" si="129"/>
        <v/>
      </c>
      <c r="K330" s="40"/>
      <c r="L330" s="41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</row>
    <row r="331" spans="1:42" ht="17.25" customHeight="1" x14ac:dyDescent="0.25">
      <c r="A331" s="44">
        <v>2007</v>
      </c>
      <c r="B331" s="45" t="s">
        <v>66</v>
      </c>
      <c r="C331" s="45" t="s">
        <v>41</v>
      </c>
      <c r="D331" s="45" t="s">
        <v>44</v>
      </c>
      <c r="E331" s="45" t="s">
        <v>67</v>
      </c>
      <c r="F331" s="45" t="s">
        <v>67</v>
      </c>
      <c r="G331" s="46">
        <v>8310000000</v>
      </c>
      <c r="H331" s="45" t="s">
        <v>68</v>
      </c>
      <c r="I331" s="47" t="str">
        <f t="shared" si="128"/>
        <v>Saudi Arabia-Offline</v>
      </c>
      <c r="J331" s="47" t="str">
        <f t="shared" si="129"/>
        <v/>
      </c>
      <c r="K331" s="47"/>
      <c r="L331" s="41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</row>
    <row r="332" spans="1:42" ht="17.25" customHeight="1" x14ac:dyDescent="0.25">
      <c r="A332" s="37">
        <v>2007</v>
      </c>
      <c r="B332" s="38" t="s">
        <v>66</v>
      </c>
      <c r="C332" s="38" t="s">
        <v>41</v>
      </c>
      <c r="D332" s="38" t="s">
        <v>44</v>
      </c>
      <c r="E332" s="38" t="s">
        <v>69</v>
      </c>
      <c r="F332" s="38" t="s">
        <v>70</v>
      </c>
      <c r="G332" s="39">
        <v>673000000</v>
      </c>
      <c r="H332" s="38" t="s">
        <v>68</v>
      </c>
      <c r="I332" s="40" t="str">
        <f t="shared" si="128"/>
        <v>Saudi Arabia-Online Supplier-Direct</v>
      </c>
      <c r="J332" s="40" t="str">
        <f t="shared" si="129"/>
        <v/>
      </c>
      <c r="K332" s="40"/>
      <c r="L332" s="41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</row>
    <row r="333" spans="1:42" ht="17.25" customHeight="1" x14ac:dyDescent="0.25">
      <c r="A333" s="44">
        <v>2007</v>
      </c>
      <c r="B333" s="45" t="s">
        <v>66</v>
      </c>
      <c r="C333" s="45" t="s">
        <v>41</v>
      </c>
      <c r="D333" s="45" t="s">
        <v>44</v>
      </c>
      <c r="E333" s="45" t="s">
        <v>69</v>
      </c>
      <c r="F333" s="45" t="s">
        <v>71</v>
      </c>
      <c r="G333" s="46">
        <v>673000000</v>
      </c>
      <c r="H333" s="45" t="s">
        <v>68</v>
      </c>
      <c r="I333" s="47" t="str">
        <f t="shared" si="128"/>
        <v>Saudi Arabia-OTA</v>
      </c>
      <c r="J333" s="47" t="str">
        <f t="shared" si="129"/>
        <v/>
      </c>
      <c r="K333" s="47"/>
      <c r="L333" s="41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</row>
    <row r="334" spans="1:42" ht="17.25" customHeight="1" x14ac:dyDescent="0.25">
      <c r="A334" s="37">
        <v>2007</v>
      </c>
      <c r="B334" s="38" t="s">
        <v>66</v>
      </c>
      <c r="C334" s="38" t="s">
        <v>27</v>
      </c>
      <c r="D334" s="38" t="s">
        <v>31</v>
      </c>
      <c r="E334" s="38" t="s">
        <v>67</v>
      </c>
      <c r="F334" s="38" t="s">
        <v>67</v>
      </c>
      <c r="G334" s="39">
        <v>12400000000</v>
      </c>
      <c r="H334" s="38" t="s">
        <v>68</v>
      </c>
      <c r="I334" s="40" t="str">
        <f t="shared" si="128"/>
        <v>Scandinavia-Offline</v>
      </c>
      <c r="J334" s="40" t="str">
        <f t="shared" si="129"/>
        <v/>
      </c>
      <c r="K334" s="40"/>
      <c r="L334" s="41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</row>
    <row r="335" spans="1:42" ht="17.25" customHeight="1" x14ac:dyDescent="0.25">
      <c r="A335" s="44">
        <v>2007</v>
      </c>
      <c r="B335" s="45" t="s">
        <v>66</v>
      </c>
      <c r="C335" s="45" t="s">
        <v>27</v>
      </c>
      <c r="D335" s="45" t="s">
        <v>31</v>
      </c>
      <c r="E335" s="45" t="s">
        <v>69</v>
      </c>
      <c r="F335" s="45" t="s">
        <v>70</v>
      </c>
      <c r="G335" s="46">
        <v>2530000000</v>
      </c>
      <c r="H335" s="45" t="s">
        <v>68</v>
      </c>
      <c r="I335" s="47" t="str">
        <f t="shared" si="128"/>
        <v>Scandinavia-Online Supplier-Direct</v>
      </c>
      <c r="J335" s="47" t="str">
        <f t="shared" si="129"/>
        <v/>
      </c>
      <c r="K335" s="47"/>
      <c r="L335" s="41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</row>
    <row r="336" spans="1:42" ht="17.25" customHeight="1" x14ac:dyDescent="0.25">
      <c r="A336" s="37">
        <v>2007</v>
      </c>
      <c r="B336" s="38" t="s">
        <v>66</v>
      </c>
      <c r="C336" s="38" t="s">
        <v>27</v>
      </c>
      <c r="D336" s="38" t="s">
        <v>31</v>
      </c>
      <c r="E336" s="38" t="s">
        <v>69</v>
      </c>
      <c r="F336" s="38" t="s">
        <v>71</v>
      </c>
      <c r="G336" s="39">
        <v>2530000000</v>
      </c>
      <c r="H336" s="38" t="s">
        <v>68</v>
      </c>
      <c r="I336" s="40" t="str">
        <f t="shared" si="128"/>
        <v>Scandinavia-OTA</v>
      </c>
      <c r="J336" s="40" t="str">
        <f t="shared" si="129"/>
        <v/>
      </c>
      <c r="K336" s="40"/>
      <c r="L336" s="41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</row>
    <row r="337" spans="1:42" ht="17.25" customHeight="1" x14ac:dyDescent="0.25">
      <c r="A337" s="44">
        <v>2007</v>
      </c>
      <c r="B337" s="45" t="s">
        <v>66</v>
      </c>
      <c r="C337" s="45" t="s">
        <v>4</v>
      </c>
      <c r="D337" s="45" t="s">
        <v>12</v>
      </c>
      <c r="E337" s="45" t="s">
        <v>67</v>
      </c>
      <c r="F337" s="45" t="s">
        <v>67</v>
      </c>
      <c r="G337" s="46">
        <v>5040000000</v>
      </c>
      <c r="H337" s="45" t="s">
        <v>68</v>
      </c>
      <c r="I337" s="47" t="str">
        <f t="shared" si="128"/>
        <v>Singapore-Offline</v>
      </c>
      <c r="J337" s="47" t="str">
        <f t="shared" si="129"/>
        <v/>
      </c>
      <c r="K337" s="47"/>
      <c r="L337" s="41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</row>
    <row r="338" spans="1:42" ht="17.25" customHeight="1" x14ac:dyDescent="0.25">
      <c r="A338" s="37">
        <v>2007</v>
      </c>
      <c r="B338" s="38" t="s">
        <v>66</v>
      </c>
      <c r="C338" s="38" t="s">
        <v>4</v>
      </c>
      <c r="D338" s="38" t="s">
        <v>12</v>
      </c>
      <c r="E338" s="38" t="s">
        <v>69</v>
      </c>
      <c r="F338" s="38" t="s">
        <v>70</v>
      </c>
      <c r="G338" s="39">
        <v>258000000</v>
      </c>
      <c r="H338" s="38" t="s">
        <v>68</v>
      </c>
      <c r="I338" s="40" t="str">
        <f t="shared" si="128"/>
        <v>Singapore-Online Supplier-Direct</v>
      </c>
      <c r="J338" s="40" t="str">
        <f t="shared" si="129"/>
        <v/>
      </c>
      <c r="K338" s="40"/>
      <c r="L338" s="41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</row>
    <row r="339" spans="1:42" ht="17.25" customHeight="1" x14ac:dyDescent="0.25">
      <c r="A339" s="44">
        <v>2007</v>
      </c>
      <c r="B339" s="45" t="s">
        <v>66</v>
      </c>
      <c r="C339" s="45" t="s">
        <v>4</v>
      </c>
      <c r="D339" s="45" t="s">
        <v>12</v>
      </c>
      <c r="E339" s="45" t="s">
        <v>69</v>
      </c>
      <c r="F339" s="45" t="s">
        <v>71</v>
      </c>
      <c r="G339" s="46">
        <v>258000000</v>
      </c>
      <c r="H339" s="45" t="s">
        <v>68</v>
      </c>
      <c r="I339" s="47" t="str">
        <f t="shared" si="128"/>
        <v>Singapore-OTA</v>
      </c>
      <c r="J339" s="47" t="str">
        <f t="shared" si="129"/>
        <v/>
      </c>
      <c r="K339" s="47"/>
      <c r="L339" s="41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</row>
    <row r="340" spans="1:42" ht="17.25" customHeight="1" x14ac:dyDescent="0.25">
      <c r="A340" s="37">
        <v>2007</v>
      </c>
      <c r="B340" s="38" t="s">
        <v>66</v>
      </c>
      <c r="C340" s="38" t="s">
        <v>4</v>
      </c>
      <c r="D340" s="38" t="s">
        <v>13</v>
      </c>
      <c r="E340" s="38" t="s">
        <v>67</v>
      </c>
      <c r="F340" s="38" t="s">
        <v>67</v>
      </c>
      <c r="G340" s="39">
        <v>11500000000</v>
      </c>
      <c r="H340" s="38" t="s">
        <v>68</v>
      </c>
      <c r="I340" s="40" t="str">
        <f t="shared" si="128"/>
        <v>South Korea-Offline</v>
      </c>
      <c r="J340" s="40" t="str">
        <f t="shared" si="129"/>
        <v/>
      </c>
      <c r="K340" s="40"/>
      <c r="L340" s="41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</row>
    <row r="341" spans="1:42" ht="17.25" customHeight="1" x14ac:dyDescent="0.25">
      <c r="A341" s="44">
        <v>2007</v>
      </c>
      <c r="B341" s="45" t="s">
        <v>66</v>
      </c>
      <c r="C341" s="45" t="s">
        <v>4</v>
      </c>
      <c r="D341" s="45" t="s">
        <v>13</v>
      </c>
      <c r="E341" s="45" t="s">
        <v>69</v>
      </c>
      <c r="F341" s="45" t="s">
        <v>70</v>
      </c>
      <c r="G341" s="46">
        <v>132000000</v>
      </c>
      <c r="H341" s="45" t="s">
        <v>68</v>
      </c>
      <c r="I341" s="47" t="str">
        <f t="shared" si="128"/>
        <v>South Korea-Online Supplier-Direct</v>
      </c>
      <c r="J341" s="47" t="str">
        <f t="shared" si="129"/>
        <v/>
      </c>
      <c r="K341" s="47"/>
      <c r="L341" s="41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</row>
    <row r="342" spans="1:42" ht="17.25" customHeight="1" x14ac:dyDescent="0.25">
      <c r="A342" s="37">
        <v>2007</v>
      </c>
      <c r="B342" s="38" t="s">
        <v>66</v>
      </c>
      <c r="C342" s="38" t="s">
        <v>4</v>
      </c>
      <c r="D342" s="38" t="s">
        <v>13</v>
      </c>
      <c r="E342" s="38" t="s">
        <v>69</v>
      </c>
      <c r="F342" s="38" t="s">
        <v>71</v>
      </c>
      <c r="G342" s="39">
        <v>132000000</v>
      </c>
      <c r="H342" s="38" t="s">
        <v>68</v>
      </c>
      <c r="I342" s="40" t="str">
        <f t="shared" si="128"/>
        <v>South Korea-OTA</v>
      </c>
      <c r="J342" s="40" t="str">
        <f t="shared" si="129"/>
        <v/>
      </c>
      <c r="K342" s="40"/>
      <c r="L342" s="41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</row>
    <row r="343" spans="1:42" ht="17.25" customHeight="1" x14ac:dyDescent="0.25">
      <c r="A343" s="44">
        <v>2007</v>
      </c>
      <c r="B343" s="45" t="s">
        <v>66</v>
      </c>
      <c r="C343" s="45" t="s">
        <v>27</v>
      </c>
      <c r="D343" s="45" t="s">
        <v>32</v>
      </c>
      <c r="E343" s="45" t="s">
        <v>67</v>
      </c>
      <c r="F343" s="45" t="s">
        <v>67</v>
      </c>
      <c r="G343" s="46">
        <v>21600000000</v>
      </c>
      <c r="H343" s="45" t="s">
        <v>68</v>
      </c>
      <c r="I343" s="47" t="str">
        <f t="shared" si="128"/>
        <v>Spain-Offline</v>
      </c>
      <c r="J343" s="47" t="str">
        <f t="shared" si="129"/>
        <v/>
      </c>
      <c r="K343" s="47"/>
      <c r="L343" s="41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</row>
    <row r="344" spans="1:42" ht="17.25" customHeight="1" x14ac:dyDescent="0.25">
      <c r="A344" s="37">
        <v>2007</v>
      </c>
      <c r="B344" s="38" t="s">
        <v>66</v>
      </c>
      <c r="C344" s="38" t="s">
        <v>27</v>
      </c>
      <c r="D344" s="38" t="s">
        <v>32</v>
      </c>
      <c r="E344" s="38" t="s">
        <v>69</v>
      </c>
      <c r="F344" s="38" t="s">
        <v>70</v>
      </c>
      <c r="G344" s="39">
        <v>3510000000</v>
      </c>
      <c r="H344" s="38" t="s">
        <v>68</v>
      </c>
      <c r="I344" s="40" t="str">
        <f t="shared" si="128"/>
        <v>Spain-Online Supplier-Direct</v>
      </c>
      <c r="J344" s="40" t="str">
        <f t="shared" si="129"/>
        <v/>
      </c>
      <c r="K344" s="40"/>
      <c r="L344" s="41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</row>
    <row r="345" spans="1:42" ht="17.25" customHeight="1" x14ac:dyDescent="0.25">
      <c r="A345" s="44">
        <v>2007</v>
      </c>
      <c r="B345" s="45" t="s">
        <v>66</v>
      </c>
      <c r="C345" s="45" t="s">
        <v>27</v>
      </c>
      <c r="D345" s="45" t="s">
        <v>32</v>
      </c>
      <c r="E345" s="45" t="s">
        <v>69</v>
      </c>
      <c r="F345" s="45" t="s">
        <v>71</v>
      </c>
      <c r="G345" s="46">
        <v>3510000000</v>
      </c>
      <c r="H345" s="45" t="s">
        <v>68</v>
      </c>
      <c r="I345" s="47" t="str">
        <f t="shared" si="128"/>
        <v>Spain-OTA</v>
      </c>
      <c r="J345" s="47" t="str">
        <f t="shared" si="129"/>
        <v/>
      </c>
      <c r="K345" s="47"/>
      <c r="L345" s="41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</row>
    <row r="346" spans="1:42" ht="17.25" customHeight="1" x14ac:dyDescent="0.25">
      <c r="A346" s="37">
        <v>2007</v>
      </c>
      <c r="B346" s="38" t="s">
        <v>66</v>
      </c>
      <c r="C346" s="38" t="s">
        <v>4</v>
      </c>
      <c r="D346" s="38" t="s">
        <v>14</v>
      </c>
      <c r="E346" s="38" t="s">
        <v>67</v>
      </c>
      <c r="F346" s="38" t="s">
        <v>67</v>
      </c>
      <c r="G346" s="39">
        <v>4620000000</v>
      </c>
      <c r="H346" s="38" t="s">
        <v>68</v>
      </c>
      <c r="I346" s="40" t="str">
        <f t="shared" si="128"/>
        <v>Taiwan-Offline</v>
      </c>
      <c r="J346" s="40" t="str">
        <f t="shared" si="129"/>
        <v/>
      </c>
      <c r="K346" s="40"/>
      <c r="L346" s="41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</row>
    <row r="347" spans="1:42" ht="17.25" customHeight="1" x14ac:dyDescent="0.25">
      <c r="A347" s="44">
        <v>2007</v>
      </c>
      <c r="B347" s="45" t="s">
        <v>66</v>
      </c>
      <c r="C347" s="45" t="s">
        <v>4</v>
      </c>
      <c r="D347" s="45" t="s">
        <v>14</v>
      </c>
      <c r="E347" s="45" t="s">
        <v>69</v>
      </c>
      <c r="F347" s="45" t="s">
        <v>70</v>
      </c>
      <c r="G347" s="46">
        <v>111000000</v>
      </c>
      <c r="H347" s="45" t="s">
        <v>68</v>
      </c>
      <c r="I347" s="47" t="str">
        <f t="shared" si="128"/>
        <v>Taiwan-Online Supplier-Direct</v>
      </c>
      <c r="J347" s="47" t="str">
        <f t="shared" si="129"/>
        <v/>
      </c>
      <c r="K347" s="47"/>
      <c r="L347" s="41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</row>
    <row r="348" spans="1:42" ht="17.25" customHeight="1" x14ac:dyDescent="0.25">
      <c r="A348" s="37">
        <v>2007</v>
      </c>
      <c r="B348" s="38" t="s">
        <v>66</v>
      </c>
      <c r="C348" s="38" t="s">
        <v>4</v>
      </c>
      <c r="D348" s="38" t="s">
        <v>14</v>
      </c>
      <c r="E348" s="38" t="s">
        <v>69</v>
      </c>
      <c r="F348" s="38" t="s">
        <v>71</v>
      </c>
      <c r="G348" s="39">
        <v>111000000</v>
      </c>
      <c r="H348" s="38" t="s">
        <v>68</v>
      </c>
      <c r="I348" s="40" t="str">
        <f t="shared" si="128"/>
        <v>Taiwan-OTA</v>
      </c>
      <c r="J348" s="40" t="str">
        <f t="shared" si="129"/>
        <v/>
      </c>
      <c r="K348" s="40"/>
      <c r="L348" s="41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</row>
    <row r="349" spans="1:42" ht="17.25" customHeight="1" x14ac:dyDescent="0.25">
      <c r="A349" s="44">
        <v>2007</v>
      </c>
      <c r="B349" s="45" t="s">
        <v>66</v>
      </c>
      <c r="C349" s="45" t="s">
        <v>4</v>
      </c>
      <c r="D349" s="45" t="s">
        <v>15</v>
      </c>
      <c r="E349" s="45" t="s">
        <v>67</v>
      </c>
      <c r="F349" s="45" t="s">
        <v>67</v>
      </c>
      <c r="G349" s="46">
        <v>8010000000</v>
      </c>
      <c r="H349" s="45" t="s">
        <v>68</v>
      </c>
      <c r="I349" s="47" t="str">
        <f t="shared" si="128"/>
        <v>Thailand-Offline</v>
      </c>
      <c r="J349" s="47" t="str">
        <f t="shared" si="129"/>
        <v/>
      </c>
      <c r="K349" s="47"/>
      <c r="L349" s="41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</row>
    <row r="350" spans="1:42" ht="17.25" customHeight="1" x14ac:dyDescent="0.25">
      <c r="A350" s="37">
        <v>2007</v>
      </c>
      <c r="B350" s="38" t="s">
        <v>66</v>
      </c>
      <c r="C350" s="38" t="s">
        <v>4</v>
      </c>
      <c r="D350" s="38" t="s">
        <v>15</v>
      </c>
      <c r="E350" s="38" t="s">
        <v>69</v>
      </c>
      <c r="F350" s="38" t="s">
        <v>70</v>
      </c>
      <c r="G350" s="39">
        <v>545000000</v>
      </c>
      <c r="H350" s="38" t="s">
        <v>68</v>
      </c>
      <c r="I350" s="40" t="str">
        <f t="shared" si="128"/>
        <v>Thailand-Online Supplier-Direct</v>
      </c>
      <c r="J350" s="40" t="str">
        <f t="shared" si="129"/>
        <v/>
      </c>
      <c r="K350" s="40"/>
      <c r="L350" s="41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</row>
    <row r="351" spans="1:42" ht="17.25" customHeight="1" x14ac:dyDescent="0.25">
      <c r="A351" s="44">
        <v>2007</v>
      </c>
      <c r="B351" s="45" t="s">
        <v>66</v>
      </c>
      <c r="C351" s="45" t="s">
        <v>4</v>
      </c>
      <c r="D351" s="45" t="s">
        <v>15</v>
      </c>
      <c r="E351" s="45" t="s">
        <v>69</v>
      </c>
      <c r="F351" s="45" t="s">
        <v>71</v>
      </c>
      <c r="G351" s="46">
        <v>545000000</v>
      </c>
      <c r="H351" s="45" t="s">
        <v>68</v>
      </c>
      <c r="I351" s="47" t="str">
        <f t="shared" si="128"/>
        <v>Thailand-OTA</v>
      </c>
      <c r="J351" s="47" t="str">
        <f t="shared" si="129"/>
        <v/>
      </c>
      <c r="K351" s="47"/>
      <c r="L351" s="41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</row>
    <row r="352" spans="1:42" ht="17.25" customHeight="1" x14ac:dyDescent="0.25">
      <c r="A352" s="37">
        <v>2007</v>
      </c>
      <c r="B352" s="38" t="s">
        <v>66</v>
      </c>
      <c r="C352" s="38" t="s">
        <v>41</v>
      </c>
      <c r="D352" s="38" t="s">
        <v>45</v>
      </c>
      <c r="E352" s="38" t="s">
        <v>67</v>
      </c>
      <c r="F352" s="38" t="s">
        <v>67</v>
      </c>
      <c r="G352" s="39">
        <v>19100000000</v>
      </c>
      <c r="H352" s="38" t="s">
        <v>68</v>
      </c>
      <c r="I352" s="40" t="str">
        <f t="shared" si="128"/>
        <v>U.A.E.-Offline</v>
      </c>
      <c r="J352" s="40" t="str">
        <f t="shared" si="129"/>
        <v/>
      </c>
      <c r="K352" s="40"/>
      <c r="L352" s="41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</row>
    <row r="353" spans="1:42" ht="17.25" customHeight="1" x14ac:dyDescent="0.25">
      <c r="A353" s="44">
        <v>2007</v>
      </c>
      <c r="B353" s="45" t="s">
        <v>66</v>
      </c>
      <c r="C353" s="45" t="s">
        <v>41</v>
      </c>
      <c r="D353" s="45" t="s">
        <v>45</v>
      </c>
      <c r="E353" s="45" t="s">
        <v>69</v>
      </c>
      <c r="F353" s="45" t="s">
        <v>70</v>
      </c>
      <c r="G353" s="46">
        <v>1740000000</v>
      </c>
      <c r="H353" s="45" t="s">
        <v>68</v>
      </c>
      <c r="I353" s="47" t="str">
        <f t="shared" si="128"/>
        <v>U.A.E.-Online Supplier-Direct</v>
      </c>
      <c r="J353" s="47" t="str">
        <f t="shared" si="129"/>
        <v/>
      </c>
      <c r="K353" s="47"/>
      <c r="L353" s="41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</row>
    <row r="354" spans="1:42" ht="17.25" customHeight="1" x14ac:dyDescent="0.25">
      <c r="A354" s="37">
        <v>2007</v>
      </c>
      <c r="B354" s="38" t="s">
        <v>66</v>
      </c>
      <c r="C354" s="38" t="s">
        <v>41</v>
      </c>
      <c r="D354" s="38" t="s">
        <v>45</v>
      </c>
      <c r="E354" s="38" t="s">
        <v>69</v>
      </c>
      <c r="F354" s="38" t="s">
        <v>71</v>
      </c>
      <c r="G354" s="39">
        <v>1740000000</v>
      </c>
      <c r="H354" s="38" t="s">
        <v>68</v>
      </c>
      <c r="I354" s="40" t="str">
        <f t="shared" si="128"/>
        <v>U.A.E.-OTA</v>
      </c>
      <c r="J354" s="40" t="str">
        <f t="shared" si="129"/>
        <v/>
      </c>
      <c r="K354" s="40"/>
      <c r="L354" s="41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</row>
    <row r="355" spans="1:42" ht="17.25" customHeight="1" x14ac:dyDescent="0.25">
      <c r="A355" s="44">
        <v>2007</v>
      </c>
      <c r="B355" s="45" t="s">
        <v>66</v>
      </c>
      <c r="C355" s="45" t="s">
        <v>27</v>
      </c>
      <c r="D355" s="45" t="s">
        <v>33</v>
      </c>
      <c r="E355" s="45" t="s">
        <v>67</v>
      </c>
      <c r="F355" s="45" t="s">
        <v>67</v>
      </c>
      <c r="G355" s="46">
        <v>48600000000</v>
      </c>
      <c r="H355" s="45" t="s">
        <v>68</v>
      </c>
      <c r="I355" s="47" t="str">
        <f t="shared" si="128"/>
        <v>U.K.-Offline</v>
      </c>
      <c r="J355" s="47" t="str">
        <f t="shared" si="129"/>
        <v/>
      </c>
      <c r="K355" s="47"/>
      <c r="L355" s="41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</row>
    <row r="356" spans="1:42" ht="17.25" customHeight="1" x14ac:dyDescent="0.25">
      <c r="A356" s="37">
        <v>2007</v>
      </c>
      <c r="B356" s="38" t="s">
        <v>66</v>
      </c>
      <c r="C356" s="38" t="s">
        <v>27</v>
      </c>
      <c r="D356" s="38" t="s">
        <v>33</v>
      </c>
      <c r="E356" s="38" t="s">
        <v>69</v>
      </c>
      <c r="F356" s="38" t="s">
        <v>70</v>
      </c>
      <c r="G356" s="39">
        <v>7680000000</v>
      </c>
      <c r="H356" s="38" t="s">
        <v>68</v>
      </c>
      <c r="I356" s="40" t="str">
        <f t="shared" si="128"/>
        <v>U.K.-Online Supplier-Direct</v>
      </c>
      <c r="J356" s="40" t="str">
        <f t="shared" si="129"/>
        <v/>
      </c>
      <c r="K356" s="40"/>
      <c r="L356" s="41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</row>
    <row r="357" spans="1:42" ht="17.25" customHeight="1" x14ac:dyDescent="0.25">
      <c r="A357" s="44">
        <v>2007</v>
      </c>
      <c r="B357" s="45" t="s">
        <v>66</v>
      </c>
      <c r="C357" s="45" t="s">
        <v>27</v>
      </c>
      <c r="D357" s="45" t="s">
        <v>33</v>
      </c>
      <c r="E357" s="45" t="s">
        <v>69</v>
      </c>
      <c r="F357" s="45" t="s">
        <v>71</v>
      </c>
      <c r="G357" s="46">
        <v>7680000000</v>
      </c>
      <c r="H357" s="45" t="s">
        <v>68</v>
      </c>
      <c r="I357" s="47" t="str">
        <f t="shared" si="128"/>
        <v>U.K.-OTA</v>
      </c>
      <c r="J357" s="47" t="str">
        <f t="shared" si="129"/>
        <v/>
      </c>
      <c r="K357" s="47"/>
      <c r="L357" s="41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</row>
    <row r="358" spans="1:42" ht="17.25" customHeight="1" x14ac:dyDescent="0.25">
      <c r="A358" s="37">
        <v>2007</v>
      </c>
      <c r="B358" s="38" t="s">
        <v>66</v>
      </c>
      <c r="C358" s="38" t="s">
        <v>47</v>
      </c>
      <c r="D358" s="38" t="s">
        <v>48</v>
      </c>
      <c r="E358" s="38" t="s">
        <v>72</v>
      </c>
      <c r="F358" s="38" t="s">
        <v>73</v>
      </c>
      <c r="G358" s="39">
        <v>74000000000</v>
      </c>
      <c r="H358" s="38" t="s">
        <v>68</v>
      </c>
      <c r="I358" s="40" t="str">
        <f t="shared" si="128"/>
        <v>U.S.-Central Reservation</v>
      </c>
      <c r="J358" s="40" t="str">
        <f t="shared" si="129"/>
        <v/>
      </c>
      <c r="K358" s="40"/>
      <c r="L358" s="41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</row>
    <row r="359" spans="1:42" ht="17.25" customHeight="1" x14ac:dyDescent="0.25">
      <c r="A359" s="44">
        <v>2007</v>
      </c>
      <c r="B359" s="45" t="s">
        <v>66</v>
      </c>
      <c r="C359" s="45" t="s">
        <v>47</v>
      </c>
      <c r="D359" s="45" t="s">
        <v>48</v>
      </c>
      <c r="E359" s="45" t="s">
        <v>67</v>
      </c>
      <c r="F359" s="45" t="s">
        <v>74</v>
      </c>
      <c r="G359" s="46">
        <v>73800000000</v>
      </c>
      <c r="H359" s="45" t="s">
        <v>68</v>
      </c>
      <c r="I359" s="47" t="str">
        <f t="shared" si="128"/>
        <v>U.S.-Travel Agency/TMC</v>
      </c>
      <c r="J359" s="47" t="str">
        <f t="shared" si="129"/>
        <v/>
      </c>
      <c r="K359" s="47"/>
      <c r="L359" s="41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</row>
    <row r="360" spans="1:42" ht="17.25" customHeight="1" x14ac:dyDescent="0.25">
      <c r="A360" s="37">
        <v>2007</v>
      </c>
      <c r="B360" s="38" t="s">
        <v>66</v>
      </c>
      <c r="C360" s="38" t="s">
        <v>47</v>
      </c>
      <c r="D360" s="38" t="s">
        <v>48</v>
      </c>
      <c r="E360" s="38" t="s">
        <v>69</v>
      </c>
      <c r="F360" s="38" t="s">
        <v>70</v>
      </c>
      <c r="G360" s="39">
        <v>43500000000</v>
      </c>
      <c r="H360" s="38" t="s">
        <v>68</v>
      </c>
      <c r="I360" s="40" t="str">
        <f t="shared" si="128"/>
        <v>U.S.-Online Supplier-Direct</v>
      </c>
      <c r="J360" s="40" t="str">
        <f t="shared" si="129"/>
        <v/>
      </c>
      <c r="K360" s="40"/>
      <c r="L360" s="41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</row>
    <row r="361" spans="1:42" ht="17.25" customHeight="1" x14ac:dyDescent="0.25">
      <c r="A361" s="44">
        <v>2007</v>
      </c>
      <c r="B361" s="45" t="s">
        <v>66</v>
      </c>
      <c r="C361" s="45" t="s">
        <v>47</v>
      </c>
      <c r="D361" s="45" t="s">
        <v>48</v>
      </c>
      <c r="E361" s="45" t="s">
        <v>69</v>
      </c>
      <c r="F361" s="45" t="s">
        <v>71</v>
      </c>
      <c r="G361" s="46">
        <v>43500000000</v>
      </c>
      <c r="H361" s="45" t="s">
        <v>68</v>
      </c>
      <c r="I361" s="47" t="str">
        <f t="shared" si="128"/>
        <v>U.S.-OTA</v>
      </c>
      <c r="J361" s="47" t="str">
        <f t="shared" si="129"/>
        <v/>
      </c>
      <c r="K361" s="47"/>
      <c r="L361" s="41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</row>
    <row r="362" spans="1:42" ht="17.25" customHeight="1" x14ac:dyDescent="0.25">
      <c r="A362" s="37">
        <v>2007</v>
      </c>
      <c r="B362" s="38" t="s">
        <v>66</v>
      </c>
      <c r="C362" s="38" t="s">
        <v>17</v>
      </c>
      <c r="D362" s="38" t="s">
        <v>25</v>
      </c>
      <c r="E362" s="38" t="s">
        <v>67</v>
      </c>
      <c r="F362" s="38" t="s">
        <v>67</v>
      </c>
      <c r="G362" s="39">
        <v>3880000000</v>
      </c>
      <c r="H362" s="38" t="s">
        <v>68</v>
      </c>
      <c r="I362" s="40" t="str">
        <f t="shared" si="128"/>
        <v>Ukraine-Offline</v>
      </c>
      <c r="J362" s="40" t="str">
        <f t="shared" si="129"/>
        <v/>
      </c>
      <c r="K362" s="40"/>
      <c r="L362" s="41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</row>
    <row r="363" spans="1:42" ht="17.25" customHeight="1" x14ac:dyDescent="0.25">
      <c r="A363" s="44">
        <v>2007</v>
      </c>
      <c r="B363" s="45" t="s">
        <v>66</v>
      </c>
      <c r="C363" s="45" t="s">
        <v>17</v>
      </c>
      <c r="D363" s="45" t="s">
        <v>25</v>
      </c>
      <c r="E363" s="45" t="s">
        <v>69</v>
      </c>
      <c r="F363" s="45" t="s">
        <v>70</v>
      </c>
      <c r="G363" s="46">
        <v>198000000</v>
      </c>
      <c r="H363" s="45" t="s">
        <v>68</v>
      </c>
      <c r="I363" s="47" t="str">
        <f t="shared" si="128"/>
        <v>Ukraine-Online Supplier-Direct</v>
      </c>
      <c r="J363" s="47" t="str">
        <f t="shared" si="129"/>
        <v/>
      </c>
      <c r="K363" s="47"/>
      <c r="L363" s="41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</row>
    <row r="364" spans="1:42" ht="17.25" customHeight="1" x14ac:dyDescent="0.25">
      <c r="A364" s="37">
        <v>2007</v>
      </c>
      <c r="B364" s="38" t="s">
        <v>66</v>
      </c>
      <c r="C364" s="38" t="s">
        <v>17</v>
      </c>
      <c r="D364" s="38" t="s">
        <v>25</v>
      </c>
      <c r="E364" s="38" t="s">
        <v>69</v>
      </c>
      <c r="F364" s="38" t="s">
        <v>71</v>
      </c>
      <c r="G364" s="39">
        <v>198000000</v>
      </c>
      <c r="H364" s="38" t="s">
        <v>68</v>
      </c>
      <c r="I364" s="40" t="str">
        <f t="shared" si="128"/>
        <v>Ukraine-OTA</v>
      </c>
      <c r="J364" s="40" t="str">
        <f t="shared" si="129"/>
        <v/>
      </c>
      <c r="K364" s="40"/>
      <c r="L364" s="41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</row>
    <row r="365" spans="1:42" ht="17.25" customHeight="1" x14ac:dyDescent="0.25">
      <c r="A365" s="44">
        <v>2008</v>
      </c>
      <c r="B365" s="45" t="s">
        <v>66</v>
      </c>
      <c r="C365" s="45" t="s">
        <v>35</v>
      </c>
      <c r="D365" s="45" t="s">
        <v>34</v>
      </c>
      <c r="E365" s="45" t="s">
        <v>67</v>
      </c>
      <c r="F365" s="45" t="s">
        <v>67</v>
      </c>
      <c r="G365" s="46">
        <v>9470000000</v>
      </c>
      <c r="H365" s="45" t="s">
        <v>68</v>
      </c>
      <c r="I365" s="47" t="str">
        <f t="shared" si="128"/>
        <v>Argentina-Offline</v>
      </c>
      <c r="J365" s="47" t="str">
        <f t="shared" si="129"/>
        <v/>
      </c>
      <c r="K365" s="47"/>
      <c r="L365" s="41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</row>
    <row r="366" spans="1:42" ht="17.25" customHeight="1" x14ac:dyDescent="0.25">
      <c r="A366" s="37">
        <v>2008</v>
      </c>
      <c r="B366" s="38" t="s">
        <v>66</v>
      </c>
      <c r="C366" s="38" t="s">
        <v>35</v>
      </c>
      <c r="D366" s="38" t="s">
        <v>34</v>
      </c>
      <c r="E366" s="38" t="s">
        <v>69</v>
      </c>
      <c r="F366" s="38" t="s">
        <v>70</v>
      </c>
      <c r="G366" s="39">
        <v>206000000</v>
      </c>
      <c r="H366" s="38" t="s">
        <v>68</v>
      </c>
      <c r="I366" s="40" t="str">
        <f t="shared" si="128"/>
        <v>Argentina-Online Supplier-Direct</v>
      </c>
      <c r="J366" s="40" t="str">
        <f t="shared" si="129"/>
        <v/>
      </c>
      <c r="K366" s="40"/>
      <c r="L366" s="41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</row>
    <row r="367" spans="1:42" ht="17.25" customHeight="1" x14ac:dyDescent="0.25">
      <c r="A367" s="44">
        <v>2008</v>
      </c>
      <c r="B367" s="45" t="s">
        <v>66</v>
      </c>
      <c r="C367" s="45" t="s">
        <v>35</v>
      </c>
      <c r="D367" s="45" t="s">
        <v>34</v>
      </c>
      <c r="E367" s="45" t="s">
        <v>69</v>
      </c>
      <c r="F367" s="45" t="s">
        <v>71</v>
      </c>
      <c r="G367" s="46">
        <v>241000000</v>
      </c>
      <c r="H367" s="45" t="s">
        <v>68</v>
      </c>
      <c r="I367" s="47" t="str">
        <f t="shared" si="128"/>
        <v>Argentina-OTA</v>
      </c>
      <c r="J367" s="47" t="str">
        <f t="shared" si="129"/>
        <v/>
      </c>
      <c r="K367" s="47"/>
      <c r="L367" s="41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</row>
    <row r="368" spans="1:42" ht="17.25" customHeight="1" x14ac:dyDescent="0.25">
      <c r="A368" s="37">
        <v>2008</v>
      </c>
      <c r="B368" s="38" t="s">
        <v>66</v>
      </c>
      <c r="C368" s="38" t="s">
        <v>4</v>
      </c>
      <c r="D368" s="38" t="s">
        <v>3</v>
      </c>
      <c r="E368" s="38" t="s">
        <v>67</v>
      </c>
      <c r="F368" s="38" t="s">
        <v>67</v>
      </c>
      <c r="G368" s="39">
        <v>17600000000</v>
      </c>
      <c r="H368" s="38" t="s">
        <v>68</v>
      </c>
      <c r="I368" s="40" t="str">
        <f t="shared" si="128"/>
        <v>Australia-New Zealand-Offline</v>
      </c>
      <c r="J368" s="40" t="str">
        <f t="shared" si="129"/>
        <v/>
      </c>
      <c r="K368" s="40"/>
      <c r="L368" s="41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</row>
    <row r="369" spans="1:42" ht="17.25" customHeight="1" x14ac:dyDescent="0.25">
      <c r="A369" s="44">
        <v>2008</v>
      </c>
      <c r="B369" s="45" t="s">
        <v>66</v>
      </c>
      <c r="C369" s="45" t="s">
        <v>4</v>
      </c>
      <c r="D369" s="45" t="s">
        <v>3</v>
      </c>
      <c r="E369" s="45" t="s">
        <v>69</v>
      </c>
      <c r="F369" s="45" t="s">
        <v>70</v>
      </c>
      <c r="G369" s="46">
        <v>6840000000</v>
      </c>
      <c r="H369" s="45" t="s">
        <v>68</v>
      </c>
      <c r="I369" s="47" t="str">
        <f t="shared" si="128"/>
        <v>Australia-New Zealand-Online Supplier-Direct</v>
      </c>
      <c r="J369" s="47" t="str">
        <f t="shared" si="129"/>
        <v/>
      </c>
      <c r="K369" s="47"/>
      <c r="L369" s="41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</row>
    <row r="370" spans="1:42" ht="17.25" customHeight="1" x14ac:dyDescent="0.25">
      <c r="A370" s="37">
        <v>2008</v>
      </c>
      <c r="B370" s="38" t="s">
        <v>66</v>
      </c>
      <c r="C370" s="38" t="s">
        <v>4</v>
      </c>
      <c r="D370" s="38" t="s">
        <v>3</v>
      </c>
      <c r="E370" s="38" t="s">
        <v>69</v>
      </c>
      <c r="F370" s="38" t="s">
        <v>71</v>
      </c>
      <c r="G370" s="39">
        <v>1440000000</v>
      </c>
      <c r="H370" s="38" t="s">
        <v>68</v>
      </c>
      <c r="I370" s="40" t="str">
        <f t="shared" si="128"/>
        <v>Australia-New Zealand-OTA</v>
      </c>
      <c r="J370" s="40" t="str">
        <f t="shared" si="129"/>
        <v/>
      </c>
      <c r="K370" s="40"/>
      <c r="L370" s="41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</row>
    <row r="371" spans="1:42" ht="17.25" customHeight="1" x14ac:dyDescent="0.25">
      <c r="A371" s="44">
        <v>2008</v>
      </c>
      <c r="B371" s="45" t="s">
        <v>66</v>
      </c>
      <c r="C371" s="45" t="s">
        <v>35</v>
      </c>
      <c r="D371" s="45" t="s">
        <v>36</v>
      </c>
      <c r="E371" s="45" t="s">
        <v>67</v>
      </c>
      <c r="F371" s="45" t="s">
        <v>67</v>
      </c>
      <c r="G371" s="46">
        <v>37000000000</v>
      </c>
      <c r="H371" s="45" t="s">
        <v>68</v>
      </c>
      <c r="I371" s="47" t="str">
        <f t="shared" si="128"/>
        <v>Brazil-Offline</v>
      </c>
      <c r="J371" s="47" t="str">
        <f t="shared" si="129"/>
        <v/>
      </c>
      <c r="K371" s="47"/>
      <c r="L371" s="41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</row>
    <row r="372" spans="1:42" ht="17.25" customHeight="1" x14ac:dyDescent="0.25">
      <c r="A372" s="37">
        <v>2008</v>
      </c>
      <c r="B372" s="38" t="s">
        <v>66</v>
      </c>
      <c r="C372" s="38" t="s">
        <v>35</v>
      </c>
      <c r="D372" s="38" t="s">
        <v>36</v>
      </c>
      <c r="E372" s="38" t="s">
        <v>69</v>
      </c>
      <c r="F372" s="38" t="s">
        <v>70</v>
      </c>
      <c r="G372" s="39">
        <v>1480000000</v>
      </c>
      <c r="H372" s="38" t="s">
        <v>68</v>
      </c>
      <c r="I372" s="40" t="str">
        <f t="shared" si="128"/>
        <v>Brazil-Online Supplier-Direct</v>
      </c>
      <c r="J372" s="40" t="str">
        <f t="shared" si="129"/>
        <v/>
      </c>
      <c r="K372" s="40"/>
      <c r="L372" s="41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</row>
    <row r="373" spans="1:42" ht="17.25" customHeight="1" x14ac:dyDescent="0.25">
      <c r="A373" s="44">
        <v>2008</v>
      </c>
      <c r="B373" s="45" t="s">
        <v>66</v>
      </c>
      <c r="C373" s="45" t="s">
        <v>35</v>
      </c>
      <c r="D373" s="45" t="s">
        <v>36</v>
      </c>
      <c r="E373" s="45" t="s">
        <v>69</v>
      </c>
      <c r="F373" s="45" t="s">
        <v>71</v>
      </c>
      <c r="G373" s="46">
        <v>2720000000</v>
      </c>
      <c r="H373" s="45" t="s">
        <v>68</v>
      </c>
      <c r="I373" s="47" t="str">
        <f t="shared" si="128"/>
        <v>Brazil-OTA</v>
      </c>
      <c r="J373" s="47" t="str">
        <f t="shared" si="129"/>
        <v/>
      </c>
      <c r="K373" s="47"/>
      <c r="L373" s="41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</row>
    <row r="374" spans="1:42" ht="17.25" customHeight="1" x14ac:dyDescent="0.25">
      <c r="A374" s="37">
        <v>2008</v>
      </c>
      <c r="B374" s="38" t="s">
        <v>66</v>
      </c>
      <c r="C374" s="38" t="s">
        <v>17</v>
      </c>
      <c r="D374" s="38" t="s">
        <v>16</v>
      </c>
      <c r="E374" s="38" t="s">
        <v>67</v>
      </c>
      <c r="F374" s="38" t="s">
        <v>67</v>
      </c>
      <c r="G374" s="39">
        <v>1380000000</v>
      </c>
      <c r="H374" s="38" t="s">
        <v>68</v>
      </c>
      <c r="I374" s="40" t="str">
        <f t="shared" si="128"/>
        <v>Bulgaria-Offline</v>
      </c>
      <c r="J374" s="40" t="str">
        <f t="shared" si="129"/>
        <v/>
      </c>
      <c r="K374" s="40"/>
      <c r="L374" s="41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</row>
    <row r="375" spans="1:42" ht="17.25" customHeight="1" x14ac:dyDescent="0.25">
      <c r="A375" s="44">
        <v>2008</v>
      </c>
      <c r="B375" s="45" t="s">
        <v>66</v>
      </c>
      <c r="C375" s="45" t="s">
        <v>17</v>
      </c>
      <c r="D375" s="45" t="s">
        <v>16</v>
      </c>
      <c r="E375" s="45" t="s">
        <v>69</v>
      </c>
      <c r="F375" s="45" t="s">
        <v>70</v>
      </c>
      <c r="G375" s="46">
        <v>86957799</v>
      </c>
      <c r="H375" s="45" t="s">
        <v>68</v>
      </c>
      <c r="I375" s="47" t="str">
        <f t="shared" si="128"/>
        <v>Bulgaria-Online Supplier-Direct</v>
      </c>
      <c r="J375" s="47" t="str">
        <f t="shared" si="129"/>
        <v/>
      </c>
      <c r="K375" s="47"/>
      <c r="L375" s="41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</row>
    <row r="376" spans="1:42" ht="17.25" customHeight="1" x14ac:dyDescent="0.25">
      <c r="A376" s="37">
        <v>2008</v>
      </c>
      <c r="B376" s="38" t="s">
        <v>66</v>
      </c>
      <c r="C376" s="38" t="s">
        <v>17</v>
      </c>
      <c r="D376" s="38" t="s">
        <v>16</v>
      </c>
      <c r="E376" s="38" t="s">
        <v>69</v>
      </c>
      <c r="F376" s="38" t="s">
        <v>71</v>
      </c>
      <c r="G376" s="39">
        <v>17257400</v>
      </c>
      <c r="H376" s="38" t="s">
        <v>68</v>
      </c>
      <c r="I376" s="40" t="str">
        <f t="shared" si="128"/>
        <v>Bulgaria-OTA</v>
      </c>
      <c r="J376" s="40" t="str">
        <f t="shared" si="129"/>
        <v/>
      </c>
      <c r="K376" s="40"/>
      <c r="L376" s="41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</row>
    <row r="377" spans="1:42" ht="17.25" customHeight="1" x14ac:dyDescent="0.25">
      <c r="A377" s="44">
        <v>2008</v>
      </c>
      <c r="B377" s="45" t="s">
        <v>66</v>
      </c>
      <c r="C377" s="45" t="s">
        <v>47</v>
      </c>
      <c r="D377" s="45" t="s">
        <v>46</v>
      </c>
      <c r="E377" s="45" t="s">
        <v>67</v>
      </c>
      <c r="F377" s="45" t="s">
        <v>67</v>
      </c>
      <c r="G377" s="46">
        <v>16800000000</v>
      </c>
      <c r="H377" s="45" t="s">
        <v>68</v>
      </c>
      <c r="I377" s="47" t="str">
        <f t="shared" si="128"/>
        <v>Canada-Offline</v>
      </c>
      <c r="J377" s="47" t="str">
        <f t="shared" si="129"/>
        <v/>
      </c>
      <c r="K377" s="47"/>
      <c r="L377" s="41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</row>
    <row r="378" spans="1:42" ht="17.25" customHeight="1" x14ac:dyDescent="0.25">
      <c r="A378" s="37">
        <v>2008</v>
      </c>
      <c r="B378" s="38" t="s">
        <v>66</v>
      </c>
      <c r="C378" s="38" t="s">
        <v>47</v>
      </c>
      <c r="D378" s="38" t="s">
        <v>46</v>
      </c>
      <c r="E378" s="38" t="s">
        <v>69</v>
      </c>
      <c r="F378" s="38" t="s">
        <v>70</v>
      </c>
      <c r="G378" s="39">
        <v>6810000000</v>
      </c>
      <c r="H378" s="38" t="s">
        <v>68</v>
      </c>
      <c r="I378" s="40" t="str">
        <f t="shared" si="128"/>
        <v>Canada-Online Supplier-Direct</v>
      </c>
      <c r="J378" s="40" t="str">
        <f t="shared" si="129"/>
        <v/>
      </c>
      <c r="K378" s="40"/>
      <c r="L378" s="41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</row>
    <row r="379" spans="1:42" ht="17.25" customHeight="1" x14ac:dyDescent="0.25">
      <c r="A379" s="44">
        <v>2008</v>
      </c>
      <c r="B379" s="45" t="s">
        <v>66</v>
      </c>
      <c r="C379" s="45" t="s">
        <v>47</v>
      </c>
      <c r="D379" s="45" t="s">
        <v>46</v>
      </c>
      <c r="E379" s="45" t="s">
        <v>69</v>
      </c>
      <c r="F379" s="45" t="s">
        <v>71</v>
      </c>
      <c r="G379" s="46">
        <v>2670000000</v>
      </c>
      <c r="H379" s="45" t="s">
        <v>68</v>
      </c>
      <c r="I379" s="47" t="str">
        <f t="shared" si="128"/>
        <v>Canada-OTA</v>
      </c>
      <c r="J379" s="47" t="str">
        <f t="shared" si="129"/>
        <v/>
      </c>
      <c r="K379" s="47"/>
      <c r="L379" s="41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</row>
    <row r="380" spans="1:42" ht="17.25" customHeight="1" x14ac:dyDescent="0.25">
      <c r="A380" s="37">
        <v>2008</v>
      </c>
      <c r="B380" s="38" t="s">
        <v>66</v>
      </c>
      <c r="C380" s="38" t="s">
        <v>35</v>
      </c>
      <c r="D380" s="38" t="s">
        <v>37</v>
      </c>
      <c r="E380" s="38" t="s">
        <v>67</v>
      </c>
      <c r="F380" s="38" t="s">
        <v>67</v>
      </c>
      <c r="G380" s="39">
        <v>3980000000</v>
      </c>
      <c r="H380" s="38" t="s">
        <v>68</v>
      </c>
      <c r="I380" s="40" t="str">
        <f t="shared" si="128"/>
        <v>Chile-Offline</v>
      </c>
      <c r="J380" s="40" t="str">
        <f t="shared" si="129"/>
        <v/>
      </c>
      <c r="K380" s="40"/>
      <c r="L380" s="41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</row>
    <row r="381" spans="1:42" ht="17.25" customHeight="1" x14ac:dyDescent="0.25">
      <c r="A381" s="44">
        <v>2008</v>
      </c>
      <c r="B381" s="45" t="s">
        <v>66</v>
      </c>
      <c r="C381" s="45" t="s">
        <v>35</v>
      </c>
      <c r="D381" s="45" t="s">
        <v>37</v>
      </c>
      <c r="E381" s="45" t="s">
        <v>69</v>
      </c>
      <c r="F381" s="45" t="s">
        <v>70</v>
      </c>
      <c r="G381" s="46">
        <v>634000000</v>
      </c>
      <c r="H381" s="45" t="s">
        <v>68</v>
      </c>
      <c r="I381" s="47" t="str">
        <f t="shared" si="128"/>
        <v>Chile-Online Supplier-Direct</v>
      </c>
      <c r="J381" s="47" t="str">
        <f t="shared" si="129"/>
        <v/>
      </c>
      <c r="K381" s="47"/>
      <c r="L381" s="41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</row>
    <row r="382" spans="1:42" ht="17.25" customHeight="1" x14ac:dyDescent="0.25">
      <c r="A382" s="37">
        <v>2008</v>
      </c>
      <c r="B382" s="38" t="s">
        <v>66</v>
      </c>
      <c r="C382" s="38" t="s">
        <v>35</v>
      </c>
      <c r="D382" s="38" t="s">
        <v>37</v>
      </c>
      <c r="E382" s="38" t="s">
        <v>69</v>
      </c>
      <c r="F382" s="38" t="s">
        <v>71</v>
      </c>
      <c r="G382" s="39">
        <v>179000000</v>
      </c>
      <c r="H382" s="38" t="s">
        <v>68</v>
      </c>
      <c r="I382" s="40" t="str">
        <f t="shared" si="128"/>
        <v>Chile-OTA</v>
      </c>
      <c r="J382" s="40" t="str">
        <f t="shared" si="129"/>
        <v/>
      </c>
      <c r="K382" s="40"/>
      <c r="L382" s="41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</row>
    <row r="383" spans="1:42" ht="17.25" customHeight="1" x14ac:dyDescent="0.25">
      <c r="A383" s="44">
        <v>2008</v>
      </c>
      <c r="B383" s="45" t="s">
        <v>66</v>
      </c>
      <c r="C383" s="45" t="s">
        <v>4</v>
      </c>
      <c r="D383" s="45" t="s">
        <v>5</v>
      </c>
      <c r="E383" s="45" t="s">
        <v>67</v>
      </c>
      <c r="F383" s="45" t="s">
        <v>67</v>
      </c>
      <c r="G383" s="46">
        <v>52100000000</v>
      </c>
      <c r="H383" s="45" t="s">
        <v>68</v>
      </c>
      <c r="I383" s="47" t="str">
        <f t="shared" si="128"/>
        <v>China-Offline</v>
      </c>
      <c r="J383" s="47" t="str">
        <f t="shared" si="129"/>
        <v/>
      </c>
      <c r="K383" s="47"/>
      <c r="L383" s="41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</row>
    <row r="384" spans="1:42" ht="17.25" customHeight="1" x14ac:dyDescent="0.25">
      <c r="A384" s="37">
        <v>2008</v>
      </c>
      <c r="B384" s="38" t="s">
        <v>66</v>
      </c>
      <c r="C384" s="38" t="s">
        <v>4</v>
      </c>
      <c r="D384" s="38" t="s">
        <v>5</v>
      </c>
      <c r="E384" s="38" t="s">
        <v>69</v>
      </c>
      <c r="F384" s="38" t="s">
        <v>70</v>
      </c>
      <c r="G384" s="39">
        <v>1820000000</v>
      </c>
      <c r="H384" s="38" t="s">
        <v>68</v>
      </c>
      <c r="I384" s="40" t="str">
        <f t="shared" si="128"/>
        <v>China-Online Supplier-Direct</v>
      </c>
      <c r="J384" s="40" t="str">
        <f t="shared" si="129"/>
        <v/>
      </c>
      <c r="K384" s="40"/>
      <c r="L384" s="41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</row>
    <row r="385" spans="1:42" ht="17.25" customHeight="1" x14ac:dyDescent="0.25">
      <c r="A385" s="44">
        <v>2008</v>
      </c>
      <c r="B385" s="45" t="s">
        <v>66</v>
      </c>
      <c r="C385" s="45" t="s">
        <v>4</v>
      </c>
      <c r="D385" s="45" t="s">
        <v>5</v>
      </c>
      <c r="E385" s="45" t="s">
        <v>69</v>
      </c>
      <c r="F385" s="45" t="s">
        <v>71</v>
      </c>
      <c r="G385" s="46">
        <v>1690000000</v>
      </c>
      <c r="H385" s="45" t="s">
        <v>68</v>
      </c>
      <c r="I385" s="47" t="str">
        <f t="shared" si="128"/>
        <v>China-OTA</v>
      </c>
      <c r="J385" s="47" t="str">
        <f t="shared" si="129"/>
        <v/>
      </c>
      <c r="K385" s="47"/>
      <c r="L385" s="41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</row>
    <row r="386" spans="1:42" ht="17.25" customHeight="1" x14ac:dyDescent="0.25">
      <c r="A386" s="37">
        <v>2008</v>
      </c>
      <c r="B386" s="38" t="s">
        <v>66</v>
      </c>
      <c r="C386" s="38" t="s">
        <v>35</v>
      </c>
      <c r="D386" s="38" t="s">
        <v>38</v>
      </c>
      <c r="E386" s="38" t="s">
        <v>67</v>
      </c>
      <c r="F386" s="38" t="s">
        <v>67</v>
      </c>
      <c r="G386" s="39">
        <v>8110000000</v>
      </c>
      <c r="H386" s="38" t="s">
        <v>68</v>
      </c>
      <c r="I386" s="40" t="str">
        <f t="shared" si="128"/>
        <v>Colombia-Offline</v>
      </c>
      <c r="J386" s="40" t="str">
        <f t="shared" si="129"/>
        <v/>
      </c>
      <c r="K386" s="40"/>
      <c r="L386" s="41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</row>
    <row r="387" spans="1:42" ht="17.25" customHeight="1" x14ac:dyDescent="0.25">
      <c r="A387" s="44">
        <v>2008</v>
      </c>
      <c r="B387" s="45" t="s">
        <v>66</v>
      </c>
      <c r="C387" s="45" t="s">
        <v>35</v>
      </c>
      <c r="D387" s="45" t="s">
        <v>38</v>
      </c>
      <c r="E387" s="45" t="s">
        <v>69</v>
      </c>
      <c r="F387" s="45" t="s">
        <v>70</v>
      </c>
      <c r="G387" s="46">
        <v>246000000</v>
      </c>
      <c r="H387" s="45" t="s">
        <v>68</v>
      </c>
      <c r="I387" s="47" t="str">
        <f t="shared" si="128"/>
        <v>Colombia-Online Supplier-Direct</v>
      </c>
      <c r="J387" s="47" t="str">
        <f t="shared" si="129"/>
        <v/>
      </c>
      <c r="K387" s="47"/>
      <c r="L387" s="41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</row>
    <row r="388" spans="1:42" ht="17.25" customHeight="1" x14ac:dyDescent="0.25">
      <c r="A388" s="37">
        <v>2008</v>
      </c>
      <c r="B388" s="38" t="s">
        <v>66</v>
      </c>
      <c r="C388" s="38" t="s">
        <v>35</v>
      </c>
      <c r="D388" s="38" t="s">
        <v>38</v>
      </c>
      <c r="E388" s="38" t="s">
        <v>69</v>
      </c>
      <c r="F388" s="38" t="s">
        <v>71</v>
      </c>
      <c r="G388" s="39">
        <v>333000000</v>
      </c>
      <c r="H388" s="38" t="s">
        <v>68</v>
      </c>
      <c r="I388" s="40" t="str">
        <f t="shared" si="128"/>
        <v>Colombia-OTA</v>
      </c>
      <c r="J388" s="40" t="str">
        <f t="shared" si="129"/>
        <v/>
      </c>
      <c r="K388" s="40"/>
      <c r="L388" s="41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</row>
    <row r="389" spans="1:42" ht="17.25" customHeight="1" x14ac:dyDescent="0.25">
      <c r="A389" s="44">
        <v>2008</v>
      </c>
      <c r="B389" s="45" t="s">
        <v>66</v>
      </c>
      <c r="C389" s="45" t="s">
        <v>17</v>
      </c>
      <c r="D389" s="45" t="s">
        <v>18</v>
      </c>
      <c r="E389" s="45" t="s">
        <v>67</v>
      </c>
      <c r="F389" s="45" t="s">
        <v>67</v>
      </c>
      <c r="G389" s="46">
        <v>3050000000</v>
      </c>
      <c r="H389" s="45" t="s">
        <v>68</v>
      </c>
      <c r="I389" s="47" t="str">
        <f t="shared" si="128"/>
        <v>Czech Republic-Offline</v>
      </c>
      <c r="J389" s="47" t="str">
        <f t="shared" si="129"/>
        <v/>
      </c>
      <c r="K389" s="47"/>
      <c r="L389" s="41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</row>
    <row r="390" spans="1:42" ht="17.25" customHeight="1" x14ac:dyDescent="0.25">
      <c r="A390" s="37">
        <v>2008</v>
      </c>
      <c r="B390" s="38" t="s">
        <v>66</v>
      </c>
      <c r="C390" s="38" t="s">
        <v>17</v>
      </c>
      <c r="D390" s="38" t="s">
        <v>18</v>
      </c>
      <c r="E390" s="38" t="s">
        <v>69</v>
      </c>
      <c r="F390" s="38" t="s">
        <v>70</v>
      </c>
      <c r="G390" s="39">
        <v>263000000</v>
      </c>
      <c r="H390" s="38" t="s">
        <v>68</v>
      </c>
      <c r="I390" s="40" t="str">
        <f t="shared" si="128"/>
        <v>Czech Republic-Online Supplier-Direct</v>
      </c>
      <c r="J390" s="40" t="str">
        <f t="shared" si="129"/>
        <v/>
      </c>
      <c r="K390" s="40"/>
      <c r="L390" s="41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</row>
    <row r="391" spans="1:42" ht="17.25" customHeight="1" x14ac:dyDescent="0.25">
      <c r="A391" s="44">
        <v>2008</v>
      </c>
      <c r="B391" s="45" t="s">
        <v>66</v>
      </c>
      <c r="C391" s="45" t="s">
        <v>17</v>
      </c>
      <c r="D391" s="45" t="s">
        <v>18</v>
      </c>
      <c r="E391" s="45" t="s">
        <v>69</v>
      </c>
      <c r="F391" s="45" t="s">
        <v>71</v>
      </c>
      <c r="G391" s="46">
        <v>292000000</v>
      </c>
      <c r="H391" s="45" t="s">
        <v>68</v>
      </c>
      <c r="I391" s="47" t="str">
        <f t="shared" si="128"/>
        <v>Czech Republic-OTA</v>
      </c>
      <c r="J391" s="47" t="str">
        <f t="shared" si="129"/>
        <v/>
      </c>
      <c r="K391" s="47"/>
      <c r="L391" s="41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</row>
    <row r="392" spans="1:42" ht="17.25" customHeight="1" x14ac:dyDescent="0.25">
      <c r="A392" s="37">
        <v>2008</v>
      </c>
      <c r="B392" s="38" t="s">
        <v>66</v>
      </c>
      <c r="C392" s="38" t="s">
        <v>41</v>
      </c>
      <c r="D392" s="38" t="s">
        <v>40</v>
      </c>
      <c r="E392" s="38" t="s">
        <v>67</v>
      </c>
      <c r="F392" s="38" t="s">
        <v>67</v>
      </c>
      <c r="G392" s="39">
        <v>6580000000</v>
      </c>
      <c r="H392" s="38" t="s">
        <v>68</v>
      </c>
      <c r="I392" s="40" t="str">
        <f t="shared" si="128"/>
        <v>Egypt-Offline</v>
      </c>
      <c r="J392" s="40" t="str">
        <f t="shared" si="129"/>
        <v/>
      </c>
      <c r="K392" s="40"/>
      <c r="L392" s="41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</row>
    <row r="393" spans="1:42" ht="17.25" customHeight="1" x14ac:dyDescent="0.25">
      <c r="A393" s="44">
        <v>2008</v>
      </c>
      <c r="B393" s="45" t="s">
        <v>66</v>
      </c>
      <c r="C393" s="45" t="s">
        <v>41</v>
      </c>
      <c r="D393" s="45" t="s">
        <v>40</v>
      </c>
      <c r="E393" s="45" t="s">
        <v>69</v>
      </c>
      <c r="F393" s="45" t="s">
        <v>70</v>
      </c>
      <c r="G393" s="46">
        <v>155000000</v>
      </c>
      <c r="H393" s="45" t="s">
        <v>68</v>
      </c>
      <c r="I393" s="47" t="str">
        <f t="shared" si="128"/>
        <v>Egypt-Online Supplier-Direct</v>
      </c>
      <c r="J393" s="47" t="str">
        <f t="shared" si="129"/>
        <v/>
      </c>
      <c r="K393" s="47"/>
      <c r="L393" s="41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</row>
    <row r="394" spans="1:42" ht="17.25" customHeight="1" x14ac:dyDescent="0.25">
      <c r="A394" s="37">
        <v>2008</v>
      </c>
      <c r="B394" s="38" t="s">
        <v>66</v>
      </c>
      <c r="C394" s="38" t="s">
        <v>41</v>
      </c>
      <c r="D394" s="38" t="s">
        <v>40</v>
      </c>
      <c r="E394" s="38" t="s">
        <v>69</v>
      </c>
      <c r="F394" s="38" t="s">
        <v>71</v>
      </c>
      <c r="G394" s="39">
        <v>233000000</v>
      </c>
      <c r="H394" s="38" t="s">
        <v>68</v>
      </c>
      <c r="I394" s="40" t="str">
        <f t="shared" si="128"/>
        <v>Egypt-OTA</v>
      </c>
      <c r="J394" s="40" t="str">
        <f t="shared" si="129"/>
        <v/>
      </c>
      <c r="K394" s="40"/>
      <c r="L394" s="41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</row>
    <row r="395" spans="1:42" ht="17.25" customHeight="1" x14ac:dyDescent="0.25">
      <c r="A395" s="44">
        <v>2008</v>
      </c>
      <c r="B395" s="45" t="s">
        <v>66</v>
      </c>
      <c r="C395" s="45" t="s">
        <v>27</v>
      </c>
      <c r="D395" s="45" t="s">
        <v>26</v>
      </c>
      <c r="E395" s="45" t="s">
        <v>67</v>
      </c>
      <c r="F395" s="45" t="s">
        <v>67</v>
      </c>
      <c r="G395" s="46">
        <v>40200000000</v>
      </c>
      <c r="H395" s="45" t="s">
        <v>68</v>
      </c>
      <c r="I395" s="47" t="str">
        <f t="shared" si="128"/>
        <v>France-Offline</v>
      </c>
      <c r="J395" s="47" t="str">
        <f t="shared" si="129"/>
        <v/>
      </c>
      <c r="K395" s="47"/>
      <c r="L395" s="41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</row>
    <row r="396" spans="1:42" ht="17.25" customHeight="1" x14ac:dyDescent="0.25">
      <c r="A396" s="37">
        <v>2008</v>
      </c>
      <c r="B396" s="38" t="s">
        <v>66</v>
      </c>
      <c r="C396" s="38" t="s">
        <v>27</v>
      </c>
      <c r="D396" s="38" t="s">
        <v>26</v>
      </c>
      <c r="E396" s="38" t="s">
        <v>69</v>
      </c>
      <c r="F396" s="38" t="s">
        <v>70</v>
      </c>
      <c r="G396" s="39">
        <v>9930000000</v>
      </c>
      <c r="H396" s="38" t="s">
        <v>68</v>
      </c>
      <c r="I396" s="40" t="str">
        <f t="shared" si="128"/>
        <v>France-Online Supplier-Direct</v>
      </c>
      <c r="J396" s="40" t="str">
        <f t="shared" si="129"/>
        <v/>
      </c>
      <c r="K396" s="40"/>
      <c r="L396" s="41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</row>
    <row r="397" spans="1:42" ht="17.25" customHeight="1" x14ac:dyDescent="0.25">
      <c r="A397" s="44">
        <v>2008</v>
      </c>
      <c r="B397" s="45" t="s">
        <v>66</v>
      </c>
      <c r="C397" s="45" t="s">
        <v>27</v>
      </c>
      <c r="D397" s="45" t="s">
        <v>26</v>
      </c>
      <c r="E397" s="45" t="s">
        <v>69</v>
      </c>
      <c r="F397" s="45" t="s">
        <v>71</v>
      </c>
      <c r="G397" s="46">
        <v>6450000000</v>
      </c>
      <c r="H397" s="45" t="s">
        <v>68</v>
      </c>
      <c r="I397" s="47" t="str">
        <f t="shared" si="128"/>
        <v>France-OTA</v>
      </c>
      <c r="J397" s="47" t="str">
        <f t="shared" si="129"/>
        <v/>
      </c>
      <c r="K397" s="47"/>
      <c r="L397" s="41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</row>
    <row r="398" spans="1:42" ht="17.25" customHeight="1" x14ac:dyDescent="0.25">
      <c r="A398" s="37">
        <v>2008</v>
      </c>
      <c r="B398" s="38" t="s">
        <v>66</v>
      </c>
      <c r="C398" s="38" t="s">
        <v>27</v>
      </c>
      <c r="D398" s="38" t="s">
        <v>28</v>
      </c>
      <c r="E398" s="38" t="s">
        <v>67</v>
      </c>
      <c r="F398" s="38" t="s">
        <v>67</v>
      </c>
      <c r="G398" s="39">
        <v>51800000000</v>
      </c>
      <c r="H398" s="38" t="s">
        <v>68</v>
      </c>
      <c r="I398" s="40" t="str">
        <f t="shared" si="128"/>
        <v>Germany-Offline</v>
      </c>
      <c r="J398" s="40" t="str">
        <f t="shared" si="129"/>
        <v/>
      </c>
      <c r="K398" s="40"/>
      <c r="L398" s="41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</row>
    <row r="399" spans="1:42" ht="17.25" customHeight="1" x14ac:dyDescent="0.25">
      <c r="A399" s="44">
        <v>2008</v>
      </c>
      <c r="B399" s="45" t="s">
        <v>66</v>
      </c>
      <c r="C399" s="45" t="s">
        <v>27</v>
      </c>
      <c r="D399" s="45" t="s">
        <v>28</v>
      </c>
      <c r="E399" s="45" t="s">
        <v>69</v>
      </c>
      <c r="F399" s="45" t="s">
        <v>70</v>
      </c>
      <c r="G399" s="46">
        <v>10600000000</v>
      </c>
      <c r="H399" s="45" t="s">
        <v>68</v>
      </c>
      <c r="I399" s="47" t="str">
        <f t="shared" si="128"/>
        <v>Germany-Online Supplier-Direct</v>
      </c>
      <c r="J399" s="47" t="str">
        <f t="shared" si="129"/>
        <v/>
      </c>
      <c r="K399" s="47"/>
      <c r="L399" s="41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</row>
    <row r="400" spans="1:42" ht="17.25" customHeight="1" x14ac:dyDescent="0.25">
      <c r="A400" s="37">
        <v>2008</v>
      </c>
      <c r="B400" s="38" t="s">
        <v>66</v>
      </c>
      <c r="C400" s="38" t="s">
        <v>27</v>
      </c>
      <c r="D400" s="38" t="s">
        <v>28</v>
      </c>
      <c r="E400" s="38" t="s">
        <v>69</v>
      </c>
      <c r="F400" s="38" t="s">
        <v>71</v>
      </c>
      <c r="G400" s="39">
        <v>9620000000</v>
      </c>
      <c r="H400" s="38" t="s">
        <v>68</v>
      </c>
      <c r="I400" s="40" t="str">
        <f t="shared" si="128"/>
        <v>Germany-OTA</v>
      </c>
      <c r="J400" s="40" t="str">
        <f t="shared" si="129"/>
        <v/>
      </c>
      <c r="K400" s="40"/>
      <c r="L400" s="41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</row>
    <row r="401" spans="1:42" ht="17.25" customHeight="1" x14ac:dyDescent="0.25">
      <c r="A401" s="44">
        <v>2008</v>
      </c>
      <c r="B401" s="45" t="s">
        <v>66</v>
      </c>
      <c r="C401" s="45" t="s">
        <v>17</v>
      </c>
      <c r="D401" s="45" t="s">
        <v>19</v>
      </c>
      <c r="E401" s="45" t="s">
        <v>67</v>
      </c>
      <c r="F401" s="45" t="s">
        <v>67</v>
      </c>
      <c r="G401" s="46">
        <v>8820000000</v>
      </c>
      <c r="H401" s="45" t="s">
        <v>68</v>
      </c>
      <c r="I401" s="47" t="str">
        <f t="shared" si="128"/>
        <v>Greece-Offline</v>
      </c>
      <c r="J401" s="47" t="str">
        <f t="shared" si="129"/>
        <v/>
      </c>
      <c r="K401" s="47"/>
      <c r="L401" s="41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</row>
    <row r="402" spans="1:42" ht="17.25" customHeight="1" x14ac:dyDescent="0.25">
      <c r="A402" s="37">
        <v>2008</v>
      </c>
      <c r="B402" s="38" t="s">
        <v>66</v>
      </c>
      <c r="C402" s="38" t="s">
        <v>17</v>
      </c>
      <c r="D402" s="38" t="s">
        <v>19</v>
      </c>
      <c r="E402" s="38" t="s">
        <v>69</v>
      </c>
      <c r="F402" s="38" t="s">
        <v>70</v>
      </c>
      <c r="G402" s="39">
        <v>1640000000</v>
      </c>
      <c r="H402" s="38" t="s">
        <v>68</v>
      </c>
      <c r="I402" s="40" t="str">
        <f t="shared" si="128"/>
        <v>Greece-Online Supplier-Direct</v>
      </c>
      <c r="J402" s="40" t="str">
        <f t="shared" si="129"/>
        <v/>
      </c>
      <c r="K402" s="40"/>
      <c r="L402" s="41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</row>
    <row r="403" spans="1:42" ht="17.25" customHeight="1" x14ac:dyDescent="0.25">
      <c r="A403" s="44">
        <v>2008</v>
      </c>
      <c r="B403" s="45" t="s">
        <v>66</v>
      </c>
      <c r="C403" s="45" t="s">
        <v>17</v>
      </c>
      <c r="D403" s="45" t="s">
        <v>19</v>
      </c>
      <c r="E403" s="45" t="s">
        <v>69</v>
      </c>
      <c r="F403" s="45" t="s">
        <v>71</v>
      </c>
      <c r="G403" s="46">
        <v>583000000</v>
      </c>
      <c r="H403" s="45" t="s">
        <v>68</v>
      </c>
      <c r="I403" s="47" t="str">
        <f t="shared" si="128"/>
        <v>Greece-OTA</v>
      </c>
      <c r="J403" s="47" t="str">
        <f t="shared" si="129"/>
        <v/>
      </c>
      <c r="K403" s="47"/>
      <c r="L403" s="41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</row>
    <row r="404" spans="1:42" ht="17.25" customHeight="1" x14ac:dyDescent="0.25">
      <c r="A404" s="37">
        <v>2008</v>
      </c>
      <c r="B404" s="38" t="s">
        <v>66</v>
      </c>
      <c r="C404" s="38" t="s">
        <v>4</v>
      </c>
      <c r="D404" s="38" t="s">
        <v>6</v>
      </c>
      <c r="E404" s="38" t="s">
        <v>67</v>
      </c>
      <c r="F404" s="38" t="s">
        <v>67</v>
      </c>
      <c r="G404" s="39">
        <v>8800000000</v>
      </c>
      <c r="H404" s="38" t="s">
        <v>68</v>
      </c>
      <c r="I404" s="40" t="str">
        <f t="shared" si="128"/>
        <v>Hong Kong-Offline</v>
      </c>
      <c r="J404" s="40" t="str">
        <f t="shared" si="129"/>
        <v/>
      </c>
      <c r="K404" s="40"/>
      <c r="L404" s="41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</row>
    <row r="405" spans="1:42" ht="17.25" customHeight="1" x14ac:dyDescent="0.25">
      <c r="A405" s="44">
        <v>2008</v>
      </c>
      <c r="B405" s="45" t="s">
        <v>66</v>
      </c>
      <c r="C405" s="45" t="s">
        <v>4</v>
      </c>
      <c r="D405" s="45" t="s">
        <v>6</v>
      </c>
      <c r="E405" s="45" t="s">
        <v>69</v>
      </c>
      <c r="F405" s="45" t="s">
        <v>70</v>
      </c>
      <c r="G405" s="46">
        <v>398000000</v>
      </c>
      <c r="H405" s="45" t="s">
        <v>68</v>
      </c>
      <c r="I405" s="47" t="str">
        <f t="shared" si="128"/>
        <v>Hong Kong-Online Supplier-Direct</v>
      </c>
      <c r="J405" s="47" t="str">
        <f t="shared" si="129"/>
        <v/>
      </c>
      <c r="K405" s="47"/>
      <c r="L405" s="41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</row>
    <row r="406" spans="1:42" ht="17.25" customHeight="1" x14ac:dyDescent="0.25">
      <c r="A406" s="37">
        <v>2008</v>
      </c>
      <c r="B406" s="38" t="s">
        <v>66</v>
      </c>
      <c r="C406" s="38" t="s">
        <v>4</v>
      </c>
      <c r="D406" s="38" t="s">
        <v>6</v>
      </c>
      <c r="E406" s="38" t="s">
        <v>69</v>
      </c>
      <c r="F406" s="38" t="s">
        <v>71</v>
      </c>
      <c r="G406" s="39">
        <v>148000000</v>
      </c>
      <c r="H406" s="38" t="s">
        <v>68</v>
      </c>
      <c r="I406" s="40" t="str">
        <f t="shared" si="128"/>
        <v>Hong Kong-OTA</v>
      </c>
      <c r="J406" s="40" t="str">
        <f t="shared" si="129"/>
        <v/>
      </c>
      <c r="K406" s="40"/>
      <c r="L406" s="41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</row>
    <row r="407" spans="1:42" ht="17.25" customHeight="1" x14ac:dyDescent="0.25">
      <c r="A407" s="44">
        <v>2008</v>
      </c>
      <c r="B407" s="45" t="s">
        <v>66</v>
      </c>
      <c r="C407" s="45" t="s">
        <v>17</v>
      </c>
      <c r="D407" s="45" t="s">
        <v>20</v>
      </c>
      <c r="E407" s="45" t="s">
        <v>67</v>
      </c>
      <c r="F407" s="45" t="s">
        <v>67</v>
      </c>
      <c r="G407" s="46">
        <v>2510000000</v>
      </c>
      <c r="H407" s="45" t="s">
        <v>68</v>
      </c>
      <c r="I407" s="47" t="str">
        <f t="shared" si="128"/>
        <v>Hungary-Offline</v>
      </c>
      <c r="J407" s="47" t="str">
        <f t="shared" si="129"/>
        <v/>
      </c>
      <c r="K407" s="47"/>
      <c r="L407" s="41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</row>
    <row r="408" spans="1:42" ht="17.25" customHeight="1" x14ac:dyDescent="0.25">
      <c r="A408" s="37">
        <v>2008</v>
      </c>
      <c r="B408" s="38" t="s">
        <v>66</v>
      </c>
      <c r="C408" s="38" t="s">
        <v>17</v>
      </c>
      <c r="D408" s="38" t="s">
        <v>20</v>
      </c>
      <c r="E408" s="38" t="s">
        <v>69</v>
      </c>
      <c r="F408" s="38" t="s">
        <v>70</v>
      </c>
      <c r="G408" s="39">
        <v>454000000</v>
      </c>
      <c r="H408" s="38" t="s">
        <v>68</v>
      </c>
      <c r="I408" s="40" t="str">
        <f t="shared" si="128"/>
        <v>Hungary-Online Supplier-Direct</v>
      </c>
      <c r="J408" s="40" t="str">
        <f t="shared" si="129"/>
        <v/>
      </c>
      <c r="K408" s="40"/>
      <c r="L408" s="41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</row>
    <row r="409" spans="1:42" ht="17.25" customHeight="1" x14ac:dyDescent="0.25">
      <c r="A409" s="44">
        <v>2008</v>
      </c>
      <c r="B409" s="45" t="s">
        <v>66</v>
      </c>
      <c r="C409" s="45" t="s">
        <v>17</v>
      </c>
      <c r="D409" s="45" t="s">
        <v>20</v>
      </c>
      <c r="E409" s="45" t="s">
        <v>69</v>
      </c>
      <c r="F409" s="45" t="s">
        <v>71</v>
      </c>
      <c r="G409" s="46">
        <v>110000000</v>
      </c>
      <c r="H409" s="45" t="s">
        <v>68</v>
      </c>
      <c r="I409" s="47" t="str">
        <f t="shared" si="128"/>
        <v>Hungary-OTA</v>
      </c>
      <c r="J409" s="47" t="str">
        <f t="shared" si="129"/>
        <v/>
      </c>
      <c r="K409" s="47"/>
      <c r="L409" s="41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</row>
    <row r="410" spans="1:42" ht="17.25" customHeight="1" x14ac:dyDescent="0.25">
      <c r="A410" s="37">
        <v>2008</v>
      </c>
      <c r="B410" s="38" t="s">
        <v>66</v>
      </c>
      <c r="C410" s="38" t="s">
        <v>4</v>
      </c>
      <c r="D410" s="38" t="s">
        <v>7</v>
      </c>
      <c r="E410" s="38" t="s">
        <v>67</v>
      </c>
      <c r="F410" s="38" t="s">
        <v>67</v>
      </c>
      <c r="G410" s="39">
        <v>12300000000</v>
      </c>
      <c r="H410" s="38" t="s">
        <v>68</v>
      </c>
      <c r="I410" s="40" t="str">
        <f t="shared" si="128"/>
        <v>India-Offline</v>
      </c>
      <c r="J410" s="40" t="str">
        <f t="shared" si="129"/>
        <v/>
      </c>
      <c r="K410" s="40"/>
      <c r="L410" s="41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</row>
    <row r="411" spans="1:42" ht="17.25" customHeight="1" x14ac:dyDescent="0.25">
      <c r="A411" s="44">
        <v>2008</v>
      </c>
      <c r="B411" s="45" t="s">
        <v>66</v>
      </c>
      <c r="C411" s="45" t="s">
        <v>4</v>
      </c>
      <c r="D411" s="45" t="s">
        <v>7</v>
      </c>
      <c r="E411" s="45" t="s">
        <v>69</v>
      </c>
      <c r="F411" s="45" t="s">
        <v>70</v>
      </c>
      <c r="G411" s="46">
        <v>2100000000</v>
      </c>
      <c r="H411" s="45" t="s">
        <v>68</v>
      </c>
      <c r="I411" s="47" t="str">
        <f t="shared" si="128"/>
        <v>India-Online Supplier-Direct</v>
      </c>
      <c r="J411" s="47" t="str">
        <f t="shared" si="129"/>
        <v/>
      </c>
      <c r="K411" s="47"/>
      <c r="L411" s="41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</row>
    <row r="412" spans="1:42" ht="17.25" customHeight="1" x14ac:dyDescent="0.25">
      <c r="A412" s="37">
        <v>2008</v>
      </c>
      <c r="B412" s="38" t="s">
        <v>66</v>
      </c>
      <c r="C412" s="38" t="s">
        <v>4</v>
      </c>
      <c r="D412" s="38" t="s">
        <v>7</v>
      </c>
      <c r="E412" s="38" t="s">
        <v>69</v>
      </c>
      <c r="F412" s="38" t="s">
        <v>71</v>
      </c>
      <c r="G412" s="39">
        <v>1020000000</v>
      </c>
      <c r="H412" s="38" t="s">
        <v>68</v>
      </c>
      <c r="I412" s="40" t="str">
        <f t="shared" si="128"/>
        <v>India-OTA</v>
      </c>
      <c r="J412" s="40" t="str">
        <f t="shared" si="129"/>
        <v/>
      </c>
      <c r="K412" s="40"/>
      <c r="L412" s="41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</row>
    <row r="413" spans="1:42" ht="17.25" customHeight="1" x14ac:dyDescent="0.25">
      <c r="A413" s="44">
        <v>2008</v>
      </c>
      <c r="B413" s="45" t="s">
        <v>66</v>
      </c>
      <c r="C413" s="45" t="s">
        <v>4</v>
      </c>
      <c r="D413" s="45" t="s">
        <v>8</v>
      </c>
      <c r="E413" s="45" t="s">
        <v>67</v>
      </c>
      <c r="F413" s="45" t="s">
        <v>67</v>
      </c>
      <c r="G413" s="46">
        <v>4560000000</v>
      </c>
      <c r="H413" s="45" t="s">
        <v>68</v>
      </c>
      <c r="I413" s="47" t="str">
        <f t="shared" si="128"/>
        <v>Indonesia-Offline</v>
      </c>
      <c r="J413" s="47" t="str">
        <f t="shared" si="129"/>
        <v/>
      </c>
      <c r="K413" s="47"/>
      <c r="L413" s="41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</row>
    <row r="414" spans="1:42" ht="17.25" customHeight="1" x14ac:dyDescent="0.25">
      <c r="A414" s="37">
        <v>2008</v>
      </c>
      <c r="B414" s="38" t="s">
        <v>66</v>
      </c>
      <c r="C414" s="38" t="s">
        <v>4</v>
      </c>
      <c r="D414" s="38" t="s">
        <v>8</v>
      </c>
      <c r="E414" s="38" t="s">
        <v>69</v>
      </c>
      <c r="F414" s="38" t="s">
        <v>70</v>
      </c>
      <c r="G414" s="39">
        <v>114000000</v>
      </c>
      <c r="H414" s="38" t="s">
        <v>68</v>
      </c>
      <c r="I414" s="40" t="str">
        <f t="shared" si="128"/>
        <v>Indonesia-Online Supplier-Direct</v>
      </c>
      <c r="J414" s="40" t="str">
        <f t="shared" si="129"/>
        <v/>
      </c>
      <c r="K414" s="40"/>
      <c r="L414" s="41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</row>
    <row r="415" spans="1:42" ht="17.25" customHeight="1" x14ac:dyDescent="0.25">
      <c r="A415" s="44">
        <v>2008</v>
      </c>
      <c r="B415" s="45" t="s">
        <v>66</v>
      </c>
      <c r="C415" s="45" t="s">
        <v>4</v>
      </c>
      <c r="D415" s="45" t="s">
        <v>8</v>
      </c>
      <c r="E415" s="45" t="s">
        <v>69</v>
      </c>
      <c r="F415" s="45" t="s">
        <v>71</v>
      </c>
      <c r="G415" s="46">
        <v>27983766</v>
      </c>
      <c r="H415" s="45" t="s">
        <v>68</v>
      </c>
      <c r="I415" s="47" t="str">
        <f t="shared" si="128"/>
        <v>Indonesia-OTA</v>
      </c>
      <c r="J415" s="47" t="str">
        <f t="shared" si="129"/>
        <v/>
      </c>
      <c r="K415" s="47"/>
      <c r="L415" s="41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</row>
    <row r="416" spans="1:42" ht="17.25" customHeight="1" x14ac:dyDescent="0.25">
      <c r="A416" s="37">
        <v>2008</v>
      </c>
      <c r="B416" s="38" t="s">
        <v>66</v>
      </c>
      <c r="C416" s="38" t="s">
        <v>27</v>
      </c>
      <c r="D416" s="38" t="s">
        <v>29</v>
      </c>
      <c r="E416" s="38" t="s">
        <v>67</v>
      </c>
      <c r="F416" s="38" t="s">
        <v>67</v>
      </c>
      <c r="G416" s="39">
        <v>22300000000</v>
      </c>
      <c r="H416" s="38" t="s">
        <v>68</v>
      </c>
      <c r="I416" s="40" t="str">
        <f t="shared" si="128"/>
        <v>Italy-Offline</v>
      </c>
      <c r="J416" s="40" t="str">
        <f t="shared" si="129"/>
        <v/>
      </c>
      <c r="K416" s="40"/>
      <c r="L416" s="41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</row>
    <row r="417" spans="1:42" ht="17.25" customHeight="1" x14ac:dyDescent="0.25">
      <c r="A417" s="44">
        <v>2008</v>
      </c>
      <c r="B417" s="45" t="s">
        <v>66</v>
      </c>
      <c r="C417" s="45" t="s">
        <v>27</v>
      </c>
      <c r="D417" s="45" t="s">
        <v>29</v>
      </c>
      <c r="E417" s="45" t="s">
        <v>69</v>
      </c>
      <c r="F417" s="45" t="s">
        <v>70</v>
      </c>
      <c r="G417" s="46">
        <v>2610000000</v>
      </c>
      <c r="H417" s="45" t="s">
        <v>68</v>
      </c>
      <c r="I417" s="47" t="str">
        <f t="shared" si="128"/>
        <v>Italy-Online Supplier-Direct</v>
      </c>
      <c r="J417" s="47" t="str">
        <f t="shared" si="129"/>
        <v/>
      </c>
      <c r="K417" s="47"/>
      <c r="L417" s="41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</row>
    <row r="418" spans="1:42" ht="17.25" customHeight="1" x14ac:dyDescent="0.25">
      <c r="A418" s="37">
        <v>2008</v>
      </c>
      <c r="B418" s="38" t="s">
        <v>66</v>
      </c>
      <c r="C418" s="38" t="s">
        <v>27</v>
      </c>
      <c r="D418" s="38" t="s">
        <v>29</v>
      </c>
      <c r="E418" s="38" t="s">
        <v>69</v>
      </c>
      <c r="F418" s="38" t="s">
        <v>71</v>
      </c>
      <c r="G418" s="39">
        <v>3110000000</v>
      </c>
      <c r="H418" s="38" t="s">
        <v>68</v>
      </c>
      <c r="I418" s="40" t="str">
        <f t="shared" si="128"/>
        <v>Italy-OTA</v>
      </c>
      <c r="J418" s="40" t="str">
        <f t="shared" si="129"/>
        <v/>
      </c>
      <c r="K418" s="40"/>
      <c r="L418" s="41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</row>
    <row r="419" spans="1:42" ht="17.25" customHeight="1" x14ac:dyDescent="0.25">
      <c r="A419" s="44">
        <v>2008</v>
      </c>
      <c r="B419" s="45" t="s">
        <v>66</v>
      </c>
      <c r="C419" s="45" t="s">
        <v>4</v>
      </c>
      <c r="D419" s="45" t="s">
        <v>9</v>
      </c>
      <c r="E419" s="45" t="s">
        <v>67</v>
      </c>
      <c r="F419" s="45" t="s">
        <v>67</v>
      </c>
      <c r="G419" s="46">
        <v>64200000000</v>
      </c>
      <c r="H419" s="45" t="s">
        <v>68</v>
      </c>
      <c r="I419" s="47" t="str">
        <f t="shared" si="128"/>
        <v>Japan-Offline</v>
      </c>
      <c r="J419" s="47" t="str">
        <f t="shared" si="129"/>
        <v/>
      </c>
      <c r="K419" s="47"/>
      <c r="L419" s="41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</row>
    <row r="420" spans="1:42" ht="17.25" customHeight="1" x14ac:dyDescent="0.25">
      <c r="A420" s="37">
        <v>2008</v>
      </c>
      <c r="B420" s="38" t="s">
        <v>66</v>
      </c>
      <c r="C420" s="38" t="s">
        <v>4</v>
      </c>
      <c r="D420" s="38" t="s">
        <v>9</v>
      </c>
      <c r="E420" s="38" t="s">
        <v>69</v>
      </c>
      <c r="F420" s="38" t="s">
        <v>70</v>
      </c>
      <c r="G420" s="39">
        <v>13200000000</v>
      </c>
      <c r="H420" s="38" t="s">
        <v>68</v>
      </c>
      <c r="I420" s="40" t="str">
        <f t="shared" si="128"/>
        <v>Japan-Online Supplier-Direct</v>
      </c>
      <c r="J420" s="40" t="str">
        <f t="shared" si="129"/>
        <v/>
      </c>
      <c r="K420" s="40"/>
      <c r="L420" s="41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</row>
    <row r="421" spans="1:42" ht="17.25" customHeight="1" x14ac:dyDescent="0.25">
      <c r="A421" s="44">
        <v>2008</v>
      </c>
      <c r="B421" s="45" t="s">
        <v>66</v>
      </c>
      <c r="C421" s="45" t="s">
        <v>4</v>
      </c>
      <c r="D421" s="45" t="s">
        <v>9</v>
      </c>
      <c r="E421" s="45" t="s">
        <v>69</v>
      </c>
      <c r="F421" s="45" t="s">
        <v>71</v>
      </c>
      <c r="G421" s="46">
        <v>6610000000</v>
      </c>
      <c r="H421" s="45" t="s">
        <v>68</v>
      </c>
      <c r="I421" s="47" t="str">
        <f t="shared" si="128"/>
        <v>Japan-OTA</v>
      </c>
      <c r="J421" s="47" t="str">
        <f t="shared" si="129"/>
        <v/>
      </c>
      <c r="K421" s="47"/>
      <c r="L421" s="41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</row>
    <row r="422" spans="1:42" ht="17.25" customHeight="1" x14ac:dyDescent="0.25">
      <c r="A422" s="37">
        <v>2008</v>
      </c>
      <c r="B422" s="38" t="s">
        <v>66</v>
      </c>
      <c r="C422" s="38" t="s">
        <v>4</v>
      </c>
      <c r="D422" s="38" t="s">
        <v>10</v>
      </c>
      <c r="E422" s="38" t="s">
        <v>67</v>
      </c>
      <c r="F422" s="38" t="s">
        <v>67</v>
      </c>
      <c r="G422" s="39">
        <v>537000000</v>
      </c>
      <c r="H422" s="38" t="s">
        <v>68</v>
      </c>
      <c r="I422" s="40" t="str">
        <f t="shared" si="128"/>
        <v>Macau-Offline</v>
      </c>
      <c r="J422" s="40" t="str">
        <f t="shared" si="129"/>
        <v/>
      </c>
      <c r="K422" s="40"/>
      <c r="L422" s="41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</row>
    <row r="423" spans="1:42" ht="17.25" customHeight="1" x14ac:dyDescent="0.25">
      <c r="A423" s="44">
        <v>2008</v>
      </c>
      <c r="B423" s="45" t="s">
        <v>66</v>
      </c>
      <c r="C423" s="45" t="s">
        <v>4</v>
      </c>
      <c r="D423" s="45" t="s">
        <v>10</v>
      </c>
      <c r="E423" s="45" t="s">
        <v>69</v>
      </c>
      <c r="F423" s="45" t="s">
        <v>70</v>
      </c>
      <c r="G423" s="46">
        <v>5684382</v>
      </c>
      <c r="H423" s="45" t="s">
        <v>68</v>
      </c>
      <c r="I423" s="47" t="str">
        <f t="shared" si="128"/>
        <v>Macau-Online Supplier-Direct</v>
      </c>
      <c r="J423" s="47" t="str">
        <f t="shared" si="129"/>
        <v/>
      </c>
      <c r="K423" s="47"/>
      <c r="L423" s="41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</row>
    <row r="424" spans="1:42" ht="17.25" customHeight="1" x14ac:dyDescent="0.25">
      <c r="A424" s="37">
        <v>2008</v>
      </c>
      <c r="B424" s="38" t="s">
        <v>66</v>
      </c>
      <c r="C424" s="38" t="s">
        <v>4</v>
      </c>
      <c r="D424" s="38" t="s">
        <v>10</v>
      </c>
      <c r="E424" s="38" t="s">
        <v>69</v>
      </c>
      <c r="F424" s="38" t="s">
        <v>71</v>
      </c>
      <c r="G424" s="39">
        <v>6947578</v>
      </c>
      <c r="H424" s="38" t="s">
        <v>68</v>
      </c>
      <c r="I424" s="40" t="str">
        <f t="shared" si="128"/>
        <v>Macau-OTA</v>
      </c>
      <c r="J424" s="40" t="str">
        <f t="shared" si="129"/>
        <v/>
      </c>
      <c r="K424" s="40"/>
      <c r="L424" s="41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</row>
    <row r="425" spans="1:42" ht="17.25" customHeight="1" x14ac:dyDescent="0.25">
      <c r="A425" s="44">
        <v>2008</v>
      </c>
      <c r="B425" s="45" t="s">
        <v>66</v>
      </c>
      <c r="C425" s="45" t="s">
        <v>4</v>
      </c>
      <c r="D425" s="45" t="s">
        <v>11</v>
      </c>
      <c r="E425" s="45" t="s">
        <v>67</v>
      </c>
      <c r="F425" s="45" t="s">
        <v>67</v>
      </c>
      <c r="G425" s="46">
        <v>4610000000</v>
      </c>
      <c r="H425" s="45" t="s">
        <v>68</v>
      </c>
      <c r="I425" s="47" t="str">
        <f t="shared" si="128"/>
        <v>Malaysia-Offline</v>
      </c>
      <c r="J425" s="47" t="str">
        <f t="shared" si="129"/>
        <v/>
      </c>
      <c r="K425" s="47"/>
      <c r="L425" s="41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</row>
    <row r="426" spans="1:42" ht="17.25" customHeight="1" x14ac:dyDescent="0.25">
      <c r="A426" s="37">
        <v>2008</v>
      </c>
      <c r="B426" s="38" t="s">
        <v>66</v>
      </c>
      <c r="C426" s="38" t="s">
        <v>4</v>
      </c>
      <c r="D426" s="38" t="s">
        <v>11</v>
      </c>
      <c r="E426" s="38" t="s">
        <v>69</v>
      </c>
      <c r="F426" s="38" t="s">
        <v>70</v>
      </c>
      <c r="G426" s="39">
        <v>1430000000</v>
      </c>
      <c r="H426" s="38" t="s">
        <v>68</v>
      </c>
      <c r="I426" s="40" t="str">
        <f t="shared" si="128"/>
        <v>Malaysia-Online Supplier-Direct</v>
      </c>
      <c r="J426" s="40" t="str">
        <f t="shared" si="129"/>
        <v/>
      </c>
      <c r="K426" s="40"/>
      <c r="L426" s="41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</row>
    <row r="427" spans="1:42" ht="17.25" customHeight="1" x14ac:dyDescent="0.25">
      <c r="A427" s="44">
        <v>2008</v>
      </c>
      <c r="B427" s="45" t="s">
        <v>66</v>
      </c>
      <c r="C427" s="45" t="s">
        <v>4</v>
      </c>
      <c r="D427" s="45" t="s">
        <v>11</v>
      </c>
      <c r="E427" s="45" t="s">
        <v>69</v>
      </c>
      <c r="F427" s="45" t="s">
        <v>71</v>
      </c>
      <c r="G427" s="46">
        <v>89820554</v>
      </c>
      <c r="H427" s="45" t="s">
        <v>68</v>
      </c>
      <c r="I427" s="47" t="str">
        <f t="shared" si="128"/>
        <v>Malaysia-OTA</v>
      </c>
      <c r="J427" s="47" t="str">
        <f t="shared" si="129"/>
        <v/>
      </c>
      <c r="K427" s="47"/>
      <c r="L427" s="41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</row>
    <row r="428" spans="1:42" ht="17.25" customHeight="1" x14ac:dyDescent="0.25">
      <c r="A428" s="37">
        <v>2008</v>
      </c>
      <c r="B428" s="38" t="s">
        <v>66</v>
      </c>
      <c r="C428" s="38" t="s">
        <v>35</v>
      </c>
      <c r="D428" s="38" t="s">
        <v>39</v>
      </c>
      <c r="E428" s="38" t="s">
        <v>67</v>
      </c>
      <c r="F428" s="38" t="s">
        <v>67</v>
      </c>
      <c r="G428" s="39">
        <v>19900000000</v>
      </c>
      <c r="H428" s="38" t="s">
        <v>68</v>
      </c>
      <c r="I428" s="40" t="str">
        <f t="shared" si="128"/>
        <v>Mexico-Offline</v>
      </c>
      <c r="J428" s="40" t="str">
        <f t="shared" si="129"/>
        <v/>
      </c>
      <c r="K428" s="40"/>
      <c r="L428" s="41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</row>
    <row r="429" spans="1:42" ht="17.25" customHeight="1" x14ac:dyDescent="0.25">
      <c r="A429" s="44">
        <v>2008</v>
      </c>
      <c r="B429" s="45" t="s">
        <v>66</v>
      </c>
      <c r="C429" s="45" t="s">
        <v>35</v>
      </c>
      <c r="D429" s="45" t="s">
        <v>39</v>
      </c>
      <c r="E429" s="45" t="s">
        <v>69</v>
      </c>
      <c r="F429" s="45" t="s">
        <v>70</v>
      </c>
      <c r="G429" s="46">
        <v>1080000000</v>
      </c>
      <c r="H429" s="45" t="s">
        <v>68</v>
      </c>
      <c r="I429" s="47" t="str">
        <f t="shared" si="128"/>
        <v>Mexico-Online Supplier-Direct</v>
      </c>
      <c r="J429" s="47" t="str">
        <f t="shared" si="129"/>
        <v/>
      </c>
      <c r="K429" s="47"/>
      <c r="L429" s="41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</row>
    <row r="430" spans="1:42" ht="17.25" customHeight="1" x14ac:dyDescent="0.25">
      <c r="A430" s="37">
        <v>2008</v>
      </c>
      <c r="B430" s="38" t="s">
        <v>66</v>
      </c>
      <c r="C430" s="38" t="s">
        <v>35</v>
      </c>
      <c r="D430" s="38" t="s">
        <v>39</v>
      </c>
      <c r="E430" s="38" t="s">
        <v>69</v>
      </c>
      <c r="F430" s="38" t="s">
        <v>71</v>
      </c>
      <c r="G430" s="39">
        <v>2230000000</v>
      </c>
      <c r="H430" s="38" t="s">
        <v>68</v>
      </c>
      <c r="I430" s="40" t="str">
        <f t="shared" si="128"/>
        <v>Mexico-OTA</v>
      </c>
      <c r="J430" s="40" t="str">
        <f t="shared" si="129"/>
        <v/>
      </c>
      <c r="K430" s="40"/>
      <c r="L430" s="41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</row>
    <row r="431" spans="1:42" ht="17.25" customHeight="1" x14ac:dyDescent="0.25">
      <c r="A431" s="44">
        <v>2008</v>
      </c>
      <c r="B431" s="45" t="s">
        <v>66</v>
      </c>
      <c r="C431" s="45" t="s">
        <v>17</v>
      </c>
      <c r="D431" s="45" t="s">
        <v>21</v>
      </c>
      <c r="E431" s="45" t="s">
        <v>67</v>
      </c>
      <c r="F431" s="45" t="s">
        <v>67</v>
      </c>
      <c r="G431" s="46">
        <v>3910000000</v>
      </c>
      <c r="H431" s="45" t="s">
        <v>68</v>
      </c>
      <c r="I431" s="47" t="str">
        <f t="shared" si="128"/>
        <v>Poland-Offline</v>
      </c>
      <c r="J431" s="47" t="str">
        <f t="shared" si="129"/>
        <v/>
      </c>
      <c r="K431" s="47"/>
      <c r="L431" s="41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</row>
    <row r="432" spans="1:42" ht="17.25" customHeight="1" x14ac:dyDescent="0.25">
      <c r="A432" s="37">
        <v>2008</v>
      </c>
      <c r="B432" s="38" t="s">
        <v>66</v>
      </c>
      <c r="C432" s="38" t="s">
        <v>17</v>
      </c>
      <c r="D432" s="38" t="s">
        <v>21</v>
      </c>
      <c r="E432" s="38" t="s">
        <v>69</v>
      </c>
      <c r="F432" s="38" t="s">
        <v>70</v>
      </c>
      <c r="G432" s="39">
        <v>508000000</v>
      </c>
      <c r="H432" s="38" t="s">
        <v>68</v>
      </c>
      <c r="I432" s="40" t="str">
        <f t="shared" si="128"/>
        <v>Poland-Online Supplier-Direct</v>
      </c>
      <c r="J432" s="40" t="str">
        <f t="shared" si="129"/>
        <v/>
      </c>
      <c r="K432" s="40"/>
      <c r="L432" s="41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</row>
    <row r="433" spans="1:42" ht="17.25" customHeight="1" x14ac:dyDescent="0.25">
      <c r="A433" s="44">
        <v>2008</v>
      </c>
      <c r="B433" s="45" t="s">
        <v>66</v>
      </c>
      <c r="C433" s="45" t="s">
        <v>17</v>
      </c>
      <c r="D433" s="45" t="s">
        <v>21</v>
      </c>
      <c r="E433" s="45" t="s">
        <v>69</v>
      </c>
      <c r="F433" s="45" t="s">
        <v>71</v>
      </c>
      <c r="G433" s="46">
        <v>242000000</v>
      </c>
      <c r="H433" s="45" t="s">
        <v>68</v>
      </c>
      <c r="I433" s="47" t="str">
        <f t="shared" si="128"/>
        <v>Poland-OTA</v>
      </c>
      <c r="J433" s="47" t="str">
        <f t="shared" si="129"/>
        <v/>
      </c>
      <c r="K433" s="47"/>
      <c r="L433" s="41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</row>
    <row r="434" spans="1:42" ht="17.25" customHeight="1" x14ac:dyDescent="0.25">
      <c r="A434" s="37">
        <v>2008</v>
      </c>
      <c r="B434" s="38" t="s">
        <v>66</v>
      </c>
      <c r="C434" s="38" t="s">
        <v>41</v>
      </c>
      <c r="D434" s="38" t="s">
        <v>42</v>
      </c>
      <c r="E434" s="38" t="s">
        <v>67</v>
      </c>
      <c r="F434" s="38" t="s">
        <v>67</v>
      </c>
      <c r="G434" s="39">
        <v>5130000000</v>
      </c>
      <c r="H434" s="38" t="s">
        <v>68</v>
      </c>
      <c r="I434" s="40" t="str">
        <f t="shared" si="128"/>
        <v>Qatar-Offline</v>
      </c>
      <c r="J434" s="40" t="str">
        <f t="shared" si="129"/>
        <v/>
      </c>
      <c r="K434" s="40"/>
      <c r="L434" s="41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</row>
    <row r="435" spans="1:42" ht="17.25" customHeight="1" x14ac:dyDescent="0.25">
      <c r="A435" s="44">
        <v>2008</v>
      </c>
      <c r="B435" s="45" t="s">
        <v>66</v>
      </c>
      <c r="C435" s="45" t="s">
        <v>41</v>
      </c>
      <c r="D435" s="45" t="s">
        <v>42</v>
      </c>
      <c r="E435" s="45" t="s">
        <v>69</v>
      </c>
      <c r="F435" s="45" t="s">
        <v>70</v>
      </c>
      <c r="G435" s="46">
        <v>494000000</v>
      </c>
      <c r="H435" s="45" t="s">
        <v>68</v>
      </c>
      <c r="I435" s="47" t="str">
        <f t="shared" si="128"/>
        <v>Qatar-Online Supplier-Direct</v>
      </c>
      <c r="J435" s="47" t="str">
        <f t="shared" si="129"/>
        <v/>
      </c>
      <c r="K435" s="47"/>
      <c r="L435" s="41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</row>
    <row r="436" spans="1:42" ht="17.25" customHeight="1" x14ac:dyDescent="0.25">
      <c r="A436" s="37">
        <v>2008</v>
      </c>
      <c r="B436" s="38" t="s">
        <v>66</v>
      </c>
      <c r="C436" s="38" t="s">
        <v>41</v>
      </c>
      <c r="D436" s="38" t="s">
        <v>42</v>
      </c>
      <c r="E436" s="38" t="s">
        <v>69</v>
      </c>
      <c r="F436" s="38" t="s">
        <v>71</v>
      </c>
      <c r="G436" s="39">
        <v>445000000</v>
      </c>
      <c r="H436" s="38" t="s">
        <v>68</v>
      </c>
      <c r="I436" s="40" t="str">
        <f t="shared" si="128"/>
        <v>Qatar-OTA</v>
      </c>
      <c r="J436" s="40" t="str">
        <f t="shared" si="129"/>
        <v/>
      </c>
      <c r="K436" s="40"/>
      <c r="L436" s="41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</row>
    <row r="437" spans="1:42" ht="17.25" customHeight="1" x14ac:dyDescent="0.25">
      <c r="A437" s="44">
        <v>2008</v>
      </c>
      <c r="B437" s="45" t="s">
        <v>66</v>
      </c>
      <c r="C437" s="45" t="s">
        <v>17</v>
      </c>
      <c r="D437" s="45" t="s">
        <v>22</v>
      </c>
      <c r="E437" s="45" t="s">
        <v>67</v>
      </c>
      <c r="F437" s="45" t="s">
        <v>67</v>
      </c>
      <c r="G437" s="46">
        <v>3120000000</v>
      </c>
      <c r="H437" s="45" t="s">
        <v>68</v>
      </c>
      <c r="I437" s="47" t="str">
        <f t="shared" si="128"/>
        <v>Rest of Eastern Europe-Offline</v>
      </c>
      <c r="J437" s="47" t="str">
        <f t="shared" si="129"/>
        <v/>
      </c>
      <c r="K437" s="47"/>
      <c r="L437" s="41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</row>
    <row r="438" spans="1:42" ht="17.25" customHeight="1" x14ac:dyDescent="0.25">
      <c r="A438" s="37">
        <v>2008</v>
      </c>
      <c r="B438" s="38" t="s">
        <v>66</v>
      </c>
      <c r="C438" s="38" t="s">
        <v>17</v>
      </c>
      <c r="D438" s="38" t="s">
        <v>22</v>
      </c>
      <c r="E438" s="38" t="s">
        <v>69</v>
      </c>
      <c r="F438" s="38" t="s">
        <v>70</v>
      </c>
      <c r="G438" s="39">
        <v>195000000</v>
      </c>
      <c r="H438" s="38" t="s">
        <v>68</v>
      </c>
      <c r="I438" s="40" t="str">
        <f t="shared" si="128"/>
        <v>Rest of Eastern Europe-Online Supplier-Direct</v>
      </c>
      <c r="J438" s="40" t="str">
        <f t="shared" si="129"/>
        <v/>
      </c>
      <c r="K438" s="40"/>
      <c r="L438" s="41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</row>
    <row r="439" spans="1:42" ht="17.25" customHeight="1" x14ac:dyDescent="0.25">
      <c r="A439" s="44">
        <v>2008</v>
      </c>
      <c r="B439" s="45" t="s">
        <v>66</v>
      </c>
      <c r="C439" s="45" t="s">
        <v>17</v>
      </c>
      <c r="D439" s="45" t="s">
        <v>22</v>
      </c>
      <c r="E439" s="45" t="s">
        <v>69</v>
      </c>
      <c r="F439" s="45" t="s">
        <v>71</v>
      </c>
      <c r="G439" s="46">
        <v>127000000</v>
      </c>
      <c r="H439" s="45" t="s">
        <v>68</v>
      </c>
      <c r="I439" s="47" t="str">
        <f t="shared" si="128"/>
        <v>Rest of Eastern Europe-OTA</v>
      </c>
      <c r="J439" s="47" t="str">
        <f t="shared" si="129"/>
        <v/>
      </c>
      <c r="K439" s="47"/>
      <c r="L439" s="41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</row>
    <row r="440" spans="1:42" ht="17.25" customHeight="1" x14ac:dyDescent="0.25">
      <c r="A440" s="37">
        <v>2008</v>
      </c>
      <c r="B440" s="38" t="s">
        <v>66</v>
      </c>
      <c r="C440" s="38" t="s">
        <v>27</v>
      </c>
      <c r="D440" s="38" t="s">
        <v>30</v>
      </c>
      <c r="E440" s="38" t="s">
        <v>67</v>
      </c>
      <c r="F440" s="38" t="s">
        <v>67</v>
      </c>
      <c r="G440" s="39">
        <v>47700000000</v>
      </c>
      <c r="H440" s="38" t="s">
        <v>68</v>
      </c>
      <c r="I440" s="40" t="str">
        <f t="shared" si="128"/>
        <v>Rest of Europe-Offline</v>
      </c>
      <c r="J440" s="40" t="str">
        <f t="shared" si="129"/>
        <v/>
      </c>
      <c r="K440" s="40"/>
      <c r="L440" s="41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</row>
    <row r="441" spans="1:42" ht="17.25" customHeight="1" x14ac:dyDescent="0.25">
      <c r="A441" s="44">
        <v>2008</v>
      </c>
      <c r="B441" s="45" t="s">
        <v>66</v>
      </c>
      <c r="C441" s="45" t="s">
        <v>27</v>
      </c>
      <c r="D441" s="45" t="s">
        <v>30</v>
      </c>
      <c r="E441" s="45" t="s">
        <v>69</v>
      </c>
      <c r="F441" s="45" t="s">
        <v>70</v>
      </c>
      <c r="G441" s="46">
        <v>9930000000</v>
      </c>
      <c r="H441" s="45" t="s">
        <v>68</v>
      </c>
      <c r="I441" s="47" t="str">
        <f t="shared" si="128"/>
        <v>Rest of Europe-Online Supplier-Direct</v>
      </c>
      <c r="J441" s="47" t="str">
        <f t="shared" si="129"/>
        <v/>
      </c>
      <c r="K441" s="47"/>
      <c r="L441" s="41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</row>
    <row r="442" spans="1:42" ht="17.25" customHeight="1" x14ac:dyDescent="0.25">
      <c r="A442" s="37">
        <v>2008</v>
      </c>
      <c r="B442" s="38" t="s">
        <v>66</v>
      </c>
      <c r="C442" s="38" t="s">
        <v>27</v>
      </c>
      <c r="D442" s="38" t="s">
        <v>30</v>
      </c>
      <c r="E442" s="38" t="s">
        <v>69</v>
      </c>
      <c r="F442" s="38" t="s">
        <v>71</v>
      </c>
      <c r="G442" s="39">
        <v>5490000000</v>
      </c>
      <c r="H442" s="38" t="s">
        <v>68</v>
      </c>
      <c r="I442" s="40" t="str">
        <f t="shared" si="128"/>
        <v>Rest of Europe-OTA</v>
      </c>
      <c r="J442" s="40" t="str">
        <f t="shared" si="129"/>
        <v/>
      </c>
      <c r="K442" s="40"/>
      <c r="L442" s="41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</row>
    <row r="443" spans="1:42" ht="17.25" customHeight="1" x14ac:dyDescent="0.25">
      <c r="A443" s="44">
        <v>2008</v>
      </c>
      <c r="B443" s="45" t="s">
        <v>66</v>
      </c>
      <c r="C443" s="45" t="s">
        <v>41</v>
      </c>
      <c r="D443" s="45" t="s">
        <v>43</v>
      </c>
      <c r="E443" s="45" t="s">
        <v>67</v>
      </c>
      <c r="F443" s="45" t="s">
        <v>67</v>
      </c>
      <c r="G443" s="46">
        <v>8590000000</v>
      </c>
      <c r="H443" s="45" t="s">
        <v>68</v>
      </c>
      <c r="I443" s="47" t="str">
        <f t="shared" si="128"/>
        <v>Rest of Middle East-Offline</v>
      </c>
      <c r="J443" s="47" t="str">
        <f t="shared" si="129"/>
        <v/>
      </c>
      <c r="K443" s="47"/>
      <c r="L443" s="41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</row>
    <row r="444" spans="1:42" ht="17.25" customHeight="1" x14ac:dyDescent="0.25">
      <c r="A444" s="37">
        <v>2008</v>
      </c>
      <c r="B444" s="38" t="s">
        <v>66</v>
      </c>
      <c r="C444" s="38" t="s">
        <v>41</v>
      </c>
      <c r="D444" s="38" t="s">
        <v>43</v>
      </c>
      <c r="E444" s="38" t="s">
        <v>69</v>
      </c>
      <c r="F444" s="38" t="s">
        <v>70</v>
      </c>
      <c r="G444" s="39">
        <v>369000000</v>
      </c>
      <c r="H444" s="38" t="s">
        <v>68</v>
      </c>
      <c r="I444" s="40" t="str">
        <f t="shared" si="128"/>
        <v>Rest of Middle East-Online Supplier-Direct</v>
      </c>
      <c r="J444" s="40" t="str">
        <f t="shared" si="129"/>
        <v/>
      </c>
      <c r="K444" s="40"/>
      <c r="L444" s="41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</row>
    <row r="445" spans="1:42" ht="17.25" customHeight="1" x14ac:dyDescent="0.25">
      <c r="A445" s="44">
        <v>2008</v>
      </c>
      <c r="B445" s="45" t="s">
        <v>66</v>
      </c>
      <c r="C445" s="45" t="s">
        <v>41</v>
      </c>
      <c r="D445" s="45" t="s">
        <v>43</v>
      </c>
      <c r="E445" s="45" t="s">
        <v>69</v>
      </c>
      <c r="F445" s="45" t="s">
        <v>71</v>
      </c>
      <c r="G445" s="46">
        <v>332000000</v>
      </c>
      <c r="H445" s="45" t="s">
        <v>68</v>
      </c>
      <c r="I445" s="47" t="str">
        <f t="shared" si="128"/>
        <v>Rest of Middle East-OTA</v>
      </c>
      <c r="J445" s="47" t="str">
        <f t="shared" si="129"/>
        <v/>
      </c>
      <c r="K445" s="47"/>
      <c r="L445" s="41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</row>
    <row r="446" spans="1:42" ht="17.25" customHeight="1" x14ac:dyDescent="0.25">
      <c r="A446" s="37">
        <v>2008</v>
      </c>
      <c r="B446" s="38" t="s">
        <v>66</v>
      </c>
      <c r="C446" s="38" t="s">
        <v>17</v>
      </c>
      <c r="D446" s="38" t="s">
        <v>23</v>
      </c>
      <c r="E446" s="38" t="s">
        <v>67</v>
      </c>
      <c r="F446" s="38" t="s">
        <v>67</v>
      </c>
      <c r="G446" s="39">
        <v>3560000000</v>
      </c>
      <c r="H446" s="38" t="s">
        <v>68</v>
      </c>
      <c r="I446" s="40" t="str">
        <f t="shared" si="128"/>
        <v>Romania-Offline</v>
      </c>
      <c r="J446" s="40" t="str">
        <f t="shared" si="129"/>
        <v/>
      </c>
      <c r="K446" s="40"/>
      <c r="L446" s="41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</row>
    <row r="447" spans="1:42" ht="17.25" customHeight="1" x14ac:dyDescent="0.25">
      <c r="A447" s="44">
        <v>2008</v>
      </c>
      <c r="B447" s="45" t="s">
        <v>66</v>
      </c>
      <c r="C447" s="45" t="s">
        <v>17</v>
      </c>
      <c r="D447" s="45" t="s">
        <v>23</v>
      </c>
      <c r="E447" s="45" t="s">
        <v>69</v>
      </c>
      <c r="F447" s="45" t="s">
        <v>70</v>
      </c>
      <c r="G447" s="46">
        <v>330000000</v>
      </c>
      <c r="H447" s="45" t="s">
        <v>68</v>
      </c>
      <c r="I447" s="47" t="str">
        <f t="shared" si="128"/>
        <v>Romania-Online Supplier-Direct</v>
      </c>
      <c r="J447" s="47" t="str">
        <f t="shared" si="129"/>
        <v/>
      </c>
      <c r="K447" s="47"/>
      <c r="L447" s="41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</row>
    <row r="448" spans="1:42" ht="17.25" customHeight="1" x14ac:dyDescent="0.25">
      <c r="A448" s="37">
        <v>2008</v>
      </c>
      <c r="B448" s="38" t="s">
        <v>66</v>
      </c>
      <c r="C448" s="38" t="s">
        <v>17</v>
      </c>
      <c r="D448" s="38" t="s">
        <v>23</v>
      </c>
      <c r="E448" s="38" t="s">
        <v>69</v>
      </c>
      <c r="F448" s="38" t="s">
        <v>71</v>
      </c>
      <c r="G448" s="39">
        <v>128000000</v>
      </c>
      <c r="H448" s="38" t="s">
        <v>68</v>
      </c>
      <c r="I448" s="40" t="str">
        <f t="shared" si="128"/>
        <v>Romania-OTA</v>
      </c>
      <c r="J448" s="40" t="str">
        <f t="shared" si="129"/>
        <v/>
      </c>
      <c r="K448" s="40"/>
      <c r="L448" s="41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</row>
    <row r="449" spans="1:42" ht="17.25" customHeight="1" x14ac:dyDescent="0.25">
      <c r="A449" s="44">
        <v>2008</v>
      </c>
      <c r="B449" s="45" t="s">
        <v>66</v>
      </c>
      <c r="C449" s="45" t="s">
        <v>17</v>
      </c>
      <c r="D449" s="45" t="s">
        <v>24</v>
      </c>
      <c r="E449" s="45" t="s">
        <v>67</v>
      </c>
      <c r="F449" s="45" t="s">
        <v>67</v>
      </c>
      <c r="G449" s="46">
        <v>44900000000</v>
      </c>
      <c r="H449" s="45" t="s">
        <v>68</v>
      </c>
      <c r="I449" s="47" t="str">
        <f t="shared" si="128"/>
        <v>Russia-Offline</v>
      </c>
      <c r="J449" s="47" t="str">
        <f t="shared" si="129"/>
        <v/>
      </c>
      <c r="K449" s="47"/>
      <c r="L449" s="41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</row>
    <row r="450" spans="1:42" ht="17.25" customHeight="1" x14ac:dyDescent="0.25">
      <c r="A450" s="37">
        <v>2008</v>
      </c>
      <c r="B450" s="38" t="s">
        <v>66</v>
      </c>
      <c r="C450" s="38" t="s">
        <v>17</v>
      </c>
      <c r="D450" s="38" t="s">
        <v>24</v>
      </c>
      <c r="E450" s="38" t="s">
        <v>69</v>
      </c>
      <c r="F450" s="38" t="s">
        <v>70</v>
      </c>
      <c r="G450" s="39">
        <v>1450000000</v>
      </c>
      <c r="H450" s="38" t="s">
        <v>68</v>
      </c>
      <c r="I450" s="40" t="str">
        <f t="shared" si="128"/>
        <v>Russia-Online Supplier-Direct</v>
      </c>
      <c r="J450" s="40" t="str">
        <f t="shared" si="129"/>
        <v/>
      </c>
      <c r="K450" s="40"/>
      <c r="L450" s="41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</row>
    <row r="451" spans="1:42" ht="17.25" customHeight="1" x14ac:dyDescent="0.25">
      <c r="A451" s="44">
        <v>2008</v>
      </c>
      <c r="B451" s="45" t="s">
        <v>66</v>
      </c>
      <c r="C451" s="45" t="s">
        <v>17</v>
      </c>
      <c r="D451" s="45" t="s">
        <v>24</v>
      </c>
      <c r="E451" s="45" t="s">
        <v>69</v>
      </c>
      <c r="F451" s="45" t="s">
        <v>71</v>
      </c>
      <c r="G451" s="46">
        <v>1280000000</v>
      </c>
      <c r="H451" s="45" t="s">
        <v>68</v>
      </c>
      <c r="I451" s="47" t="str">
        <f t="shared" si="128"/>
        <v>Russia-OTA</v>
      </c>
      <c r="J451" s="47" t="str">
        <f t="shared" si="129"/>
        <v/>
      </c>
      <c r="K451" s="47"/>
      <c r="L451" s="41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</row>
    <row r="452" spans="1:42" ht="17.25" customHeight="1" x14ac:dyDescent="0.25">
      <c r="A452" s="37">
        <v>2008</v>
      </c>
      <c r="B452" s="38" t="s">
        <v>66</v>
      </c>
      <c r="C452" s="38" t="s">
        <v>41</v>
      </c>
      <c r="D452" s="38" t="s">
        <v>44</v>
      </c>
      <c r="E452" s="38" t="s">
        <v>67</v>
      </c>
      <c r="F452" s="38" t="s">
        <v>67</v>
      </c>
      <c r="G452" s="39">
        <v>9940000000</v>
      </c>
      <c r="H452" s="38" t="s">
        <v>68</v>
      </c>
      <c r="I452" s="40" t="str">
        <f t="shared" si="128"/>
        <v>Saudi Arabia-Offline</v>
      </c>
      <c r="J452" s="40" t="str">
        <f t="shared" si="129"/>
        <v/>
      </c>
      <c r="K452" s="40"/>
      <c r="L452" s="41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</row>
    <row r="453" spans="1:42" ht="17.25" customHeight="1" x14ac:dyDescent="0.25">
      <c r="A453" s="44">
        <v>2008</v>
      </c>
      <c r="B453" s="45" t="s">
        <v>66</v>
      </c>
      <c r="C453" s="45" t="s">
        <v>41</v>
      </c>
      <c r="D453" s="45" t="s">
        <v>44</v>
      </c>
      <c r="E453" s="45" t="s">
        <v>69</v>
      </c>
      <c r="F453" s="45" t="s">
        <v>70</v>
      </c>
      <c r="G453" s="46">
        <v>430000000</v>
      </c>
      <c r="H453" s="45" t="s">
        <v>68</v>
      </c>
      <c r="I453" s="47" t="str">
        <f t="shared" si="128"/>
        <v>Saudi Arabia-Online Supplier-Direct</v>
      </c>
      <c r="J453" s="47" t="str">
        <f t="shared" si="129"/>
        <v/>
      </c>
      <c r="K453" s="47"/>
      <c r="L453" s="41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</row>
    <row r="454" spans="1:42" ht="17.25" customHeight="1" x14ac:dyDescent="0.25">
      <c r="A454" s="37">
        <v>2008</v>
      </c>
      <c r="B454" s="38" t="s">
        <v>66</v>
      </c>
      <c r="C454" s="38" t="s">
        <v>41</v>
      </c>
      <c r="D454" s="38" t="s">
        <v>44</v>
      </c>
      <c r="E454" s="38" t="s">
        <v>69</v>
      </c>
      <c r="F454" s="38" t="s">
        <v>71</v>
      </c>
      <c r="G454" s="39">
        <v>777000000</v>
      </c>
      <c r="H454" s="38" t="s">
        <v>68</v>
      </c>
      <c r="I454" s="40" t="str">
        <f t="shared" si="128"/>
        <v>Saudi Arabia-OTA</v>
      </c>
      <c r="J454" s="40" t="str">
        <f t="shared" si="129"/>
        <v/>
      </c>
      <c r="K454" s="40"/>
      <c r="L454" s="41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</row>
    <row r="455" spans="1:42" ht="17.25" customHeight="1" x14ac:dyDescent="0.25">
      <c r="A455" s="44">
        <v>2008</v>
      </c>
      <c r="B455" s="45" t="s">
        <v>66</v>
      </c>
      <c r="C455" s="45" t="s">
        <v>27</v>
      </c>
      <c r="D455" s="45" t="s">
        <v>31</v>
      </c>
      <c r="E455" s="45" t="s">
        <v>67</v>
      </c>
      <c r="F455" s="45" t="s">
        <v>67</v>
      </c>
      <c r="G455" s="46">
        <v>13000000000</v>
      </c>
      <c r="H455" s="45" t="s">
        <v>68</v>
      </c>
      <c r="I455" s="47" t="str">
        <f t="shared" si="128"/>
        <v>Scandinavia-Offline</v>
      </c>
      <c r="J455" s="47" t="str">
        <f t="shared" si="129"/>
        <v/>
      </c>
      <c r="K455" s="47"/>
      <c r="L455" s="41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</row>
    <row r="456" spans="1:42" ht="17.25" customHeight="1" x14ac:dyDescent="0.25">
      <c r="A456" s="37">
        <v>2008</v>
      </c>
      <c r="B456" s="38" t="s">
        <v>66</v>
      </c>
      <c r="C456" s="38" t="s">
        <v>27</v>
      </c>
      <c r="D456" s="38" t="s">
        <v>31</v>
      </c>
      <c r="E456" s="38" t="s">
        <v>69</v>
      </c>
      <c r="F456" s="38" t="s">
        <v>70</v>
      </c>
      <c r="G456" s="39">
        <v>5030000000</v>
      </c>
      <c r="H456" s="38" t="s">
        <v>68</v>
      </c>
      <c r="I456" s="40" t="str">
        <f t="shared" si="128"/>
        <v>Scandinavia-Online Supplier-Direct</v>
      </c>
      <c r="J456" s="40" t="str">
        <f t="shared" si="129"/>
        <v/>
      </c>
      <c r="K456" s="40"/>
      <c r="L456" s="41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</row>
    <row r="457" spans="1:42" ht="17.25" customHeight="1" x14ac:dyDescent="0.25">
      <c r="A457" s="44">
        <v>2008</v>
      </c>
      <c r="B457" s="45" t="s">
        <v>66</v>
      </c>
      <c r="C457" s="45" t="s">
        <v>27</v>
      </c>
      <c r="D457" s="45" t="s">
        <v>31</v>
      </c>
      <c r="E457" s="45" t="s">
        <v>69</v>
      </c>
      <c r="F457" s="45" t="s">
        <v>71</v>
      </c>
      <c r="G457" s="46">
        <v>2370000000</v>
      </c>
      <c r="H457" s="45" t="s">
        <v>68</v>
      </c>
      <c r="I457" s="47" t="str">
        <f t="shared" si="128"/>
        <v>Scandinavia-OTA</v>
      </c>
      <c r="J457" s="47" t="str">
        <f t="shared" si="129"/>
        <v/>
      </c>
      <c r="K457" s="47"/>
      <c r="L457" s="41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</row>
    <row r="458" spans="1:42" ht="17.25" customHeight="1" x14ac:dyDescent="0.25">
      <c r="A458" s="37">
        <v>2008</v>
      </c>
      <c r="B458" s="38" t="s">
        <v>66</v>
      </c>
      <c r="C458" s="38" t="s">
        <v>4</v>
      </c>
      <c r="D458" s="38" t="s">
        <v>12</v>
      </c>
      <c r="E458" s="38" t="s">
        <v>67</v>
      </c>
      <c r="F458" s="38" t="s">
        <v>67</v>
      </c>
      <c r="G458" s="39">
        <v>5170000000</v>
      </c>
      <c r="H458" s="38" t="s">
        <v>68</v>
      </c>
      <c r="I458" s="40" t="str">
        <f t="shared" si="128"/>
        <v>Singapore-Offline</v>
      </c>
      <c r="J458" s="40" t="str">
        <f t="shared" si="129"/>
        <v/>
      </c>
      <c r="K458" s="40"/>
      <c r="L458" s="41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</row>
    <row r="459" spans="1:42" ht="17.25" customHeight="1" x14ac:dyDescent="0.25">
      <c r="A459" s="44">
        <v>2008</v>
      </c>
      <c r="B459" s="45" t="s">
        <v>66</v>
      </c>
      <c r="C459" s="45" t="s">
        <v>4</v>
      </c>
      <c r="D459" s="45" t="s">
        <v>12</v>
      </c>
      <c r="E459" s="45" t="s">
        <v>69</v>
      </c>
      <c r="F459" s="45" t="s">
        <v>70</v>
      </c>
      <c r="G459" s="46">
        <v>1330000000</v>
      </c>
      <c r="H459" s="45" t="s">
        <v>68</v>
      </c>
      <c r="I459" s="47" t="str">
        <f t="shared" si="128"/>
        <v>Singapore-Online Supplier-Direct</v>
      </c>
      <c r="J459" s="47" t="str">
        <f t="shared" si="129"/>
        <v/>
      </c>
      <c r="K459" s="47"/>
      <c r="L459" s="41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</row>
    <row r="460" spans="1:42" ht="17.25" customHeight="1" x14ac:dyDescent="0.25">
      <c r="A460" s="37">
        <v>2008</v>
      </c>
      <c r="B460" s="38" t="s">
        <v>66</v>
      </c>
      <c r="C460" s="38" t="s">
        <v>4</v>
      </c>
      <c r="D460" s="38" t="s">
        <v>12</v>
      </c>
      <c r="E460" s="38" t="s">
        <v>69</v>
      </c>
      <c r="F460" s="38" t="s">
        <v>71</v>
      </c>
      <c r="G460" s="39">
        <v>231000000</v>
      </c>
      <c r="H460" s="38" t="s">
        <v>68</v>
      </c>
      <c r="I460" s="40" t="str">
        <f t="shared" si="128"/>
        <v>Singapore-OTA</v>
      </c>
      <c r="J460" s="40" t="str">
        <f t="shared" si="129"/>
        <v/>
      </c>
      <c r="K460" s="40"/>
      <c r="L460" s="41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</row>
    <row r="461" spans="1:42" ht="17.25" customHeight="1" x14ac:dyDescent="0.25">
      <c r="A461" s="44">
        <v>2008</v>
      </c>
      <c r="B461" s="45" t="s">
        <v>66</v>
      </c>
      <c r="C461" s="45" t="s">
        <v>4</v>
      </c>
      <c r="D461" s="45" t="s">
        <v>13</v>
      </c>
      <c r="E461" s="45" t="s">
        <v>67</v>
      </c>
      <c r="F461" s="45" t="s">
        <v>67</v>
      </c>
      <c r="G461" s="46">
        <v>9790000000</v>
      </c>
      <c r="H461" s="45" t="s">
        <v>68</v>
      </c>
      <c r="I461" s="47" t="str">
        <f t="shared" si="128"/>
        <v>South Korea-Offline</v>
      </c>
      <c r="J461" s="47" t="str">
        <f t="shared" si="129"/>
        <v/>
      </c>
      <c r="K461" s="47"/>
      <c r="L461" s="41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</row>
    <row r="462" spans="1:42" ht="17.25" customHeight="1" x14ac:dyDescent="0.25">
      <c r="A462" s="37">
        <v>2008</v>
      </c>
      <c r="B462" s="38" t="s">
        <v>66</v>
      </c>
      <c r="C462" s="38" t="s">
        <v>4</v>
      </c>
      <c r="D462" s="38" t="s">
        <v>13</v>
      </c>
      <c r="E462" s="38" t="s">
        <v>69</v>
      </c>
      <c r="F462" s="38" t="s">
        <v>70</v>
      </c>
      <c r="G462" s="39">
        <v>1230000000</v>
      </c>
      <c r="H462" s="38" t="s">
        <v>68</v>
      </c>
      <c r="I462" s="40" t="str">
        <f t="shared" si="128"/>
        <v>South Korea-Online Supplier-Direct</v>
      </c>
      <c r="J462" s="40" t="str">
        <f t="shared" si="129"/>
        <v/>
      </c>
      <c r="K462" s="40"/>
      <c r="L462" s="41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</row>
    <row r="463" spans="1:42" ht="17.25" customHeight="1" x14ac:dyDescent="0.25">
      <c r="A463" s="44">
        <v>2008</v>
      </c>
      <c r="B463" s="45" t="s">
        <v>66</v>
      </c>
      <c r="C463" s="45" t="s">
        <v>4</v>
      </c>
      <c r="D463" s="45" t="s">
        <v>13</v>
      </c>
      <c r="E463" s="45" t="s">
        <v>69</v>
      </c>
      <c r="F463" s="45" t="s">
        <v>71</v>
      </c>
      <c r="G463" s="46">
        <v>90574595</v>
      </c>
      <c r="H463" s="45" t="s">
        <v>68</v>
      </c>
      <c r="I463" s="47" t="str">
        <f t="shared" si="128"/>
        <v>South Korea-OTA</v>
      </c>
      <c r="J463" s="47" t="str">
        <f t="shared" si="129"/>
        <v/>
      </c>
      <c r="K463" s="47"/>
      <c r="L463" s="41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</row>
    <row r="464" spans="1:42" ht="17.25" customHeight="1" x14ac:dyDescent="0.25">
      <c r="A464" s="37">
        <v>2008</v>
      </c>
      <c r="B464" s="38" t="s">
        <v>66</v>
      </c>
      <c r="C464" s="38" t="s">
        <v>27</v>
      </c>
      <c r="D464" s="38" t="s">
        <v>32</v>
      </c>
      <c r="E464" s="38" t="s">
        <v>67</v>
      </c>
      <c r="F464" s="38" t="s">
        <v>67</v>
      </c>
      <c r="G464" s="39">
        <v>22900000000</v>
      </c>
      <c r="H464" s="38" t="s">
        <v>68</v>
      </c>
      <c r="I464" s="40" t="str">
        <f t="shared" si="128"/>
        <v>Spain-Offline</v>
      </c>
      <c r="J464" s="40" t="str">
        <f t="shared" si="129"/>
        <v/>
      </c>
      <c r="K464" s="40"/>
      <c r="L464" s="41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</row>
    <row r="465" spans="1:42" ht="17.25" customHeight="1" x14ac:dyDescent="0.25">
      <c r="A465" s="44">
        <v>2008</v>
      </c>
      <c r="B465" s="45" t="s">
        <v>66</v>
      </c>
      <c r="C465" s="45" t="s">
        <v>27</v>
      </c>
      <c r="D465" s="45" t="s">
        <v>32</v>
      </c>
      <c r="E465" s="45" t="s">
        <v>69</v>
      </c>
      <c r="F465" s="45" t="s">
        <v>70</v>
      </c>
      <c r="G465" s="46">
        <v>2710000000</v>
      </c>
      <c r="H465" s="45" t="s">
        <v>68</v>
      </c>
      <c r="I465" s="47" t="str">
        <f t="shared" si="128"/>
        <v>Spain-Online Supplier-Direct</v>
      </c>
      <c r="J465" s="47" t="str">
        <f t="shared" si="129"/>
        <v/>
      </c>
      <c r="K465" s="47"/>
      <c r="L465" s="41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</row>
    <row r="466" spans="1:42" ht="17.25" customHeight="1" x14ac:dyDescent="0.25">
      <c r="A466" s="37">
        <v>2008</v>
      </c>
      <c r="B466" s="38" t="s">
        <v>66</v>
      </c>
      <c r="C466" s="38" t="s">
        <v>27</v>
      </c>
      <c r="D466" s="38" t="s">
        <v>32</v>
      </c>
      <c r="E466" s="38" t="s">
        <v>69</v>
      </c>
      <c r="F466" s="38" t="s">
        <v>71</v>
      </c>
      <c r="G466" s="39">
        <v>3320000000</v>
      </c>
      <c r="H466" s="38" t="s">
        <v>68</v>
      </c>
      <c r="I466" s="40" t="str">
        <f t="shared" si="128"/>
        <v>Spain-OTA</v>
      </c>
      <c r="J466" s="40" t="str">
        <f t="shared" si="129"/>
        <v/>
      </c>
      <c r="K466" s="40"/>
      <c r="L466" s="41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</row>
    <row r="467" spans="1:42" ht="17.25" customHeight="1" x14ac:dyDescent="0.25">
      <c r="A467" s="44">
        <v>2008</v>
      </c>
      <c r="B467" s="45" t="s">
        <v>66</v>
      </c>
      <c r="C467" s="45" t="s">
        <v>4</v>
      </c>
      <c r="D467" s="45" t="s">
        <v>14</v>
      </c>
      <c r="E467" s="45" t="s">
        <v>67</v>
      </c>
      <c r="F467" s="45" t="s">
        <v>67</v>
      </c>
      <c r="G467" s="46">
        <v>4520000000</v>
      </c>
      <c r="H467" s="45" t="s">
        <v>68</v>
      </c>
      <c r="I467" s="47" t="str">
        <f t="shared" si="128"/>
        <v>Taiwan-Offline</v>
      </c>
      <c r="J467" s="47" t="str">
        <f t="shared" si="129"/>
        <v/>
      </c>
      <c r="K467" s="47"/>
      <c r="L467" s="41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</row>
    <row r="468" spans="1:42" ht="17.25" customHeight="1" x14ac:dyDescent="0.25">
      <c r="A468" s="37">
        <v>2008</v>
      </c>
      <c r="B468" s="38" t="s">
        <v>66</v>
      </c>
      <c r="C468" s="38" t="s">
        <v>4</v>
      </c>
      <c r="D468" s="38" t="s">
        <v>14</v>
      </c>
      <c r="E468" s="38" t="s">
        <v>69</v>
      </c>
      <c r="F468" s="38" t="s">
        <v>70</v>
      </c>
      <c r="G468" s="39">
        <v>375000000</v>
      </c>
      <c r="H468" s="38" t="s">
        <v>68</v>
      </c>
      <c r="I468" s="40" t="str">
        <f t="shared" si="128"/>
        <v>Taiwan-Online Supplier-Direct</v>
      </c>
      <c r="J468" s="40" t="str">
        <f t="shared" si="129"/>
        <v/>
      </c>
      <c r="K468" s="40"/>
      <c r="L468" s="41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</row>
    <row r="469" spans="1:42" ht="17.25" customHeight="1" x14ac:dyDescent="0.25">
      <c r="A469" s="44">
        <v>2008</v>
      </c>
      <c r="B469" s="45" t="s">
        <v>66</v>
      </c>
      <c r="C469" s="45" t="s">
        <v>4</v>
      </c>
      <c r="D469" s="45" t="s">
        <v>14</v>
      </c>
      <c r="E469" s="45" t="s">
        <v>69</v>
      </c>
      <c r="F469" s="45" t="s">
        <v>71</v>
      </c>
      <c r="G469" s="46">
        <v>93051641</v>
      </c>
      <c r="H469" s="45" t="s">
        <v>68</v>
      </c>
      <c r="I469" s="47" t="str">
        <f t="shared" si="128"/>
        <v>Taiwan-OTA</v>
      </c>
      <c r="J469" s="47" t="str">
        <f t="shared" si="129"/>
        <v/>
      </c>
      <c r="K469" s="47"/>
      <c r="L469" s="41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</row>
    <row r="470" spans="1:42" ht="17.25" customHeight="1" x14ac:dyDescent="0.25">
      <c r="A470" s="37">
        <v>2008</v>
      </c>
      <c r="B470" s="38" t="s">
        <v>66</v>
      </c>
      <c r="C470" s="38" t="s">
        <v>4</v>
      </c>
      <c r="D470" s="38" t="s">
        <v>15</v>
      </c>
      <c r="E470" s="38" t="s">
        <v>67</v>
      </c>
      <c r="F470" s="38" t="s">
        <v>67</v>
      </c>
      <c r="G470" s="39">
        <v>8500000000</v>
      </c>
      <c r="H470" s="38" t="s">
        <v>68</v>
      </c>
      <c r="I470" s="40" t="str">
        <f t="shared" si="128"/>
        <v>Thailand-Offline</v>
      </c>
      <c r="J470" s="40" t="str">
        <f t="shared" si="129"/>
        <v/>
      </c>
      <c r="K470" s="40"/>
      <c r="L470" s="41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</row>
    <row r="471" spans="1:42" ht="17.25" customHeight="1" x14ac:dyDescent="0.25">
      <c r="A471" s="44">
        <v>2008</v>
      </c>
      <c r="B471" s="45" t="s">
        <v>66</v>
      </c>
      <c r="C471" s="45" t="s">
        <v>4</v>
      </c>
      <c r="D471" s="45" t="s">
        <v>15</v>
      </c>
      <c r="E471" s="45" t="s">
        <v>69</v>
      </c>
      <c r="F471" s="45" t="s">
        <v>70</v>
      </c>
      <c r="G471" s="46">
        <v>766000000</v>
      </c>
      <c r="H471" s="45" t="s">
        <v>68</v>
      </c>
      <c r="I471" s="47" t="str">
        <f t="shared" si="128"/>
        <v>Thailand-Online Supplier-Direct</v>
      </c>
      <c r="J471" s="47" t="str">
        <f t="shared" si="129"/>
        <v/>
      </c>
      <c r="K471" s="47"/>
      <c r="L471" s="41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</row>
    <row r="472" spans="1:42" ht="17.25" customHeight="1" x14ac:dyDescent="0.25">
      <c r="A472" s="37">
        <v>2008</v>
      </c>
      <c r="B472" s="38" t="s">
        <v>66</v>
      </c>
      <c r="C472" s="38" t="s">
        <v>4</v>
      </c>
      <c r="D472" s="38" t="s">
        <v>15</v>
      </c>
      <c r="E472" s="38" t="s">
        <v>69</v>
      </c>
      <c r="F472" s="38" t="s">
        <v>71</v>
      </c>
      <c r="G472" s="39">
        <v>517000000</v>
      </c>
      <c r="H472" s="38" t="s">
        <v>68</v>
      </c>
      <c r="I472" s="40" t="str">
        <f t="shared" si="128"/>
        <v>Thailand-OTA</v>
      </c>
      <c r="J472" s="40" t="str">
        <f t="shared" si="129"/>
        <v/>
      </c>
      <c r="K472" s="40"/>
      <c r="L472" s="41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</row>
    <row r="473" spans="1:42" ht="17.25" customHeight="1" x14ac:dyDescent="0.25">
      <c r="A473" s="44">
        <v>2008</v>
      </c>
      <c r="B473" s="45" t="s">
        <v>66</v>
      </c>
      <c r="C473" s="45" t="s">
        <v>41</v>
      </c>
      <c r="D473" s="45" t="s">
        <v>45</v>
      </c>
      <c r="E473" s="45" t="s">
        <v>67</v>
      </c>
      <c r="F473" s="45" t="s">
        <v>67</v>
      </c>
      <c r="G473" s="46">
        <v>22400000000</v>
      </c>
      <c r="H473" s="45" t="s">
        <v>68</v>
      </c>
      <c r="I473" s="47" t="str">
        <f t="shared" si="128"/>
        <v>U.A.E.-Offline</v>
      </c>
      <c r="J473" s="47" t="str">
        <f t="shared" si="129"/>
        <v/>
      </c>
      <c r="K473" s="47"/>
      <c r="L473" s="41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</row>
    <row r="474" spans="1:42" ht="17.25" customHeight="1" x14ac:dyDescent="0.25">
      <c r="A474" s="37">
        <v>2008</v>
      </c>
      <c r="B474" s="38" t="s">
        <v>66</v>
      </c>
      <c r="C474" s="38" t="s">
        <v>41</v>
      </c>
      <c r="D474" s="38" t="s">
        <v>45</v>
      </c>
      <c r="E474" s="38" t="s">
        <v>69</v>
      </c>
      <c r="F474" s="38" t="s">
        <v>70</v>
      </c>
      <c r="G474" s="39">
        <v>1850000000</v>
      </c>
      <c r="H474" s="38" t="s">
        <v>68</v>
      </c>
      <c r="I474" s="40" t="str">
        <f t="shared" si="128"/>
        <v>U.A.E.-Online Supplier-Direct</v>
      </c>
      <c r="J474" s="40" t="str">
        <f t="shared" si="129"/>
        <v/>
      </c>
      <c r="K474" s="40"/>
      <c r="L474" s="41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</row>
    <row r="475" spans="1:42" ht="17.25" customHeight="1" x14ac:dyDescent="0.25">
      <c r="A475" s="44">
        <v>2008</v>
      </c>
      <c r="B475" s="45" t="s">
        <v>66</v>
      </c>
      <c r="C475" s="45" t="s">
        <v>41</v>
      </c>
      <c r="D475" s="45" t="s">
        <v>45</v>
      </c>
      <c r="E475" s="45" t="s">
        <v>69</v>
      </c>
      <c r="F475" s="45" t="s">
        <v>71</v>
      </c>
      <c r="G475" s="46">
        <v>1940000000</v>
      </c>
      <c r="H475" s="45" t="s">
        <v>68</v>
      </c>
      <c r="I475" s="47" t="str">
        <f t="shared" si="128"/>
        <v>U.A.E.-OTA</v>
      </c>
      <c r="J475" s="47" t="str">
        <f t="shared" si="129"/>
        <v/>
      </c>
      <c r="K475" s="47"/>
      <c r="L475" s="41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</row>
    <row r="476" spans="1:42" ht="17.25" customHeight="1" x14ac:dyDescent="0.25">
      <c r="A476" s="37">
        <v>2008</v>
      </c>
      <c r="B476" s="38" t="s">
        <v>66</v>
      </c>
      <c r="C476" s="38" t="s">
        <v>27</v>
      </c>
      <c r="D476" s="38" t="s">
        <v>33</v>
      </c>
      <c r="E476" s="38" t="s">
        <v>67</v>
      </c>
      <c r="F476" s="38" t="s">
        <v>67</v>
      </c>
      <c r="G476" s="39">
        <v>44100000000</v>
      </c>
      <c r="H476" s="38" t="s">
        <v>68</v>
      </c>
      <c r="I476" s="40" t="str">
        <f t="shared" si="128"/>
        <v>U.K.-Offline</v>
      </c>
      <c r="J476" s="40" t="str">
        <f t="shared" si="129"/>
        <v/>
      </c>
      <c r="K476" s="40"/>
      <c r="L476" s="41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</row>
    <row r="477" spans="1:42" ht="17.25" customHeight="1" x14ac:dyDescent="0.25">
      <c r="A477" s="44">
        <v>2008</v>
      </c>
      <c r="B477" s="45" t="s">
        <v>66</v>
      </c>
      <c r="C477" s="45" t="s">
        <v>27</v>
      </c>
      <c r="D477" s="45" t="s">
        <v>33</v>
      </c>
      <c r="E477" s="45" t="s">
        <v>69</v>
      </c>
      <c r="F477" s="45" t="s">
        <v>70</v>
      </c>
      <c r="G477" s="46">
        <v>16200000000</v>
      </c>
      <c r="H477" s="45" t="s">
        <v>68</v>
      </c>
      <c r="I477" s="47" t="str">
        <f t="shared" si="128"/>
        <v>U.K.-Online Supplier-Direct</v>
      </c>
      <c r="J477" s="47" t="str">
        <f t="shared" si="129"/>
        <v/>
      </c>
      <c r="K477" s="47"/>
      <c r="L477" s="41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</row>
    <row r="478" spans="1:42" ht="17.25" customHeight="1" x14ac:dyDescent="0.25">
      <c r="A478" s="37">
        <v>2008</v>
      </c>
      <c r="B478" s="38" t="s">
        <v>66</v>
      </c>
      <c r="C478" s="38" t="s">
        <v>27</v>
      </c>
      <c r="D478" s="38" t="s">
        <v>33</v>
      </c>
      <c r="E478" s="38" t="s">
        <v>69</v>
      </c>
      <c r="F478" s="38" t="s">
        <v>71</v>
      </c>
      <c r="G478" s="39">
        <v>5740000000</v>
      </c>
      <c r="H478" s="38" t="s">
        <v>68</v>
      </c>
      <c r="I478" s="40" t="str">
        <f t="shared" si="128"/>
        <v>U.K.-OTA</v>
      </c>
      <c r="J478" s="40" t="str">
        <f t="shared" si="129"/>
        <v/>
      </c>
      <c r="K478" s="40"/>
      <c r="L478" s="41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</row>
    <row r="479" spans="1:42" ht="17.25" customHeight="1" x14ac:dyDescent="0.25">
      <c r="A479" s="44">
        <v>2008</v>
      </c>
      <c r="B479" s="45" t="s">
        <v>66</v>
      </c>
      <c r="C479" s="45" t="s">
        <v>47</v>
      </c>
      <c r="D479" s="45" t="s">
        <v>48</v>
      </c>
      <c r="E479" s="45" t="s">
        <v>72</v>
      </c>
      <c r="F479" s="45" t="s">
        <v>73</v>
      </c>
      <c r="G479" s="46">
        <v>72900000000</v>
      </c>
      <c r="H479" s="45" t="s">
        <v>68</v>
      </c>
      <c r="I479" s="47" t="str">
        <f t="shared" si="128"/>
        <v>U.S.-Central Reservation</v>
      </c>
      <c r="J479" s="47" t="str">
        <f t="shared" si="129"/>
        <v/>
      </c>
      <c r="K479" s="47"/>
      <c r="L479" s="41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</row>
    <row r="480" spans="1:42" ht="17.25" customHeight="1" x14ac:dyDescent="0.25">
      <c r="A480" s="37">
        <v>2008</v>
      </c>
      <c r="B480" s="38" t="s">
        <v>66</v>
      </c>
      <c r="C480" s="38" t="s">
        <v>47</v>
      </c>
      <c r="D480" s="38" t="s">
        <v>48</v>
      </c>
      <c r="E480" s="38" t="s">
        <v>67</v>
      </c>
      <c r="F480" s="38" t="s">
        <v>74</v>
      </c>
      <c r="G480" s="39">
        <v>72100000000</v>
      </c>
      <c r="H480" s="38" t="s">
        <v>68</v>
      </c>
      <c r="I480" s="40" t="str">
        <f t="shared" si="128"/>
        <v>U.S.-Travel Agency/TMC</v>
      </c>
      <c r="J480" s="40" t="str">
        <f t="shared" si="129"/>
        <v/>
      </c>
      <c r="K480" s="40"/>
      <c r="L480" s="41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</row>
    <row r="481" spans="1:42" ht="17.25" customHeight="1" x14ac:dyDescent="0.25">
      <c r="A481" s="44">
        <v>2008</v>
      </c>
      <c r="B481" s="45" t="s">
        <v>66</v>
      </c>
      <c r="C481" s="45" t="s">
        <v>47</v>
      </c>
      <c r="D481" s="45" t="s">
        <v>48</v>
      </c>
      <c r="E481" s="45" t="s">
        <v>69</v>
      </c>
      <c r="F481" s="45" t="s">
        <v>70</v>
      </c>
      <c r="H481" s="45" t="s">
        <v>68</v>
      </c>
      <c r="I481" s="47" t="str">
        <f t="shared" si="128"/>
        <v>U.S.-Online Supplier-Direct</v>
      </c>
      <c r="J481" s="47" t="str">
        <f t="shared" si="129"/>
        <v/>
      </c>
      <c r="K481" s="47"/>
      <c r="L481" s="41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</row>
    <row r="482" spans="1:42" ht="17.25" customHeight="1" x14ac:dyDescent="0.25">
      <c r="A482" s="37">
        <v>2008</v>
      </c>
      <c r="B482" s="38" t="s">
        <v>66</v>
      </c>
      <c r="C482" s="38" t="s">
        <v>47</v>
      </c>
      <c r="D482" s="38" t="s">
        <v>48</v>
      </c>
      <c r="E482" s="38" t="s">
        <v>69</v>
      </c>
      <c r="F482" s="38" t="s">
        <v>71</v>
      </c>
      <c r="G482" s="39">
        <v>36300000000</v>
      </c>
      <c r="H482" s="38" t="s">
        <v>68</v>
      </c>
      <c r="I482" s="40" t="str">
        <f t="shared" si="128"/>
        <v>U.S.-OTA</v>
      </c>
      <c r="J482" s="40" t="str">
        <f t="shared" si="129"/>
        <v/>
      </c>
      <c r="K482" s="40"/>
      <c r="L482" s="41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</row>
    <row r="483" spans="1:42" ht="17.25" customHeight="1" x14ac:dyDescent="0.25">
      <c r="A483" s="44">
        <v>2008</v>
      </c>
      <c r="B483" s="45" t="s">
        <v>66</v>
      </c>
      <c r="C483" s="45" t="s">
        <v>17</v>
      </c>
      <c r="D483" s="45" t="s">
        <v>25</v>
      </c>
      <c r="E483" s="45" t="s">
        <v>67</v>
      </c>
      <c r="F483" s="45" t="s">
        <v>67</v>
      </c>
      <c r="G483" s="46">
        <v>4690000000</v>
      </c>
      <c r="H483" s="45" t="s">
        <v>68</v>
      </c>
      <c r="I483" s="47" t="str">
        <f t="shared" si="128"/>
        <v>Ukraine-Offline</v>
      </c>
      <c r="J483" s="47" t="str">
        <f t="shared" si="129"/>
        <v/>
      </c>
      <c r="K483" s="47"/>
      <c r="L483" s="41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</row>
    <row r="484" spans="1:42" ht="17.25" customHeight="1" x14ac:dyDescent="0.25">
      <c r="A484" s="37">
        <v>2008</v>
      </c>
      <c r="B484" s="38" t="s">
        <v>66</v>
      </c>
      <c r="C484" s="38" t="s">
        <v>17</v>
      </c>
      <c r="D484" s="38" t="s">
        <v>25</v>
      </c>
      <c r="E484" s="38" t="s">
        <v>69</v>
      </c>
      <c r="F484" s="38" t="s">
        <v>70</v>
      </c>
      <c r="G484" s="39">
        <v>430000000</v>
      </c>
      <c r="H484" s="38" t="s">
        <v>68</v>
      </c>
      <c r="I484" s="40" t="str">
        <f t="shared" si="128"/>
        <v>Ukraine-Online Supplier-Direct</v>
      </c>
      <c r="J484" s="40" t="str">
        <f t="shared" si="129"/>
        <v/>
      </c>
      <c r="K484" s="40"/>
      <c r="L484" s="41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</row>
    <row r="485" spans="1:42" ht="17.25" customHeight="1" x14ac:dyDescent="0.25">
      <c r="A485" s="44">
        <v>2008</v>
      </c>
      <c r="B485" s="45" t="s">
        <v>66</v>
      </c>
      <c r="C485" s="45" t="s">
        <v>17</v>
      </c>
      <c r="D485" s="45" t="s">
        <v>25</v>
      </c>
      <c r="E485" s="45" t="s">
        <v>69</v>
      </c>
      <c r="F485" s="45" t="s">
        <v>71</v>
      </c>
      <c r="G485" s="46">
        <v>233000000</v>
      </c>
      <c r="H485" s="45" t="s">
        <v>68</v>
      </c>
      <c r="I485" s="47" t="str">
        <f t="shared" si="128"/>
        <v>Ukraine-OTA</v>
      </c>
      <c r="J485" s="47" t="str">
        <f t="shared" si="129"/>
        <v/>
      </c>
      <c r="K485" s="54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</row>
    <row r="486" spans="1:42" ht="17.25" customHeight="1" x14ac:dyDescent="0.25">
      <c r="A486" s="55">
        <v>2009</v>
      </c>
      <c r="B486" s="56" t="s">
        <v>66</v>
      </c>
      <c r="C486" s="56" t="s">
        <v>35</v>
      </c>
      <c r="D486" s="56" t="s">
        <v>34</v>
      </c>
      <c r="E486" s="56" t="s">
        <v>67</v>
      </c>
      <c r="F486" s="56" t="s">
        <v>67</v>
      </c>
      <c r="G486" s="57">
        <v>8722804665</v>
      </c>
      <c r="H486" s="56" t="s">
        <v>68</v>
      </c>
      <c r="I486" s="58" t="str">
        <f t="shared" si="128"/>
        <v>Argentina-Offline</v>
      </c>
      <c r="J486" s="40"/>
      <c r="K486" s="59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</row>
    <row r="487" spans="1:42" ht="17.25" customHeight="1" x14ac:dyDescent="0.25">
      <c r="A487" s="60">
        <v>2009</v>
      </c>
      <c r="B487" s="61" t="s">
        <v>66</v>
      </c>
      <c r="C487" s="61" t="s">
        <v>35</v>
      </c>
      <c r="D487" s="61" t="s">
        <v>34</v>
      </c>
      <c r="E487" s="61" t="s">
        <v>69</v>
      </c>
      <c r="F487" s="61" t="s">
        <v>70</v>
      </c>
      <c r="G487" s="62">
        <v>189793912</v>
      </c>
      <c r="H487" s="61" t="s">
        <v>68</v>
      </c>
      <c r="I487" s="63" t="str">
        <f t="shared" si="128"/>
        <v>Argentina-Online Supplier-Direct</v>
      </c>
      <c r="J487" s="47"/>
      <c r="K487" s="54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</row>
    <row r="488" spans="1:42" ht="17.25" customHeight="1" x14ac:dyDescent="0.25">
      <c r="A488" s="55">
        <v>2009</v>
      </c>
      <c r="B488" s="56" t="s">
        <v>66</v>
      </c>
      <c r="C488" s="56" t="s">
        <v>35</v>
      </c>
      <c r="D488" s="56" t="s">
        <v>34</v>
      </c>
      <c r="E488" s="56" t="s">
        <v>69</v>
      </c>
      <c r="F488" s="56" t="s">
        <v>71</v>
      </c>
      <c r="G488" s="57">
        <v>222158033</v>
      </c>
      <c r="H488" s="56" t="s">
        <v>68</v>
      </c>
      <c r="I488" s="58" t="str">
        <f t="shared" si="128"/>
        <v>Argentina-OTA</v>
      </c>
      <c r="J488" s="40"/>
      <c r="K488" s="59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</row>
    <row r="489" spans="1:42" ht="17.25" customHeight="1" x14ac:dyDescent="0.25">
      <c r="A489" s="60">
        <v>2009</v>
      </c>
      <c r="B489" s="61" t="s">
        <v>66</v>
      </c>
      <c r="C489" s="61" t="s">
        <v>4</v>
      </c>
      <c r="D489" s="61" t="s">
        <v>3</v>
      </c>
      <c r="E489" s="61" t="s">
        <v>67</v>
      </c>
      <c r="F489" s="61" t="s">
        <v>67</v>
      </c>
      <c r="G489" s="62">
        <v>15523531464</v>
      </c>
      <c r="H489" s="61" t="s">
        <v>68</v>
      </c>
      <c r="I489" s="63" t="str">
        <f t="shared" si="128"/>
        <v>Australia-New Zealand-Offline</v>
      </c>
      <c r="J489" s="47"/>
      <c r="K489" s="54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</row>
    <row r="490" spans="1:42" ht="17.25" customHeight="1" x14ac:dyDescent="0.25">
      <c r="A490" s="55">
        <v>2009</v>
      </c>
      <c r="B490" s="56" t="s">
        <v>66</v>
      </c>
      <c r="C490" s="56" t="s">
        <v>4</v>
      </c>
      <c r="D490" s="56" t="s">
        <v>3</v>
      </c>
      <c r="E490" s="56" t="s">
        <v>69</v>
      </c>
      <c r="F490" s="56" t="s">
        <v>70</v>
      </c>
      <c r="G490" s="57">
        <v>6040014782</v>
      </c>
      <c r="H490" s="56" t="s">
        <v>68</v>
      </c>
      <c r="I490" s="58" t="str">
        <f t="shared" si="128"/>
        <v>Australia-New Zealand-Online Supplier-Direct</v>
      </c>
      <c r="J490" s="40"/>
      <c r="K490" s="59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</row>
    <row r="491" spans="1:42" ht="17.25" customHeight="1" x14ac:dyDescent="0.25">
      <c r="A491" s="60">
        <v>2009</v>
      </c>
      <c r="B491" s="61" t="s">
        <v>66</v>
      </c>
      <c r="C491" s="61" t="s">
        <v>4</v>
      </c>
      <c r="D491" s="61" t="s">
        <v>3</v>
      </c>
      <c r="E491" s="61" t="s">
        <v>69</v>
      </c>
      <c r="F491" s="61" t="s">
        <v>71</v>
      </c>
      <c r="G491" s="62">
        <v>1271681938</v>
      </c>
      <c r="H491" s="61" t="s">
        <v>68</v>
      </c>
      <c r="I491" s="63" t="str">
        <f t="shared" si="128"/>
        <v>Australia-New Zealand-OTA</v>
      </c>
      <c r="J491" s="47"/>
      <c r="K491" s="54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</row>
    <row r="492" spans="1:42" ht="17.25" customHeight="1" x14ac:dyDescent="0.25">
      <c r="A492" s="55">
        <v>2009</v>
      </c>
      <c r="B492" s="56" t="s">
        <v>66</v>
      </c>
      <c r="C492" s="56" t="s">
        <v>35</v>
      </c>
      <c r="D492" s="56" t="s">
        <v>36</v>
      </c>
      <c r="E492" s="56" t="s">
        <v>67</v>
      </c>
      <c r="F492" s="56" t="s">
        <v>67</v>
      </c>
      <c r="G492" s="57">
        <v>36370375145</v>
      </c>
      <c r="H492" s="56" t="s">
        <v>68</v>
      </c>
      <c r="I492" s="58" t="str">
        <f t="shared" si="128"/>
        <v>Brazil-Offline</v>
      </c>
      <c r="J492" s="40"/>
      <c r="K492" s="59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</row>
    <row r="493" spans="1:42" ht="17.25" customHeight="1" x14ac:dyDescent="0.25">
      <c r="A493" s="60">
        <v>2009</v>
      </c>
      <c r="B493" s="61" t="s">
        <v>66</v>
      </c>
      <c r="C493" s="61" t="s">
        <v>35</v>
      </c>
      <c r="D493" s="61" t="s">
        <v>36</v>
      </c>
      <c r="E493" s="61" t="s">
        <v>69</v>
      </c>
      <c r="F493" s="61" t="s">
        <v>70</v>
      </c>
      <c r="G493" s="62">
        <v>1453038547</v>
      </c>
      <c r="H493" s="61" t="s">
        <v>68</v>
      </c>
      <c r="I493" s="63" t="str">
        <f t="shared" si="128"/>
        <v>Brazil-Online Supplier-Direct</v>
      </c>
      <c r="J493" s="47"/>
      <c r="K493" s="54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</row>
    <row r="494" spans="1:42" ht="17.25" customHeight="1" x14ac:dyDescent="0.25">
      <c r="A494" s="55">
        <v>2009</v>
      </c>
      <c r="B494" s="56" t="s">
        <v>66</v>
      </c>
      <c r="C494" s="56" t="s">
        <v>35</v>
      </c>
      <c r="D494" s="56" t="s">
        <v>36</v>
      </c>
      <c r="E494" s="56" t="s">
        <v>69</v>
      </c>
      <c r="F494" s="56" t="s">
        <v>71</v>
      </c>
      <c r="G494" s="57">
        <v>2672182149</v>
      </c>
      <c r="H494" s="56" t="s">
        <v>68</v>
      </c>
      <c r="I494" s="58" t="str">
        <f t="shared" si="128"/>
        <v>Brazil-OTA</v>
      </c>
      <c r="J494" s="40"/>
      <c r="K494" s="59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</row>
    <row r="495" spans="1:42" ht="17.25" customHeight="1" x14ac:dyDescent="0.25">
      <c r="A495" s="60">
        <v>2009</v>
      </c>
      <c r="B495" s="61" t="s">
        <v>66</v>
      </c>
      <c r="C495" s="61" t="s">
        <v>17</v>
      </c>
      <c r="D495" s="61" t="s">
        <v>16</v>
      </c>
      <c r="E495" s="61" t="s">
        <v>67</v>
      </c>
      <c r="F495" s="61" t="s">
        <v>67</v>
      </c>
      <c r="G495" s="62">
        <v>1318340039</v>
      </c>
      <c r="H495" s="61" t="s">
        <v>68</v>
      </c>
      <c r="I495" s="63" t="str">
        <f t="shared" si="128"/>
        <v>Bulgaria-Offline</v>
      </c>
      <c r="J495" s="47"/>
      <c r="K495" s="54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</row>
    <row r="496" spans="1:42" ht="17.25" customHeight="1" x14ac:dyDescent="0.25">
      <c r="A496" s="55">
        <v>2009</v>
      </c>
      <c r="B496" s="56" t="s">
        <v>66</v>
      </c>
      <c r="C496" s="56" t="s">
        <v>17</v>
      </c>
      <c r="D496" s="56" t="s">
        <v>16</v>
      </c>
      <c r="E496" s="56" t="s">
        <v>69</v>
      </c>
      <c r="F496" s="56" t="s">
        <v>70</v>
      </c>
      <c r="G496" s="57">
        <v>83036315</v>
      </c>
      <c r="H496" s="56" t="s">
        <v>68</v>
      </c>
      <c r="I496" s="58" t="str">
        <f t="shared" si="128"/>
        <v>Bulgaria-Online Supplier-Direct</v>
      </c>
      <c r="J496" s="40"/>
      <c r="K496" s="59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</row>
    <row r="497" spans="1:42" ht="17.25" customHeight="1" x14ac:dyDescent="0.25">
      <c r="A497" s="60">
        <v>2009</v>
      </c>
      <c r="B497" s="61" t="s">
        <v>66</v>
      </c>
      <c r="C497" s="61" t="s">
        <v>17</v>
      </c>
      <c r="D497" s="61" t="s">
        <v>16</v>
      </c>
      <c r="E497" s="61" t="s">
        <v>69</v>
      </c>
      <c r="F497" s="61" t="s">
        <v>71</v>
      </c>
      <c r="G497" s="62">
        <v>16479153</v>
      </c>
      <c r="H497" s="61" t="s">
        <v>68</v>
      </c>
      <c r="I497" s="63" t="str">
        <f t="shared" si="128"/>
        <v>Bulgaria-OTA</v>
      </c>
      <c r="J497" s="47"/>
      <c r="K497" s="54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</row>
    <row r="498" spans="1:42" ht="17.25" customHeight="1" x14ac:dyDescent="0.25">
      <c r="A498" s="55">
        <v>2009</v>
      </c>
      <c r="B498" s="56" t="s">
        <v>66</v>
      </c>
      <c r="C498" s="56" t="s">
        <v>47</v>
      </c>
      <c r="D498" s="56" t="s">
        <v>46</v>
      </c>
      <c r="E498" s="56" t="s">
        <v>67</v>
      </c>
      <c r="F498" s="56" t="s">
        <v>67</v>
      </c>
      <c r="G498" s="57">
        <v>14890662743</v>
      </c>
      <c r="H498" s="56" t="s">
        <v>68</v>
      </c>
      <c r="I498" s="58" t="str">
        <f t="shared" si="128"/>
        <v>Canada-Offline</v>
      </c>
      <c r="J498" s="40"/>
      <c r="K498" s="59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</row>
    <row r="499" spans="1:42" ht="17.25" customHeight="1" x14ac:dyDescent="0.25">
      <c r="A499" s="60">
        <v>2009</v>
      </c>
      <c r="B499" s="61" t="s">
        <v>66</v>
      </c>
      <c r="C499" s="61" t="s">
        <v>47</v>
      </c>
      <c r="D499" s="61" t="s">
        <v>46</v>
      </c>
      <c r="E499" s="61" t="s">
        <v>69</v>
      </c>
      <c r="F499" s="61" t="s">
        <v>70</v>
      </c>
      <c r="G499" s="62">
        <v>6024044595</v>
      </c>
      <c r="H499" s="61" t="s">
        <v>68</v>
      </c>
      <c r="I499" s="63" t="str">
        <f t="shared" si="128"/>
        <v>Canada-Online Supplier-Direct</v>
      </c>
      <c r="J499" s="47"/>
      <c r="K499" s="54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</row>
    <row r="500" spans="1:42" ht="17.25" customHeight="1" x14ac:dyDescent="0.25">
      <c r="A500" s="55">
        <v>2009</v>
      </c>
      <c r="B500" s="56" t="s">
        <v>66</v>
      </c>
      <c r="C500" s="56" t="s">
        <v>47</v>
      </c>
      <c r="D500" s="56" t="s">
        <v>46</v>
      </c>
      <c r="E500" s="56" t="s">
        <v>69</v>
      </c>
      <c r="F500" s="56" t="s">
        <v>71</v>
      </c>
      <c r="G500" s="57">
        <v>2363526657</v>
      </c>
      <c r="H500" s="56" t="s">
        <v>68</v>
      </c>
      <c r="I500" s="58" t="str">
        <f t="shared" si="128"/>
        <v>Canada-OTA</v>
      </c>
      <c r="J500" s="40"/>
      <c r="K500" s="59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</row>
    <row r="501" spans="1:42" ht="17.25" customHeight="1" x14ac:dyDescent="0.25">
      <c r="A501" s="60">
        <v>2009</v>
      </c>
      <c r="B501" s="61" t="s">
        <v>66</v>
      </c>
      <c r="C501" s="61" t="s">
        <v>35</v>
      </c>
      <c r="D501" s="61" t="s">
        <v>37</v>
      </c>
      <c r="E501" s="61" t="s">
        <v>67</v>
      </c>
      <c r="F501" s="61" t="s">
        <v>67</v>
      </c>
      <c r="G501" s="62">
        <v>3799612189</v>
      </c>
      <c r="H501" s="61" t="s">
        <v>68</v>
      </c>
      <c r="I501" s="63" t="str">
        <f t="shared" si="128"/>
        <v>Chile-Offline</v>
      </c>
      <c r="J501" s="47"/>
      <c r="K501" s="54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</row>
    <row r="502" spans="1:42" ht="17.25" customHeight="1" x14ac:dyDescent="0.25">
      <c r="A502" s="55">
        <v>2009</v>
      </c>
      <c r="B502" s="56" t="s">
        <v>66</v>
      </c>
      <c r="C502" s="56" t="s">
        <v>35</v>
      </c>
      <c r="D502" s="56" t="s">
        <v>37</v>
      </c>
      <c r="E502" s="56" t="s">
        <v>69</v>
      </c>
      <c r="F502" s="56" t="s">
        <v>70</v>
      </c>
      <c r="G502" s="57">
        <v>605279954</v>
      </c>
      <c r="H502" s="56" t="s">
        <v>68</v>
      </c>
      <c r="I502" s="58" t="str">
        <f t="shared" si="128"/>
        <v>Chile-Online Supplier-Direct</v>
      </c>
      <c r="J502" s="40"/>
      <c r="K502" s="59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</row>
    <row r="503" spans="1:42" ht="17.25" customHeight="1" x14ac:dyDescent="0.25">
      <c r="A503" s="60">
        <v>2009</v>
      </c>
      <c r="B503" s="61" t="s">
        <v>66</v>
      </c>
      <c r="C503" s="61" t="s">
        <v>35</v>
      </c>
      <c r="D503" s="61" t="s">
        <v>37</v>
      </c>
      <c r="E503" s="61" t="s">
        <v>69</v>
      </c>
      <c r="F503" s="61" t="s">
        <v>71</v>
      </c>
      <c r="G503" s="62">
        <v>170962110</v>
      </c>
      <c r="H503" s="61" t="s">
        <v>68</v>
      </c>
      <c r="I503" s="63" t="str">
        <f t="shared" si="128"/>
        <v>Chile-OTA</v>
      </c>
      <c r="J503" s="47"/>
      <c r="K503" s="54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</row>
    <row r="504" spans="1:42" ht="17.25" customHeight="1" x14ac:dyDescent="0.25">
      <c r="A504" s="55">
        <v>2009</v>
      </c>
      <c r="B504" s="56" t="s">
        <v>66</v>
      </c>
      <c r="C504" s="56" t="s">
        <v>4</v>
      </c>
      <c r="D504" s="56" t="s">
        <v>5</v>
      </c>
      <c r="E504" s="56" t="s">
        <v>67</v>
      </c>
      <c r="F504" s="56" t="s">
        <v>67</v>
      </c>
      <c r="G504" s="57">
        <v>57900895821</v>
      </c>
      <c r="H504" s="56" t="s">
        <v>68</v>
      </c>
      <c r="I504" s="58" t="str">
        <f t="shared" si="128"/>
        <v>China-Offline</v>
      </c>
      <c r="J504" s="40"/>
      <c r="K504" s="59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</row>
    <row r="505" spans="1:42" ht="17.25" customHeight="1" x14ac:dyDescent="0.25">
      <c r="A505" s="60">
        <v>2009</v>
      </c>
      <c r="B505" s="61" t="s">
        <v>66</v>
      </c>
      <c r="C505" s="61" t="s">
        <v>4</v>
      </c>
      <c r="D505" s="61" t="s">
        <v>5</v>
      </c>
      <c r="E505" s="61" t="s">
        <v>69</v>
      </c>
      <c r="F505" s="61" t="s">
        <v>70</v>
      </c>
      <c r="G505" s="62">
        <v>2020688248</v>
      </c>
      <c r="H505" s="61" t="s">
        <v>68</v>
      </c>
      <c r="I505" s="63" t="str">
        <f t="shared" si="128"/>
        <v>China-Online Supplier-Direct</v>
      </c>
      <c r="J505" s="47"/>
      <c r="K505" s="54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</row>
    <row r="506" spans="1:42" ht="17.25" customHeight="1" x14ac:dyDescent="0.25">
      <c r="A506" s="55">
        <v>2009</v>
      </c>
      <c r="B506" s="56" t="s">
        <v>66</v>
      </c>
      <c r="C506" s="56" t="s">
        <v>4</v>
      </c>
      <c r="D506" s="56" t="s">
        <v>5</v>
      </c>
      <c r="E506" s="56" t="s">
        <v>69</v>
      </c>
      <c r="F506" s="56" t="s">
        <v>71</v>
      </c>
      <c r="G506" s="57">
        <v>1880368349</v>
      </c>
      <c r="H506" s="56" t="s">
        <v>68</v>
      </c>
      <c r="I506" s="58" t="str">
        <f t="shared" si="128"/>
        <v>China-OTA</v>
      </c>
      <c r="J506" s="40"/>
      <c r="K506" s="59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</row>
    <row r="507" spans="1:42" ht="17.25" customHeight="1" x14ac:dyDescent="0.25">
      <c r="A507" s="60">
        <v>2009</v>
      </c>
      <c r="B507" s="61" t="s">
        <v>66</v>
      </c>
      <c r="C507" s="61" t="s">
        <v>35</v>
      </c>
      <c r="D507" s="61" t="s">
        <v>38</v>
      </c>
      <c r="E507" s="61" t="s">
        <v>67</v>
      </c>
      <c r="F507" s="61" t="s">
        <v>67</v>
      </c>
      <c r="G507" s="62">
        <v>7771717172</v>
      </c>
      <c r="H507" s="61" t="s">
        <v>68</v>
      </c>
      <c r="I507" s="63" t="str">
        <f t="shared" si="128"/>
        <v>Colombia-Offline</v>
      </c>
      <c r="J507" s="47"/>
      <c r="K507" s="54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</row>
    <row r="508" spans="1:42" ht="17.25" customHeight="1" x14ac:dyDescent="0.25">
      <c r="A508" s="55">
        <v>2009</v>
      </c>
      <c r="B508" s="56" t="s">
        <v>66</v>
      </c>
      <c r="C508" s="56" t="s">
        <v>35</v>
      </c>
      <c r="D508" s="56" t="s">
        <v>38</v>
      </c>
      <c r="E508" s="56" t="s">
        <v>69</v>
      </c>
      <c r="F508" s="56" t="s">
        <v>70</v>
      </c>
      <c r="G508" s="57">
        <v>235747266</v>
      </c>
      <c r="H508" s="56" t="s">
        <v>68</v>
      </c>
      <c r="I508" s="58" t="str">
        <f t="shared" si="128"/>
        <v>Colombia-Online Supplier-Direct</v>
      </c>
      <c r="J508" s="40"/>
      <c r="K508" s="59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</row>
    <row r="509" spans="1:42" ht="17.25" customHeight="1" x14ac:dyDescent="0.25">
      <c r="A509" s="60">
        <v>2009</v>
      </c>
      <c r="B509" s="61" t="s">
        <v>66</v>
      </c>
      <c r="C509" s="61" t="s">
        <v>35</v>
      </c>
      <c r="D509" s="61" t="s">
        <v>38</v>
      </c>
      <c r="E509" s="61" t="s">
        <v>69</v>
      </c>
      <c r="F509" s="61" t="s">
        <v>71</v>
      </c>
      <c r="G509" s="62">
        <v>318925850</v>
      </c>
      <c r="H509" s="61" t="s">
        <v>68</v>
      </c>
      <c r="I509" s="63" t="str">
        <f t="shared" si="128"/>
        <v>Colombia-OTA</v>
      </c>
      <c r="J509" s="47"/>
      <c r="K509" s="54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</row>
    <row r="510" spans="1:42" ht="17.25" customHeight="1" x14ac:dyDescent="0.25">
      <c r="A510" s="55">
        <v>2009</v>
      </c>
      <c r="B510" s="56" t="s">
        <v>66</v>
      </c>
      <c r="C510" s="56" t="s">
        <v>17</v>
      </c>
      <c r="D510" s="56" t="s">
        <v>18</v>
      </c>
      <c r="E510" s="56" t="s">
        <v>67</v>
      </c>
      <c r="F510" s="56" t="s">
        <v>67</v>
      </c>
      <c r="G510" s="57">
        <v>2673363667</v>
      </c>
      <c r="H510" s="56" t="s">
        <v>68</v>
      </c>
      <c r="I510" s="58" t="str">
        <f t="shared" si="128"/>
        <v>Czech Republic-Offline</v>
      </c>
      <c r="J510" s="40"/>
      <c r="K510" s="59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</row>
    <row r="511" spans="1:42" ht="17.25" customHeight="1" x14ac:dyDescent="0.25">
      <c r="A511" s="60">
        <v>2009</v>
      </c>
      <c r="B511" s="61" t="s">
        <v>66</v>
      </c>
      <c r="C511" s="61" t="s">
        <v>17</v>
      </c>
      <c r="D511" s="61" t="s">
        <v>18</v>
      </c>
      <c r="E511" s="61" t="s">
        <v>69</v>
      </c>
      <c r="F511" s="61" t="s">
        <v>70</v>
      </c>
      <c r="G511" s="62">
        <v>230152966</v>
      </c>
      <c r="H511" s="61" t="s">
        <v>68</v>
      </c>
      <c r="I511" s="63" t="str">
        <f t="shared" si="128"/>
        <v>Czech Republic-Online Supplier-Direct</v>
      </c>
      <c r="J511" s="47"/>
      <c r="K511" s="54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</row>
    <row r="512" spans="1:42" ht="17.25" customHeight="1" x14ac:dyDescent="0.25">
      <c r="A512" s="55">
        <v>2009</v>
      </c>
      <c r="B512" s="56" t="s">
        <v>66</v>
      </c>
      <c r="C512" s="56" t="s">
        <v>17</v>
      </c>
      <c r="D512" s="56" t="s">
        <v>18</v>
      </c>
      <c r="E512" s="56" t="s">
        <v>69</v>
      </c>
      <c r="F512" s="56" t="s">
        <v>71</v>
      </c>
      <c r="G512" s="57">
        <v>255177175</v>
      </c>
      <c r="H512" s="56" t="s">
        <v>68</v>
      </c>
      <c r="I512" s="58" t="str">
        <f t="shared" ref="I512:I766" si="130">D512&amp;"-"&amp;F512</f>
        <v>Czech Republic-OTA</v>
      </c>
      <c r="J512" s="40"/>
      <c r="K512" s="59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</row>
    <row r="513" spans="1:42" ht="17.25" customHeight="1" x14ac:dyDescent="0.25">
      <c r="A513" s="60">
        <v>2009</v>
      </c>
      <c r="B513" s="61" t="s">
        <v>66</v>
      </c>
      <c r="C513" s="61" t="s">
        <v>41</v>
      </c>
      <c r="D513" s="61" t="s">
        <v>40</v>
      </c>
      <c r="E513" s="61" t="s">
        <v>67</v>
      </c>
      <c r="F513" s="61" t="s">
        <v>67</v>
      </c>
      <c r="G513" s="62">
        <v>7642316996</v>
      </c>
      <c r="H513" s="61" t="s">
        <v>68</v>
      </c>
      <c r="I513" s="63" t="str">
        <f t="shared" si="130"/>
        <v>Egypt-Offline</v>
      </c>
      <c r="J513" s="47"/>
      <c r="K513" s="54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</row>
    <row r="514" spans="1:42" ht="17.25" customHeight="1" x14ac:dyDescent="0.25">
      <c r="A514" s="55">
        <v>2009</v>
      </c>
      <c r="B514" s="56" t="s">
        <v>66</v>
      </c>
      <c r="C514" s="56" t="s">
        <v>41</v>
      </c>
      <c r="D514" s="56" t="s">
        <v>40</v>
      </c>
      <c r="E514" s="56" t="s">
        <v>69</v>
      </c>
      <c r="F514" s="56" t="s">
        <v>70</v>
      </c>
      <c r="G514" s="57">
        <v>179908877</v>
      </c>
      <c r="H514" s="56" t="s">
        <v>68</v>
      </c>
      <c r="I514" s="58" t="str">
        <f t="shared" si="130"/>
        <v>Egypt-Online Supplier-Direct</v>
      </c>
      <c r="J514" s="40"/>
      <c r="K514" s="59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</row>
    <row r="515" spans="1:42" ht="17.25" customHeight="1" x14ac:dyDescent="0.25">
      <c r="A515" s="60">
        <v>2009</v>
      </c>
      <c r="B515" s="61" t="s">
        <v>66</v>
      </c>
      <c r="C515" s="61" t="s">
        <v>41</v>
      </c>
      <c r="D515" s="61" t="s">
        <v>40</v>
      </c>
      <c r="E515" s="61" t="s">
        <v>69</v>
      </c>
      <c r="F515" s="61" t="s">
        <v>71</v>
      </c>
      <c r="G515" s="62">
        <v>270192799</v>
      </c>
      <c r="H515" s="61" t="s">
        <v>68</v>
      </c>
      <c r="I515" s="63" t="str">
        <f t="shared" si="130"/>
        <v>Egypt-OTA</v>
      </c>
      <c r="J515" s="47"/>
      <c r="K515" s="54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</row>
    <row r="516" spans="1:42" ht="17.25" customHeight="1" x14ac:dyDescent="0.25">
      <c r="A516" s="55">
        <v>2009</v>
      </c>
      <c r="B516" s="56" t="s">
        <v>66</v>
      </c>
      <c r="C516" s="56" t="s">
        <v>27</v>
      </c>
      <c r="D516" s="56" t="s">
        <v>26</v>
      </c>
      <c r="E516" s="56" t="s">
        <v>67</v>
      </c>
      <c r="F516" s="56" t="s">
        <v>67</v>
      </c>
      <c r="G516" s="57">
        <v>37047452784</v>
      </c>
      <c r="H516" s="56" t="s">
        <v>68</v>
      </c>
      <c r="I516" s="58" t="str">
        <f t="shared" si="130"/>
        <v>France-Offline</v>
      </c>
      <c r="J516" s="40"/>
      <c r="K516" s="59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</row>
    <row r="517" spans="1:42" ht="17.25" customHeight="1" x14ac:dyDescent="0.25">
      <c r="A517" s="60">
        <v>2009</v>
      </c>
      <c r="B517" s="61" t="s">
        <v>66</v>
      </c>
      <c r="C517" s="61" t="s">
        <v>27</v>
      </c>
      <c r="D517" s="61" t="s">
        <v>26</v>
      </c>
      <c r="E517" s="61" t="s">
        <v>69</v>
      </c>
      <c r="F517" s="61" t="s">
        <v>70</v>
      </c>
      <c r="G517" s="62">
        <v>9161747143</v>
      </c>
      <c r="H517" s="61" t="s">
        <v>68</v>
      </c>
      <c r="I517" s="63" t="str">
        <f t="shared" si="130"/>
        <v>France-Online Supplier-Direct</v>
      </c>
      <c r="J517" s="47"/>
      <c r="K517" s="54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</row>
    <row r="518" spans="1:42" ht="17.25" customHeight="1" x14ac:dyDescent="0.25">
      <c r="A518" s="55">
        <v>2009</v>
      </c>
      <c r="B518" s="56" t="s">
        <v>66</v>
      </c>
      <c r="C518" s="56" t="s">
        <v>27</v>
      </c>
      <c r="D518" s="56" t="s">
        <v>26</v>
      </c>
      <c r="E518" s="56" t="s">
        <v>69</v>
      </c>
      <c r="F518" s="56" t="s">
        <v>71</v>
      </c>
      <c r="G518" s="57">
        <v>5950585961</v>
      </c>
      <c r="H518" s="56" t="s">
        <v>68</v>
      </c>
      <c r="I518" s="58" t="str">
        <f t="shared" si="130"/>
        <v>France-OTA</v>
      </c>
      <c r="J518" s="40"/>
      <c r="K518" s="59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</row>
    <row r="519" spans="1:42" ht="17.25" customHeight="1" x14ac:dyDescent="0.25">
      <c r="A519" s="60">
        <v>2009</v>
      </c>
      <c r="B519" s="61" t="s">
        <v>66</v>
      </c>
      <c r="C519" s="61" t="s">
        <v>27</v>
      </c>
      <c r="D519" s="61" t="s">
        <v>28</v>
      </c>
      <c r="E519" s="61" t="s">
        <v>67</v>
      </c>
      <c r="F519" s="61" t="s">
        <v>67</v>
      </c>
      <c r="G519" s="62">
        <v>47332425946</v>
      </c>
      <c r="H519" s="61" t="s">
        <v>68</v>
      </c>
      <c r="I519" s="63" t="str">
        <f t="shared" si="130"/>
        <v>Germany-Offline</v>
      </c>
      <c r="J519" s="47"/>
      <c r="K519" s="54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</row>
    <row r="520" spans="1:42" ht="17.25" customHeight="1" x14ac:dyDescent="0.25">
      <c r="A520" s="55">
        <v>2009</v>
      </c>
      <c r="B520" s="56" t="s">
        <v>66</v>
      </c>
      <c r="C520" s="56" t="s">
        <v>27</v>
      </c>
      <c r="D520" s="56" t="s">
        <v>28</v>
      </c>
      <c r="E520" s="56" t="s">
        <v>69</v>
      </c>
      <c r="F520" s="56" t="s">
        <v>70</v>
      </c>
      <c r="G520" s="57">
        <v>9710275743</v>
      </c>
      <c r="H520" s="56" t="s">
        <v>68</v>
      </c>
      <c r="I520" s="58" t="str">
        <f t="shared" si="130"/>
        <v>Germany-Online Supplier-Direct</v>
      </c>
      <c r="J520" s="40"/>
      <c r="K520" s="59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</row>
    <row r="521" spans="1:42" ht="17.25" customHeight="1" x14ac:dyDescent="0.25">
      <c r="A521" s="60">
        <v>2009</v>
      </c>
      <c r="B521" s="61" t="s">
        <v>66</v>
      </c>
      <c r="C521" s="61" t="s">
        <v>27</v>
      </c>
      <c r="D521" s="61" t="s">
        <v>28</v>
      </c>
      <c r="E521" s="61" t="s">
        <v>69</v>
      </c>
      <c r="F521" s="61" t="s">
        <v>71</v>
      </c>
      <c r="G521" s="62">
        <v>8788064229</v>
      </c>
      <c r="H521" s="61" t="s">
        <v>68</v>
      </c>
      <c r="I521" s="63" t="str">
        <f t="shared" si="130"/>
        <v>Germany-OTA</v>
      </c>
      <c r="J521" s="47"/>
      <c r="K521" s="54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</row>
    <row r="522" spans="1:42" ht="17.25" customHeight="1" x14ac:dyDescent="0.25">
      <c r="A522" s="55">
        <v>2009</v>
      </c>
      <c r="B522" s="56" t="s">
        <v>66</v>
      </c>
      <c r="C522" s="56" t="s">
        <v>17</v>
      </c>
      <c r="D522" s="56" t="s">
        <v>19</v>
      </c>
      <c r="E522" s="56" t="s">
        <v>67</v>
      </c>
      <c r="F522" s="56" t="s">
        <v>67</v>
      </c>
      <c r="G522" s="57">
        <v>8206450097</v>
      </c>
      <c r="H522" s="56" t="s">
        <v>68</v>
      </c>
      <c r="I522" s="58" t="str">
        <f t="shared" si="130"/>
        <v>Greece-Offline</v>
      </c>
      <c r="J522" s="40"/>
      <c r="K522" s="59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</row>
    <row r="523" spans="1:42" ht="17.25" customHeight="1" x14ac:dyDescent="0.25">
      <c r="A523" s="60">
        <v>2009</v>
      </c>
      <c r="B523" s="61" t="s">
        <v>66</v>
      </c>
      <c r="C523" s="61" t="s">
        <v>17</v>
      </c>
      <c r="D523" s="61" t="s">
        <v>19</v>
      </c>
      <c r="E523" s="61" t="s">
        <v>69</v>
      </c>
      <c r="F523" s="61" t="s">
        <v>70</v>
      </c>
      <c r="G523" s="62">
        <v>1525351218</v>
      </c>
      <c r="H523" s="61" t="s">
        <v>68</v>
      </c>
      <c r="I523" s="63" t="str">
        <f t="shared" si="130"/>
        <v>Greece-Online Supplier-Direct</v>
      </c>
      <c r="J523" s="47"/>
      <c r="K523" s="54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</row>
    <row r="524" spans="1:42" ht="17.25" customHeight="1" x14ac:dyDescent="0.25">
      <c r="A524" s="55">
        <v>2009</v>
      </c>
      <c r="B524" s="56" t="s">
        <v>66</v>
      </c>
      <c r="C524" s="56" t="s">
        <v>17</v>
      </c>
      <c r="D524" s="56" t="s">
        <v>19</v>
      </c>
      <c r="E524" s="56" t="s">
        <v>69</v>
      </c>
      <c r="F524" s="56" t="s">
        <v>71</v>
      </c>
      <c r="G524" s="57">
        <v>542673970</v>
      </c>
      <c r="H524" s="56" t="s">
        <v>68</v>
      </c>
      <c r="I524" s="58" t="str">
        <f t="shared" si="130"/>
        <v>Greece-OTA</v>
      </c>
      <c r="J524" s="40"/>
      <c r="K524" s="59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</row>
    <row r="525" spans="1:42" ht="17.25" customHeight="1" x14ac:dyDescent="0.25">
      <c r="A525" s="60">
        <v>2009</v>
      </c>
      <c r="B525" s="61" t="s">
        <v>66</v>
      </c>
      <c r="C525" s="61" t="s">
        <v>4</v>
      </c>
      <c r="D525" s="61" t="s">
        <v>6</v>
      </c>
      <c r="E525" s="61" t="s">
        <v>67</v>
      </c>
      <c r="F525" s="61" t="s">
        <v>67</v>
      </c>
      <c r="G525" s="62">
        <v>8587607904</v>
      </c>
      <c r="H525" s="61" t="s">
        <v>68</v>
      </c>
      <c r="I525" s="63" t="str">
        <f t="shared" si="130"/>
        <v>Hong Kong-Offline</v>
      </c>
      <c r="J525" s="47"/>
      <c r="K525" s="54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</row>
    <row r="526" spans="1:42" ht="17.25" customHeight="1" x14ac:dyDescent="0.25">
      <c r="A526" s="55">
        <v>2009</v>
      </c>
      <c r="B526" s="56" t="s">
        <v>66</v>
      </c>
      <c r="C526" s="56" t="s">
        <v>4</v>
      </c>
      <c r="D526" s="56" t="s">
        <v>6</v>
      </c>
      <c r="E526" s="56" t="s">
        <v>69</v>
      </c>
      <c r="F526" s="56" t="s">
        <v>70</v>
      </c>
      <c r="G526" s="57">
        <v>388480252</v>
      </c>
      <c r="H526" s="56" t="s">
        <v>68</v>
      </c>
      <c r="I526" s="58" t="str">
        <f t="shared" si="130"/>
        <v>Hong Kong-Online Supplier-Direct</v>
      </c>
      <c r="J526" s="40"/>
      <c r="K526" s="59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</row>
    <row r="527" spans="1:42" ht="17.25" customHeight="1" x14ac:dyDescent="0.25">
      <c r="A527" s="60">
        <v>2009</v>
      </c>
      <c r="B527" s="61" t="s">
        <v>66</v>
      </c>
      <c r="C527" s="61" t="s">
        <v>4</v>
      </c>
      <c r="D527" s="61" t="s">
        <v>6</v>
      </c>
      <c r="E527" s="61" t="s">
        <v>69</v>
      </c>
      <c r="F527" s="61" t="s">
        <v>71</v>
      </c>
      <c r="G527" s="62">
        <v>144080723</v>
      </c>
      <c r="H527" s="61" t="s">
        <v>68</v>
      </c>
      <c r="I527" s="63" t="str">
        <f t="shared" si="130"/>
        <v>Hong Kong-OTA</v>
      </c>
      <c r="J527" s="47"/>
      <c r="K527" s="54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</row>
    <row r="528" spans="1:42" ht="17.25" customHeight="1" x14ac:dyDescent="0.25">
      <c r="A528" s="55">
        <v>2009</v>
      </c>
      <c r="B528" s="56" t="s">
        <v>66</v>
      </c>
      <c r="C528" s="56" t="s">
        <v>17</v>
      </c>
      <c r="D528" s="56" t="s">
        <v>20</v>
      </c>
      <c r="E528" s="56" t="s">
        <v>67</v>
      </c>
      <c r="F528" s="56" t="s">
        <v>67</v>
      </c>
      <c r="G528" s="57">
        <v>2074578067</v>
      </c>
      <c r="H528" s="56" t="s">
        <v>68</v>
      </c>
      <c r="I528" s="58" t="str">
        <f t="shared" si="130"/>
        <v>Hungary-Offline</v>
      </c>
      <c r="J528" s="40"/>
      <c r="K528" s="59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</row>
    <row r="529" spans="1:42" ht="17.25" customHeight="1" x14ac:dyDescent="0.25">
      <c r="A529" s="60">
        <v>2009</v>
      </c>
      <c r="B529" s="61" t="s">
        <v>66</v>
      </c>
      <c r="C529" s="61" t="s">
        <v>17</v>
      </c>
      <c r="D529" s="61" t="s">
        <v>20</v>
      </c>
      <c r="E529" s="61" t="s">
        <v>69</v>
      </c>
      <c r="F529" s="61" t="s">
        <v>70</v>
      </c>
      <c r="G529" s="62">
        <v>375889448</v>
      </c>
      <c r="H529" s="61" t="s">
        <v>68</v>
      </c>
      <c r="I529" s="63" t="str">
        <f t="shared" si="130"/>
        <v>Hungary-Online Supplier-Direct</v>
      </c>
      <c r="J529" s="47"/>
      <c r="K529" s="54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</row>
    <row r="530" spans="1:42" ht="17.25" customHeight="1" x14ac:dyDescent="0.25">
      <c r="A530" s="55">
        <v>2009</v>
      </c>
      <c r="B530" s="56" t="s">
        <v>66</v>
      </c>
      <c r="C530" s="56" t="s">
        <v>17</v>
      </c>
      <c r="D530" s="56" t="s">
        <v>20</v>
      </c>
      <c r="E530" s="56" t="s">
        <v>69</v>
      </c>
      <c r="F530" s="56" t="s">
        <v>71</v>
      </c>
      <c r="G530" s="57">
        <v>90986868</v>
      </c>
      <c r="H530" s="56" t="s">
        <v>68</v>
      </c>
      <c r="I530" s="58" t="str">
        <f t="shared" si="130"/>
        <v>Hungary-OTA</v>
      </c>
      <c r="J530" s="40"/>
      <c r="K530" s="59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</row>
    <row r="531" spans="1:42" ht="17.25" customHeight="1" x14ac:dyDescent="0.25">
      <c r="A531" s="60">
        <v>2009</v>
      </c>
      <c r="B531" s="61" t="s">
        <v>66</v>
      </c>
      <c r="C531" s="61" t="s">
        <v>4</v>
      </c>
      <c r="D531" s="61" t="s">
        <v>7</v>
      </c>
      <c r="E531" s="61" t="s">
        <v>67</v>
      </c>
      <c r="F531" s="61" t="s">
        <v>67</v>
      </c>
      <c r="G531" s="62">
        <v>13723773716</v>
      </c>
      <c r="H531" s="61" t="s">
        <v>68</v>
      </c>
      <c r="I531" s="63" t="str">
        <f t="shared" si="130"/>
        <v>India-Offline</v>
      </c>
      <c r="J531" s="47"/>
      <c r="K531" s="54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</row>
    <row r="532" spans="1:42" ht="17.25" customHeight="1" x14ac:dyDescent="0.25">
      <c r="A532" s="55">
        <v>2009</v>
      </c>
      <c r="B532" s="56" t="s">
        <v>66</v>
      </c>
      <c r="C532" s="56" t="s">
        <v>4</v>
      </c>
      <c r="D532" s="56" t="s">
        <v>7</v>
      </c>
      <c r="E532" s="56" t="s">
        <v>69</v>
      </c>
      <c r="F532" s="56" t="s">
        <v>70</v>
      </c>
      <c r="G532" s="57">
        <v>2354023606</v>
      </c>
      <c r="H532" s="56" t="s">
        <v>68</v>
      </c>
      <c r="I532" s="58" t="str">
        <f t="shared" si="130"/>
        <v>India-Online Supplier-Direct</v>
      </c>
      <c r="J532" s="40"/>
      <c r="K532" s="59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</row>
    <row r="533" spans="1:42" ht="17.25" customHeight="1" x14ac:dyDescent="0.25">
      <c r="A533" s="60">
        <v>2009</v>
      </c>
      <c r="B533" s="61" t="s">
        <v>66</v>
      </c>
      <c r="C533" s="61" t="s">
        <v>4</v>
      </c>
      <c r="D533" s="61" t="s">
        <v>7</v>
      </c>
      <c r="E533" s="61" t="s">
        <v>69</v>
      </c>
      <c r="F533" s="61" t="s">
        <v>71</v>
      </c>
      <c r="G533" s="62">
        <v>1139031923</v>
      </c>
      <c r="H533" s="61" t="s">
        <v>68</v>
      </c>
      <c r="I533" s="63" t="str">
        <f t="shared" si="130"/>
        <v>India-OTA</v>
      </c>
      <c r="J533" s="47"/>
      <c r="K533" s="54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</row>
    <row r="534" spans="1:42" ht="17.25" customHeight="1" x14ac:dyDescent="0.25">
      <c r="A534" s="55">
        <v>2009</v>
      </c>
      <c r="B534" s="56" t="s">
        <v>66</v>
      </c>
      <c r="C534" s="56" t="s">
        <v>4</v>
      </c>
      <c r="D534" s="56" t="s">
        <v>8</v>
      </c>
      <c r="E534" s="56" t="s">
        <v>67</v>
      </c>
      <c r="F534" s="56" t="s">
        <v>67</v>
      </c>
      <c r="G534" s="57">
        <v>4823372874</v>
      </c>
      <c r="H534" s="56" t="s">
        <v>68</v>
      </c>
      <c r="I534" s="58" t="str">
        <f t="shared" si="130"/>
        <v>Indonesia-Offline</v>
      </c>
      <c r="J534" s="40"/>
      <c r="K534" s="59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</row>
    <row r="535" spans="1:42" ht="17.25" customHeight="1" x14ac:dyDescent="0.25">
      <c r="A535" s="60">
        <v>2009</v>
      </c>
      <c r="B535" s="61" t="s">
        <v>66</v>
      </c>
      <c r="C535" s="61" t="s">
        <v>4</v>
      </c>
      <c r="D535" s="61" t="s">
        <v>8</v>
      </c>
      <c r="E535" s="61" t="s">
        <v>69</v>
      </c>
      <c r="F535" s="61" t="s">
        <v>70</v>
      </c>
      <c r="G535" s="62">
        <v>120618054</v>
      </c>
      <c r="H535" s="61" t="s">
        <v>68</v>
      </c>
      <c r="I535" s="63" t="str">
        <f t="shared" si="130"/>
        <v>Indonesia-Online Supplier-Direct</v>
      </c>
      <c r="J535" s="47"/>
      <c r="K535" s="54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</row>
    <row r="536" spans="1:42" ht="17.25" customHeight="1" x14ac:dyDescent="0.25">
      <c r="A536" s="55">
        <v>2009</v>
      </c>
      <c r="B536" s="56" t="s">
        <v>66</v>
      </c>
      <c r="C536" s="56" t="s">
        <v>4</v>
      </c>
      <c r="D536" s="56" t="s">
        <v>8</v>
      </c>
      <c r="E536" s="56" t="s">
        <v>69</v>
      </c>
      <c r="F536" s="56" t="s">
        <v>71</v>
      </c>
      <c r="G536" s="57">
        <v>29593562</v>
      </c>
      <c r="H536" s="56" t="s">
        <v>68</v>
      </c>
      <c r="I536" s="58" t="str">
        <f t="shared" si="130"/>
        <v>Indonesia-OTA</v>
      </c>
      <c r="J536" s="40"/>
      <c r="K536" s="59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</row>
    <row r="537" spans="1:42" ht="17.25" customHeight="1" x14ac:dyDescent="0.25">
      <c r="A537" s="60">
        <v>2009</v>
      </c>
      <c r="B537" s="61" t="s">
        <v>66</v>
      </c>
      <c r="C537" s="61" t="s">
        <v>27</v>
      </c>
      <c r="D537" s="61" t="s">
        <v>29</v>
      </c>
      <c r="E537" s="61" t="s">
        <v>67</v>
      </c>
      <c r="F537" s="61" t="s">
        <v>67</v>
      </c>
      <c r="G537" s="62">
        <v>20336313177</v>
      </c>
      <c r="H537" s="61" t="s">
        <v>68</v>
      </c>
      <c r="I537" s="63" t="str">
        <f t="shared" si="130"/>
        <v>Italy-Offline</v>
      </c>
      <c r="J537" s="47"/>
      <c r="K537" s="54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</row>
    <row r="538" spans="1:42" ht="17.25" customHeight="1" x14ac:dyDescent="0.25">
      <c r="A538" s="55">
        <v>2009</v>
      </c>
      <c r="B538" s="56" t="s">
        <v>66</v>
      </c>
      <c r="C538" s="56" t="s">
        <v>27</v>
      </c>
      <c r="D538" s="56" t="s">
        <v>29</v>
      </c>
      <c r="E538" s="56" t="s">
        <v>69</v>
      </c>
      <c r="F538" s="56" t="s">
        <v>70</v>
      </c>
      <c r="G538" s="57">
        <v>2388825001</v>
      </c>
      <c r="H538" s="56" t="s">
        <v>68</v>
      </c>
      <c r="I538" s="58" t="str">
        <f t="shared" si="130"/>
        <v>Italy-Online Supplier-Direct</v>
      </c>
      <c r="J538" s="40"/>
      <c r="K538" s="59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</row>
    <row r="539" spans="1:42" ht="17.25" customHeight="1" x14ac:dyDescent="0.25">
      <c r="A539" s="60">
        <v>2009</v>
      </c>
      <c r="B539" s="61" t="s">
        <v>66</v>
      </c>
      <c r="C539" s="61" t="s">
        <v>27</v>
      </c>
      <c r="D539" s="61" t="s">
        <v>29</v>
      </c>
      <c r="E539" s="61" t="s">
        <v>69</v>
      </c>
      <c r="F539" s="61" t="s">
        <v>71</v>
      </c>
      <c r="G539" s="62">
        <v>2840276222</v>
      </c>
      <c r="H539" s="61" t="s">
        <v>68</v>
      </c>
      <c r="I539" s="63" t="str">
        <f t="shared" si="130"/>
        <v>Italy-OTA</v>
      </c>
      <c r="J539" s="47"/>
      <c r="K539" s="54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</row>
    <row r="540" spans="1:42" ht="17.25" customHeight="1" x14ac:dyDescent="0.25">
      <c r="A540" s="55">
        <v>2009</v>
      </c>
      <c r="B540" s="56" t="s">
        <v>66</v>
      </c>
      <c r="C540" s="56" t="s">
        <v>4</v>
      </c>
      <c r="D540" s="56" t="s">
        <v>9</v>
      </c>
      <c r="E540" s="56" t="s">
        <v>67</v>
      </c>
      <c r="F540" s="56" t="s">
        <v>67</v>
      </c>
      <c r="G540" s="57">
        <v>66451204207</v>
      </c>
      <c r="H540" s="56" t="s">
        <v>68</v>
      </c>
      <c r="I540" s="58" t="str">
        <f t="shared" si="130"/>
        <v>Japan-Offline</v>
      </c>
      <c r="J540" s="40"/>
      <c r="K540" s="59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</row>
    <row r="541" spans="1:42" ht="17.25" customHeight="1" x14ac:dyDescent="0.25">
      <c r="A541" s="60">
        <v>2009</v>
      </c>
      <c r="B541" s="61" t="s">
        <v>66</v>
      </c>
      <c r="C541" s="61" t="s">
        <v>4</v>
      </c>
      <c r="D541" s="61" t="s">
        <v>9</v>
      </c>
      <c r="E541" s="61" t="s">
        <v>69</v>
      </c>
      <c r="F541" s="61" t="s">
        <v>70</v>
      </c>
      <c r="G541" s="62">
        <v>13630457013</v>
      </c>
      <c r="H541" s="61" t="s">
        <v>68</v>
      </c>
      <c r="I541" s="63" t="str">
        <f t="shared" si="130"/>
        <v>Japan-Online Supplier-Direct</v>
      </c>
      <c r="J541" s="47"/>
      <c r="K541" s="54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</row>
    <row r="542" spans="1:42" ht="17.25" customHeight="1" x14ac:dyDescent="0.25">
      <c r="A542" s="55">
        <v>2009</v>
      </c>
      <c r="B542" s="56" t="s">
        <v>66</v>
      </c>
      <c r="C542" s="56" t="s">
        <v>4</v>
      </c>
      <c r="D542" s="56" t="s">
        <v>9</v>
      </c>
      <c r="E542" s="56" t="s">
        <v>69</v>
      </c>
      <c r="F542" s="56" t="s">
        <v>71</v>
      </c>
      <c r="G542" s="57">
        <v>6842752515</v>
      </c>
      <c r="H542" s="56" t="s">
        <v>68</v>
      </c>
      <c r="I542" s="58" t="str">
        <f t="shared" si="130"/>
        <v>Japan-OTA</v>
      </c>
      <c r="J542" s="40"/>
      <c r="K542" s="59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</row>
    <row r="543" spans="1:42" ht="17.25" customHeight="1" x14ac:dyDescent="0.25">
      <c r="A543" s="60">
        <v>2009</v>
      </c>
      <c r="B543" s="61" t="s">
        <v>66</v>
      </c>
      <c r="C543" s="61" t="s">
        <v>4</v>
      </c>
      <c r="D543" s="61" t="s">
        <v>10</v>
      </c>
      <c r="E543" s="61" t="s">
        <v>67</v>
      </c>
      <c r="F543" s="61" t="s">
        <v>67</v>
      </c>
      <c r="G543" s="62">
        <v>551150065</v>
      </c>
      <c r="H543" s="61" t="s">
        <v>68</v>
      </c>
      <c r="I543" s="63" t="str">
        <f t="shared" si="130"/>
        <v>Macau-Offline</v>
      </c>
      <c r="J543" s="47"/>
      <c r="K543" s="54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</row>
    <row r="544" spans="1:42" ht="17.25" customHeight="1" x14ac:dyDescent="0.25">
      <c r="A544" s="55">
        <v>2009</v>
      </c>
      <c r="B544" s="56" t="s">
        <v>66</v>
      </c>
      <c r="C544" s="56" t="s">
        <v>4</v>
      </c>
      <c r="D544" s="56" t="s">
        <v>10</v>
      </c>
      <c r="E544" s="56" t="s">
        <v>69</v>
      </c>
      <c r="F544" s="56" t="s">
        <v>70</v>
      </c>
      <c r="G544" s="57">
        <v>5835979</v>
      </c>
      <c r="H544" s="56" t="s">
        <v>68</v>
      </c>
      <c r="I544" s="58" t="str">
        <f t="shared" si="130"/>
        <v>Macau-Online Supplier-Direct</v>
      </c>
      <c r="J544" s="40"/>
      <c r="K544" s="59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</row>
    <row r="545" spans="1:42" ht="17.25" customHeight="1" x14ac:dyDescent="0.25">
      <c r="A545" s="60">
        <v>2009</v>
      </c>
      <c r="B545" s="61" t="s">
        <v>66</v>
      </c>
      <c r="C545" s="61" t="s">
        <v>4</v>
      </c>
      <c r="D545" s="61" t="s">
        <v>10</v>
      </c>
      <c r="E545" s="61" t="s">
        <v>69</v>
      </c>
      <c r="F545" s="61" t="s">
        <v>71</v>
      </c>
      <c r="G545" s="62">
        <v>7132863</v>
      </c>
      <c r="H545" s="61" t="s">
        <v>68</v>
      </c>
      <c r="I545" s="63" t="str">
        <f t="shared" si="130"/>
        <v>Macau-OTA</v>
      </c>
      <c r="J545" s="47"/>
      <c r="K545" s="54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</row>
    <row r="546" spans="1:42" ht="17.25" customHeight="1" x14ac:dyDescent="0.25">
      <c r="A546" s="55">
        <v>2009</v>
      </c>
      <c r="B546" s="56" t="s">
        <v>66</v>
      </c>
      <c r="C546" s="56" t="s">
        <v>4</v>
      </c>
      <c r="D546" s="56" t="s">
        <v>11</v>
      </c>
      <c r="E546" s="56" t="s">
        <v>67</v>
      </c>
      <c r="F546" s="56" t="s">
        <v>67</v>
      </c>
      <c r="G546" s="57">
        <v>4043255582</v>
      </c>
      <c r="H546" s="56" t="s">
        <v>68</v>
      </c>
      <c r="I546" s="58" t="str">
        <f t="shared" si="130"/>
        <v>Malaysia-Offline</v>
      </c>
      <c r="J546" s="40"/>
      <c r="K546" s="59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</row>
    <row r="547" spans="1:42" ht="17.25" customHeight="1" x14ac:dyDescent="0.25">
      <c r="A547" s="60">
        <v>2009</v>
      </c>
      <c r="B547" s="61" t="s">
        <v>66</v>
      </c>
      <c r="C547" s="61" t="s">
        <v>4</v>
      </c>
      <c r="D547" s="61" t="s">
        <v>11</v>
      </c>
      <c r="E547" s="61" t="s">
        <v>69</v>
      </c>
      <c r="F547" s="61" t="s">
        <v>70</v>
      </c>
      <c r="G547" s="62">
        <v>1256243379</v>
      </c>
      <c r="H547" s="61" t="s">
        <v>68</v>
      </c>
      <c r="I547" s="63" t="str">
        <f t="shared" si="130"/>
        <v>Malaysia-Online Supplier-Direct</v>
      </c>
      <c r="J547" s="47"/>
      <c r="K547" s="54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</row>
    <row r="548" spans="1:42" ht="17.25" customHeight="1" x14ac:dyDescent="0.25">
      <c r="A548" s="55">
        <v>2009</v>
      </c>
      <c r="B548" s="56" t="s">
        <v>66</v>
      </c>
      <c r="C548" s="56" t="s">
        <v>4</v>
      </c>
      <c r="D548" s="56" t="s">
        <v>11</v>
      </c>
      <c r="E548" s="56" t="s">
        <v>69</v>
      </c>
      <c r="F548" s="56" t="s">
        <v>71</v>
      </c>
      <c r="G548" s="57">
        <v>78708676</v>
      </c>
      <c r="H548" s="56" t="s">
        <v>68</v>
      </c>
      <c r="I548" s="58" t="str">
        <f t="shared" si="130"/>
        <v>Malaysia-OTA</v>
      </c>
      <c r="J548" s="40"/>
      <c r="K548" s="59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</row>
    <row r="549" spans="1:42" ht="17.25" customHeight="1" x14ac:dyDescent="0.25">
      <c r="A549" s="60">
        <v>2009</v>
      </c>
      <c r="B549" s="61" t="s">
        <v>66</v>
      </c>
      <c r="C549" s="61" t="s">
        <v>35</v>
      </c>
      <c r="D549" s="61" t="s">
        <v>39</v>
      </c>
      <c r="E549" s="61" t="s">
        <v>67</v>
      </c>
      <c r="F549" s="61" t="s">
        <v>67</v>
      </c>
      <c r="G549" s="62">
        <v>16166245047</v>
      </c>
      <c r="H549" s="61" t="s">
        <v>68</v>
      </c>
      <c r="I549" s="63" t="str">
        <f t="shared" si="130"/>
        <v>Mexico-Offline</v>
      </c>
      <c r="J549" s="47"/>
      <c r="K549" s="54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</row>
    <row r="550" spans="1:42" ht="17.25" customHeight="1" x14ac:dyDescent="0.25">
      <c r="A550" s="55">
        <v>2009</v>
      </c>
      <c r="B550" s="56" t="s">
        <v>66</v>
      </c>
      <c r="C550" s="56" t="s">
        <v>35</v>
      </c>
      <c r="D550" s="56" t="s">
        <v>39</v>
      </c>
      <c r="E550" s="56" t="s">
        <v>69</v>
      </c>
      <c r="F550" s="56" t="s">
        <v>70</v>
      </c>
      <c r="G550" s="57">
        <v>875788096</v>
      </c>
      <c r="H550" s="56" t="s">
        <v>68</v>
      </c>
      <c r="I550" s="58" t="str">
        <f t="shared" si="130"/>
        <v>Mexico-Online Supplier-Direct</v>
      </c>
      <c r="J550" s="40"/>
      <c r="K550" s="59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</row>
    <row r="551" spans="1:42" ht="17.25" customHeight="1" x14ac:dyDescent="0.25">
      <c r="A551" s="60">
        <v>2009</v>
      </c>
      <c r="B551" s="61" t="s">
        <v>66</v>
      </c>
      <c r="C551" s="61" t="s">
        <v>35</v>
      </c>
      <c r="D551" s="61" t="s">
        <v>39</v>
      </c>
      <c r="E551" s="61" t="s">
        <v>69</v>
      </c>
      <c r="F551" s="61" t="s">
        <v>71</v>
      </c>
      <c r="G551" s="62">
        <v>1807976480</v>
      </c>
      <c r="H551" s="61" t="s">
        <v>68</v>
      </c>
      <c r="I551" s="63" t="str">
        <f t="shared" si="130"/>
        <v>Mexico-OTA</v>
      </c>
      <c r="J551" s="47"/>
      <c r="K551" s="54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</row>
    <row r="552" spans="1:42" ht="17.25" customHeight="1" x14ac:dyDescent="0.25">
      <c r="A552" s="55">
        <v>2009</v>
      </c>
      <c r="B552" s="56" t="s">
        <v>66</v>
      </c>
      <c r="C552" s="56" t="s">
        <v>17</v>
      </c>
      <c r="D552" s="56" t="s">
        <v>21</v>
      </c>
      <c r="E552" s="56" t="s">
        <v>67</v>
      </c>
      <c r="F552" s="56" t="s">
        <v>67</v>
      </c>
      <c r="G552" s="57">
        <v>3219642997</v>
      </c>
      <c r="H552" s="56" t="s">
        <v>68</v>
      </c>
      <c r="I552" s="58" t="str">
        <f t="shared" si="130"/>
        <v>Poland-Offline</v>
      </c>
      <c r="J552" s="40"/>
      <c r="K552" s="59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</row>
    <row r="553" spans="1:42" ht="17.25" customHeight="1" x14ac:dyDescent="0.25">
      <c r="A553" s="60">
        <v>2009</v>
      </c>
      <c r="B553" s="61" t="s">
        <v>66</v>
      </c>
      <c r="C553" s="61" t="s">
        <v>17</v>
      </c>
      <c r="D553" s="61" t="s">
        <v>21</v>
      </c>
      <c r="E553" s="61" t="s">
        <v>69</v>
      </c>
      <c r="F553" s="61" t="s">
        <v>70</v>
      </c>
      <c r="G553" s="62">
        <v>417975397</v>
      </c>
      <c r="H553" s="61" t="s">
        <v>68</v>
      </c>
      <c r="I553" s="63" t="str">
        <f t="shared" si="130"/>
        <v>Poland-Online Supplier-Direct</v>
      </c>
      <c r="J553" s="47"/>
      <c r="K553" s="54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</row>
    <row r="554" spans="1:42" ht="17.25" customHeight="1" x14ac:dyDescent="0.25">
      <c r="A554" s="55">
        <v>2009</v>
      </c>
      <c r="B554" s="56" t="s">
        <v>66</v>
      </c>
      <c r="C554" s="56" t="s">
        <v>17</v>
      </c>
      <c r="D554" s="56" t="s">
        <v>21</v>
      </c>
      <c r="E554" s="56" t="s">
        <v>69</v>
      </c>
      <c r="F554" s="56" t="s">
        <v>71</v>
      </c>
      <c r="G554" s="57">
        <v>199532460</v>
      </c>
      <c r="H554" s="56" t="s">
        <v>68</v>
      </c>
      <c r="I554" s="58" t="str">
        <f t="shared" si="130"/>
        <v>Poland-OTA</v>
      </c>
      <c r="J554" s="40"/>
      <c r="K554" s="59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</row>
    <row r="555" spans="1:42" ht="17.25" customHeight="1" x14ac:dyDescent="0.25">
      <c r="A555" s="60">
        <v>2009</v>
      </c>
      <c r="B555" s="61" t="s">
        <v>66</v>
      </c>
      <c r="C555" s="61" t="s">
        <v>41</v>
      </c>
      <c r="D555" s="61" t="s">
        <v>42</v>
      </c>
      <c r="E555" s="61" t="s">
        <v>67</v>
      </c>
      <c r="F555" s="61" t="s">
        <v>67</v>
      </c>
      <c r="G555" s="62">
        <v>4351585468</v>
      </c>
      <c r="H555" s="61" t="s">
        <v>68</v>
      </c>
      <c r="I555" s="63" t="str">
        <f t="shared" si="130"/>
        <v>Qatar-Offline</v>
      </c>
      <c r="J555" s="47"/>
      <c r="K555" s="54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</row>
    <row r="556" spans="1:42" ht="17.25" customHeight="1" x14ac:dyDescent="0.25">
      <c r="A556" s="55">
        <v>2009</v>
      </c>
      <c r="B556" s="56" t="s">
        <v>66</v>
      </c>
      <c r="C556" s="56" t="s">
        <v>41</v>
      </c>
      <c r="D556" s="56" t="s">
        <v>42</v>
      </c>
      <c r="E556" s="56" t="s">
        <v>69</v>
      </c>
      <c r="F556" s="56" t="s">
        <v>70</v>
      </c>
      <c r="G556" s="57">
        <v>419363036</v>
      </c>
      <c r="H556" s="56" t="s">
        <v>68</v>
      </c>
      <c r="I556" s="58" t="str">
        <f t="shared" si="130"/>
        <v>Qatar-Online Supplier-Direct</v>
      </c>
      <c r="J556" s="40"/>
      <c r="K556" s="59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</row>
    <row r="557" spans="1:42" ht="17.25" customHeight="1" x14ac:dyDescent="0.25">
      <c r="A557" s="60">
        <v>2009</v>
      </c>
      <c r="B557" s="61" t="s">
        <v>66</v>
      </c>
      <c r="C557" s="61" t="s">
        <v>41</v>
      </c>
      <c r="D557" s="61" t="s">
        <v>42</v>
      </c>
      <c r="E557" s="61" t="s">
        <v>69</v>
      </c>
      <c r="F557" s="61" t="s">
        <v>71</v>
      </c>
      <c r="G557" s="62">
        <v>377865407</v>
      </c>
      <c r="H557" s="61" t="s">
        <v>68</v>
      </c>
      <c r="I557" s="63" t="str">
        <f t="shared" si="130"/>
        <v>Qatar-OTA</v>
      </c>
      <c r="J557" s="47"/>
      <c r="K557" s="54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</row>
    <row r="558" spans="1:42" ht="17.25" customHeight="1" x14ac:dyDescent="0.25">
      <c r="A558" s="55">
        <v>2009</v>
      </c>
      <c r="B558" s="56" t="s">
        <v>66</v>
      </c>
      <c r="C558" s="56" t="s">
        <v>17</v>
      </c>
      <c r="D558" s="56" t="s">
        <v>22</v>
      </c>
      <c r="E558" s="56" t="s">
        <v>67</v>
      </c>
      <c r="F558" s="56" t="s">
        <v>67</v>
      </c>
      <c r="G558" s="57">
        <v>2617742255</v>
      </c>
      <c r="H558" s="56" t="s">
        <v>68</v>
      </c>
      <c r="I558" s="58" t="str">
        <f t="shared" si="130"/>
        <v>Rest of Eastern Europe-Offline</v>
      </c>
      <c r="J558" s="40"/>
      <c r="K558" s="59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</row>
    <row r="559" spans="1:42" ht="17.25" customHeight="1" x14ac:dyDescent="0.25">
      <c r="A559" s="60">
        <v>2009</v>
      </c>
      <c r="B559" s="61" t="s">
        <v>66</v>
      </c>
      <c r="C559" s="61" t="s">
        <v>17</v>
      </c>
      <c r="D559" s="61" t="s">
        <v>22</v>
      </c>
      <c r="E559" s="61" t="s">
        <v>69</v>
      </c>
      <c r="F559" s="61" t="s">
        <v>70</v>
      </c>
      <c r="G559" s="62">
        <v>163500529</v>
      </c>
      <c r="H559" s="61" t="s">
        <v>68</v>
      </c>
      <c r="I559" s="63" t="str">
        <f t="shared" si="130"/>
        <v>Rest of Eastern Europe-Online Supplier-Direct</v>
      </c>
      <c r="J559" s="47"/>
      <c r="K559" s="54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</row>
    <row r="560" spans="1:42" ht="17.25" customHeight="1" x14ac:dyDescent="0.25">
      <c r="A560" s="55">
        <v>2009</v>
      </c>
      <c r="B560" s="56" t="s">
        <v>66</v>
      </c>
      <c r="C560" s="56" t="s">
        <v>17</v>
      </c>
      <c r="D560" s="56" t="s">
        <v>22</v>
      </c>
      <c r="E560" s="56" t="s">
        <v>69</v>
      </c>
      <c r="F560" s="56" t="s">
        <v>71</v>
      </c>
      <c r="G560" s="57">
        <v>106769916</v>
      </c>
      <c r="H560" s="56" t="s">
        <v>68</v>
      </c>
      <c r="I560" s="58" t="str">
        <f t="shared" si="130"/>
        <v>Rest of Eastern Europe-OTA</v>
      </c>
      <c r="J560" s="40"/>
      <c r="K560" s="59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</row>
    <row r="561" spans="1:42" ht="17.25" customHeight="1" x14ac:dyDescent="0.25">
      <c r="A561" s="60">
        <v>2009</v>
      </c>
      <c r="B561" s="61" t="s">
        <v>66</v>
      </c>
      <c r="C561" s="61" t="s">
        <v>27</v>
      </c>
      <c r="D561" s="61" t="s">
        <v>30</v>
      </c>
      <c r="E561" s="61" t="s">
        <v>67</v>
      </c>
      <c r="F561" s="61" t="s">
        <v>67</v>
      </c>
      <c r="G561" s="62">
        <v>42849570680</v>
      </c>
      <c r="H561" s="61" t="s">
        <v>68</v>
      </c>
      <c r="I561" s="63" t="str">
        <f t="shared" si="130"/>
        <v>Rest of Europe-Offline</v>
      </c>
      <c r="J561" s="47"/>
      <c r="K561" s="54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</row>
    <row r="562" spans="1:42" ht="17.25" customHeight="1" x14ac:dyDescent="0.25">
      <c r="A562" s="55">
        <v>2009</v>
      </c>
      <c r="B562" s="56" t="s">
        <v>66</v>
      </c>
      <c r="C562" s="56" t="s">
        <v>27</v>
      </c>
      <c r="D562" s="56" t="s">
        <v>30</v>
      </c>
      <c r="E562" s="56" t="s">
        <v>69</v>
      </c>
      <c r="F562" s="56" t="s">
        <v>70</v>
      </c>
      <c r="G562" s="57">
        <v>8912073087</v>
      </c>
      <c r="H562" s="56" t="s">
        <v>68</v>
      </c>
      <c r="I562" s="58" t="str">
        <f t="shared" si="130"/>
        <v>Rest of Europe-Online Supplier-Direct</v>
      </c>
      <c r="J562" s="40"/>
      <c r="K562" s="59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</row>
    <row r="563" spans="1:42" ht="17.25" customHeight="1" x14ac:dyDescent="0.25">
      <c r="A563" s="60">
        <v>2009</v>
      </c>
      <c r="B563" s="61" t="s">
        <v>66</v>
      </c>
      <c r="C563" s="61" t="s">
        <v>27</v>
      </c>
      <c r="D563" s="61" t="s">
        <v>30</v>
      </c>
      <c r="E563" s="61" t="s">
        <v>69</v>
      </c>
      <c r="F563" s="61" t="s">
        <v>71</v>
      </c>
      <c r="G563" s="62">
        <v>4928058049</v>
      </c>
      <c r="H563" s="61" t="s">
        <v>68</v>
      </c>
      <c r="I563" s="63" t="str">
        <f t="shared" si="130"/>
        <v>Rest of Europe-OTA</v>
      </c>
      <c r="J563" s="47"/>
      <c r="K563" s="54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</row>
    <row r="564" spans="1:42" ht="17.25" customHeight="1" x14ac:dyDescent="0.25">
      <c r="A564" s="55">
        <v>2009</v>
      </c>
      <c r="B564" s="56" t="s">
        <v>66</v>
      </c>
      <c r="C564" s="56" t="s">
        <v>41</v>
      </c>
      <c r="D564" s="56" t="s">
        <v>43</v>
      </c>
      <c r="E564" s="56" t="s">
        <v>67</v>
      </c>
      <c r="F564" s="56" t="s">
        <v>67</v>
      </c>
      <c r="G564" s="57">
        <v>7053814042</v>
      </c>
      <c r="H564" s="56" t="s">
        <v>68</v>
      </c>
      <c r="I564" s="58" t="str">
        <f t="shared" si="130"/>
        <v>Rest of Middle East-Offline</v>
      </c>
      <c r="J564" s="40"/>
      <c r="K564" s="59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</row>
    <row r="565" spans="1:42" ht="17.25" customHeight="1" x14ac:dyDescent="0.25">
      <c r="A565" s="60">
        <v>2009</v>
      </c>
      <c r="B565" s="61" t="s">
        <v>66</v>
      </c>
      <c r="C565" s="61" t="s">
        <v>41</v>
      </c>
      <c r="D565" s="61" t="s">
        <v>43</v>
      </c>
      <c r="E565" s="61" t="s">
        <v>69</v>
      </c>
      <c r="F565" s="61" t="s">
        <v>70</v>
      </c>
      <c r="G565" s="62">
        <v>303049083</v>
      </c>
      <c r="H565" s="61" t="s">
        <v>68</v>
      </c>
      <c r="I565" s="63" t="str">
        <f t="shared" si="130"/>
        <v>Rest of Middle East-Online Supplier-Direct</v>
      </c>
      <c r="J565" s="47"/>
      <c r="K565" s="54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</row>
    <row r="566" spans="1:42" ht="17.25" customHeight="1" x14ac:dyDescent="0.25">
      <c r="A566" s="55">
        <v>2009</v>
      </c>
      <c r="B566" s="56" t="s">
        <v>66</v>
      </c>
      <c r="C566" s="56" t="s">
        <v>41</v>
      </c>
      <c r="D566" s="56" t="s">
        <v>43</v>
      </c>
      <c r="E566" s="56" t="s">
        <v>69</v>
      </c>
      <c r="F566" s="56" t="s">
        <v>71</v>
      </c>
      <c r="G566" s="57">
        <v>272777661</v>
      </c>
      <c r="H566" s="56" t="s">
        <v>68</v>
      </c>
      <c r="I566" s="58" t="str">
        <f t="shared" si="130"/>
        <v>Rest of Middle East-OTA</v>
      </c>
      <c r="J566" s="40"/>
      <c r="K566" s="59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</row>
    <row r="567" spans="1:42" ht="17.25" customHeight="1" x14ac:dyDescent="0.25">
      <c r="A567" s="60">
        <v>2009</v>
      </c>
      <c r="B567" s="61" t="s">
        <v>66</v>
      </c>
      <c r="C567" s="61" t="s">
        <v>17</v>
      </c>
      <c r="D567" s="61" t="s">
        <v>23</v>
      </c>
      <c r="E567" s="61" t="s">
        <v>67</v>
      </c>
      <c r="F567" s="61" t="s">
        <v>67</v>
      </c>
      <c r="G567" s="62">
        <v>2892406340</v>
      </c>
      <c r="H567" s="61" t="s">
        <v>68</v>
      </c>
      <c r="I567" s="63" t="str">
        <f t="shared" si="130"/>
        <v>Romania-Offline</v>
      </c>
      <c r="J567" s="47"/>
      <c r="K567" s="54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</row>
    <row r="568" spans="1:42" ht="17.25" customHeight="1" x14ac:dyDescent="0.25">
      <c r="A568" s="55">
        <v>2009</v>
      </c>
      <c r="B568" s="56" t="s">
        <v>66</v>
      </c>
      <c r="C568" s="56" t="s">
        <v>17</v>
      </c>
      <c r="D568" s="56" t="s">
        <v>23</v>
      </c>
      <c r="E568" s="56" t="s">
        <v>69</v>
      </c>
      <c r="F568" s="56" t="s">
        <v>70</v>
      </c>
      <c r="G568" s="57">
        <v>267769211</v>
      </c>
      <c r="H568" s="56" t="s">
        <v>68</v>
      </c>
      <c r="I568" s="58" t="str">
        <f t="shared" si="130"/>
        <v>Romania-Online Supplier-Direct</v>
      </c>
      <c r="J568" s="40"/>
      <c r="K568" s="59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</row>
    <row r="569" spans="1:42" ht="17.25" customHeight="1" x14ac:dyDescent="0.25">
      <c r="A569" s="60">
        <v>2009</v>
      </c>
      <c r="B569" s="61" t="s">
        <v>66</v>
      </c>
      <c r="C569" s="61" t="s">
        <v>17</v>
      </c>
      <c r="D569" s="61" t="s">
        <v>23</v>
      </c>
      <c r="E569" s="61" t="s">
        <v>69</v>
      </c>
      <c r="F569" s="61" t="s">
        <v>71</v>
      </c>
      <c r="G569" s="62">
        <v>104133968</v>
      </c>
      <c r="H569" s="61" t="s">
        <v>68</v>
      </c>
      <c r="I569" s="63" t="str">
        <f t="shared" si="130"/>
        <v>Romania-OTA</v>
      </c>
      <c r="J569" s="47"/>
      <c r="K569" s="54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</row>
    <row r="570" spans="1:42" ht="17.25" customHeight="1" x14ac:dyDescent="0.25">
      <c r="A570" s="55">
        <v>2009</v>
      </c>
      <c r="B570" s="56" t="s">
        <v>66</v>
      </c>
      <c r="C570" s="56" t="s">
        <v>17</v>
      </c>
      <c r="D570" s="56" t="s">
        <v>24</v>
      </c>
      <c r="E570" s="56" t="s">
        <v>67</v>
      </c>
      <c r="F570" s="56" t="s">
        <v>67</v>
      </c>
      <c r="G570" s="57">
        <v>33061705266</v>
      </c>
      <c r="H570" s="56" t="s">
        <v>68</v>
      </c>
      <c r="I570" s="58" t="str">
        <f t="shared" si="130"/>
        <v>Russia-Offline</v>
      </c>
      <c r="J570" s="40"/>
      <c r="K570" s="59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</row>
    <row r="571" spans="1:42" ht="17.25" customHeight="1" x14ac:dyDescent="0.25">
      <c r="A571" s="60">
        <v>2009</v>
      </c>
      <c r="B571" s="61" t="s">
        <v>66</v>
      </c>
      <c r="C571" s="61" t="s">
        <v>17</v>
      </c>
      <c r="D571" s="61" t="s">
        <v>24</v>
      </c>
      <c r="E571" s="61" t="s">
        <v>69</v>
      </c>
      <c r="F571" s="61" t="s">
        <v>70</v>
      </c>
      <c r="G571" s="62">
        <v>1068104044</v>
      </c>
      <c r="H571" s="61" t="s">
        <v>68</v>
      </c>
      <c r="I571" s="63" t="str">
        <f t="shared" si="130"/>
        <v>Russia-Online Supplier-Direct</v>
      </c>
      <c r="J571" s="47"/>
      <c r="K571" s="54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</row>
    <row r="572" spans="1:42" ht="17.25" customHeight="1" x14ac:dyDescent="0.25">
      <c r="A572" s="55">
        <v>2009</v>
      </c>
      <c r="B572" s="56" t="s">
        <v>66</v>
      </c>
      <c r="C572" s="56" t="s">
        <v>17</v>
      </c>
      <c r="D572" s="56" t="s">
        <v>24</v>
      </c>
      <c r="E572" s="56" t="s">
        <v>69</v>
      </c>
      <c r="F572" s="56" t="s">
        <v>71</v>
      </c>
      <c r="G572" s="57">
        <v>940718050</v>
      </c>
      <c r="H572" s="56" t="s">
        <v>68</v>
      </c>
      <c r="I572" s="58" t="str">
        <f t="shared" si="130"/>
        <v>Russia-OTA</v>
      </c>
      <c r="J572" s="40"/>
      <c r="K572" s="59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</row>
    <row r="573" spans="1:42" ht="17.25" customHeight="1" x14ac:dyDescent="0.25">
      <c r="A573" s="60">
        <v>2009</v>
      </c>
      <c r="B573" s="61" t="s">
        <v>66</v>
      </c>
      <c r="C573" s="61" t="s">
        <v>41</v>
      </c>
      <c r="D573" s="61" t="s">
        <v>44</v>
      </c>
      <c r="E573" s="61" t="s">
        <v>67</v>
      </c>
      <c r="F573" s="61" t="s">
        <v>67</v>
      </c>
      <c r="G573" s="62">
        <v>8209436344</v>
      </c>
      <c r="H573" s="61" t="s">
        <v>68</v>
      </c>
      <c r="I573" s="63" t="str">
        <f t="shared" si="130"/>
        <v>Saudi Arabia-Offline</v>
      </c>
      <c r="J573" s="47"/>
      <c r="K573" s="54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</row>
    <row r="574" spans="1:42" ht="17.25" customHeight="1" x14ac:dyDescent="0.25">
      <c r="A574" s="55">
        <v>2009</v>
      </c>
      <c r="B574" s="56" t="s">
        <v>66</v>
      </c>
      <c r="C574" s="56" t="s">
        <v>41</v>
      </c>
      <c r="D574" s="56" t="s">
        <v>44</v>
      </c>
      <c r="E574" s="56" t="s">
        <v>69</v>
      </c>
      <c r="F574" s="56" t="s">
        <v>70</v>
      </c>
      <c r="G574" s="57">
        <v>355223529</v>
      </c>
      <c r="H574" s="56" t="s">
        <v>68</v>
      </c>
      <c r="I574" s="58" t="str">
        <f t="shared" si="130"/>
        <v>Saudi Arabia-Online Supplier-Direct</v>
      </c>
      <c r="J574" s="40"/>
      <c r="K574" s="59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</row>
    <row r="575" spans="1:42" ht="17.25" customHeight="1" x14ac:dyDescent="0.25">
      <c r="A575" s="60">
        <v>2009</v>
      </c>
      <c r="B575" s="61" t="s">
        <v>66</v>
      </c>
      <c r="C575" s="61" t="s">
        <v>41</v>
      </c>
      <c r="D575" s="61" t="s">
        <v>44</v>
      </c>
      <c r="E575" s="61" t="s">
        <v>69</v>
      </c>
      <c r="F575" s="61" t="s">
        <v>71</v>
      </c>
      <c r="G575" s="62">
        <v>641659396</v>
      </c>
      <c r="H575" s="61" t="s">
        <v>68</v>
      </c>
      <c r="I575" s="63" t="str">
        <f t="shared" si="130"/>
        <v>Saudi Arabia-OTA</v>
      </c>
      <c r="J575" s="47"/>
      <c r="K575" s="54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</row>
    <row r="576" spans="1:42" ht="17.25" customHeight="1" x14ac:dyDescent="0.25">
      <c r="A576" s="55">
        <v>2009</v>
      </c>
      <c r="B576" s="56" t="s">
        <v>66</v>
      </c>
      <c r="C576" s="56" t="s">
        <v>27</v>
      </c>
      <c r="D576" s="56" t="s">
        <v>31</v>
      </c>
      <c r="E576" s="56" t="s">
        <v>67</v>
      </c>
      <c r="F576" s="56" t="s">
        <v>67</v>
      </c>
      <c r="G576" s="57">
        <v>11180800986</v>
      </c>
      <c r="H576" s="56" t="s">
        <v>68</v>
      </c>
      <c r="I576" s="58" t="str">
        <f t="shared" si="130"/>
        <v>Scandinavia-Offline</v>
      </c>
      <c r="J576" s="40"/>
      <c r="K576" s="59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</row>
    <row r="577" spans="1:42" ht="17.25" customHeight="1" x14ac:dyDescent="0.25">
      <c r="A577" s="60">
        <v>2009</v>
      </c>
      <c r="B577" s="61" t="s">
        <v>66</v>
      </c>
      <c r="C577" s="61" t="s">
        <v>27</v>
      </c>
      <c r="D577" s="61" t="s">
        <v>31</v>
      </c>
      <c r="E577" s="61" t="s">
        <v>69</v>
      </c>
      <c r="F577" s="61" t="s">
        <v>70</v>
      </c>
      <c r="G577" s="62">
        <v>4312834251</v>
      </c>
      <c r="H577" s="61" t="s">
        <v>68</v>
      </c>
      <c r="I577" s="63" t="str">
        <f t="shared" si="130"/>
        <v>Scandinavia-Online Supplier-Direct</v>
      </c>
      <c r="J577" s="47"/>
      <c r="K577" s="54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</row>
    <row r="578" spans="1:42" ht="17.25" customHeight="1" x14ac:dyDescent="0.25">
      <c r="A578" s="55">
        <v>2009</v>
      </c>
      <c r="B578" s="56" t="s">
        <v>66</v>
      </c>
      <c r="C578" s="56" t="s">
        <v>27</v>
      </c>
      <c r="D578" s="56" t="s">
        <v>31</v>
      </c>
      <c r="E578" s="56" t="s">
        <v>69</v>
      </c>
      <c r="F578" s="56" t="s">
        <v>71</v>
      </c>
      <c r="G578" s="57">
        <v>2033952989</v>
      </c>
      <c r="H578" s="56" t="s">
        <v>68</v>
      </c>
      <c r="I578" s="58" t="str">
        <f t="shared" si="130"/>
        <v>Scandinavia-OTA</v>
      </c>
      <c r="J578" s="40"/>
      <c r="K578" s="59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</row>
    <row r="579" spans="1:42" ht="17.25" customHeight="1" x14ac:dyDescent="0.25">
      <c r="A579" s="60">
        <v>2009</v>
      </c>
      <c r="B579" s="61" t="s">
        <v>66</v>
      </c>
      <c r="C579" s="61" t="s">
        <v>4</v>
      </c>
      <c r="D579" s="61" t="s">
        <v>12</v>
      </c>
      <c r="E579" s="61" t="s">
        <v>67</v>
      </c>
      <c r="F579" s="61" t="s">
        <v>67</v>
      </c>
      <c r="G579" s="62">
        <v>5183334817</v>
      </c>
      <c r="H579" s="61" t="s">
        <v>68</v>
      </c>
      <c r="I579" s="63" t="str">
        <f t="shared" si="130"/>
        <v>Singapore-Offline</v>
      </c>
      <c r="J579" s="47"/>
      <c r="K579" s="54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</row>
    <row r="580" spans="1:42" ht="17.25" customHeight="1" x14ac:dyDescent="0.25">
      <c r="A580" s="55">
        <v>2009</v>
      </c>
      <c r="B580" s="56" t="s">
        <v>66</v>
      </c>
      <c r="C580" s="56" t="s">
        <v>4</v>
      </c>
      <c r="D580" s="56" t="s">
        <v>12</v>
      </c>
      <c r="E580" s="56" t="s">
        <v>69</v>
      </c>
      <c r="F580" s="56" t="s">
        <v>70</v>
      </c>
      <c r="G580" s="57">
        <v>1329120007</v>
      </c>
      <c r="H580" s="56" t="s">
        <v>68</v>
      </c>
      <c r="I580" s="58" t="str">
        <f t="shared" si="130"/>
        <v>Singapore-Online Supplier-Direct</v>
      </c>
      <c r="J580" s="40"/>
      <c r="K580" s="59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</row>
    <row r="581" spans="1:42" ht="17.25" customHeight="1" x14ac:dyDescent="0.25">
      <c r="A581" s="60">
        <v>2009</v>
      </c>
      <c r="B581" s="61" t="s">
        <v>66</v>
      </c>
      <c r="C581" s="61" t="s">
        <v>4</v>
      </c>
      <c r="D581" s="61" t="s">
        <v>12</v>
      </c>
      <c r="E581" s="61" t="s">
        <v>69</v>
      </c>
      <c r="F581" s="61" t="s">
        <v>71</v>
      </c>
      <c r="G581" s="62">
        <v>231785047</v>
      </c>
      <c r="H581" s="61" t="s">
        <v>68</v>
      </c>
      <c r="I581" s="63" t="str">
        <f t="shared" si="130"/>
        <v>Singapore-OTA</v>
      </c>
      <c r="J581" s="47"/>
      <c r="K581" s="54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</row>
    <row r="582" spans="1:42" ht="17.25" customHeight="1" x14ac:dyDescent="0.25">
      <c r="A582" s="55">
        <v>2009</v>
      </c>
      <c r="B582" s="56" t="s">
        <v>66</v>
      </c>
      <c r="C582" s="56" t="s">
        <v>4</v>
      </c>
      <c r="D582" s="56" t="s">
        <v>13</v>
      </c>
      <c r="E582" s="56" t="s">
        <v>67</v>
      </c>
      <c r="F582" s="56" t="s">
        <v>67</v>
      </c>
      <c r="G582" s="57">
        <v>8827228902</v>
      </c>
      <c r="H582" s="56" t="s">
        <v>68</v>
      </c>
      <c r="I582" s="58" t="str">
        <f t="shared" si="130"/>
        <v>South Korea-Offline</v>
      </c>
      <c r="J582" s="40"/>
      <c r="K582" s="59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</row>
    <row r="583" spans="1:42" ht="17.25" customHeight="1" x14ac:dyDescent="0.25">
      <c r="A583" s="60">
        <v>2009</v>
      </c>
      <c r="B583" s="61" t="s">
        <v>66</v>
      </c>
      <c r="C583" s="61" t="s">
        <v>4</v>
      </c>
      <c r="D583" s="61" t="s">
        <v>13</v>
      </c>
      <c r="E583" s="61" t="s">
        <v>69</v>
      </c>
      <c r="F583" s="61" t="s">
        <v>70</v>
      </c>
      <c r="G583" s="62">
        <v>1108985340</v>
      </c>
      <c r="H583" s="61" t="s">
        <v>68</v>
      </c>
      <c r="I583" s="63" t="str">
        <f t="shared" si="130"/>
        <v>South Korea-Online Supplier-Direct</v>
      </c>
      <c r="J583" s="47"/>
      <c r="K583" s="54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</row>
    <row r="584" spans="1:42" ht="17.25" customHeight="1" x14ac:dyDescent="0.25">
      <c r="A584" s="55">
        <v>2009</v>
      </c>
      <c r="B584" s="56" t="s">
        <v>66</v>
      </c>
      <c r="C584" s="56" t="s">
        <v>4</v>
      </c>
      <c r="D584" s="56" t="s">
        <v>13</v>
      </c>
      <c r="E584" s="56" t="s">
        <v>69</v>
      </c>
      <c r="F584" s="56" t="s">
        <v>71</v>
      </c>
      <c r="G584" s="57">
        <v>81632740</v>
      </c>
      <c r="H584" s="56" t="s">
        <v>68</v>
      </c>
      <c r="I584" s="58" t="str">
        <f t="shared" si="130"/>
        <v>South Korea-OTA</v>
      </c>
      <c r="J584" s="40"/>
      <c r="K584" s="59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</row>
    <row r="585" spans="1:42" ht="17.25" customHeight="1" x14ac:dyDescent="0.25">
      <c r="A585" s="60">
        <v>2009</v>
      </c>
      <c r="B585" s="61" t="s">
        <v>66</v>
      </c>
      <c r="C585" s="61" t="s">
        <v>27</v>
      </c>
      <c r="D585" s="61" t="s">
        <v>32</v>
      </c>
      <c r="E585" s="61" t="s">
        <v>67</v>
      </c>
      <c r="F585" s="61" t="s">
        <v>67</v>
      </c>
      <c r="G585" s="62">
        <v>20965610600</v>
      </c>
      <c r="H585" s="61" t="s">
        <v>68</v>
      </c>
      <c r="I585" s="63" t="str">
        <f t="shared" si="130"/>
        <v>Spain-Offline</v>
      </c>
      <c r="J585" s="47"/>
      <c r="K585" s="54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</row>
    <row r="586" spans="1:42" ht="17.25" customHeight="1" x14ac:dyDescent="0.25">
      <c r="A586" s="55">
        <v>2009</v>
      </c>
      <c r="B586" s="56" t="s">
        <v>66</v>
      </c>
      <c r="C586" s="56" t="s">
        <v>27</v>
      </c>
      <c r="D586" s="56" t="s">
        <v>32</v>
      </c>
      <c r="E586" s="56" t="s">
        <v>69</v>
      </c>
      <c r="F586" s="56" t="s">
        <v>70</v>
      </c>
      <c r="G586" s="57">
        <v>2475379888</v>
      </c>
      <c r="H586" s="56" t="s">
        <v>68</v>
      </c>
      <c r="I586" s="58" t="str">
        <f t="shared" si="130"/>
        <v>Spain-Online Supplier-Direct</v>
      </c>
      <c r="J586" s="40"/>
      <c r="K586" s="59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</row>
    <row r="587" spans="1:42" ht="17.25" customHeight="1" x14ac:dyDescent="0.25">
      <c r="A587" s="60">
        <v>2009</v>
      </c>
      <c r="B587" s="61" t="s">
        <v>66</v>
      </c>
      <c r="C587" s="61" t="s">
        <v>27</v>
      </c>
      <c r="D587" s="61" t="s">
        <v>32</v>
      </c>
      <c r="E587" s="61" t="s">
        <v>69</v>
      </c>
      <c r="F587" s="61" t="s">
        <v>71</v>
      </c>
      <c r="G587" s="62">
        <v>3037106955</v>
      </c>
      <c r="H587" s="61" t="s">
        <v>68</v>
      </c>
      <c r="I587" s="63" t="str">
        <f t="shared" si="130"/>
        <v>Spain-OTA</v>
      </c>
      <c r="J587" s="47"/>
      <c r="K587" s="54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</row>
    <row r="588" spans="1:42" ht="17.25" customHeight="1" x14ac:dyDescent="0.25">
      <c r="A588" s="55">
        <v>2009</v>
      </c>
      <c r="B588" s="56" t="s">
        <v>66</v>
      </c>
      <c r="C588" s="56" t="s">
        <v>4</v>
      </c>
      <c r="D588" s="56" t="s">
        <v>14</v>
      </c>
      <c r="E588" s="56" t="s">
        <v>67</v>
      </c>
      <c r="F588" s="56" t="s">
        <v>67</v>
      </c>
      <c r="G588" s="57">
        <v>4251468513</v>
      </c>
      <c r="H588" s="56" t="s">
        <v>68</v>
      </c>
      <c r="I588" s="58" t="str">
        <f t="shared" si="130"/>
        <v>Taiwan-Offline</v>
      </c>
      <c r="J588" s="40"/>
      <c r="K588" s="59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</row>
    <row r="589" spans="1:42" ht="17.25" customHeight="1" x14ac:dyDescent="0.25">
      <c r="A589" s="60">
        <v>2009</v>
      </c>
      <c r="B589" s="61" t="s">
        <v>66</v>
      </c>
      <c r="C589" s="61" t="s">
        <v>4</v>
      </c>
      <c r="D589" s="61" t="s">
        <v>14</v>
      </c>
      <c r="E589" s="61" t="s">
        <v>69</v>
      </c>
      <c r="F589" s="61" t="s">
        <v>70</v>
      </c>
      <c r="G589" s="62">
        <v>352036615</v>
      </c>
      <c r="H589" s="61" t="s">
        <v>68</v>
      </c>
      <c r="I589" s="63" t="str">
        <f t="shared" si="130"/>
        <v>Taiwan-Online Supplier-Direct</v>
      </c>
      <c r="J589" s="47"/>
      <c r="K589" s="54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</row>
    <row r="590" spans="1:42" ht="17.25" customHeight="1" x14ac:dyDescent="0.25">
      <c r="A590" s="55">
        <v>2009</v>
      </c>
      <c r="B590" s="56" t="s">
        <v>66</v>
      </c>
      <c r="C590" s="56" t="s">
        <v>4</v>
      </c>
      <c r="D590" s="56" t="s">
        <v>14</v>
      </c>
      <c r="E590" s="56" t="s">
        <v>69</v>
      </c>
      <c r="F590" s="56" t="s">
        <v>71</v>
      </c>
      <c r="G590" s="57">
        <v>87442155</v>
      </c>
      <c r="H590" s="56" t="s">
        <v>68</v>
      </c>
      <c r="I590" s="58" t="str">
        <f t="shared" si="130"/>
        <v>Taiwan-OTA</v>
      </c>
      <c r="J590" s="40"/>
      <c r="K590" s="59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</row>
    <row r="591" spans="1:42" ht="17.25" customHeight="1" x14ac:dyDescent="0.25">
      <c r="A591" s="60">
        <v>2009</v>
      </c>
      <c r="B591" s="61" t="s">
        <v>66</v>
      </c>
      <c r="C591" s="61" t="s">
        <v>4</v>
      </c>
      <c r="D591" s="61" t="s">
        <v>15</v>
      </c>
      <c r="E591" s="61" t="s">
        <v>67</v>
      </c>
      <c r="F591" s="61" t="s">
        <v>67</v>
      </c>
      <c r="G591" s="62">
        <v>8214837771</v>
      </c>
      <c r="H591" s="61" t="s">
        <v>68</v>
      </c>
      <c r="I591" s="63" t="str">
        <f t="shared" si="130"/>
        <v>Thailand-Offline</v>
      </c>
      <c r="J591" s="47"/>
      <c r="K591" s="54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</row>
    <row r="592" spans="1:42" ht="17.25" customHeight="1" x14ac:dyDescent="0.25">
      <c r="A592" s="55">
        <v>2009</v>
      </c>
      <c r="B592" s="56" t="s">
        <v>66</v>
      </c>
      <c r="C592" s="56" t="s">
        <v>4</v>
      </c>
      <c r="D592" s="56" t="s">
        <v>15</v>
      </c>
      <c r="E592" s="56" t="s">
        <v>69</v>
      </c>
      <c r="F592" s="56" t="s">
        <v>70</v>
      </c>
      <c r="G592" s="57">
        <v>740830751</v>
      </c>
      <c r="H592" s="56" t="s">
        <v>68</v>
      </c>
      <c r="I592" s="58" t="str">
        <f t="shared" si="130"/>
        <v>Thailand-Online Supplier-Direct</v>
      </c>
      <c r="J592" s="40"/>
      <c r="K592" s="59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</row>
    <row r="593" spans="1:42" ht="17.25" customHeight="1" x14ac:dyDescent="0.25">
      <c r="A593" s="60">
        <v>2009</v>
      </c>
      <c r="B593" s="61" t="s">
        <v>66</v>
      </c>
      <c r="C593" s="61" t="s">
        <v>4</v>
      </c>
      <c r="D593" s="61" t="s">
        <v>15</v>
      </c>
      <c r="E593" s="61" t="s">
        <v>69</v>
      </c>
      <c r="F593" s="61" t="s">
        <v>71</v>
      </c>
      <c r="G593" s="62">
        <v>499440837</v>
      </c>
      <c r="H593" s="61" t="s">
        <v>68</v>
      </c>
      <c r="I593" s="63" t="str">
        <f t="shared" si="130"/>
        <v>Thailand-OTA</v>
      </c>
      <c r="J593" s="47"/>
      <c r="K593" s="54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</row>
    <row r="594" spans="1:42" ht="17.25" customHeight="1" x14ac:dyDescent="0.25">
      <c r="A594" s="55">
        <v>2009</v>
      </c>
      <c r="B594" s="56" t="s">
        <v>66</v>
      </c>
      <c r="C594" s="56" t="s">
        <v>41</v>
      </c>
      <c r="D594" s="56" t="s">
        <v>45</v>
      </c>
      <c r="E594" s="56" t="s">
        <v>67</v>
      </c>
      <c r="F594" s="56" t="s">
        <v>67</v>
      </c>
      <c r="G594" s="57">
        <v>17979546687</v>
      </c>
      <c r="H594" s="56" t="s">
        <v>68</v>
      </c>
      <c r="I594" s="58" t="str">
        <f t="shared" si="130"/>
        <v>U.A.E.-Offline</v>
      </c>
      <c r="J594" s="40"/>
      <c r="K594" s="59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</row>
    <row r="595" spans="1:42" ht="17.25" customHeight="1" x14ac:dyDescent="0.25">
      <c r="A595" s="60">
        <v>2009</v>
      </c>
      <c r="B595" s="61" t="s">
        <v>66</v>
      </c>
      <c r="C595" s="61" t="s">
        <v>41</v>
      </c>
      <c r="D595" s="61" t="s">
        <v>45</v>
      </c>
      <c r="E595" s="61" t="s">
        <v>69</v>
      </c>
      <c r="F595" s="61" t="s">
        <v>70</v>
      </c>
      <c r="G595" s="62">
        <v>1483070491</v>
      </c>
      <c r="H595" s="61" t="s">
        <v>68</v>
      </c>
      <c r="I595" s="63" t="str">
        <f t="shared" si="130"/>
        <v>U.A.E.-Online Supplier-Direct</v>
      </c>
      <c r="J595" s="47"/>
      <c r="K595" s="54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</row>
    <row r="596" spans="1:42" ht="17.25" customHeight="1" x14ac:dyDescent="0.25">
      <c r="A596" s="55">
        <v>2009</v>
      </c>
      <c r="B596" s="56" t="s">
        <v>66</v>
      </c>
      <c r="C596" s="56" t="s">
        <v>41</v>
      </c>
      <c r="D596" s="56" t="s">
        <v>45</v>
      </c>
      <c r="E596" s="56" t="s">
        <v>69</v>
      </c>
      <c r="F596" s="56" t="s">
        <v>71</v>
      </c>
      <c r="G596" s="57">
        <v>1561065892</v>
      </c>
      <c r="H596" s="56" t="s">
        <v>68</v>
      </c>
      <c r="I596" s="58" t="str">
        <f t="shared" si="130"/>
        <v>U.A.E.-OTA</v>
      </c>
      <c r="J596" s="40"/>
      <c r="K596" s="59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</row>
    <row r="597" spans="1:42" ht="17.25" customHeight="1" x14ac:dyDescent="0.25">
      <c r="A597" s="60">
        <v>2009</v>
      </c>
      <c r="B597" s="61" t="s">
        <v>66</v>
      </c>
      <c r="C597" s="61" t="s">
        <v>27</v>
      </c>
      <c r="D597" s="61" t="s">
        <v>33</v>
      </c>
      <c r="E597" s="61" t="s">
        <v>67</v>
      </c>
      <c r="F597" s="61" t="s">
        <v>67</v>
      </c>
      <c r="G597" s="62">
        <v>36328368743</v>
      </c>
      <c r="H597" s="61" t="s">
        <v>68</v>
      </c>
      <c r="I597" s="63" t="str">
        <f t="shared" si="130"/>
        <v>U.K.-Offline</v>
      </c>
      <c r="J597" s="47"/>
      <c r="K597" s="54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</row>
    <row r="598" spans="1:42" ht="17.25" customHeight="1" x14ac:dyDescent="0.25">
      <c r="A598" s="55">
        <v>2009</v>
      </c>
      <c r="B598" s="56" t="s">
        <v>66</v>
      </c>
      <c r="C598" s="56" t="s">
        <v>27</v>
      </c>
      <c r="D598" s="56" t="s">
        <v>33</v>
      </c>
      <c r="E598" s="56" t="s">
        <v>69</v>
      </c>
      <c r="F598" s="56" t="s">
        <v>70</v>
      </c>
      <c r="G598" s="57">
        <v>13347828573</v>
      </c>
      <c r="H598" s="56" t="s">
        <v>68</v>
      </c>
      <c r="I598" s="58" t="str">
        <f t="shared" si="130"/>
        <v>U.K.-Online Supplier-Direct</v>
      </c>
      <c r="J598" s="40"/>
      <c r="K598" s="59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</row>
    <row r="599" spans="1:42" ht="17.25" customHeight="1" x14ac:dyDescent="0.25">
      <c r="A599" s="60">
        <v>2009</v>
      </c>
      <c r="B599" s="61" t="s">
        <v>66</v>
      </c>
      <c r="C599" s="61" t="s">
        <v>27</v>
      </c>
      <c r="D599" s="61" t="s">
        <v>33</v>
      </c>
      <c r="E599" s="61" t="s">
        <v>69</v>
      </c>
      <c r="F599" s="61" t="s">
        <v>71</v>
      </c>
      <c r="G599" s="62">
        <v>4724615720</v>
      </c>
      <c r="H599" s="61" t="s">
        <v>68</v>
      </c>
      <c r="I599" s="63" t="str">
        <f t="shared" si="130"/>
        <v>U.K.-OTA</v>
      </c>
      <c r="J599" s="47"/>
      <c r="K599" s="54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</row>
    <row r="600" spans="1:42" ht="17.25" customHeight="1" x14ac:dyDescent="0.25">
      <c r="A600" s="55">
        <v>2009</v>
      </c>
      <c r="B600" s="56" t="s">
        <v>66</v>
      </c>
      <c r="C600" s="56" t="s">
        <v>47</v>
      </c>
      <c r="D600" s="56" t="s">
        <v>48</v>
      </c>
      <c r="E600" s="56" t="s">
        <v>72</v>
      </c>
      <c r="F600" s="56" t="s">
        <v>73</v>
      </c>
      <c r="G600" s="57">
        <v>71508614324</v>
      </c>
      <c r="H600" s="56" t="s">
        <v>68</v>
      </c>
      <c r="I600" s="58" t="str">
        <f t="shared" si="130"/>
        <v>U.S.-Central Reservation</v>
      </c>
      <c r="J600" s="40"/>
      <c r="K600" s="59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</row>
    <row r="601" spans="1:42" ht="17.25" customHeight="1" x14ac:dyDescent="0.25">
      <c r="A601" s="60">
        <v>2009</v>
      </c>
      <c r="B601" s="61" t="s">
        <v>66</v>
      </c>
      <c r="C601" s="61" t="s">
        <v>47</v>
      </c>
      <c r="D601" s="61" t="s">
        <v>48</v>
      </c>
      <c r="E601" s="61" t="s">
        <v>67</v>
      </c>
      <c r="F601" s="61" t="s">
        <v>74</v>
      </c>
      <c r="G601" s="62">
        <v>70691252594</v>
      </c>
      <c r="H601" s="61" t="s">
        <v>68</v>
      </c>
      <c r="I601" s="63" t="str">
        <f t="shared" si="130"/>
        <v>U.S.-Travel Agency/TMC</v>
      </c>
      <c r="J601" s="47"/>
      <c r="K601" s="54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</row>
    <row r="602" spans="1:42" ht="17.25" customHeight="1" x14ac:dyDescent="0.25">
      <c r="A602" s="55">
        <v>2009</v>
      </c>
      <c r="B602" s="56" t="s">
        <v>66</v>
      </c>
      <c r="C602" s="56" t="s">
        <v>47</v>
      </c>
      <c r="D602" s="56" t="s">
        <v>48</v>
      </c>
      <c r="E602" s="56" t="s">
        <v>69</v>
      </c>
      <c r="F602" s="56" t="s">
        <v>70</v>
      </c>
      <c r="G602" s="57">
        <v>54210351788</v>
      </c>
      <c r="H602" s="56" t="s">
        <v>68</v>
      </c>
      <c r="I602" s="58" t="str">
        <f t="shared" si="130"/>
        <v>U.S.-Online Supplier-Direct</v>
      </c>
      <c r="J602" s="40"/>
      <c r="K602" s="59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</row>
    <row r="603" spans="1:42" ht="17.25" customHeight="1" x14ac:dyDescent="0.25">
      <c r="A603" s="60">
        <v>2009</v>
      </c>
      <c r="B603" s="61" t="s">
        <v>66</v>
      </c>
      <c r="C603" s="61" t="s">
        <v>47</v>
      </c>
      <c r="D603" s="61" t="s">
        <v>48</v>
      </c>
      <c r="E603" s="61" t="s">
        <v>69</v>
      </c>
      <c r="F603" s="61" t="s">
        <v>71</v>
      </c>
      <c r="G603" s="62">
        <v>35569224768</v>
      </c>
      <c r="H603" s="61" t="s">
        <v>68</v>
      </c>
      <c r="I603" s="63" t="str">
        <f t="shared" si="130"/>
        <v>U.S.-OTA</v>
      </c>
      <c r="J603" s="47"/>
      <c r="K603" s="54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</row>
    <row r="604" spans="1:42" ht="17.25" customHeight="1" x14ac:dyDescent="0.25">
      <c r="A604" s="55">
        <v>2009</v>
      </c>
      <c r="B604" s="56" t="s">
        <v>66</v>
      </c>
      <c r="C604" s="56" t="s">
        <v>17</v>
      </c>
      <c r="D604" s="56" t="s">
        <v>25</v>
      </c>
      <c r="E604" s="56" t="s">
        <v>67</v>
      </c>
      <c r="F604" s="56" t="s">
        <v>67</v>
      </c>
      <c r="G604" s="57">
        <v>3032952674</v>
      </c>
      <c r="H604" s="56" t="s">
        <v>68</v>
      </c>
      <c r="I604" s="58" t="str">
        <f t="shared" si="130"/>
        <v>Ukraine-Offline</v>
      </c>
      <c r="J604" s="40"/>
      <c r="K604" s="59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</row>
    <row r="605" spans="1:42" ht="17.25" customHeight="1" x14ac:dyDescent="0.25">
      <c r="A605" s="60">
        <v>2009</v>
      </c>
      <c r="B605" s="61" t="s">
        <v>66</v>
      </c>
      <c r="C605" s="61" t="s">
        <v>17</v>
      </c>
      <c r="D605" s="61" t="s">
        <v>25</v>
      </c>
      <c r="E605" s="61" t="s">
        <v>69</v>
      </c>
      <c r="F605" s="61" t="s">
        <v>70</v>
      </c>
      <c r="G605" s="62">
        <v>277598378</v>
      </c>
      <c r="H605" s="61" t="s">
        <v>68</v>
      </c>
      <c r="I605" s="63" t="str">
        <f t="shared" si="130"/>
        <v>Ukraine-Online Supplier-Direct</v>
      </c>
      <c r="J605" s="47"/>
      <c r="K605" s="54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</row>
    <row r="606" spans="1:42" ht="17.25" customHeight="1" x14ac:dyDescent="0.25">
      <c r="A606" s="55">
        <v>2009</v>
      </c>
      <c r="B606" s="56" t="s">
        <v>66</v>
      </c>
      <c r="C606" s="56" t="s">
        <v>17</v>
      </c>
      <c r="D606" s="56" t="s">
        <v>25</v>
      </c>
      <c r="E606" s="56" t="s">
        <v>69</v>
      </c>
      <c r="F606" s="56" t="s">
        <v>71</v>
      </c>
      <c r="G606" s="57">
        <v>150483939</v>
      </c>
      <c r="H606" s="56" t="s">
        <v>68</v>
      </c>
      <c r="I606" s="58" t="str">
        <f t="shared" si="130"/>
        <v>Ukraine-OTA</v>
      </c>
      <c r="J606" s="40"/>
      <c r="K606" s="59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</row>
    <row r="607" spans="1:42" ht="17.25" customHeight="1" x14ac:dyDescent="0.25">
      <c r="A607" s="60">
        <v>2010</v>
      </c>
      <c r="B607" s="61" t="s">
        <v>66</v>
      </c>
      <c r="C607" s="61" t="s">
        <v>35</v>
      </c>
      <c r="D607" s="61" t="s">
        <v>34</v>
      </c>
      <c r="E607" s="61" t="s">
        <v>67</v>
      </c>
      <c r="F607" s="61" t="s">
        <v>67</v>
      </c>
      <c r="G607" s="62">
        <v>8902994517</v>
      </c>
      <c r="H607" s="61" t="s">
        <v>68</v>
      </c>
      <c r="I607" s="63" t="str">
        <f t="shared" si="130"/>
        <v>Argentina-Offline</v>
      </c>
      <c r="J607" s="47"/>
      <c r="K607" s="54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</row>
    <row r="608" spans="1:42" ht="17.25" customHeight="1" x14ac:dyDescent="0.25">
      <c r="A608" s="55">
        <v>2010</v>
      </c>
      <c r="B608" s="56" t="s">
        <v>66</v>
      </c>
      <c r="C608" s="56" t="s">
        <v>35</v>
      </c>
      <c r="D608" s="56" t="s">
        <v>34</v>
      </c>
      <c r="E608" s="56" t="s">
        <v>69</v>
      </c>
      <c r="F608" s="56" t="s">
        <v>70</v>
      </c>
      <c r="G608" s="57">
        <v>283161776</v>
      </c>
      <c r="H608" s="56" t="s">
        <v>68</v>
      </c>
      <c r="I608" s="58" t="str">
        <f t="shared" si="130"/>
        <v>Argentina-Online Supplier-Direct</v>
      </c>
      <c r="J608" s="40"/>
      <c r="K608" s="59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</row>
    <row r="609" spans="1:42" ht="17.25" customHeight="1" x14ac:dyDescent="0.25">
      <c r="A609" s="60">
        <v>2010</v>
      </c>
      <c r="B609" s="61" t="s">
        <v>66</v>
      </c>
      <c r="C609" s="61" t="s">
        <v>35</v>
      </c>
      <c r="D609" s="61" t="s">
        <v>34</v>
      </c>
      <c r="E609" s="61" t="s">
        <v>69</v>
      </c>
      <c r="F609" s="61" t="s">
        <v>71</v>
      </c>
      <c r="G609" s="62">
        <v>343290774</v>
      </c>
      <c r="H609" s="61" t="s">
        <v>68</v>
      </c>
      <c r="I609" s="63" t="str">
        <f t="shared" si="130"/>
        <v>Argentina-OTA</v>
      </c>
      <c r="J609" s="47"/>
      <c r="K609" s="54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</row>
    <row r="610" spans="1:42" ht="17.25" customHeight="1" x14ac:dyDescent="0.25">
      <c r="A610" s="55">
        <v>2010</v>
      </c>
      <c r="B610" s="56" t="s">
        <v>66</v>
      </c>
      <c r="C610" s="56" t="s">
        <v>4</v>
      </c>
      <c r="D610" s="56" t="s">
        <v>3</v>
      </c>
      <c r="E610" s="56" t="s">
        <v>67</v>
      </c>
      <c r="F610" s="56" t="s">
        <v>67</v>
      </c>
      <c r="G610" s="57">
        <v>18737447258</v>
      </c>
      <c r="H610" s="56" t="s">
        <v>68</v>
      </c>
      <c r="I610" s="58" t="str">
        <f t="shared" si="130"/>
        <v>Australia-New Zealand-Offline</v>
      </c>
      <c r="J610" s="40"/>
      <c r="K610" s="59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</row>
    <row r="611" spans="1:42" ht="17.25" customHeight="1" x14ac:dyDescent="0.25">
      <c r="A611" s="60">
        <v>2010</v>
      </c>
      <c r="B611" s="61" t="s">
        <v>66</v>
      </c>
      <c r="C611" s="61" t="s">
        <v>4</v>
      </c>
      <c r="D611" s="61" t="s">
        <v>3</v>
      </c>
      <c r="E611" s="61" t="s">
        <v>69</v>
      </c>
      <c r="F611" s="61" t="s">
        <v>70</v>
      </c>
      <c r="G611" s="62">
        <v>7417407614</v>
      </c>
      <c r="H611" s="61" t="s">
        <v>68</v>
      </c>
      <c r="I611" s="63" t="str">
        <f t="shared" si="130"/>
        <v>Australia-New Zealand-Online Supplier-Direct</v>
      </c>
      <c r="J611" s="47"/>
      <c r="K611" s="54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</row>
    <row r="612" spans="1:42" ht="17.25" customHeight="1" x14ac:dyDescent="0.25">
      <c r="A612" s="55">
        <v>2010</v>
      </c>
      <c r="B612" s="56" t="s">
        <v>66</v>
      </c>
      <c r="C612" s="56" t="s">
        <v>4</v>
      </c>
      <c r="D612" s="56" t="s">
        <v>3</v>
      </c>
      <c r="E612" s="56" t="s">
        <v>69</v>
      </c>
      <c r="F612" s="56" t="s">
        <v>71</v>
      </c>
      <c r="G612" s="57">
        <v>1667698213</v>
      </c>
      <c r="H612" s="56" t="s">
        <v>68</v>
      </c>
      <c r="I612" s="58" t="str">
        <f t="shared" si="130"/>
        <v>Australia-New Zealand-OTA</v>
      </c>
      <c r="J612" s="40"/>
      <c r="K612" s="59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</row>
    <row r="613" spans="1:42" ht="17.25" customHeight="1" x14ac:dyDescent="0.25">
      <c r="A613" s="60">
        <v>2010</v>
      </c>
      <c r="B613" s="61" t="s">
        <v>66</v>
      </c>
      <c r="C613" s="61" t="s">
        <v>35</v>
      </c>
      <c r="D613" s="61" t="s">
        <v>36</v>
      </c>
      <c r="E613" s="61" t="s">
        <v>67</v>
      </c>
      <c r="F613" s="61" t="s">
        <v>67</v>
      </c>
      <c r="G613" s="62">
        <v>36381376893</v>
      </c>
      <c r="H613" s="61" t="s">
        <v>68</v>
      </c>
      <c r="I613" s="63" t="str">
        <f t="shared" si="130"/>
        <v>Brazil-Offline</v>
      </c>
      <c r="J613" s="47"/>
      <c r="K613" s="54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</row>
    <row r="614" spans="1:42" ht="17.25" customHeight="1" x14ac:dyDescent="0.25">
      <c r="A614" s="55">
        <v>2010</v>
      </c>
      <c r="B614" s="56" t="s">
        <v>66</v>
      </c>
      <c r="C614" s="56" t="s">
        <v>35</v>
      </c>
      <c r="D614" s="56" t="s">
        <v>36</v>
      </c>
      <c r="E614" s="56" t="s">
        <v>69</v>
      </c>
      <c r="F614" s="56" t="s">
        <v>70</v>
      </c>
      <c r="G614" s="57">
        <v>1698245736</v>
      </c>
      <c r="H614" s="56" t="s">
        <v>68</v>
      </c>
      <c r="I614" s="58" t="str">
        <f t="shared" si="130"/>
        <v>Brazil-Online Supplier-Direct</v>
      </c>
      <c r="J614" s="40"/>
      <c r="K614" s="59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</row>
    <row r="615" spans="1:42" ht="17.25" customHeight="1" x14ac:dyDescent="0.25">
      <c r="A615" s="60">
        <v>2010</v>
      </c>
      <c r="B615" s="61" t="s">
        <v>66</v>
      </c>
      <c r="C615" s="61" t="s">
        <v>35</v>
      </c>
      <c r="D615" s="61" t="s">
        <v>36</v>
      </c>
      <c r="E615" s="61" t="s">
        <v>69</v>
      </c>
      <c r="F615" s="61" t="s">
        <v>71</v>
      </c>
      <c r="G615" s="62">
        <v>3551632264</v>
      </c>
      <c r="H615" s="61" t="s">
        <v>68</v>
      </c>
      <c r="I615" s="63" t="str">
        <f t="shared" si="130"/>
        <v>Brazil-OTA</v>
      </c>
      <c r="J615" s="47"/>
      <c r="K615" s="54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</row>
    <row r="616" spans="1:42" ht="17.25" customHeight="1" x14ac:dyDescent="0.25">
      <c r="A616" s="55">
        <v>2010</v>
      </c>
      <c r="B616" s="56" t="s">
        <v>66</v>
      </c>
      <c r="C616" s="56" t="s">
        <v>17</v>
      </c>
      <c r="D616" s="56" t="s">
        <v>16</v>
      </c>
      <c r="E616" s="56" t="s">
        <v>67</v>
      </c>
      <c r="F616" s="56" t="s">
        <v>67</v>
      </c>
      <c r="G616" s="57">
        <v>1227998788</v>
      </c>
      <c r="H616" s="56" t="s">
        <v>68</v>
      </c>
      <c r="I616" s="58" t="str">
        <f t="shared" si="130"/>
        <v>Bulgaria-Offline</v>
      </c>
      <c r="J616" s="40"/>
      <c r="K616" s="59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</row>
    <row r="617" spans="1:42" ht="17.25" customHeight="1" x14ac:dyDescent="0.25">
      <c r="A617" s="60">
        <v>2010</v>
      </c>
      <c r="B617" s="61" t="s">
        <v>66</v>
      </c>
      <c r="C617" s="61" t="s">
        <v>17</v>
      </c>
      <c r="D617" s="61" t="s">
        <v>16</v>
      </c>
      <c r="E617" s="61" t="s">
        <v>69</v>
      </c>
      <c r="F617" s="61" t="s">
        <v>70</v>
      </c>
      <c r="G617" s="62">
        <v>119173464</v>
      </c>
      <c r="H617" s="61" t="s">
        <v>68</v>
      </c>
      <c r="I617" s="63" t="str">
        <f t="shared" si="130"/>
        <v>Bulgaria-Online Supplier-Direct</v>
      </c>
      <c r="J617" s="47"/>
      <c r="K617" s="54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</row>
    <row r="618" spans="1:42" ht="17.25" customHeight="1" x14ac:dyDescent="0.25">
      <c r="A618" s="55">
        <v>2010</v>
      </c>
      <c r="B618" s="56" t="s">
        <v>66</v>
      </c>
      <c r="C618" s="56" t="s">
        <v>17</v>
      </c>
      <c r="D618" s="56" t="s">
        <v>16</v>
      </c>
      <c r="E618" s="56" t="s">
        <v>69</v>
      </c>
      <c r="F618" s="56" t="s">
        <v>71</v>
      </c>
      <c r="G618" s="57">
        <v>31620237</v>
      </c>
      <c r="H618" s="56" t="s">
        <v>68</v>
      </c>
      <c r="I618" s="58" t="str">
        <f t="shared" si="130"/>
        <v>Bulgaria-OTA</v>
      </c>
      <c r="J618" s="40"/>
      <c r="K618" s="59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</row>
    <row r="619" spans="1:42" ht="17.25" customHeight="1" x14ac:dyDescent="0.25">
      <c r="A619" s="60">
        <v>2010</v>
      </c>
      <c r="B619" s="61" t="s">
        <v>66</v>
      </c>
      <c r="C619" s="61" t="s">
        <v>47</v>
      </c>
      <c r="D619" s="61" t="s">
        <v>46</v>
      </c>
      <c r="E619" s="61" t="s">
        <v>67</v>
      </c>
      <c r="F619" s="61" t="s">
        <v>67</v>
      </c>
      <c r="G619" s="62">
        <v>18007820739</v>
      </c>
      <c r="H619" s="61" t="s">
        <v>68</v>
      </c>
      <c r="I619" s="63" t="str">
        <f t="shared" si="130"/>
        <v>Canada-Offline</v>
      </c>
      <c r="J619" s="47"/>
      <c r="K619" s="54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</row>
    <row r="620" spans="1:42" ht="17.25" customHeight="1" x14ac:dyDescent="0.25">
      <c r="A620" s="55">
        <v>2010</v>
      </c>
      <c r="B620" s="56" t="s">
        <v>66</v>
      </c>
      <c r="C620" s="56" t="s">
        <v>47</v>
      </c>
      <c r="D620" s="56" t="s">
        <v>46</v>
      </c>
      <c r="E620" s="56" t="s">
        <v>69</v>
      </c>
      <c r="F620" s="56" t="s">
        <v>70</v>
      </c>
      <c r="G620" s="57">
        <v>7249438832</v>
      </c>
      <c r="H620" s="56" t="s">
        <v>68</v>
      </c>
      <c r="I620" s="58" t="str">
        <f t="shared" si="130"/>
        <v>Canada-Online Supplier-Direct</v>
      </c>
      <c r="J620" s="40"/>
      <c r="K620" s="59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</row>
    <row r="621" spans="1:42" ht="17.25" customHeight="1" x14ac:dyDescent="0.25">
      <c r="A621" s="60">
        <v>2010</v>
      </c>
      <c r="B621" s="61" t="s">
        <v>66</v>
      </c>
      <c r="C621" s="61" t="s">
        <v>47</v>
      </c>
      <c r="D621" s="61" t="s">
        <v>46</v>
      </c>
      <c r="E621" s="61" t="s">
        <v>69</v>
      </c>
      <c r="F621" s="61" t="s">
        <v>71</v>
      </c>
      <c r="G621" s="62">
        <v>2959193996</v>
      </c>
      <c r="H621" s="61" t="s">
        <v>68</v>
      </c>
      <c r="I621" s="63" t="str">
        <f t="shared" si="130"/>
        <v>Canada-OTA</v>
      </c>
      <c r="J621" s="47"/>
      <c r="K621" s="54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</row>
    <row r="622" spans="1:42" ht="17.25" customHeight="1" x14ac:dyDescent="0.25">
      <c r="A622" s="55">
        <v>2010</v>
      </c>
      <c r="B622" s="56" t="s">
        <v>66</v>
      </c>
      <c r="C622" s="56" t="s">
        <v>35</v>
      </c>
      <c r="D622" s="56" t="s">
        <v>37</v>
      </c>
      <c r="E622" s="56" t="s">
        <v>67</v>
      </c>
      <c r="F622" s="56" t="s">
        <v>67</v>
      </c>
      <c r="G622" s="57">
        <v>3885552614</v>
      </c>
      <c r="H622" s="56" t="s">
        <v>68</v>
      </c>
      <c r="I622" s="58" t="str">
        <f t="shared" si="130"/>
        <v>Chile-Offline</v>
      </c>
      <c r="J622" s="40"/>
      <c r="K622" s="59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</row>
    <row r="623" spans="1:42" ht="17.25" customHeight="1" x14ac:dyDescent="0.25">
      <c r="A623" s="60">
        <v>2010</v>
      </c>
      <c r="B623" s="61" t="s">
        <v>66</v>
      </c>
      <c r="C623" s="61" t="s">
        <v>35</v>
      </c>
      <c r="D623" s="61" t="s">
        <v>37</v>
      </c>
      <c r="E623" s="61" t="s">
        <v>69</v>
      </c>
      <c r="F623" s="61" t="s">
        <v>70</v>
      </c>
      <c r="G623" s="62">
        <v>669491411</v>
      </c>
      <c r="H623" s="61" t="s">
        <v>68</v>
      </c>
      <c r="I623" s="63" t="str">
        <f t="shared" si="130"/>
        <v>Chile-Online Supplier-Direct</v>
      </c>
      <c r="J623" s="47"/>
      <c r="K623" s="54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</row>
    <row r="624" spans="1:42" ht="17.25" customHeight="1" x14ac:dyDescent="0.25">
      <c r="A624" s="55">
        <v>2010</v>
      </c>
      <c r="B624" s="56" t="s">
        <v>66</v>
      </c>
      <c r="C624" s="56" t="s">
        <v>35</v>
      </c>
      <c r="D624" s="56" t="s">
        <v>37</v>
      </c>
      <c r="E624" s="56" t="s">
        <v>69</v>
      </c>
      <c r="F624" s="56" t="s">
        <v>71</v>
      </c>
      <c r="G624" s="57">
        <v>276741957</v>
      </c>
      <c r="H624" s="56" t="s">
        <v>68</v>
      </c>
      <c r="I624" s="58" t="str">
        <f t="shared" si="130"/>
        <v>Chile-OTA</v>
      </c>
      <c r="J624" s="40"/>
      <c r="K624" s="59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</row>
    <row r="625" spans="1:42" ht="17.25" customHeight="1" x14ac:dyDescent="0.25">
      <c r="A625" s="60">
        <v>2010</v>
      </c>
      <c r="B625" s="61" t="s">
        <v>66</v>
      </c>
      <c r="C625" s="61" t="s">
        <v>4</v>
      </c>
      <c r="D625" s="61" t="s">
        <v>5</v>
      </c>
      <c r="E625" s="61" t="s">
        <v>67</v>
      </c>
      <c r="F625" s="61" t="s">
        <v>67</v>
      </c>
      <c r="G625" s="62">
        <v>69695817334</v>
      </c>
      <c r="H625" s="61" t="s">
        <v>68</v>
      </c>
      <c r="I625" s="63" t="str">
        <f t="shared" si="130"/>
        <v>China-Offline</v>
      </c>
      <c r="J625" s="47"/>
      <c r="K625" s="54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</row>
    <row r="626" spans="1:42" ht="17.25" customHeight="1" x14ac:dyDescent="0.25">
      <c r="A626" s="55">
        <v>2010</v>
      </c>
      <c r="B626" s="56" t="s">
        <v>66</v>
      </c>
      <c r="C626" s="56" t="s">
        <v>4</v>
      </c>
      <c r="D626" s="56" t="s">
        <v>5</v>
      </c>
      <c r="E626" s="56" t="s">
        <v>69</v>
      </c>
      <c r="F626" s="56" t="s">
        <v>70</v>
      </c>
      <c r="G626" s="57">
        <v>3365560518</v>
      </c>
      <c r="H626" s="56" t="s">
        <v>68</v>
      </c>
      <c r="I626" s="58" t="str">
        <f t="shared" si="130"/>
        <v>China-Online Supplier-Direct</v>
      </c>
      <c r="J626" s="40"/>
      <c r="K626" s="59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</row>
    <row r="627" spans="1:42" ht="17.25" customHeight="1" x14ac:dyDescent="0.25">
      <c r="A627" s="60">
        <v>2010</v>
      </c>
      <c r="B627" s="61" t="s">
        <v>66</v>
      </c>
      <c r="C627" s="61" t="s">
        <v>4</v>
      </c>
      <c r="D627" s="61" t="s">
        <v>5</v>
      </c>
      <c r="E627" s="61" t="s">
        <v>69</v>
      </c>
      <c r="F627" s="61" t="s">
        <v>71</v>
      </c>
      <c r="G627" s="62">
        <v>3407773909</v>
      </c>
      <c r="H627" s="61" t="s">
        <v>68</v>
      </c>
      <c r="I627" s="63" t="str">
        <f t="shared" si="130"/>
        <v>China-OTA</v>
      </c>
      <c r="J627" s="47"/>
      <c r="K627" s="54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</row>
    <row r="628" spans="1:42" ht="17.25" customHeight="1" x14ac:dyDescent="0.25">
      <c r="A628" s="55">
        <v>2010</v>
      </c>
      <c r="B628" s="56" t="s">
        <v>66</v>
      </c>
      <c r="C628" s="56" t="s">
        <v>35</v>
      </c>
      <c r="D628" s="56" t="s">
        <v>38</v>
      </c>
      <c r="E628" s="56" t="s">
        <v>67</v>
      </c>
      <c r="F628" s="56" t="s">
        <v>67</v>
      </c>
      <c r="G628" s="57">
        <v>8251034761</v>
      </c>
      <c r="H628" s="56" t="s">
        <v>68</v>
      </c>
      <c r="I628" s="58" t="str">
        <f t="shared" si="130"/>
        <v>Colombia-Offline</v>
      </c>
      <c r="J628" s="40"/>
      <c r="K628" s="59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</row>
    <row r="629" spans="1:42" ht="17.25" customHeight="1" x14ac:dyDescent="0.25">
      <c r="A629" s="60">
        <v>2010</v>
      </c>
      <c r="B629" s="61" t="s">
        <v>66</v>
      </c>
      <c r="C629" s="61" t="s">
        <v>35</v>
      </c>
      <c r="D629" s="61" t="s">
        <v>38</v>
      </c>
      <c r="E629" s="61" t="s">
        <v>69</v>
      </c>
      <c r="F629" s="61" t="s">
        <v>70</v>
      </c>
      <c r="G629" s="62">
        <v>437251035</v>
      </c>
      <c r="H629" s="61" t="s">
        <v>68</v>
      </c>
      <c r="I629" s="63" t="str">
        <f t="shared" si="130"/>
        <v>Colombia-Online Supplier-Direct</v>
      </c>
      <c r="J629" s="47"/>
      <c r="K629" s="54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</row>
    <row r="630" spans="1:42" ht="17.25" customHeight="1" x14ac:dyDescent="0.25">
      <c r="A630" s="55">
        <v>2010</v>
      </c>
      <c r="B630" s="56" t="s">
        <v>66</v>
      </c>
      <c r="C630" s="56" t="s">
        <v>35</v>
      </c>
      <c r="D630" s="56" t="s">
        <v>38</v>
      </c>
      <c r="E630" s="56" t="s">
        <v>69</v>
      </c>
      <c r="F630" s="56" t="s">
        <v>71</v>
      </c>
      <c r="G630" s="57">
        <v>545397506</v>
      </c>
      <c r="H630" s="56" t="s">
        <v>68</v>
      </c>
      <c r="I630" s="58" t="str">
        <f t="shared" si="130"/>
        <v>Colombia-OTA</v>
      </c>
      <c r="J630" s="40"/>
      <c r="K630" s="59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</row>
    <row r="631" spans="1:42" ht="17.25" customHeight="1" x14ac:dyDescent="0.25">
      <c r="A631" s="60">
        <v>2010</v>
      </c>
      <c r="B631" s="61" t="s">
        <v>66</v>
      </c>
      <c r="C631" s="61" t="s">
        <v>17</v>
      </c>
      <c r="D631" s="61" t="s">
        <v>18</v>
      </c>
      <c r="E631" s="61" t="s">
        <v>67</v>
      </c>
      <c r="F631" s="61" t="s">
        <v>67</v>
      </c>
      <c r="G631" s="62">
        <v>2460444226</v>
      </c>
      <c r="H631" s="61" t="s">
        <v>68</v>
      </c>
      <c r="I631" s="63" t="str">
        <f t="shared" si="130"/>
        <v>Czech Republic-Offline</v>
      </c>
      <c r="J631" s="47"/>
      <c r="K631" s="54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</row>
    <row r="632" spans="1:42" ht="17.25" customHeight="1" x14ac:dyDescent="0.25">
      <c r="A632" s="55">
        <v>2010</v>
      </c>
      <c r="B632" s="56" t="s">
        <v>66</v>
      </c>
      <c r="C632" s="56" t="s">
        <v>17</v>
      </c>
      <c r="D632" s="56" t="s">
        <v>18</v>
      </c>
      <c r="E632" s="56" t="s">
        <v>69</v>
      </c>
      <c r="F632" s="56" t="s">
        <v>70</v>
      </c>
      <c r="G632" s="57">
        <v>293314828</v>
      </c>
      <c r="H632" s="56" t="s">
        <v>68</v>
      </c>
      <c r="I632" s="58" t="str">
        <f t="shared" si="130"/>
        <v>Czech Republic-Online Supplier-Direct</v>
      </c>
      <c r="J632" s="40"/>
      <c r="K632" s="59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</row>
    <row r="633" spans="1:42" ht="17.25" customHeight="1" x14ac:dyDescent="0.25">
      <c r="A633" s="60">
        <v>2010</v>
      </c>
      <c r="B633" s="61" t="s">
        <v>66</v>
      </c>
      <c r="C633" s="61" t="s">
        <v>17</v>
      </c>
      <c r="D633" s="61" t="s">
        <v>18</v>
      </c>
      <c r="E633" s="61" t="s">
        <v>69</v>
      </c>
      <c r="F633" s="61" t="s">
        <v>71</v>
      </c>
      <c r="G633" s="62">
        <v>324042071</v>
      </c>
      <c r="H633" s="61" t="s">
        <v>68</v>
      </c>
      <c r="I633" s="63" t="str">
        <f t="shared" si="130"/>
        <v>Czech Republic-OTA</v>
      </c>
      <c r="J633" s="47"/>
      <c r="K633" s="54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</row>
    <row r="634" spans="1:42" ht="17.25" customHeight="1" x14ac:dyDescent="0.25">
      <c r="A634" s="55">
        <v>2010</v>
      </c>
      <c r="B634" s="56" t="s">
        <v>66</v>
      </c>
      <c r="C634" s="56" t="s">
        <v>41</v>
      </c>
      <c r="D634" s="56" t="s">
        <v>40</v>
      </c>
      <c r="E634" s="56" t="s">
        <v>67</v>
      </c>
      <c r="F634" s="56" t="s">
        <v>67</v>
      </c>
      <c r="G634" s="57">
        <v>7808305519</v>
      </c>
      <c r="H634" s="56" t="s">
        <v>68</v>
      </c>
      <c r="I634" s="58" t="str">
        <f t="shared" si="130"/>
        <v>Egypt-Offline</v>
      </c>
      <c r="J634" s="40"/>
      <c r="K634" s="59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</row>
    <row r="635" spans="1:42" ht="17.25" customHeight="1" x14ac:dyDescent="0.25">
      <c r="A635" s="60">
        <v>2010</v>
      </c>
      <c r="B635" s="61" t="s">
        <v>66</v>
      </c>
      <c r="C635" s="61" t="s">
        <v>41</v>
      </c>
      <c r="D635" s="61" t="s">
        <v>40</v>
      </c>
      <c r="E635" s="61" t="s">
        <v>69</v>
      </c>
      <c r="F635" s="61" t="s">
        <v>70</v>
      </c>
      <c r="G635" s="62">
        <v>256551398</v>
      </c>
      <c r="H635" s="61" t="s">
        <v>68</v>
      </c>
      <c r="I635" s="63" t="str">
        <f t="shared" si="130"/>
        <v>Egypt-Online Supplier-Direct</v>
      </c>
      <c r="J635" s="47"/>
      <c r="K635" s="54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</row>
    <row r="636" spans="1:42" ht="17.25" customHeight="1" x14ac:dyDescent="0.25">
      <c r="A636" s="55">
        <v>2010</v>
      </c>
      <c r="B636" s="56" t="s">
        <v>66</v>
      </c>
      <c r="C636" s="56" t="s">
        <v>41</v>
      </c>
      <c r="D636" s="56" t="s">
        <v>40</v>
      </c>
      <c r="E636" s="56" t="s">
        <v>69</v>
      </c>
      <c r="F636" s="56" t="s">
        <v>71</v>
      </c>
      <c r="G636" s="57">
        <v>333825164</v>
      </c>
      <c r="H636" s="56" t="s">
        <v>68</v>
      </c>
      <c r="I636" s="58" t="str">
        <f t="shared" si="130"/>
        <v>Egypt-OTA</v>
      </c>
      <c r="J636" s="40"/>
      <c r="K636" s="59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</row>
    <row r="637" spans="1:42" ht="17.25" customHeight="1" x14ac:dyDescent="0.25">
      <c r="A637" s="60">
        <v>2010</v>
      </c>
      <c r="B637" s="61" t="s">
        <v>66</v>
      </c>
      <c r="C637" s="61" t="s">
        <v>27</v>
      </c>
      <c r="D637" s="61" t="s">
        <v>26</v>
      </c>
      <c r="E637" s="61" t="s">
        <v>67</v>
      </c>
      <c r="F637" s="61" t="s">
        <v>67</v>
      </c>
      <c r="G637" s="62">
        <v>35412326588</v>
      </c>
      <c r="H637" s="61" t="s">
        <v>68</v>
      </c>
      <c r="I637" s="63" t="str">
        <f t="shared" si="130"/>
        <v>France-Offline</v>
      </c>
      <c r="J637" s="47"/>
      <c r="K637" s="54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</row>
    <row r="638" spans="1:42" ht="17.25" customHeight="1" x14ac:dyDescent="0.25">
      <c r="A638" s="55">
        <v>2010</v>
      </c>
      <c r="B638" s="56" t="s">
        <v>66</v>
      </c>
      <c r="C638" s="56" t="s">
        <v>27</v>
      </c>
      <c r="D638" s="56" t="s">
        <v>26</v>
      </c>
      <c r="E638" s="56" t="s">
        <v>69</v>
      </c>
      <c r="F638" s="56" t="s">
        <v>70</v>
      </c>
      <c r="G638" s="57">
        <v>10339979375</v>
      </c>
      <c r="H638" s="56" t="s">
        <v>68</v>
      </c>
      <c r="I638" s="58" t="str">
        <f t="shared" si="130"/>
        <v>France-Online Supplier-Direct</v>
      </c>
      <c r="J638" s="40"/>
      <c r="K638" s="59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</row>
    <row r="639" spans="1:42" ht="17.25" customHeight="1" x14ac:dyDescent="0.25">
      <c r="A639" s="60">
        <v>2010</v>
      </c>
      <c r="B639" s="61" t="s">
        <v>66</v>
      </c>
      <c r="C639" s="61" t="s">
        <v>27</v>
      </c>
      <c r="D639" s="61" t="s">
        <v>26</v>
      </c>
      <c r="E639" s="61" t="s">
        <v>69</v>
      </c>
      <c r="F639" s="61" t="s">
        <v>71</v>
      </c>
      <c r="G639" s="62">
        <v>6135502759</v>
      </c>
      <c r="H639" s="61" t="s">
        <v>68</v>
      </c>
      <c r="I639" s="63" t="str">
        <f t="shared" si="130"/>
        <v>France-OTA</v>
      </c>
      <c r="J639" s="47"/>
      <c r="K639" s="54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</row>
    <row r="640" spans="1:42" ht="17.25" customHeight="1" x14ac:dyDescent="0.25">
      <c r="A640" s="55">
        <v>2010</v>
      </c>
      <c r="B640" s="56" t="s">
        <v>66</v>
      </c>
      <c r="C640" s="56" t="s">
        <v>27</v>
      </c>
      <c r="D640" s="56" t="s">
        <v>28</v>
      </c>
      <c r="E640" s="56" t="s">
        <v>67</v>
      </c>
      <c r="F640" s="56" t="s">
        <v>67</v>
      </c>
      <c r="G640" s="57">
        <v>46374265997</v>
      </c>
      <c r="H640" s="56" t="s">
        <v>68</v>
      </c>
      <c r="I640" s="58" t="str">
        <f t="shared" si="130"/>
        <v>Germany-Offline</v>
      </c>
      <c r="J640" s="40"/>
      <c r="K640" s="59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</row>
    <row r="641" spans="1:42" ht="17.25" customHeight="1" x14ac:dyDescent="0.25">
      <c r="A641" s="60">
        <v>2010</v>
      </c>
      <c r="B641" s="61" t="s">
        <v>66</v>
      </c>
      <c r="C641" s="61" t="s">
        <v>27</v>
      </c>
      <c r="D641" s="61" t="s">
        <v>28</v>
      </c>
      <c r="E641" s="61" t="s">
        <v>69</v>
      </c>
      <c r="F641" s="61" t="s">
        <v>70</v>
      </c>
      <c r="G641" s="62">
        <v>10708608717</v>
      </c>
      <c r="H641" s="61" t="s">
        <v>68</v>
      </c>
      <c r="I641" s="63" t="str">
        <f t="shared" si="130"/>
        <v>Germany-Online Supplier-Direct</v>
      </c>
      <c r="J641" s="47"/>
      <c r="K641" s="54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</row>
    <row r="642" spans="1:42" ht="17.25" customHeight="1" x14ac:dyDescent="0.25">
      <c r="A642" s="55">
        <v>2010</v>
      </c>
      <c r="B642" s="56" t="s">
        <v>66</v>
      </c>
      <c r="C642" s="56" t="s">
        <v>27</v>
      </c>
      <c r="D642" s="56" t="s">
        <v>28</v>
      </c>
      <c r="E642" s="56" t="s">
        <v>69</v>
      </c>
      <c r="F642" s="56" t="s">
        <v>71</v>
      </c>
      <c r="G642" s="57">
        <v>9212441144</v>
      </c>
      <c r="H642" s="56" t="s">
        <v>68</v>
      </c>
      <c r="I642" s="58" t="str">
        <f t="shared" si="130"/>
        <v>Germany-OTA</v>
      </c>
      <c r="J642" s="40"/>
      <c r="K642" s="59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</row>
    <row r="643" spans="1:42" ht="17.25" customHeight="1" x14ac:dyDescent="0.25">
      <c r="A643" s="60">
        <v>2010</v>
      </c>
      <c r="B643" s="61" t="s">
        <v>66</v>
      </c>
      <c r="C643" s="61" t="s">
        <v>17</v>
      </c>
      <c r="D643" s="61" t="s">
        <v>19</v>
      </c>
      <c r="E643" s="61" t="s">
        <v>67</v>
      </c>
      <c r="F643" s="61" t="s">
        <v>67</v>
      </c>
      <c r="G643" s="62">
        <v>7856930286</v>
      </c>
      <c r="H643" s="61" t="s">
        <v>68</v>
      </c>
      <c r="I643" s="63" t="str">
        <f t="shared" si="130"/>
        <v>Greece-Offline</v>
      </c>
      <c r="J643" s="47"/>
      <c r="K643" s="54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</row>
    <row r="644" spans="1:42" ht="17.25" customHeight="1" x14ac:dyDescent="0.25">
      <c r="A644" s="55">
        <v>2010</v>
      </c>
      <c r="B644" s="56" t="s">
        <v>66</v>
      </c>
      <c r="C644" s="56" t="s">
        <v>17</v>
      </c>
      <c r="D644" s="56" t="s">
        <v>19</v>
      </c>
      <c r="E644" s="56" t="s">
        <v>69</v>
      </c>
      <c r="F644" s="56" t="s">
        <v>70</v>
      </c>
      <c r="G644" s="57">
        <v>1537555628</v>
      </c>
      <c r="H644" s="56" t="s">
        <v>68</v>
      </c>
      <c r="I644" s="58" t="str">
        <f t="shared" si="130"/>
        <v>Greece-Online Supplier-Direct</v>
      </c>
      <c r="J644" s="40"/>
      <c r="K644" s="59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</row>
    <row r="645" spans="1:42" ht="17.25" customHeight="1" x14ac:dyDescent="0.25">
      <c r="A645" s="60">
        <v>2010</v>
      </c>
      <c r="B645" s="61" t="s">
        <v>66</v>
      </c>
      <c r="C645" s="61" t="s">
        <v>17</v>
      </c>
      <c r="D645" s="61" t="s">
        <v>19</v>
      </c>
      <c r="E645" s="61" t="s">
        <v>69</v>
      </c>
      <c r="F645" s="61" t="s">
        <v>71</v>
      </c>
      <c r="G645" s="62">
        <v>610517373</v>
      </c>
      <c r="H645" s="61" t="s">
        <v>68</v>
      </c>
      <c r="I645" s="63" t="str">
        <f t="shared" si="130"/>
        <v>Greece-OTA</v>
      </c>
      <c r="J645" s="47"/>
      <c r="K645" s="54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</row>
    <row r="646" spans="1:42" ht="17.25" customHeight="1" x14ac:dyDescent="0.25">
      <c r="A646" s="55">
        <v>2010</v>
      </c>
      <c r="B646" s="56" t="s">
        <v>66</v>
      </c>
      <c r="C646" s="56" t="s">
        <v>4</v>
      </c>
      <c r="D646" s="56" t="s">
        <v>6</v>
      </c>
      <c r="E646" s="56" t="s">
        <v>67</v>
      </c>
      <c r="F646" s="56" t="s">
        <v>67</v>
      </c>
      <c r="G646" s="57">
        <v>10527783022</v>
      </c>
      <c r="H646" s="56" t="s">
        <v>68</v>
      </c>
      <c r="I646" s="58" t="str">
        <f t="shared" si="130"/>
        <v>Hong Kong-Offline</v>
      </c>
      <c r="J646" s="40"/>
      <c r="K646" s="59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</row>
    <row r="647" spans="1:42" ht="17.25" customHeight="1" x14ac:dyDescent="0.25">
      <c r="A647" s="60">
        <v>2010</v>
      </c>
      <c r="B647" s="61" t="s">
        <v>66</v>
      </c>
      <c r="C647" s="61" t="s">
        <v>4</v>
      </c>
      <c r="D647" s="61" t="s">
        <v>6</v>
      </c>
      <c r="E647" s="61" t="s">
        <v>69</v>
      </c>
      <c r="F647" s="61" t="s">
        <v>70</v>
      </c>
      <c r="G647" s="62">
        <v>536951215</v>
      </c>
      <c r="H647" s="61" t="s">
        <v>68</v>
      </c>
      <c r="I647" s="63" t="str">
        <f t="shared" si="130"/>
        <v>Hong Kong-Online Supplier-Direct</v>
      </c>
      <c r="J647" s="47"/>
      <c r="K647" s="54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</row>
    <row r="648" spans="1:42" ht="17.25" customHeight="1" x14ac:dyDescent="0.25">
      <c r="A648" s="55">
        <v>2010</v>
      </c>
      <c r="B648" s="56" t="s">
        <v>66</v>
      </c>
      <c r="C648" s="56" t="s">
        <v>4</v>
      </c>
      <c r="D648" s="56" t="s">
        <v>6</v>
      </c>
      <c r="E648" s="56" t="s">
        <v>69</v>
      </c>
      <c r="F648" s="56" t="s">
        <v>71</v>
      </c>
      <c r="G648" s="57">
        <v>175131028</v>
      </c>
      <c r="H648" s="56" t="s">
        <v>68</v>
      </c>
      <c r="I648" s="58" t="str">
        <f t="shared" si="130"/>
        <v>Hong Kong-OTA</v>
      </c>
      <c r="J648" s="40"/>
      <c r="K648" s="59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</row>
    <row r="649" spans="1:42" ht="17.25" customHeight="1" x14ac:dyDescent="0.25">
      <c r="A649" s="60">
        <v>2010</v>
      </c>
      <c r="B649" s="61" t="s">
        <v>66</v>
      </c>
      <c r="C649" s="61" t="s">
        <v>17</v>
      </c>
      <c r="D649" s="61" t="s">
        <v>20</v>
      </c>
      <c r="E649" s="61" t="s">
        <v>67</v>
      </c>
      <c r="F649" s="61" t="s">
        <v>67</v>
      </c>
      <c r="G649" s="62">
        <v>2047706721</v>
      </c>
      <c r="H649" s="61" t="s">
        <v>68</v>
      </c>
      <c r="I649" s="63" t="str">
        <f t="shared" si="130"/>
        <v>Hungary-Offline</v>
      </c>
      <c r="J649" s="47"/>
      <c r="K649" s="54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</row>
    <row r="650" spans="1:42" ht="17.25" customHeight="1" x14ac:dyDescent="0.25">
      <c r="A650" s="55">
        <v>2010</v>
      </c>
      <c r="B650" s="56" t="s">
        <v>66</v>
      </c>
      <c r="C650" s="56" t="s">
        <v>17</v>
      </c>
      <c r="D650" s="56" t="s">
        <v>20</v>
      </c>
      <c r="E650" s="56" t="s">
        <v>69</v>
      </c>
      <c r="F650" s="56" t="s">
        <v>70</v>
      </c>
      <c r="G650" s="57">
        <v>453824158</v>
      </c>
      <c r="H650" s="56" t="s">
        <v>68</v>
      </c>
      <c r="I650" s="58" t="str">
        <f t="shared" si="130"/>
        <v>Hungary-Online Supplier-Direct</v>
      </c>
      <c r="J650" s="40"/>
      <c r="K650" s="59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</row>
    <row r="651" spans="1:42" ht="17.25" customHeight="1" x14ac:dyDescent="0.25">
      <c r="A651" s="60">
        <v>2010</v>
      </c>
      <c r="B651" s="61" t="s">
        <v>66</v>
      </c>
      <c r="C651" s="61" t="s">
        <v>17</v>
      </c>
      <c r="D651" s="61" t="s">
        <v>20</v>
      </c>
      <c r="E651" s="61" t="s">
        <v>69</v>
      </c>
      <c r="F651" s="61" t="s">
        <v>71</v>
      </c>
      <c r="G651" s="62">
        <v>124636931</v>
      </c>
      <c r="H651" s="61" t="s">
        <v>68</v>
      </c>
      <c r="I651" s="63" t="str">
        <f t="shared" si="130"/>
        <v>Hungary-OTA</v>
      </c>
      <c r="J651" s="47"/>
      <c r="K651" s="54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</row>
    <row r="652" spans="1:42" ht="17.25" customHeight="1" x14ac:dyDescent="0.25">
      <c r="A652" s="55">
        <v>2010</v>
      </c>
      <c r="B652" s="56" t="s">
        <v>66</v>
      </c>
      <c r="C652" s="56" t="s">
        <v>4</v>
      </c>
      <c r="D652" s="56" t="s">
        <v>7</v>
      </c>
      <c r="E652" s="56" t="s">
        <v>67</v>
      </c>
      <c r="F652" s="56" t="s">
        <v>67</v>
      </c>
      <c r="G652" s="57">
        <v>15596271079</v>
      </c>
      <c r="H652" s="56" t="s">
        <v>68</v>
      </c>
      <c r="I652" s="58" t="str">
        <f t="shared" si="130"/>
        <v>India-Offline</v>
      </c>
      <c r="J652" s="40"/>
      <c r="K652" s="59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</row>
    <row r="653" spans="1:42" ht="17.25" customHeight="1" x14ac:dyDescent="0.25">
      <c r="A653" s="60">
        <v>2010</v>
      </c>
      <c r="B653" s="61" t="s">
        <v>66</v>
      </c>
      <c r="C653" s="61" t="s">
        <v>4</v>
      </c>
      <c r="D653" s="61" t="s">
        <v>7</v>
      </c>
      <c r="E653" s="61" t="s">
        <v>69</v>
      </c>
      <c r="F653" s="61" t="s">
        <v>70</v>
      </c>
      <c r="G653" s="62">
        <v>3269612753</v>
      </c>
      <c r="H653" s="61" t="s">
        <v>68</v>
      </c>
      <c r="I653" s="63" t="str">
        <f t="shared" si="130"/>
        <v>India-Online Supplier-Direct</v>
      </c>
      <c r="J653" s="47"/>
      <c r="K653" s="54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</row>
    <row r="654" spans="1:42" ht="17.25" customHeight="1" x14ac:dyDescent="0.25">
      <c r="A654" s="55">
        <v>2010</v>
      </c>
      <c r="B654" s="56" t="s">
        <v>66</v>
      </c>
      <c r="C654" s="56" t="s">
        <v>4</v>
      </c>
      <c r="D654" s="56" t="s">
        <v>7</v>
      </c>
      <c r="E654" s="56" t="s">
        <v>69</v>
      </c>
      <c r="F654" s="56" t="s">
        <v>71</v>
      </c>
      <c r="G654" s="57">
        <v>1699023105</v>
      </c>
      <c r="H654" s="56" t="s">
        <v>68</v>
      </c>
      <c r="I654" s="58" t="str">
        <f t="shared" si="130"/>
        <v>India-OTA</v>
      </c>
      <c r="J654" s="40"/>
      <c r="K654" s="59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</row>
    <row r="655" spans="1:42" ht="17.25" customHeight="1" x14ac:dyDescent="0.25">
      <c r="A655" s="60">
        <v>2010</v>
      </c>
      <c r="B655" s="61" t="s">
        <v>66</v>
      </c>
      <c r="C655" s="61" t="s">
        <v>4</v>
      </c>
      <c r="D655" s="61" t="s">
        <v>8</v>
      </c>
      <c r="E655" s="61" t="s">
        <v>67</v>
      </c>
      <c r="F655" s="61" t="s">
        <v>67</v>
      </c>
      <c r="G655" s="62">
        <v>7083527198</v>
      </c>
      <c r="H655" s="61" t="s">
        <v>68</v>
      </c>
      <c r="I655" s="63" t="str">
        <f t="shared" si="130"/>
        <v>Indonesia-Offline</v>
      </c>
      <c r="J655" s="47"/>
      <c r="K655" s="54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</row>
    <row r="656" spans="1:42" ht="17.25" customHeight="1" x14ac:dyDescent="0.25">
      <c r="A656" s="55">
        <v>2010</v>
      </c>
      <c r="B656" s="56" t="s">
        <v>66</v>
      </c>
      <c r="C656" s="56" t="s">
        <v>4</v>
      </c>
      <c r="D656" s="56" t="s">
        <v>8</v>
      </c>
      <c r="E656" s="56" t="s">
        <v>69</v>
      </c>
      <c r="F656" s="56" t="s">
        <v>70</v>
      </c>
      <c r="G656" s="57">
        <v>217806904</v>
      </c>
      <c r="H656" s="56" t="s">
        <v>68</v>
      </c>
      <c r="I656" s="58" t="str">
        <f t="shared" si="130"/>
        <v>Indonesia-Online Supplier-Direct</v>
      </c>
      <c r="J656" s="40"/>
      <c r="K656" s="59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</row>
    <row r="657" spans="1:42" ht="17.25" customHeight="1" x14ac:dyDescent="0.25">
      <c r="A657" s="60">
        <v>2010</v>
      </c>
      <c r="B657" s="61" t="s">
        <v>66</v>
      </c>
      <c r="C657" s="61" t="s">
        <v>4</v>
      </c>
      <c r="D657" s="61" t="s">
        <v>8</v>
      </c>
      <c r="E657" s="61" t="s">
        <v>69</v>
      </c>
      <c r="F657" s="61" t="s">
        <v>71</v>
      </c>
      <c r="G657" s="62">
        <v>56985078</v>
      </c>
      <c r="H657" s="61" t="s">
        <v>68</v>
      </c>
      <c r="I657" s="63" t="str">
        <f t="shared" si="130"/>
        <v>Indonesia-OTA</v>
      </c>
      <c r="J657" s="47"/>
      <c r="K657" s="54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</row>
    <row r="658" spans="1:42" ht="17.25" customHeight="1" x14ac:dyDescent="0.25">
      <c r="A658" s="55">
        <v>2010</v>
      </c>
      <c r="B658" s="56" t="s">
        <v>66</v>
      </c>
      <c r="C658" s="56" t="s">
        <v>27</v>
      </c>
      <c r="D658" s="56" t="s">
        <v>29</v>
      </c>
      <c r="E658" s="56" t="s">
        <v>67</v>
      </c>
      <c r="F658" s="56" t="s">
        <v>67</v>
      </c>
      <c r="G658" s="57">
        <v>19447573551</v>
      </c>
      <c r="H658" s="56" t="s">
        <v>68</v>
      </c>
      <c r="I658" s="58" t="str">
        <f t="shared" si="130"/>
        <v>Italy-Offline</v>
      </c>
      <c r="J658" s="40"/>
      <c r="K658" s="59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</row>
    <row r="659" spans="1:42" ht="17.25" customHeight="1" x14ac:dyDescent="0.25">
      <c r="A659" s="60">
        <v>2010</v>
      </c>
      <c r="B659" s="61" t="s">
        <v>66</v>
      </c>
      <c r="C659" s="61" t="s">
        <v>27</v>
      </c>
      <c r="D659" s="61" t="s">
        <v>29</v>
      </c>
      <c r="E659" s="61" t="s">
        <v>69</v>
      </c>
      <c r="F659" s="61" t="s">
        <v>70</v>
      </c>
      <c r="G659" s="62">
        <v>2739381555</v>
      </c>
      <c r="H659" s="61" t="s">
        <v>68</v>
      </c>
      <c r="I659" s="63" t="str">
        <f t="shared" si="130"/>
        <v>Italy-Online Supplier-Direct</v>
      </c>
      <c r="J659" s="47"/>
      <c r="K659" s="54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</row>
    <row r="660" spans="1:42" ht="17.25" customHeight="1" x14ac:dyDescent="0.25">
      <c r="A660" s="55">
        <v>2010</v>
      </c>
      <c r="B660" s="56" t="s">
        <v>66</v>
      </c>
      <c r="C660" s="56" t="s">
        <v>27</v>
      </c>
      <c r="D660" s="56" t="s">
        <v>29</v>
      </c>
      <c r="E660" s="56" t="s">
        <v>69</v>
      </c>
      <c r="F660" s="56" t="s">
        <v>71</v>
      </c>
      <c r="G660" s="57">
        <v>3181491005</v>
      </c>
      <c r="H660" s="56" t="s">
        <v>68</v>
      </c>
      <c r="I660" s="58" t="str">
        <f t="shared" si="130"/>
        <v>Italy-OTA</v>
      </c>
      <c r="J660" s="40"/>
      <c r="K660" s="59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</row>
    <row r="661" spans="1:42" ht="17.25" customHeight="1" x14ac:dyDescent="0.25">
      <c r="A661" s="60">
        <v>2010</v>
      </c>
      <c r="B661" s="61" t="s">
        <v>66</v>
      </c>
      <c r="C661" s="61" t="s">
        <v>4</v>
      </c>
      <c r="D661" s="61" t="s">
        <v>9</v>
      </c>
      <c r="E661" s="61" t="s">
        <v>67</v>
      </c>
      <c r="F661" s="61" t="s">
        <v>67</v>
      </c>
      <c r="G661" s="62">
        <v>73869676139</v>
      </c>
      <c r="H661" s="61" t="s">
        <v>68</v>
      </c>
      <c r="I661" s="63" t="str">
        <f t="shared" si="130"/>
        <v>Japan-Offline</v>
      </c>
      <c r="J661" s="47"/>
      <c r="K661" s="54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</row>
    <row r="662" spans="1:42" ht="17.25" customHeight="1" x14ac:dyDescent="0.25">
      <c r="A662" s="55">
        <v>2010</v>
      </c>
      <c r="B662" s="56" t="s">
        <v>66</v>
      </c>
      <c r="C662" s="56" t="s">
        <v>4</v>
      </c>
      <c r="D662" s="56" t="s">
        <v>9</v>
      </c>
      <c r="E662" s="56" t="s">
        <v>69</v>
      </c>
      <c r="F662" s="56" t="s">
        <v>70</v>
      </c>
      <c r="G662" s="57">
        <v>16059068492</v>
      </c>
      <c r="H662" s="56" t="s">
        <v>68</v>
      </c>
      <c r="I662" s="58" t="str">
        <f t="shared" si="130"/>
        <v>Japan-Online Supplier-Direct</v>
      </c>
      <c r="J662" s="40"/>
      <c r="K662" s="59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</row>
    <row r="663" spans="1:42" ht="17.25" customHeight="1" x14ac:dyDescent="0.25">
      <c r="A663" s="60">
        <v>2010</v>
      </c>
      <c r="B663" s="61" t="s">
        <v>66</v>
      </c>
      <c r="C663" s="61" t="s">
        <v>4</v>
      </c>
      <c r="D663" s="61" t="s">
        <v>9</v>
      </c>
      <c r="E663" s="61" t="s">
        <v>69</v>
      </c>
      <c r="F663" s="61" t="s">
        <v>71</v>
      </c>
      <c r="G663" s="62">
        <v>8572683879</v>
      </c>
      <c r="H663" s="61" t="s">
        <v>68</v>
      </c>
      <c r="I663" s="63" t="str">
        <f t="shared" si="130"/>
        <v>Japan-OTA</v>
      </c>
      <c r="J663" s="47"/>
      <c r="K663" s="54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</row>
    <row r="664" spans="1:42" ht="17.25" customHeight="1" x14ac:dyDescent="0.25">
      <c r="A664" s="55">
        <v>2010</v>
      </c>
      <c r="B664" s="56" t="s">
        <v>66</v>
      </c>
      <c r="C664" s="56" t="s">
        <v>4</v>
      </c>
      <c r="D664" s="56" t="s">
        <v>10</v>
      </c>
      <c r="E664" s="56" t="s">
        <v>67</v>
      </c>
      <c r="F664" s="56" t="s">
        <v>67</v>
      </c>
      <c r="G664" s="57">
        <v>617475868</v>
      </c>
      <c r="H664" s="56" t="s">
        <v>68</v>
      </c>
      <c r="I664" s="58" t="str">
        <f t="shared" si="130"/>
        <v>Macau-Offline</v>
      </c>
      <c r="J664" s="40"/>
      <c r="K664" s="59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</row>
    <row r="665" spans="1:42" ht="17.25" customHeight="1" x14ac:dyDescent="0.25">
      <c r="A665" s="60">
        <v>2010</v>
      </c>
      <c r="B665" s="61" t="s">
        <v>66</v>
      </c>
      <c r="C665" s="61" t="s">
        <v>4</v>
      </c>
      <c r="D665" s="61" t="s">
        <v>10</v>
      </c>
      <c r="E665" s="61" t="s">
        <v>69</v>
      </c>
      <c r="F665" s="61" t="s">
        <v>70</v>
      </c>
      <c r="G665" s="62">
        <v>7121387</v>
      </c>
      <c r="H665" s="61" t="s">
        <v>68</v>
      </c>
      <c r="I665" s="63" t="str">
        <f t="shared" si="130"/>
        <v>Macau-Online Supplier-Direct</v>
      </c>
      <c r="J665" s="47"/>
      <c r="K665" s="54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</row>
    <row r="666" spans="1:42" ht="17.25" customHeight="1" x14ac:dyDescent="0.25">
      <c r="A666" s="55">
        <v>2010</v>
      </c>
      <c r="B666" s="56" t="s">
        <v>66</v>
      </c>
      <c r="C666" s="56" t="s">
        <v>4</v>
      </c>
      <c r="D666" s="56" t="s">
        <v>10</v>
      </c>
      <c r="E666" s="56" t="s">
        <v>69</v>
      </c>
      <c r="F666" s="56" t="s">
        <v>71</v>
      </c>
      <c r="G666" s="57">
        <v>10682081</v>
      </c>
      <c r="H666" s="56" t="s">
        <v>68</v>
      </c>
      <c r="I666" s="58" t="str">
        <f t="shared" si="130"/>
        <v>Macau-OTA</v>
      </c>
      <c r="J666" s="40"/>
      <c r="K666" s="59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</row>
    <row r="667" spans="1:42" ht="17.25" customHeight="1" x14ac:dyDescent="0.25">
      <c r="A667" s="60">
        <v>2010</v>
      </c>
      <c r="B667" s="61" t="s">
        <v>66</v>
      </c>
      <c r="C667" s="61" t="s">
        <v>4</v>
      </c>
      <c r="D667" s="61" t="s">
        <v>11</v>
      </c>
      <c r="E667" s="61" t="s">
        <v>67</v>
      </c>
      <c r="F667" s="61" t="s">
        <v>67</v>
      </c>
      <c r="G667" s="62">
        <v>5023264499</v>
      </c>
      <c r="H667" s="61" t="s">
        <v>68</v>
      </c>
      <c r="I667" s="63" t="str">
        <f t="shared" si="130"/>
        <v>Malaysia-Offline</v>
      </c>
      <c r="J667" s="47"/>
      <c r="K667" s="54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</row>
    <row r="668" spans="1:42" ht="17.25" customHeight="1" x14ac:dyDescent="0.25">
      <c r="A668" s="55">
        <v>2010</v>
      </c>
      <c r="B668" s="56" t="s">
        <v>66</v>
      </c>
      <c r="C668" s="56" t="s">
        <v>4</v>
      </c>
      <c r="D668" s="56" t="s">
        <v>11</v>
      </c>
      <c r="E668" s="56" t="s">
        <v>69</v>
      </c>
      <c r="F668" s="56" t="s">
        <v>70</v>
      </c>
      <c r="G668" s="57">
        <v>1823757346</v>
      </c>
      <c r="H668" s="56" t="s">
        <v>68</v>
      </c>
      <c r="I668" s="58" t="str">
        <f t="shared" si="130"/>
        <v>Malaysia-Online Supplier-Direct</v>
      </c>
      <c r="J668" s="40"/>
      <c r="K668" s="59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</row>
    <row r="669" spans="1:42" ht="17.25" customHeight="1" x14ac:dyDescent="0.25">
      <c r="A669" s="60">
        <v>2010</v>
      </c>
      <c r="B669" s="61" t="s">
        <v>66</v>
      </c>
      <c r="C669" s="61" t="s">
        <v>4</v>
      </c>
      <c r="D669" s="61" t="s">
        <v>11</v>
      </c>
      <c r="E669" s="61" t="s">
        <v>69</v>
      </c>
      <c r="F669" s="61" t="s">
        <v>71</v>
      </c>
      <c r="G669" s="62">
        <v>166823580</v>
      </c>
      <c r="H669" s="61" t="s">
        <v>68</v>
      </c>
      <c r="I669" s="63" t="str">
        <f t="shared" si="130"/>
        <v>Malaysia-OTA</v>
      </c>
      <c r="J669" s="47"/>
      <c r="K669" s="54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</row>
    <row r="670" spans="1:42" ht="17.25" customHeight="1" x14ac:dyDescent="0.25">
      <c r="A670" s="55">
        <v>2010</v>
      </c>
      <c r="B670" s="56" t="s">
        <v>66</v>
      </c>
      <c r="C670" s="56" t="s">
        <v>35</v>
      </c>
      <c r="D670" s="56" t="s">
        <v>39</v>
      </c>
      <c r="E670" s="56" t="s">
        <v>67</v>
      </c>
      <c r="F670" s="56" t="s">
        <v>67</v>
      </c>
      <c r="G670" s="57">
        <v>18178414303</v>
      </c>
      <c r="H670" s="56" t="s">
        <v>68</v>
      </c>
      <c r="I670" s="58" t="str">
        <f t="shared" si="130"/>
        <v>Mexico-Offline</v>
      </c>
      <c r="J670" s="40"/>
      <c r="K670" s="59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</row>
    <row r="671" spans="1:42" ht="17.25" customHeight="1" x14ac:dyDescent="0.25">
      <c r="A671" s="60">
        <v>2010</v>
      </c>
      <c r="B671" s="61" t="s">
        <v>66</v>
      </c>
      <c r="C671" s="61" t="s">
        <v>35</v>
      </c>
      <c r="D671" s="61" t="s">
        <v>39</v>
      </c>
      <c r="E671" s="61" t="s">
        <v>69</v>
      </c>
      <c r="F671" s="61" t="s">
        <v>70</v>
      </c>
      <c r="G671" s="62">
        <v>1267043873</v>
      </c>
      <c r="H671" s="61" t="s">
        <v>68</v>
      </c>
      <c r="I671" s="63" t="str">
        <f t="shared" si="130"/>
        <v>Mexico-Online Supplier-Direct</v>
      </c>
      <c r="J671" s="47"/>
      <c r="K671" s="54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</row>
    <row r="672" spans="1:42" ht="17.25" customHeight="1" x14ac:dyDescent="0.25">
      <c r="A672" s="55">
        <v>2010</v>
      </c>
      <c r="B672" s="56" t="s">
        <v>66</v>
      </c>
      <c r="C672" s="56" t="s">
        <v>35</v>
      </c>
      <c r="D672" s="56" t="s">
        <v>39</v>
      </c>
      <c r="E672" s="56" t="s">
        <v>69</v>
      </c>
      <c r="F672" s="56" t="s">
        <v>71</v>
      </c>
      <c r="G672" s="57">
        <v>2249232805</v>
      </c>
      <c r="H672" s="56" t="s">
        <v>68</v>
      </c>
      <c r="I672" s="58" t="str">
        <f t="shared" si="130"/>
        <v>Mexico-OTA</v>
      </c>
      <c r="J672" s="40"/>
      <c r="K672" s="59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</row>
    <row r="673" spans="1:42" ht="17.25" customHeight="1" x14ac:dyDescent="0.25">
      <c r="A673" s="60">
        <v>2010</v>
      </c>
      <c r="B673" s="61" t="s">
        <v>66</v>
      </c>
      <c r="C673" s="61" t="s">
        <v>17</v>
      </c>
      <c r="D673" s="61" t="s">
        <v>21</v>
      </c>
      <c r="E673" s="61" t="s">
        <v>67</v>
      </c>
      <c r="F673" s="61" t="s">
        <v>67</v>
      </c>
      <c r="G673" s="62">
        <v>3563694822</v>
      </c>
      <c r="H673" s="61" t="s">
        <v>68</v>
      </c>
      <c r="I673" s="63" t="str">
        <f t="shared" si="130"/>
        <v>Poland-Offline</v>
      </c>
      <c r="J673" s="47"/>
      <c r="K673" s="54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</row>
    <row r="674" spans="1:42" ht="17.25" customHeight="1" x14ac:dyDescent="0.25">
      <c r="A674" s="55">
        <v>2010</v>
      </c>
      <c r="B674" s="56" t="s">
        <v>66</v>
      </c>
      <c r="C674" s="56" t="s">
        <v>17</v>
      </c>
      <c r="D674" s="56" t="s">
        <v>21</v>
      </c>
      <c r="E674" s="56" t="s">
        <v>69</v>
      </c>
      <c r="F674" s="56" t="s">
        <v>70</v>
      </c>
      <c r="G674" s="57">
        <v>562542374</v>
      </c>
      <c r="H674" s="56" t="s">
        <v>68</v>
      </c>
      <c r="I674" s="58" t="str">
        <f t="shared" si="130"/>
        <v>Poland-Online Supplier-Direct</v>
      </c>
      <c r="J674" s="40"/>
      <c r="K674" s="59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</row>
    <row r="675" spans="1:42" ht="17.25" customHeight="1" x14ac:dyDescent="0.25">
      <c r="A675" s="60">
        <v>2010</v>
      </c>
      <c r="B675" s="61" t="s">
        <v>66</v>
      </c>
      <c r="C675" s="61" t="s">
        <v>17</v>
      </c>
      <c r="D675" s="61" t="s">
        <v>21</v>
      </c>
      <c r="E675" s="61" t="s">
        <v>69</v>
      </c>
      <c r="F675" s="61" t="s">
        <v>71</v>
      </c>
      <c r="G675" s="62">
        <v>257363770</v>
      </c>
      <c r="H675" s="61" t="s">
        <v>68</v>
      </c>
      <c r="I675" s="63" t="str">
        <f t="shared" si="130"/>
        <v>Poland-OTA</v>
      </c>
      <c r="J675" s="47"/>
      <c r="K675" s="54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</row>
    <row r="676" spans="1:42" ht="17.25" customHeight="1" x14ac:dyDescent="0.25">
      <c r="A676" s="55">
        <v>2010</v>
      </c>
      <c r="B676" s="56" t="s">
        <v>66</v>
      </c>
      <c r="C676" s="56" t="s">
        <v>41</v>
      </c>
      <c r="D676" s="56" t="s">
        <v>42</v>
      </c>
      <c r="E676" s="56" t="s">
        <v>67</v>
      </c>
      <c r="F676" s="56" t="s">
        <v>67</v>
      </c>
      <c r="G676" s="57">
        <v>4519936718</v>
      </c>
      <c r="H676" s="56" t="s">
        <v>68</v>
      </c>
      <c r="I676" s="58" t="str">
        <f t="shared" si="130"/>
        <v>Qatar-Offline</v>
      </c>
      <c r="J676" s="40"/>
      <c r="K676" s="59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</row>
    <row r="677" spans="1:42" ht="17.25" customHeight="1" x14ac:dyDescent="0.25">
      <c r="A677" s="60">
        <v>2010</v>
      </c>
      <c r="B677" s="61" t="s">
        <v>66</v>
      </c>
      <c r="C677" s="61" t="s">
        <v>41</v>
      </c>
      <c r="D677" s="61" t="s">
        <v>42</v>
      </c>
      <c r="E677" s="61" t="s">
        <v>69</v>
      </c>
      <c r="F677" s="61" t="s">
        <v>70</v>
      </c>
      <c r="G677" s="62">
        <v>500010078</v>
      </c>
      <c r="H677" s="61" t="s">
        <v>68</v>
      </c>
      <c r="I677" s="63" t="str">
        <f t="shared" si="130"/>
        <v>Qatar-Online Supplier-Direct</v>
      </c>
      <c r="J677" s="47"/>
      <c r="K677" s="54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</row>
    <row r="678" spans="1:42" ht="17.25" customHeight="1" x14ac:dyDescent="0.25">
      <c r="A678" s="55">
        <v>2010</v>
      </c>
      <c r="B678" s="56" t="s">
        <v>66</v>
      </c>
      <c r="C678" s="56" t="s">
        <v>41</v>
      </c>
      <c r="D678" s="56" t="s">
        <v>42</v>
      </c>
      <c r="E678" s="56" t="s">
        <v>69</v>
      </c>
      <c r="F678" s="56" t="s">
        <v>71</v>
      </c>
      <c r="G678" s="57">
        <v>379931276</v>
      </c>
      <c r="H678" s="56" t="s">
        <v>68</v>
      </c>
      <c r="I678" s="58" t="str">
        <f t="shared" si="130"/>
        <v>Qatar-OTA</v>
      </c>
      <c r="J678" s="40"/>
      <c r="K678" s="59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</row>
    <row r="679" spans="1:42" ht="17.25" customHeight="1" x14ac:dyDescent="0.25">
      <c r="A679" s="60">
        <v>2010</v>
      </c>
      <c r="B679" s="61" t="s">
        <v>66</v>
      </c>
      <c r="C679" s="61" t="s">
        <v>17</v>
      </c>
      <c r="D679" s="61" t="s">
        <v>22</v>
      </c>
      <c r="E679" s="61" t="s">
        <v>67</v>
      </c>
      <c r="F679" s="61" t="s">
        <v>67</v>
      </c>
      <c r="G679" s="62">
        <v>2557622593</v>
      </c>
      <c r="H679" s="61" t="s">
        <v>68</v>
      </c>
      <c r="I679" s="63" t="str">
        <f t="shared" si="130"/>
        <v>Rest of Eastern Europe-Offline</v>
      </c>
      <c r="J679" s="47"/>
      <c r="K679" s="54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</row>
    <row r="680" spans="1:42" ht="17.25" customHeight="1" x14ac:dyDescent="0.25">
      <c r="A680" s="55">
        <v>2010</v>
      </c>
      <c r="B680" s="56" t="s">
        <v>66</v>
      </c>
      <c r="C680" s="56" t="s">
        <v>17</v>
      </c>
      <c r="D680" s="56" t="s">
        <v>22</v>
      </c>
      <c r="E680" s="56" t="s">
        <v>69</v>
      </c>
      <c r="F680" s="56" t="s">
        <v>70</v>
      </c>
      <c r="G680" s="57">
        <v>211425645</v>
      </c>
      <c r="H680" s="56" t="s">
        <v>68</v>
      </c>
      <c r="I680" s="58" t="str">
        <f t="shared" si="130"/>
        <v>Rest of Eastern Europe-Online Supplier-Direct</v>
      </c>
      <c r="J680" s="40"/>
      <c r="K680" s="59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</row>
    <row r="681" spans="1:42" ht="17.25" customHeight="1" x14ac:dyDescent="0.25">
      <c r="A681" s="60">
        <v>2010</v>
      </c>
      <c r="B681" s="61" t="s">
        <v>66</v>
      </c>
      <c r="C681" s="61" t="s">
        <v>17</v>
      </c>
      <c r="D681" s="61" t="s">
        <v>22</v>
      </c>
      <c r="E681" s="61" t="s">
        <v>69</v>
      </c>
      <c r="F681" s="61" t="s">
        <v>71</v>
      </c>
      <c r="G681" s="62">
        <v>165637527</v>
      </c>
      <c r="H681" s="61" t="s">
        <v>68</v>
      </c>
      <c r="I681" s="63" t="str">
        <f t="shared" si="130"/>
        <v>Rest of Eastern Europe-OTA</v>
      </c>
      <c r="J681" s="47"/>
      <c r="K681" s="54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</row>
    <row r="682" spans="1:42" ht="17.25" customHeight="1" x14ac:dyDescent="0.25">
      <c r="A682" s="55">
        <v>2010</v>
      </c>
      <c r="B682" s="56" t="s">
        <v>66</v>
      </c>
      <c r="C682" s="56" t="s">
        <v>27</v>
      </c>
      <c r="D682" s="56" t="s">
        <v>30</v>
      </c>
      <c r="E682" s="56" t="s">
        <v>67</v>
      </c>
      <c r="F682" s="56" t="s">
        <v>67</v>
      </c>
      <c r="G682" s="57">
        <v>40026341293</v>
      </c>
      <c r="H682" s="56" t="s">
        <v>68</v>
      </c>
      <c r="I682" s="58" t="str">
        <f t="shared" si="130"/>
        <v>Rest of Europe-Offline</v>
      </c>
      <c r="J682" s="40"/>
      <c r="K682" s="59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</row>
    <row r="683" spans="1:42" ht="17.25" customHeight="1" x14ac:dyDescent="0.25">
      <c r="A683" s="60">
        <v>2010</v>
      </c>
      <c r="B683" s="61" t="s">
        <v>66</v>
      </c>
      <c r="C683" s="61" t="s">
        <v>27</v>
      </c>
      <c r="D683" s="61" t="s">
        <v>30</v>
      </c>
      <c r="E683" s="61" t="s">
        <v>69</v>
      </c>
      <c r="F683" s="61" t="s">
        <v>70</v>
      </c>
      <c r="G683" s="62">
        <v>9167428019</v>
      </c>
      <c r="H683" s="61" t="s">
        <v>68</v>
      </c>
      <c r="I683" s="63" t="str">
        <f t="shared" si="130"/>
        <v>Rest of Europe-Online Supplier-Direct</v>
      </c>
      <c r="J683" s="47"/>
      <c r="K683" s="54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</row>
    <row r="684" spans="1:42" ht="17.25" customHeight="1" x14ac:dyDescent="0.25">
      <c r="A684" s="55">
        <v>2010</v>
      </c>
      <c r="B684" s="56" t="s">
        <v>66</v>
      </c>
      <c r="C684" s="56" t="s">
        <v>27</v>
      </c>
      <c r="D684" s="56" t="s">
        <v>30</v>
      </c>
      <c r="E684" s="56" t="s">
        <v>69</v>
      </c>
      <c r="F684" s="56" t="s">
        <v>71</v>
      </c>
      <c r="G684" s="57">
        <v>5134768729</v>
      </c>
      <c r="H684" s="56" t="s">
        <v>68</v>
      </c>
      <c r="I684" s="58" t="str">
        <f t="shared" si="130"/>
        <v>Rest of Europe-OTA</v>
      </c>
      <c r="J684" s="40"/>
      <c r="K684" s="59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</row>
    <row r="685" spans="1:42" ht="17.25" customHeight="1" x14ac:dyDescent="0.25">
      <c r="A685" s="60">
        <v>2010</v>
      </c>
      <c r="B685" s="61" t="s">
        <v>66</v>
      </c>
      <c r="C685" s="61" t="s">
        <v>41</v>
      </c>
      <c r="D685" s="61" t="s">
        <v>43</v>
      </c>
      <c r="E685" s="61" t="s">
        <v>67</v>
      </c>
      <c r="F685" s="61" t="s">
        <v>67</v>
      </c>
      <c r="G685" s="62">
        <v>7092207949</v>
      </c>
      <c r="H685" s="61" t="s">
        <v>68</v>
      </c>
      <c r="I685" s="63" t="str">
        <f t="shared" si="130"/>
        <v>Rest of Middle East-Offline</v>
      </c>
      <c r="J685" s="47"/>
      <c r="K685" s="54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</row>
    <row r="686" spans="1:42" ht="17.25" customHeight="1" x14ac:dyDescent="0.25">
      <c r="A686" s="55">
        <v>2010</v>
      </c>
      <c r="B686" s="56" t="s">
        <v>66</v>
      </c>
      <c r="C686" s="56" t="s">
        <v>41</v>
      </c>
      <c r="D686" s="56" t="s">
        <v>43</v>
      </c>
      <c r="E686" s="56" t="s">
        <v>69</v>
      </c>
      <c r="F686" s="56" t="s">
        <v>70</v>
      </c>
      <c r="G686" s="57">
        <v>376106394</v>
      </c>
      <c r="H686" s="56" t="s">
        <v>68</v>
      </c>
      <c r="I686" s="58" t="str">
        <f t="shared" si="130"/>
        <v>Rest of Middle East-Online Supplier-Direct</v>
      </c>
      <c r="J686" s="40"/>
      <c r="K686" s="59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</row>
    <row r="687" spans="1:42" ht="17.25" customHeight="1" x14ac:dyDescent="0.25">
      <c r="A687" s="60">
        <v>2010</v>
      </c>
      <c r="B687" s="61" t="s">
        <v>66</v>
      </c>
      <c r="C687" s="61" t="s">
        <v>41</v>
      </c>
      <c r="D687" s="61" t="s">
        <v>43</v>
      </c>
      <c r="E687" s="61" t="s">
        <v>69</v>
      </c>
      <c r="F687" s="61" t="s">
        <v>71</v>
      </c>
      <c r="G687" s="62">
        <v>394181842</v>
      </c>
      <c r="H687" s="61" t="s">
        <v>68</v>
      </c>
      <c r="I687" s="63" t="str">
        <f t="shared" si="130"/>
        <v>Rest of Middle East-OTA</v>
      </c>
      <c r="J687" s="47"/>
      <c r="K687" s="54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</row>
    <row r="688" spans="1:42" ht="17.25" customHeight="1" x14ac:dyDescent="0.25">
      <c r="A688" s="55">
        <v>2010</v>
      </c>
      <c r="B688" s="56" t="s">
        <v>66</v>
      </c>
      <c r="C688" s="56" t="s">
        <v>17</v>
      </c>
      <c r="D688" s="56" t="s">
        <v>23</v>
      </c>
      <c r="E688" s="56" t="s">
        <v>67</v>
      </c>
      <c r="F688" s="56" t="s">
        <v>67</v>
      </c>
      <c r="G688" s="57">
        <v>2923169734</v>
      </c>
      <c r="H688" s="56" t="s">
        <v>68</v>
      </c>
      <c r="I688" s="58" t="str">
        <f t="shared" si="130"/>
        <v>Romania-Offline</v>
      </c>
      <c r="J688" s="40"/>
      <c r="K688" s="59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</row>
    <row r="689" spans="1:42" ht="17.25" customHeight="1" x14ac:dyDescent="0.25">
      <c r="A689" s="60">
        <v>2010</v>
      </c>
      <c r="B689" s="61" t="s">
        <v>66</v>
      </c>
      <c r="C689" s="61" t="s">
        <v>17</v>
      </c>
      <c r="D689" s="61" t="s">
        <v>23</v>
      </c>
      <c r="E689" s="61" t="s">
        <v>69</v>
      </c>
      <c r="F689" s="61" t="s">
        <v>70</v>
      </c>
      <c r="G689" s="62">
        <v>341911857</v>
      </c>
      <c r="H689" s="61" t="s">
        <v>68</v>
      </c>
      <c r="I689" s="63" t="str">
        <f t="shared" si="130"/>
        <v>Romania-Online Supplier-Direct</v>
      </c>
      <c r="J689" s="47"/>
      <c r="K689" s="54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</row>
    <row r="690" spans="1:42" ht="17.25" customHeight="1" x14ac:dyDescent="0.25">
      <c r="A690" s="55">
        <v>2010</v>
      </c>
      <c r="B690" s="56" t="s">
        <v>66</v>
      </c>
      <c r="C690" s="56" t="s">
        <v>17</v>
      </c>
      <c r="D690" s="56" t="s">
        <v>23</v>
      </c>
      <c r="E690" s="56" t="s">
        <v>69</v>
      </c>
      <c r="F690" s="56" t="s">
        <v>71</v>
      </c>
      <c r="G690" s="57">
        <v>147715536</v>
      </c>
      <c r="H690" s="56" t="s">
        <v>68</v>
      </c>
      <c r="I690" s="58" t="str">
        <f t="shared" si="130"/>
        <v>Romania-OTA</v>
      </c>
      <c r="J690" s="40"/>
      <c r="K690" s="59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</row>
    <row r="691" spans="1:42" ht="17.25" customHeight="1" x14ac:dyDescent="0.25">
      <c r="A691" s="60">
        <v>2010</v>
      </c>
      <c r="B691" s="61" t="s">
        <v>66</v>
      </c>
      <c r="C691" s="61" t="s">
        <v>17</v>
      </c>
      <c r="D691" s="61" t="s">
        <v>24</v>
      </c>
      <c r="E691" s="61" t="s">
        <v>67</v>
      </c>
      <c r="F691" s="61" t="s">
        <v>67</v>
      </c>
      <c r="G691" s="62">
        <v>36946881806</v>
      </c>
      <c r="H691" s="61" t="s">
        <v>68</v>
      </c>
      <c r="I691" s="63" t="str">
        <f t="shared" si="130"/>
        <v>Russia-Offline</v>
      </c>
      <c r="J691" s="47"/>
      <c r="K691" s="54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</row>
    <row r="692" spans="1:42" ht="17.25" customHeight="1" x14ac:dyDescent="0.25">
      <c r="A692" s="55">
        <v>2010</v>
      </c>
      <c r="B692" s="56" t="s">
        <v>66</v>
      </c>
      <c r="C692" s="56" t="s">
        <v>17</v>
      </c>
      <c r="D692" s="56" t="s">
        <v>24</v>
      </c>
      <c r="E692" s="56" t="s">
        <v>69</v>
      </c>
      <c r="F692" s="56" t="s">
        <v>70</v>
      </c>
      <c r="G692" s="57">
        <v>1883048606</v>
      </c>
      <c r="H692" s="56" t="s">
        <v>68</v>
      </c>
      <c r="I692" s="58" t="str">
        <f t="shared" si="130"/>
        <v>Russia-Online Supplier-Direct</v>
      </c>
      <c r="J692" s="40"/>
      <c r="K692" s="59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</row>
    <row r="693" spans="1:42" ht="17.25" customHeight="1" x14ac:dyDescent="0.25">
      <c r="A693" s="60">
        <v>2010</v>
      </c>
      <c r="B693" s="61" t="s">
        <v>66</v>
      </c>
      <c r="C693" s="61" t="s">
        <v>17</v>
      </c>
      <c r="D693" s="61" t="s">
        <v>24</v>
      </c>
      <c r="E693" s="61" t="s">
        <v>69</v>
      </c>
      <c r="F693" s="61" t="s">
        <v>71</v>
      </c>
      <c r="G693" s="62">
        <v>1543939532</v>
      </c>
      <c r="H693" s="61" t="s">
        <v>68</v>
      </c>
      <c r="I693" s="63" t="str">
        <f t="shared" si="130"/>
        <v>Russia-OTA</v>
      </c>
      <c r="J693" s="47"/>
      <c r="K693" s="54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</row>
    <row r="694" spans="1:42" ht="17.25" customHeight="1" x14ac:dyDescent="0.25">
      <c r="A694" s="55">
        <v>2010</v>
      </c>
      <c r="B694" s="56" t="s">
        <v>66</v>
      </c>
      <c r="C694" s="56" t="s">
        <v>41</v>
      </c>
      <c r="D694" s="56" t="s">
        <v>44</v>
      </c>
      <c r="E694" s="56" t="s">
        <v>67</v>
      </c>
      <c r="F694" s="56" t="s">
        <v>67</v>
      </c>
      <c r="G694" s="57">
        <v>8400272164</v>
      </c>
      <c r="H694" s="56" t="s">
        <v>68</v>
      </c>
      <c r="I694" s="58" t="str">
        <f t="shared" si="130"/>
        <v>Saudi Arabia-Offline</v>
      </c>
      <c r="J694" s="40"/>
      <c r="K694" s="59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</row>
    <row r="695" spans="1:42" ht="17.25" customHeight="1" x14ac:dyDescent="0.25">
      <c r="A695" s="60">
        <v>2010</v>
      </c>
      <c r="B695" s="61" t="s">
        <v>66</v>
      </c>
      <c r="C695" s="61" t="s">
        <v>41</v>
      </c>
      <c r="D695" s="61" t="s">
        <v>44</v>
      </c>
      <c r="E695" s="61" t="s">
        <v>69</v>
      </c>
      <c r="F695" s="61" t="s">
        <v>70</v>
      </c>
      <c r="G695" s="62">
        <v>488095794</v>
      </c>
      <c r="H695" s="61" t="s">
        <v>68</v>
      </c>
      <c r="I695" s="63" t="str">
        <f t="shared" si="130"/>
        <v>Saudi Arabia-Online Supplier-Direct</v>
      </c>
      <c r="J695" s="47"/>
      <c r="K695" s="54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</row>
    <row r="696" spans="1:42" ht="17.25" customHeight="1" x14ac:dyDescent="0.25">
      <c r="A696" s="55">
        <v>2010</v>
      </c>
      <c r="B696" s="56" t="s">
        <v>66</v>
      </c>
      <c r="C696" s="56" t="s">
        <v>41</v>
      </c>
      <c r="D696" s="56" t="s">
        <v>44</v>
      </c>
      <c r="E696" s="56" t="s">
        <v>69</v>
      </c>
      <c r="F696" s="56" t="s">
        <v>71</v>
      </c>
      <c r="G696" s="57">
        <v>690684189</v>
      </c>
      <c r="H696" s="56" t="s">
        <v>68</v>
      </c>
      <c r="I696" s="58" t="str">
        <f t="shared" si="130"/>
        <v>Saudi Arabia-OTA</v>
      </c>
      <c r="J696" s="40"/>
      <c r="K696" s="59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</row>
    <row r="697" spans="1:42" ht="17.25" customHeight="1" x14ac:dyDescent="0.25">
      <c r="A697" s="60">
        <v>2010</v>
      </c>
      <c r="B697" s="61" t="s">
        <v>66</v>
      </c>
      <c r="C697" s="61" t="s">
        <v>27</v>
      </c>
      <c r="D697" s="61" t="s">
        <v>31</v>
      </c>
      <c r="E697" s="61" t="s">
        <v>67</v>
      </c>
      <c r="F697" s="61" t="s">
        <v>67</v>
      </c>
      <c r="G697" s="62">
        <v>10691865773</v>
      </c>
      <c r="H697" s="61" t="s">
        <v>68</v>
      </c>
      <c r="I697" s="63" t="str">
        <f t="shared" si="130"/>
        <v>Scandinavia-Offline</v>
      </c>
      <c r="J697" s="47"/>
      <c r="K697" s="54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</row>
    <row r="698" spans="1:42" ht="17.25" customHeight="1" x14ac:dyDescent="0.25">
      <c r="A698" s="55">
        <v>2010</v>
      </c>
      <c r="B698" s="56" t="s">
        <v>66</v>
      </c>
      <c r="C698" s="56" t="s">
        <v>27</v>
      </c>
      <c r="D698" s="56" t="s">
        <v>31</v>
      </c>
      <c r="E698" s="56" t="s">
        <v>69</v>
      </c>
      <c r="F698" s="56" t="s">
        <v>70</v>
      </c>
      <c r="G698" s="57">
        <v>4762986136</v>
      </c>
      <c r="H698" s="56" t="s">
        <v>68</v>
      </c>
      <c r="I698" s="58" t="str">
        <f t="shared" si="130"/>
        <v>Scandinavia-Online Supplier-Direct</v>
      </c>
      <c r="J698" s="40"/>
      <c r="K698" s="59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</row>
    <row r="699" spans="1:42" ht="17.25" customHeight="1" x14ac:dyDescent="0.25">
      <c r="A699" s="60">
        <v>2010</v>
      </c>
      <c r="B699" s="61" t="s">
        <v>66</v>
      </c>
      <c r="C699" s="61" t="s">
        <v>27</v>
      </c>
      <c r="D699" s="61" t="s">
        <v>31</v>
      </c>
      <c r="E699" s="61" t="s">
        <v>69</v>
      </c>
      <c r="F699" s="61" t="s">
        <v>71</v>
      </c>
      <c r="G699" s="62">
        <v>2186054383</v>
      </c>
      <c r="H699" s="61" t="s">
        <v>68</v>
      </c>
      <c r="I699" s="63" t="str">
        <f t="shared" si="130"/>
        <v>Scandinavia-OTA</v>
      </c>
      <c r="J699" s="47"/>
      <c r="K699" s="54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</row>
    <row r="700" spans="1:42" ht="17.25" customHeight="1" x14ac:dyDescent="0.25">
      <c r="A700" s="55">
        <v>2010</v>
      </c>
      <c r="B700" s="56" t="s">
        <v>66</v>
      </c>
      <c r="C700" s="56" t="s">
        <v>4</v>
      </c>
      <c r="D700" s="56" t="s">
        <v>12</v>
      </c>
      <c r="E700" s="56" t="s">
        <v>67</v>
      </c>
      <c r="F700" s="56" t="s">
        <v>67</v>
      </c>
      <c r="G700" s="57">
        <v>6689543699</v>
      </c>
      <c r="H700" s="56" t="s">
        <v>68</v>
      </c>
      <c r="I700" s="58" t="str">
        <f t="shared" si="130"/>
        <v>Singapore-Offline</v>
      </c>
      <c r="J700" s="40"/>
      <c r="K700" s="59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</row>
    <row r="701" spans="1:42" ht="17.25" customHeight="1" x14ac:dyDescent="0.25">
      <c r="A701" s="60">
        <v>2010</v>
      </c>
      <c r="B701" s="61" t="s">
        <v>66</v>
      </c>
      <c r="C701" s="61" t="s">
        <v>4</v>
      </c>
      <c r="D701" s="61" t="s">
        <v>12</v>
      </c>
      <c r="E701" s="61" t="s">
        <v>69</v>
      </c>
      <c r="F701" s="61" t="s">
        <v>70</v>
      </c>
      <c r="G701" s="62">
        <v>1860866366</v>
      </c>
      <c r="H701" s="61" t="s">
        <v>68</v>
      </c>
      <c r="I701" s="63" t="str">
        <f t="shared" si="130"/>
        <v>Singapore-Online Supplier-Direct</v>
      </c>
      <c r="J701" s="47"/>
      <c r="K701" s="54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</row>
    <row r="702" spans="1:42" ht="17.25" customHeight="1" x14ac:dyDescent="0.25">
      <c r="A702" s="55">
        <v>2010</v>
      </c>
      <c r="B702" s="56" t="s">
        <v>66</v>
      </c>
      <c r="C702" s="56" t="s">
        <v>4</v>
      </c>
      <c r="D702" s="56" t="s">
        <v>12</v>
      </c>
      <c r="E702" s="56" t="s">
        <v>69</v>
      </c>
      <c r="F702" s="56" t="s">
        <v>71</v>
      </c>
      <c r="G702" s="57">
        <v>364559008</v>
      </c>
      <c r="H702" s="56" t="s">
        <v>68</v>
      </c>
      <c r="I702" s="58" t="str">
        <f t="shared" si="130"/>
        <v>Singapore-OTA</v>
      </c>
      <c r="J702" s="40"/>
      <c r="K702" s="59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</row>
    <row r="703" spans="1:42" ht="17.25" customHeight="1" x14ac:dyDescent="0.25">
      <c r="A703" s="60">
        <v>2010</v>
      </c>
      <c r="B703" s="61" t="s">
        <v>66</v>
      </c>
      <c r="C703" s="61" t="s">
        <v>4</v>
      </c>
      <c r="D703" s="61" t="s">
        <v>13</v>
      </c>
      <c r="E703" s="61" t="s">
        <v>67</v>
      </c>
      <c r="F703" s="61" t="s">
        <v>67</v>
      </c>
      <c r="G703" s="62">
        <v>11086683907</v>
      </c>
      <c r="H703" s="61" t="s">
        <v>68</v>
      </c>
      <c r="I703" s="63" t="str">
        <f t="shared" si="130"/>
        <v>South Korea-Offline</v>
      </c>
      <c r="J703" s="47"/>
      <c r="K703" s="54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</row>
    <row r="704" spans="1:42" ht="17.25" customHeight="1" x14ac:dyDescent="0.25">
      <c r="A704" s="55">
        <v>2010</v>
      </c>
      <c r="B704" s="56" t="s">
        <v>66</v>
      </c>
      <c r="C704" s="56" t="s">
        <v>4</v>
      </c>
      <c r="D704" s="56" t="s">
        <v>13</v>
      </c>
      <c r="E704" s="56" t="s">
        <v>69</v>
      </c>
      <c r="F704" s="56" t="s">
        <v>70</v>
      </c>
      <c r="G704" s="57">
        <v>1504382509</v>
      </c>
      <c r="H704" s="56" t="s">
        <v>68</v>
      </c>
      <c r="I704" s="58" t="str">
        <f t="shared" si="130"/>
        <v>South Korea-Online Supplier-Direct</v>
      </c>
      <c r="J704" s="40"/>
      <c r="K704" s="59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</row>
    <row r="705" spans="1:42" ht="17.25" customHeight="1" x14ac:dyDescent="0.25">
      <c r="A705" s="60">
        <v>2010</v>
      </c>
      <c r="B705" s="61" t="s">
        <v>66</v>
      </c>
      <c r="C705" s="61" t="s">
        <v>4</v>
      </c>
      <c r="D705" s="61" t="s">
        <v>13</v>
      </c>
      <c r="E705" s="61" t="s">
        <v>69</v>
      </c>
      <c r="F705" s="61" t="s">
        <v>71</v>
      </c>
      <c r="G705" s="62">
        <v>162793700</v>
      </c>
      <c r="H705" s="61" t="s">
        <v>68</v>
      </c>
      <c r="I705" s="63" t="str">
        <f t="shared" si="130"/>
        <v>South Korea-OTA</v>
      </c>
      <c r="J705" s="47"/>
      <c r="K705" s="54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</row>
    <row r="706" spans="1:42" ht="17.25" customHeight="1" x14ac:dyDescent="0.25">
      <c r="A706" s="55">
        <v>2010</v>
      </c>
      <c r="B706" s="56" t="s">
        <v>66</v>
      </c>
      <c r="C706" s="56" t="s">
        <v>27</v>
      </c>
      <c r="D706" s="56" t="s">
        <v>32</v>
      </c>
      <c r="E706" s="56" t="s">
        <v>67</v>
      </c>
      <c r="F706" s="56" t="s">
        <v>67</v>
      </c>
      <c r="G706" s="57">
        <v>19779559586</v>
      </c>
      <c r="H706" s="56" t="s">
        <v>68</v>
      </c>
      <c r="I706" s="58" t="str">
        <f t="shared" si="130"/>
        <v>Spain-Offline</v>
      </c>
      <c r="J706" s="40"/>
      <c r="K706" s="59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</row>
    <row r="707" spans="1:42" ht="17.25" customHeight="1" x14ac:dyDescent="0.25">
      <c r="A707" s="60">
        <v>2010</v>
      </c>
      <c r="B707" s="61" t="s">
        <v>66</v>
      </c>
      <c r="C707" s="61" t="s">
        <v>27</v>
      </c>
      <c r="D707" s="61" t="s">
        <v>32</v>
      </c>
      <c r="E707" s="61" t="s">
        <v>69</v>
      </c>
      <c r="F707" s="61" t="s">
        <v>70</v>
      </c>
      <c r="G707" s="62">
        <v>2774385566</v>
      </c>
      <c r="H707" s="61" t="s">
        <v>68</v>
      </c>
      <c r="I707" s="63" t="str">
        <f t="shared" si="130"/>
        <v>Spain-Online Supplier-Direct</v>
      </c>
      <c r="J707" s="47"/>
      <c r="K707" s="54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</row>
    <row r="708" spans="1:42" ht="17.25" customHeight="1" x14ac:dyDescent="0.25">
      <c r="A708" s="55">
        <v>2010</v>
      </c>
      <c r="B708" s="56" t="s">
        <v>66</v>
      </c>
      <c r="C708" s="56" t="s">
        <v>27</v>
      </c>
      <c r="D708" s="56" t="s">
        <v>32</v>
      </c>
      <c r="E708" s="56" t="s">
        <v>69</v>
      </c>
      <c r="F708" s="56" t="s">
        <v>71</v>
      </c>
      <c r="G708" s="57">
        <v>3754768293</v>
      </c>
      <c r="H708" s="56" t="s">
        <v>68</v>
      </c>
      <c r="I708" s="58" t="str">
        <f t="shared" si="130"/>
        <v>Spain-OTA</v>
      </c>
      <c r="J708" s="40"/>
      <c r="K708" s="59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</row>
    <row r="709" spans="1:42" ht="17.25" customHeight="1" x14ac:dyDescent="0.25">
      <c r="A709" s="60">
        <v>2010</v>
      </c>
      <c r="B709" s="61" t="s">
        <v>66</v>
      </c>
      <c r="C709" s="61" t="s">
        <v>4</v>
      </c>
      <c r="D709" s="61" t="s">
        <v>14</v>
      </c>
      <c r="E709" s="61" t="s">
        <v>67</v>
      </c>
      <c r="F709" s="61" t="s">
        <v>67</v>
      </c>
      <c r="G709" s="62">
        <v>5436968346</v>
      </c>
      <c r="H709" s="61" t="s">
        <v>68</v>
      </c>
      <c r="I709" s="63" t="str">
        <f t="shared" si="130"/>
        <v>Taiwan-Offline</v>
      </c>
      <c r="J709" s="47"/>
      <c r="K709" s="54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</row>
    <row r="710" spans="1:42" ht="17.25" customHeight="1" x14ac:dyDescent="0.25">
      <c r="A710" s="55">
        <v>2010</v>
      </c>
      <c r="B710" s="56" t="s">
        <v>66</v>
      </c>
      <c r="C710" s="56" t="s">
        <v>4</v>
      </c>
      <c r="D710" s="56" t="s">
        <v>14</v>
      </c>
      <c r="E710" s="56" t="s">
        <v>69</v>
      </c>
      <c r="F710" s="56" t="s">
        <v>70</v>
      </c>
      <c r="G710" s="57">
        <v>502693209</v>
      </c>
      <c r="H710" s="56" t="s">
        <v>68</v>
      </c>
      <c r="I710" s="58" t="str">
        <f t="shared" si="130"/>
        <v>Taiwan-Online Supplier-Direct</v>
      </c>
      <c r="J710" s="40"/>
      <c r="K710" s="59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</row>
    <row r="711" spans="1:42" ht="17.25" customHeight="1" x14ac:dyDescent="0.25">
      <c r="A711" s="60">
        <v>2010</v>
      </c>
      <c r="B711" s="61" t="s">
        <v>66</v>
      </c>
      <c r="C711" s="61" t="s">
        <v>4</v>
      </c>
      <c r="D711" s="61" t="s">
        <v>14</v>
      </c>
      <c r="E711" s="61" t="s">
        <v>69</v>
      </c>
      <c r="F711" s="61" t="s">
        <v>71</v>
      </c>
      <c r="G711" s="62">
        <v>139610352</v>
      </c>
      <c r="H711" s="61" t="s">
        <v>68</v>
      </c>
      <c r="I711" s="63" t="str">
        <f t="shared" si="130"/>
        <v>Taiwan-OTA</v>
      </c>
      <c r="J711" s="47"/>
      <c r="K711" s="54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</row>
    <row r="712" spans="1:42" ht="17.25" customHeight="1" x14ac:dyDescent="0.25">
      <c r="A712" s="55">
        <v>2010</v>
      </c>
      <c r="B712" s="56" t="s">
        <v>66</v>
      </c>
      <c r="C712" s="56" t="s">
        <v>4</v>
      </c>
      <c r="D712" s="56" t="s">
        <v>15</v>
      </c>
      <c r="E712" s="56" t="s">
        <v>67</v>
      </c>
      <c r="F712" s="56" t="s">
        <v>67</v>
      </c>
      <c r="G712" s="57">
        <v>8480522588</v>
      </c>
      <c r="H712" s="56" t="s">
        <v>68</v>
      </c>
      <c r="I712" s="58" t="str">
        <f t="shared" si="130"/>
        <v>Thailand-Offline</v>
      </c>
      <c r="J712" s="40"/>
      <c r="K712" s="59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</row>
    <row r="713" spans="1:42" ht="17.25" customHeight="1" x14ac:dyDescent="0.25">
      <c r="A713" s="60">
        <v>2010</v>
      </c>
      <c r="B713" s="61" t="s">
        <v>66</v>
      </c>
      <c r="C713" s="61" t="s">
        <v>4</v>
      </c>
      <c r="D713" s="61" t="s">
        <v>15</v>
      </c>
      <c r="E713" s="61" t="s">
        <v>69</v>
      </c>
      <c r="F713" s="61" t="s">
        <v>70</v>
      </c>
      <c r="G713" s="62">
        <v>939270477</v>
      </c>
      <c r="H713" s="61" t="s">
        <v>68</v>
      </c>
      <c r="I713" s="63" t="str">
        <f t="shared" si="130"/>
        <v>Thailand-Online Supplier-Direct</v>
      </c>
      <c r="J713" s="47"/>
      <c r="K713" s="54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</row>
    <row r="714" spans="1:42" ht="17.25" customHeight="1" x14ac:dyDescent="0.25">
      <c r="A714" s="55">
        <v>2010</v>
      </c>
      <c r="B714" s="56" t="s">
        <v>66</v>
      </c>
      <c r="C714" s="56" t="s">
        <v>4</v>
      </c>
      <c r="D714" s="56" t="s">
        <v>15</v>
      </c>
      <c r="E714" s="56" t="s">
        <v>69</v>
      </c>
      <c r="F714" s="56" t="s">
        <v>71</v>
      </c>
      <c r="G714" s="57">
        <v>691485466</v>
      </c>
      <c r="H714" s="56" t="s">
        <v>68</v>
      </c>
      <c r="I714" s="58" t="str">
        <f t="shared" si="130"/>
        <v>Thailand-OTA</v>
      </c>
      <c r="J714" s="40"/>
      <c r="K714" s="59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</row>
    <row r="715" spans="1:42" ht="17.25" customHeight="1" x14ac:dyDescent="0.25">
      <c r="A715" s="60">
        <v>2010</v>
      </c>
      <c r="B715" s="61" t="s">
        <v>66</v>
      </c>
      <c r="C715" s="61" t="s">
        <v>41</v>
      </c>
      <c r="D715" s="61" t="s">
        <v>45</v>
      </c>
      <c r="E715" s="61" t="s">
        <v>67</v>
      </c>
      <c r="F715" s="61" t="s">
        <v>67</v>
      </c>
      <c r="G715" s="62">
        <v>18982464995</v>
      </c>
      <c r="H715" s="61" t="s">
        <v>68</v>
      </c>
      <c r="I715" s="63" t="str">
        <f t="shared" si="130"/>
        <v>U.A.E.-Offline</v>
      </c>
      <c r="J715" s="47"/>
      <c r="K715" s="54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</row>
    <row r="716" spans="1:42" ht="17.25" customHeight="1" x14ac:dyDescent="0.25">
      <c r="A716" s="55">
        <v>2010</v>
      </c>
      <c r="B716" s="56" t="s">
        <v>66</v>
      </c>
      <c r="C716" s="56" t="s">
        <v>41</v>
      </c>
      <c r="D716" s="56" t="s">
        <v>45</v>
      </c>
      <c r="E716" s="56" t="s">
        <v>69</v>
      </c>
      <c r="F716" s="56" t="s">
        <v>70</v>
      </c>
      <c r="G716" s="57">
        <v>2191097795</v>
      </c>
      <c r="H716" s="56" t="s">
        <v>68</v>
      </c>
      <c r="I716" s="58" t="str">
        <f t="shared" si="130"/>
        <v>U.A.E.-Online Supplier-Direct</v>
      </c>
      <c r="J716" s="40"/>
      <c r="K716" s="59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</row>
    <row r="717" spans="1:42" ht="17.25" customHeight="1" x14ac:dyDescent="0.25">
      <c r="A717" s="60">
        <v>2010</v>
      </c>
      <c r="B717" s="61" t="s">
        <v>66</v>
      </c>
      <c r="C717" s="61" t="s">
        <v>41</v>
      </c>
      <c r="D717" s="61" t="s">
        <v>45</v>
      </c>
      <c r="E717" s="61" t="s">
        <v>69</v>
      </c>
      <c r="F717" s="61" t="s">
        <v>71</v>
      </c>
      <c r="G717" s="62">
        <v>1873603193</v>
      </c>
      <c r="H717" s="61" t="s">
        <v>68</v>
      </c>
      <c r="I717" s="63" t="str">
        <f t="shared" si="130"/>
        <v>U.A.E.-OTA</v>
      </c>
      <c r="J717" s="47"/>
      <c r="K717" s="54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</row>
    <row r="718" spans="1:42" ht="17.25" customHeight="1" x14ac:dyDescent="0.25">
      <c r="A718" s="55">
        <v>2010</v>
      </c>
      <c r="B718" s="56" t="s">
        <v>66</v>
      </c>
      <c r="C718" s="56" t="s">
        <v>27</v>
      </c>
      <c r="D718" s="56" t="s">
        <v>33</v>
      </c>
      <c r="E718" s="56" t="s">
        <v>67</v>
      </c>
      <c r="F718" s="56" t="s">
        <v>67</v>
      </c>
      <c r="G718" s="57">
        <v>36128371211</v>
      </c>
      <c r="H718" s="56" t="s">
        <v>68</v>
      </c>
      <c r="I718" s="58" t="str">
        <f t="shared" si="130"/>
        <v>U.K.-Offline</v>
      </c>
      <c r="J718" s="40"/>
      <c r="K718" s="59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</row>
    <row r="719" spans="1:42" ht="17.25" customHeight="1" x14ac:dyDescent="0.25">
      <c r="A719" s="60">
        <v>2010</v>
      </c>
      <c r="B719" s="61" t="s">
        <v>66</v>
      </c>
      <c r="C719" s="61" t="s">
        <v>27</v>
      </c>
      <c r="D719" s="61" t="s">
        <v>33</v>
      </c>
      <c r="E719" s="61" t="s">
        <v>69</v>
      </c>
      <c r="F719" s="61" t="s">
        <v>70</v>
      </c>
      <c r="G719" s="62">
        <v>14580896780</v>
      </c>
      <c r="H719" s="61" t="s">
        <v>68</v>
      </c>
      <c r="I719" s="63" t="str">
        <f t="shared" si="130"/>
        <v>U.K.-Online Supplier-Direct</v>
      </c>
      <c r="J719" s="47"/>
      <c r="K719" s="54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</row>
    <row r="720" spans="1:42" ht="17.25" customHeight="1" x14ac:dyDescent="0.25">
      <c r="A720" s="55">
        <v>2010</v>
      </c>
      <c r="B720" s="56" t="s">
        <v>66</v>
      </c>
      <c r="C720" s="56" t="s">
        <v>27</v>
      </c>
      <c r="D720" s="56" t="s">
        <v>33</v>
      </c>
      <c r="E720" s="56" t="s">
        <v>69</v>
      </c>
      <c r="F720" s="56" t="s">
        <v>71</v>
      </c>
      <c r="G720" s="57">
        <v>5538920736</v>
      </c>
      <c r="H720" s="56" t="s">
        <v>68</v>
      </c>
      <c r="I720" s="58" t="str">
        <f t="shared" si="130"/>
        <v>U.K.-OTA</v>
      </c>
      <c r="J720" s="40"/>
      <c r="K720" s="59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</row>
    <row r="721" spans="1:42" ht="17.25" customHeight="1" x14ac:dyDescent="0.25">
      <c r="A721" s="60">
        <v>2010</v>
      </c>
      <c r="B721" s="61" t="s">
        <v>66</v>
      </c>
      <c r="C721" s="61" t="s">
        <v>47</v>
      </c>
      <c r="D721" s="61" t="s">
        <v>48</v>
      </c>
      <c r="E721" s="61" t="s">
        <v>72</v>
      </c>
      <c r="F721" s="61" t="s">
        <v>73</v>
      </c>
      <c r="G721" s="62">
        <v>75134356391</v>
      </c>
      <c r="H721" s="61" t="s">
        <v>68</v>
      </c>
      <c r="I721" s="63" t="str">
        <f t="shared" si="130"/>
        <v>U.S.-Central Reservation</v>
      </c>
      <c r="J721" s="47"/>
      <c r="K721" s="54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</row>
    <row r="722" spans="1:42" ht="17.25" customHeight="1" x14ac:dyDescent="0.25">
      <c r="A722" s="55">
        <v>2010</v>
      </c>
      <c r="B722" s="56" t="s">
        <v>66</v>
      </c>
      <c r="C722" s="56" t="s">
        <v>47</v>
      </c>
      <c r="D722" s="56" t="s">
        <v>48</v>
      </c>
      <c r="E722" s="56" t="s">
        <v>67</v>
      </c>
      <c r="F722" s="56" t="s">
        <v>74</v>
      </c>
      <c r="G722" s="57">
        <v>79571855811</v>
      </c>
      <c r="H722" s="56" t="s">
        <v>68</v>
      </c>
      <c r="I722" s="58" t="str">
        <f t="shared" si="130"/>
        <v>U.S.-Travel Agency/TMC</v>
      </c>
      <c r="J722" s="40"/>
      <c r="K722" s="59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</row>
    <row r="723" spans="1:42" ht="17.25" customHeight="1" x14ac:dyDescent="0.25">
      <c r="A723" s="60">
        <v>2010</v>
      </c>
      <c r="B723" s="61" t="s">
        <v>66</v>
      </c>
      <c r="C723" s="61" t="s">
        <v>47</v>
      </c>
      <c r="D723" s="61" t="s">
        <v>48</v>
      </c>
      <c r="E723" s="61" t="s">
        <v>69</v>
      </c>
      <c r="F723" s="61" t="s">
        <v>70</v>
      </c>
      <c r="G723" s="62">
        <v>60524135029</v>
      </c>
      <c r="H723" s="61" t="s">
        <v>68</v>
      </c>
      <c r="I723" s="63" t="str">
        <f t="shared" si="130"/>
        <v>U.S.-Online Supplier-Direct</v>
      </c>
      <c r="J723" s="47"/>
      <c r="K723" s="54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</row>
    <row r="724" spans="1:42" ht="17.25" customHeight="1" x14ac:dyDescent="0.25">
      <c r="A724" s="55">
        <v>2010</v>
      </c>
      <c r="B724" s="56" t="s">
        <v>66</v>
      </c>
      <c r="C724" s="56" t="s">
        <v>47</v>
      </c>
      <c r="D724" s="56" t="s">
        <v>48</v>
      </c>
      <c r="E724" s="56" t="s">
        <v>69</v>
      </c>
      <c r="F724" s="56" t="s">
        <v>71</v>
      </c>
      <c r="G724" s="57">
        <v>39475235412</v>
      </c>
      <c r="H724" s="56" t="s">
        <v>68</v>
      </c>
      <c r="I724" s="58" t="str">
        <f t="shared" si="130"/>
        <v>U.S.-OTA</v>
      </c>
      <c r="J724" s="40"/>
      <c r="K724" s="59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</row>
    <row r="725" spans="1:42" ht="17.25" customHeight="1" x14ac:dyDescent="0.25">
      <c r="A725" s="60">
        <v>2010</v>
      </c>
      <c r="B725" s="61" t="s">
        <v>66</v>
      </c>
      <c r="C725" s="61" t="s">
        <v>17</v>
      </c>
      <c r="D725" s="61" t="s">
        <v>25</v>
      </c>
      <c r="E725" s="61" t="s">
        <v>67</v>
      </c>
      <c r="F725" s="61" t="s">
        <v>67</v>
      </c>
      <c r="G725" s="62">
        <v>3188267735</v>
      </c>
      <c r="H725" s="61" t="s">
        <v>68</v>
      </c>
      <c r="I725" s="63" t="str">
        <f t="shared" si="130"/>
        <v>Ukraine-Offline</v>
      </c>
      <c r="J725" s="47"/>
      <c r="K725" s="54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</row>
    <row r="726" spans="1:42" ht="17.25" customHeight="1" x14ac:dyDescent="0.25">
      <c r="A726" s="55">
        <v>2010</v>
      </c>
      <c r="B726" s="56" t="s">
        <v>66</v>
      </c>
      <c r="C726" s="56" t="s">
        <v>17</v>
      </c>
      <c r="D726" s="56" t="s">
        <v>25</v>
      </c>
      <c r="E726" s="56" t="s">
        <v>69</v>
      </c>
      <c r="F726" s="56" t="s">
        <v>70</v>
      </c>
      <c r="G726" s="57">
        <v>334949925</v>
      </c>
      <c r="H726" s="56" t="s">
        <v>68</v>
      </c>
      <c r="I726" s="58" t="str">
        <f t="shared" si="130"/>
        <v>Ukraine-Online Supplier-Direct</v>
      </c>
      <c r="J726" s="40"/>
      <c r="K726" s="59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</row>
    <row r="727" spans="1:42" ht="17.25" customHeight="1" x14ac:dyDescent="0.25">
      <c r="A727" s="60">
        <v>2010</v>
      </c>
      <c r="B727" s="61" t="s">
        <v>66</v>
      </c>
      <c r="C727" s="61" t="s">
        <v>17</v>
      </c>
      <c r="D727" s="61" t="s">
        <v>25</v>
      </c>
      <c r="E727" s="61" t="s">
        <v>69</v>
      </c>
      <c r="F727" s="61" t="s">
        <v>71</v>
      </c>
      <c r="G727" s="62">
        <v>220605094</v>
      </c>
      <c r="H727" s="61" t="s">
        <v>68</v>
      </c>
      <c r="I727" s="63" t="str">
        <f t="shared" si="130"/>
        <v>Ukraine-OTA</v>
      </c>
      <c r="J727" s="47"/>
      <c r="K727" s="54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</row>
    <row r="728" spans="1:42" ht="17.25" customHeight="1" x14ac:dyDescent="0.25">
      <c r="A728" s="55">
        <v>2011</v>
      </c>
      <c r="B728" s="56" t="s">
        <v>66</v>
      </c>
      <c r="C728" s="56" t="s">
        <v>35</v>
      </c>
      <c r="D728" s="56" t="s">
        <v>34</v>
      </c>
      <c r="E728" s="56" t="s">
        <v>67</v>
      </c>
      <c r="F728" s="56" t="s">
        <v>67</v>
      </c>
      <c r="G728" s="57">
        <v>8904912568</v>
      </c>
      <c r="H728" s="56" t="s">
        <v>68</v>
      </c>
      <c r="I728" s="58" t="str">
        <f t="shared" si="130"/>
        <v>Argentina-Offline</v>
      </c>
      <c r="J728" s="40"/>
      <c r="K728" s="59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</row>
    <row r="729" spans="1:42" ht="17.25" customHeight="1" x14ac:dyDescent="0.25">
      <c r="A729" s="60">
        <v>2011</v>
      </c>
      <c r="B729" s="61" t="s">
        <v>66</v>
      </c>
      <c r="C729" s="61" t="s">
        <v>35</v>
      </c>
      <c r="D729" s="61" t="s">
        <v>34</v>
      </c>
      <c r="E729" s="61" t="s">
        <v>69</v>
      </c>
      <c r="F729" s="61" t="s">
        <v>70</v>
      </c>
      <c r="G729" s="62">
        <v>393684937</v>
      </c>
      <c r="H729" s="61" t="s">
        <v>68</v>
      </c>
      <c r="I729" s="63" t="str">
        <f t="shared" si="130"/>
        <v>Argentina-Online Supplier-Direct</v>
      </c>
      <c r="J729" s="47"/>
      <c r="K729" s="54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</row>
    <row r="730" spans="1:42" ht="17.25" customHeight="1" x14ac:dyDescent="0.25">
      <c r="A730" s="55">
        <v>2011</v>
      </c>
      <c r="B730" s="56" t="s">
        <v>66</v>
      </c>
      <c r="C730" s="56" t="s">
        <v>35</v>
      </c>
      <c r="D730" s="56" t="s">
        <v>34</v>
      </c>
      <c r="E730" s="56" t="s">
        <v>69</v>
      </c>
      <c r="F730" s="56" t="s">
        <v>71</v>
      </c>
      <c r="G730" s="57">
        <v>499185960</v>
      </c>
      <c r="H730" s="56" t="s">
        <v>68</v>
      </c>
      <c r="I730" s="58" t="str">
        <f t="shared" si="130"/>
        <v>Argentina-OTA</v>
      </c>
      <c r="J730" s="40"/>
      <c r="K730" s="59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</row>
    <row r="731" spans="1:42" ht="17.25" customHeight="1" x14ac:dyDescent="0.25">
      <c r="A731" s="60">
        <v>2011</v>
      </c>
      <c r="B731" s="61" t="s">
        <v>66</v>
      </c>
      <c r="C731" s="61" t="s">
        <v>4</v>
      </c>
      <c r="D731" s="61" t="s">
        <v>3</v>
      </c>
      <c r="E731" s="61" t="s">
        <v>67</v>
      </c>
      <c r="F731" s="61" t="s">
        <v>67</v>
      </c>
      <c r="G731" s="62">
        <v>22366346924</v>
      </c>
      <c r="H731" s="61" t="s">
        <v>68</v>
      </c>
      <c r="I731" s="63" t="str">
        <f t="shared" si="130"/>
        <v>Australia-New Zealand-Offline</v>
      </c>
      <c r="J731" s="47"/>
      <c r="K731" s="54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</row>
    <row r="732" spans="1:42" ht="17.25" customHeight="1" x14ac:dyDescent="0.25">
      <c r="A732" s="55">
        <v>2011</v>
      </c>
      <c r="B732" s="56" t="s">
        <v>66</v>
      </c>
      <c r="C732" s="56" t="s">
        <v>4</v>
      </c>
      <c r="D732" s="56" t="s">
        <v>3</v>
      </c>
      <c r="E732" s="56" t="s">
        <v>69</v>
      </c>
      <c r="F732" s="56" t="s">
        <v>70</v>
      </c>
      <c r="G732" s="57">
        <v>9063946259</v>
      </c>
      <c r="H732" s="56" t="s">
        <v>68</v>
      </c>
      <c r="I732" s="58" t="str">
        <f t="shared" si="130"/>
        <v>Australia-New Zealand-Online Supplier-Direct</v>
      </c>
      <c r="J732" s="40"/>
      <c r="K732" s="59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</row>
    <row r="733" spans="1:42" ht="17.25" customHeight="1" x14ac:dyDescent="0.25">
      <c r="A733" s="60">
        <v>2011</v>
      </c>
      <c r="B733" s="61" t="s">
        <v>66</v>
      </c>
      <c r="C733" s="61" t="s">
        <v>4</v>
      </c>
      <c r="D733" s="61" t="s">
        <v>3</v>
      </c>
      <c r="E733" s="61" t="s">
        <v>69</v>
      </c>
      <c r="F733" s="61" t="s">
        <v>71</v>
      </c>
      <c r="G733" s="62">
        <v>2277478998</v>
      </c>
      <c r="H733" s="61" t="s">
        <v>68</v>
      </c>
      <c r="I733" s="63" t="str">
        <f t="shared" si="130"/>
        <v>Australia-New Zealand-OTA</v>
      </c>
      <c r="J733" s="47"/>
      <c r="K733" s="54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</row>
    <row r="734" spans="1:42" ht="17.25" customHeight="1" x14ac:dyDescent="0.25">
      <c r="A734" s="55">
        <v>2011</v>
      </c>
      <c r="B734" s="56" t="s">
        <v>66</v>
      </c>
      <c r="C734" s="56" t="s">
        <v>35</v>
      </c>
      <c r="D734" s="56" t="s">
        <v>36</v>
      </c>
      <c r="E734" s="56" t="s">
        <v>67</v>
      </c>
      <c r="F734" s="56" t="s">
        <v>67</v>
      </c>
      <c r="G734" s="57">
        <v>35617875698</v>
      </c>
      <c r="H734" s="56" t="s">
        <v>68</v>
      </c>
      <c r="I734" s="58" t="str">
        <f t="shared" si="130"/>
        <v>Brazil-Offline</v>
      </c>
      <c r="J734" s="40"/>
      <c r="K734" s="59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</row>
    <row r="735" spans="1:42" ht="17.25" customHeight="1" x14ac:dyDescent="0.25">
      <c r="A735" s="60">
        <v>2011</v>
      </c>
      <c r="B735" s="61" t="s">
        <v>66</v>
      </c>
      <c r="C735" s="61" t="s">
        <v>35</v>
      </c>
      <c r="D735" s="61" t="s">
        <v>36</v>
      </c>
      <c r="E735" s="61" t="s">
        <v>69</v>
      </c>
      <c r="F735" s="61" t="s">
        <v>70</v>
      </c>
      <c r="G735" s="62">
        <v>1977130802</v>
      </c>
      <c r="H735" s="61" t="s">
        <v>68</v>
      </c>
      <c r="I735" s="63" t="str">
        <f t="shared" si="130"/>
        <v>Brazil-Online Supplier-Direct</v>
      </c>
      <c r="J735" s="47"/>
      <c r="K735" s="54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</row>
    <row r="736" spans="1:42" ht="17.25" customHeight="1" x14ac:dyDescent="0.25">
      <c r="A736" s="55">
        <v>2011</v>
      </c>
      <c r="B736" s="56" t="s">
        <v>66</v>
      </c>
      <c r="C736" s="56" t="s">
        <v>35</v>
      </c>
      <c r="D736" s="56" t="s">
        <v>36</v>
      </c>
      <c r="E736" s="56" t="s">
        <v>69</v>
      </c>
      <c r="F736" s="56" t="s">
        <v>71</v>
      </c>
      <c r="G736" s="57">
        <v>4636790379</v>
      </c>
      <c r="H736" s="56" t="s">
        <v>68</v>
      </c>
      <c r="I736" s="58" t="str">
        <f t="shared" si="130"/>
        <v>Brazil-OTA</v>
      </c>
      <c r="J736" s="40"/>
      <c r="K736" s="59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</row>
    <row r="737" spans="1:42" ht="17.25" customHeight="1" x14ac:dyDescent="0.25">
      <c r="A737" s="60">
        <v>2011</v>
      </c>
      <c r="B737" s="61" t="s">
        <v>66</v>
      </c>
      <c r="C737" s="61" t="s">
        <v>17</v>
      </c>
      <c r="D737" s="61" t="s">
        <v>16</v>
      </c>
      <c r="E737" s="61" t="s">
        <v>67</v>
      </c>
      <c r="F737" s="61" t="s">
        <v>67</v>
      </c>
      <c r="G737" s="62">
        <v>1231256707</v>
      </c>
      <c r="H737" s="61" t="s">
        <v>68</v>
      </c>
      <c r="I737" s="63" t="str">
        <f t="shared" si="130"/>
        <v>Bulgaria-Offline</v>
      </c>
      <c r="J737" s="47"/>
      <c r="K737" s="54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</row>
    <row r="738" spans="1:42" ht="17.25" customHeight="1" x14ac:dyDescent="0.25">
      <c r="A738" s="55">
        <v>2011</v>
      </c>
      <c r="B738" s="56" t="s">
        <v>66</v>
      </c>
      <c r="C738" s="56" t="s">
        <v>17</v>
      </c>
      <c r="D738" s="56" t="s">
        <v>16</v>
      </c>
      <c r="E738" s="56" t="s">
        <v>69</v>
      </c>
      <c r="F738" s="56" t="s">
        <v>70</v>
      </c>
      <c r="G738" s="57">
        <v>153708839</v>
      </c>
      <c r="H738" s="56" t="s">
        <v>68</v>
      </c>
      <c r="I738" s="58" t="str">
        <f t="shared" si="130"/>
        <v>Bulgaria-Online Supplier-Direct</v>
      </c>
      <c r="J738" s="40"/>
      <c r="K738" s="59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</row>
    <row r="739" spans="1:42" ht="17.25" customHeight="1" x14ac:dyDescent="0.25">
      <c r="A739" s="60">
        <v>2011</v>
      </c>
      <c r="B739" s="61" t="s">
        <v>66</v>
      </c>
      <c r="C739" s="61" t="s">
        <v>17</v>
      </c>
      <c r="D739" s="61" t="s">
        <v>16</v>
      </c>
      <c r="E739" s="61" t="s">
        <v>69</v>
      </c>
      <c r="F739" s="61" t="s">
        <v>71</v>
      </c>
      <c r="G739" s="62">
        <v>42290736</v>
      </c>
      <c r="H739" s="61" t="s">
        <v>68</v>
      </c>
      <c r="I739" s="63" t="str">
        <f t="shared" si="130"/>
        <v>Bulgaria-OTA</v>
      </c>
      <c r="J739" s="47"/>
      <c r="K739" s="54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</row>
    <row r="740" spans="1:42" ht="17.25" customHeight="1" x14ac:dyDescent="0.25">
      <c r="A740" s="55">
        <v>2011</v>
      </c>
      <c r="B740" s="56" t="s">
        <v>66</v>
      </c>
      <c r="C740" s="56" t="s">
        <v>47</v>
      </c>
      <c r="D740" s="56" t="s">
        <v>46</v>
      </c>
      <c r="E740" s="56" t="s">
        <v>67</v>
      </c>
      <c r="F740" s="56" t="s">
        <v>67</v>
      </c>
      <c r="G740" s="57">
        <v>21276656031</v>
      </c>
      <c r="H740" s="56" t="s">
        <v>68</v>
      </c>
      <c r="I740" s="58" t="str">
        <f t="shared" si="130"/>
        <v>Canada-Offline</v>
      </c>
      <c r="J740" s="40"/>
      <c r="K740" s="59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</row>
    <row r="741" spans="1:42" ht="17.25" customHeight="1" x14ac:dyDescent="0.25">
      <c r="A741" s="60">
        <v>2011</v>
      </c>
      <c r="B741" s="61" t="s">
        <v>66</v>
      </c>
      <c r="C741" s="61" t="s">
        <v>47</v>
      </c>
      <c r="D741" s="61" t="s">
        <v>46</v>
      </c>
      <c r="E741" s="61" t="s">
        <v>69</v>
      </c>
      <c r="F741" s="61" t="s">
        <v>70</v>
      </c>
      <c r="G741" s="62">
        <v>8519411566</v>
      </c>
      <c r="H741" s="61" t="s">
        <v>68</v>
      </c>
      <c r="I741" s="63" t="str">
        <f t="shared" si="130"/>
        <v>Canada-Online Supplier-Direct</v>
      </c>
      <c r="J741" s="47"/>
      <c r="K741" s="54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</row>
    <row r="742" spans="1:42" ht="17.25" customHeight="1" x14ac:dyDescent="0.25">
      <c r="A742" s="55">
        <v>2011</v>
      </c>
      <c r="B742" s="56" t="s">
        <v>66</v>
      </c>
      <c r="C742" s="56" t="s">
        <v>47</v>
      </c>
      <c r="D742" s="56" t="s">
        <v>46</v>
      </c>
      <c r="E742" s="56" t="s">
        <v>69</v>
      </c>
      <c r="F742" s="56" t="s">
        <v>71</v>
      </c>
      <c r="G742" s="57">
        <v>3473627739</v>
      </c>
      <c r="H742" s="56" t="s">
        <v>68</v>
      </c>
      <c r="I742" s="58" t="str">
        <f t="shared" si="130"/>
        <v>Canada-OTA</v>
      </c>
      <c r="J742" s="40"/>
      <c r="K742" s="59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</row>
    <row r="743" spans="1:42" ht="17.25" customHeight="1" x14ac:dyDescent="0.25">
      <c r="A743" s="60">
        <v>2011</v>
      </c>
      <c r="B743" s="61" t="s">
        <v>66</v>
      </c>
      <c r="C743" s="61" t="s">
        <v>35</v>
      </c>
      <c r="D743" s="61" t="s">
        <v>37</v>
      </c>
      <c r="E743" s="61" t="s">
        <v>67</v>
      </c>
      <c r="F743" s="61" t="s">
        <v>67</v>
      </c>
      <c r="G743" s="62">
        <v>3932225749</v>
      </c>
      <c r="H743" s="61" t="s">
        <v>68</v>
      </c>
      <c r="I743" s="63" t="str">
        <f t="shared" si="130"/>
        <v>Chile-Offline</v>
      </c>
      <c r="J743" s="47"/>
      <c r="K743" s="54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</row>
    <row r="744" spans="1:42" ht="17.25" customHeight="1" x14ac:dyDescent="0.25">
      <c r="A744" s="55">
        <v>2011</v>
      </c>
      <c r="B744" s="56" t="s">
        <v>66</v>
      </c>
      <c r="C744" s="56" t="s">
        <v>35</v>
      </c>
      <c r="D744" s="56" t="s">
        <v>37</v>
      </c>
      <c r="E744" s="56" t="s">
        <v>69</v>
      </c>
      <c r="F744" s="56" t="s">
        <v>70</v>
      </c>
      <c r="G744" s="57">
        <v>739024752</v>
      </c>
      <c r="H744" s="56" t="s">
        <v>68</v>
      </c>
      <c r="I744" s="58" t="str">
        <f t="shared" si="130"/>
        <v>Chile-Online Supplier-Direct</v>
      </c>
      <c r="J744" s="40"/>
      <c r="K744" s="59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</row>
    <row r="745" spans="1:42" ht="17.25" customHeight="1" x14ac:dyDescent="0.25">
      <c r="A745" s="60">
        <v>2011</v>
      </c>
      <c r="B745" s="61" t="s">
        <v>66</v>
      </c>
      <c r="C745" s="61" t="s">
        <v>35</v>
      </c>
      <c r="D745" s="61" t="s">
        <v>37</v>
      </c>
      <c r="E745" s="61" t="s">
        <v>69</v>
      </c>
      <c r="F745" s="61" t="s">
        <v>71</v>
      </c>
      <c r="G745" s="62">
        <v>396453918</v>
      </c>
      <c r="H745" s="61" t="s">
        <v>68</v>
      </c>
      <c r="I745" s="63" t="str">
        <f t="shared" si="130"/>
        <v>Chile-OTA</v>
      </c>
      <c r="J745" s="47"/>
      <c r="K745" s="54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</row>
    <row r="746" spans="1:42" ht="17.25" customHeight="1" x14ac:dyDescent="0.25">
      <c r="A746" s="55">
        <v>2011</v>
      </c>
      <c r="B746" s="56" t="s">
        <v>66</v>
      </c>
      <c r="C746" s="56" t="s">
        <v>4</v>
      </c>
      <c r="D746" s="56" t="s">
        <v>5</v>
      </c>
      <c r="E746" s="56" t="s">
        <v>67</v>
      </c>
      <c r="F746" s="56" t="s">
        <v>67</v>
      </c>
      <c r="G746" s="57">
        <v>81210000567</v>
      </c>
      <c r="H746" s="56" t="s">
        <v>68</v>
      </c>
      <c r="I746" s="58" t="str">
        <f t="shared" si="130"/>
        <v>China-Offline</v>
      </c>
      <c r="J746" s="40"/>
      <c r="K746" s="59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</row>
    <row r="747" spans="1:42" ht="17.25" customHeight="1" x14ac:dyDescent="0.25">
      <c r="A747" s="60">
        <v>2011</v>
      </c>
      <c r="B747" s="61" t="s">
        <v>66</v>
      </c>
      <c r="C747" s="61" t="s">
        <v>4</v>
      </c>
      <c r="D747" s="61" t="s">
        <v>5</v>
      </c>
      <c r="E747" s="61" t="s">
        <v>69</v>
      </c>
      <c r="F747" s="61" t="s">
        <v>70</v>
      </c>
      <c r="G747" s="62">
        <v>4906485454</v>
      </c>
      <c r="H747" s="61" t="s">
        <v>68</v>
      </c>
      <c r="I747" s="63" t="str">
        <f t="shared" si="130"/>
        <v>China-Online Supplier-Direct</v>
      </c>
      <c r="J747" s="47"/>
      <c r="K747" s="54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</row>
    <row r="748" spans="1:42" ht="17.25" customHeight="1" x14ac:dyDescent="0.25">
      <c r="A748" s="55">
        <v>2011</v>
      </c>
      <c r="B748" s="56" t="s">
        <v>66</v>
      </c>
      <c r="C748" s="56" t="s">
        <v>4</v>
      </c>
      <c r="D748" s="56" t="s">
        <v>5</v>
      </c>
      <c r="E748" s="56" t="s">
        <v>69</v>
      </c>
      <c r="F748" s="56" t="s">
        <v>71</v>
      </c>
      <c r="G748" s="57">
        <v>5222680650</v>
      </c>
      <c r="H748" s="56" t="s">
        <v>68</v>
      </c>
      <c r="I748" s="58" t="str">
        <f t="shared" si="130"/>
        <v>China-OTA</v>
      </c>
      <c r="J748" s="40"/>
      <c r="K748" s="59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</row>
    <row r="749" spans="1:42" ht="17.25" customHeight="1" x14ac:dyDescent="0.25">
      <c r="A749" s="60">
        <v>2011</v>
      </c>
      <c r="B749" s="61" t="s">
        <v>66</v>
      </c>
      <c r="C749" s="61" t="s">
        <v>35</v>
      </c>
      <c r="D749" s="61" t="s">
        <v>38</v>
      </c>
      <c r="E749" s="61" t="s">
        <v>67</v>
      </c>
      <c r="F749" s="61" t="s">
        <v>67</v>
      </c>
      <c r="G749" s="62">
        <v>8373958686</v>
      </c>
      <c r="H749" s="61" t="s">
        <v>68</v>
      </c>
      <c r="I749" s="63" t="str">
        <f t="shared" si="130"/>
        <v>Colombia-Offline</v>
      </c>
      <c r="J749" s="47"/>
      <c r="K749" s="54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</row>
    <row r="750" spans="1:42" ht="17.25" customHeight="1" x14ac:dyDescent="0.25">
      <c r="A750" s="55">
        <v>2011</v>
      </c>
      <c r="B750" s="56" t="s">
        <v>66</v>
      </c>
      <c r="C750" s="56" t="s">
        <v>35</v>
      </c>
      <c r="D750" s="56" t="s">
        <v>38</v>
      </c>
      <c r="E750" s="56" t="s">
        <v>69</v>
      </c>
      <c r="F750" s="56" t="s">
        <v>70</v>
      </c>
      <c r="G750" s="57">
        <v>651940152</v>
      </c>
      <c r="H750" s="56" t="s">
        <v>68</v>
      </c>
      <c r="I750" s="58" t="str">
        <f t="shared" si="130"/>
        <v>Colombia-Online Supplier-Direct</v>
      </c>
      <c r="J750" s="40"/>
      <c r="K750" s="59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</row>
    <row r="751" spans="1:42" ht="17.25" customHeight="1" x14ac:dyDescent="0.25">
      <c r="A751" s="60">
        <v>2011</v>
      </c>
      <c r="B751" s="61" t="s">
        <v>66</v>
      </c>
      <c r="C751" s="61" t="s">
        <v>35</v>
      </c>
      <c r="D751" s="61" t="s">
        <v>38</v>
      </c>
      <c r="E751" s="61" t="s">
        <v>69</v>
      </c>
      <c r="F751" s="61" t="s">
        <v>71</v>
      </c>
      <c r="G751" s="62">
        <v>783783896</v>
      </c>
      <c r="H751" s="61" t="s">
        <v>68</v>
      </c>
      <c r="I751" s="63" t="str">
        <f t="shared" si="130"/>
        <v>Colombia-OTA</v>
      </c>
      <c r="J751" s="47"/>
      <c r="K751" s="54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</row>
    <row r="752" spans="1:42" ht="17.25" customHeight="1" x14ac:dyDescent="0.25">
      <c r="A752" s="55">
        <v>2011</v>
      </c>
      <c r="B752" s="56" t="s">
        <v>66</v>
      </c>
      <c r="C752" s="56" t="s">
        <v>17</v>
      </c>
      <c r="D752" s="56" t="s">
        <v>18</v>
      </c>
      <c r="E752" s="56" t="s">
        <v>67</v>
      </c>
      <c r="F752" s="56" t="s">
        <v>67</v>
      </c>
      <c r="G752" s="57">
        <v>2588306272</v>
      </c>
      <c r="H752" s="56" t="s">
        <v>68</v>
      </c>
      <c r="I752" s="58" t="str">
        <f t="shared" si="130"/>
        <v>Czech Republic-Offline</v>
      </c>
      <c r="J752" s="40"/>
      <c r="K752" s="59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</row>
    <row r="753" spans="1:42" ht="17.25" customHeight="1" x14ac:dyDescent="0.25">
      <c r="A753" s="60">
        <v>2011</v>
      </c>
      <c r="B753" s="61" t="s">
        <v>66</v>
      </c>
      <c r="C753" s="61" t="s">
        <v>17</v>
      </c>
      <c r="D753" s="61" t="s">
        <v>18</v>
      </c>
      <c r="E753" s="61" t="s">
        <v>69</v>
      </c>
      <c r="F753" s="61" t="s">
        <v>70</v>
      </c>
      <c r="G753" s="62">
        <v>376617310</v>
      </c>
      <c r="H753" s="61" t="s">
        <v>68</v>
      </c>
      <c r="I753" s="63" t="str">
        <f t="shared" si="130"/>
        <v>Czech Republic-Online Supplier-Direct</v>
      </c>
      <c r="J753" s="47"/>
      <c r="K753" s="54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</row>
    <row r="754" spans="1:42" ht="17.25" customHeight="1" x14ac:dyDescent="0.25">
      <c r="A754" s="55">
        <v>2011</v>
      </c>
      <c r="B754" s="56" t="s">
        <v>66</v>
      </c>
      <c r="C754" s="56" t="s">
        <v>17</v>
      </c>
      <c r="D754" s="56" t="s">
        <v>18</v>
      </c>
      <c r="E754" s="56" t="s">
        <v>69</v>
      </c>
      <c r="F754" s="56" t="s">
        <v>71</v>
      </c>
      <c r="G754" s="57">
        <v>392496806</v>
      </c>
      <c r="H754" s="56" t="s">
        <v>68</v>
      </c>
      <c r="I754" s="58" t="str">
        <f t="shared" si="130"/>
        <v>Czech Republic-OTA</v>
      </c>
      <c r="J754" s="40"/>
      <c r="K754" s="59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</row>
    <row r="755" spans="1:42" ht="17.25" customHeight="1" x14ac:dyDescent="0.25">
      <c r="A755" s="60">
        <v>2011</v>
      </c>
      <c r="B755" s="61" t="s">
        <v>66</v>
      </c>
      <c r="C755" s="61" t="s">
        <v>41</v>
      </c>
      <c r="D755" s="61" t="s">
        <v>40</v>
      </c>
      <c r="E755" s="61" t="s">
        <v>67</v>
      </c>
      <c r="F755" s="61" t="s">
        <v>67</v>
      </c>
      <c r="G755" s="62">
        <v>5817666121</v>
      </c>
      <c r="H755" s="61" t="s">
        <v>68</v>
      </c>
      <c r="I755" s="63" t="str">
        <f t="shared" si="130"/>
        <v>Egypt-Offline</v>
      </c>
      <c r="J755" s="47"/>
      <c r="K755" s="54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</row>
    <row r="756" spans="1:42" ht="17.25" customHeight="1" x14ac:dyDescent="0.25">
      <c r="A756" s="55">
        <v>2011</v>
      </c>
      <c r="B756" s="56" t="s">
        <v>66</v>
      </c>
      <c r="C756" s="56" t="s">
        <v>41</v>
      </c>
      <c r="D756" s="56" t="s">
        <v>40</v>
      </c>
      <c r="E756" s="56" t="s">
        <v>69</v>
      </c>
      <c r="F756" s="56" t="s">
        <v>70</v>
      </c>
      <c r="G756" s="57">
        <v>232353495</v>
      </c>
      <c r="H756" s="56" t="s">
        <v>68</v>
      </c>
      <c r="I756" s="58" t="str">
        <f t="shared" si="130"/>
        <v>Egypt-Online Supplier-Direct</v>
      </c>
      <c r="J756" s="40"/>
      <c r="K756" s="59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</row>
    <row r="757" spans="1:42" ht="17.25" customHeight="1" x14ac:dyDescent="0.25">
      <c r="A757" s="60">
        <v>2011</v>
      </c>
      <c r="B757" s="61" t="s">
        <v>66</v>
      </c>
      <c r="C757" s="61" t="s">
        <v>41</v>
      </c>
      <c r="D757" s="61" t="s">
        <v>40</v>
      </c>
      <c r="E757" s="61" t="s">
        <v>69</v>
      </c>
      <c r="F757" s="61" t="s">
        <v>71</v>
      </c>
      <c r="G757" s="62">
        <v>262927050</v>
      </c>
      <c r="H757" s="61" t="s">
        <v>68</v>
      </c>
      <c r="I757" s="63" t="str">
        <f t="shared" si="130"/>
        <v>Egypt-OTA</v>
      </c>
      <c r="J757" s="47"/>
      <c r="K757" s="54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</row>
    <row r="758" spans="1:42" ht="17.25" customHeight="1" x14ac:dyDescent="0.25">
      <c r="A758" s="55">
        <v>2011</v>
      </c>
      <c r="B758" s="56" t="s">
        <v>66</v>
      </c>
      <c r="C758" s="56" t="s">
        <v>27</v>
      </c>
      <c r="D758" s="56" t="s">
        <v>26</v>
      </c>
      <c r="E758" s="56" t="s">
        <v>67</v>
      </c>
      <c r="F758" s="56" t="s">
        <v>67</v>
      </c>
      <c r="G758" s="57">
        <v>35964377812</v>
      </c>
      <c r="H758" s="56" t="s">
        <v>68</v>
      </c>
      <c r="I758" s="58" t="str">
        <f t="shared" si="130"/>
        <v>France-Offline</v>
      </c>
      <c r="J758" s="40"/>
      <c r="K758" s="59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</row>
    <row r="759" spans="1:42" ht="17.25" customHeight="1" x14ac:dyDescent="0.25">
      <c r="A759" s="60">
        <v>2011</v>
      </c>
      <c r="B759" s="61" t="s">
        <v>66</v>
      </c>
      <c r="C759" s="61" t="s">
        <v>27</v>
      </c>
      <c r="D759" s="61" t="s">
        <v>26</v>
      </c>
      <c r="E759" s="61" t="s">
        <v>69</v>
      </c>
      <c r="F759" s="61" t="s">
        <v>70</v>
      </c>
      <c r="G759" s="62">
        <v>12135340866</v>
      </c>
      <c r="H759" s="61" t="s">
        <v>68</v>
      </c>
      <c r="I759" s="63" t="str">
        <f t="shared" si="130"/>
        <v>France-Online Supplier-Direct</v>
      </c>
      <c r="J759" s="47"/>
      <c r="K759" s="54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</row>
    <row r="760" spans="1:42" ht="17.25" customHeight="1" x14ac:dyDescent="0.25">
      <c r="A760" s="55">
        <v>2011</v>
      </c>
      <c r="B760" s="56" t="s">
        <v>66</v>
      </c>
      <c r="C760" s="56" t="s">
        <v>27</v>
      </c>
      <c r="D760" s="56" t="s">
        <v>26</v>
      </c>
      <c r="E760" s="56" t="s">
        <v>69</v>
      </c>
      <c r="F760" s="56" t="s">
        <v>71</v>
      </c>
      <c r="G760" s="57">
        <v>6423961304</v>
      </c>
      <c r="H760" s="56" t="s">
        <v>68</v>
      </c>
      <c r="I760" s="58" t="str">
        <f t="shared" si="130"/>
        <v>France-OTA</v>
      </c>
      <c r="J760" s="40"/>
      <c r="K760" s="59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</row>
    <row r="761" spans="1:42" ht="17.25" customHeight="1" x14ac:dyDescent="0.25">
      <c r="A761" s="60">
        <v>2011</v>
      </c>
      <c r="B761" s="61" t="s">
        <v>66</v>
      </c>
      <c r="C761" s="61" t="s">
        <v>27</v>
      </c>
      <c r="D761" s="61" t="s">
        <v>28</v>
      </c>
      <c r="E761" s="61" t="s">
        <v>67</v>
      </c>
      <c r="F761" s="61" t="s">
        <v>67</v>
      </c>
      <c r="G761" s="62">
        <v>50536379834</v>
      </c>
      <c r="H761" s="61" t="s">
        <v>68</v>
      </c>
      <c r="I761" s="63" t="str">
        <f t="shared" si="130"/>
        <v>Germany-Offline</v>
      </c>
      <c r="J761" s="47"/>
      <c r="K761" s="54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</row>
    <row r="762" spans="1:42" ht="17.25" customHeight="1" x14ac:dyDescent="0.25">
      <c r="A762" s="55">
        <v>2011</v>
      </c>
      <c r="B762" s="56" t="s">
        <v>66</v>
      </c>
      <c r="C762" s="56" t="s">
        <v>27</v>
      </c>
      <c r="D762" s="56" t="s">
        <v>28</v>
      </c>
      <c r="E762" s="56" t="s">
        <v>69</v>
      </c>
      <c r="F762" s="56" t="s">
        <v>70</v>
      </c>
      <c r="G762" s="57">
        <v>14309644382</v>
      </c>
      <c r="H762" s="56" t="s">
        <v>68</v>
      </c>
      <c r="I762" s="58" t="str">
        <f t="shared" si="130"/>
        <v>Germany-Online Supplier-Direct</v>
      </c>
      <c r="J762" s="40"/>
      <c r="K762" s="59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</row>
    <row r="763" spans="1:42" ht="17.25" customHeight="1" x14ac:dyDescent="0.25">
      <c r="A763" s="60">
        <v>2011</v>
      </c>
      <c r="B763" s="61" t="s">
        <v>66</v>
      </c>
      <c r="C763" s="61" t="s">
        <v>27</v>
      </c>
      <c r="D763" s="61" t="s">
        <v>28</v>
      </c>
      <c r="E763" s="61" t="s">
        <v>69</v>
      </c>
      <c r="F763" s="61" t="s">
        <v>71</v>
      </c>
      <c r="G763" s="62">
        <v>11008510305</v>
      </c>
      <c r="H763" s="61" t="s">
        <v>68</v>
      </c>
      <c r="I763" s="63" t="str">
        <f t="shared" si="130"/>
        <v>Germany-OTA</v>
      </c>
      <c r="J763" s="47"/>
      <c r="K763" s="54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</row>
    <row r="764" spans="1:42" ht="17.25" customHeight="1" x14ac:dyDescent="0.25">
      <c r="A764" s="55">
        <v>2011</v>
      </c>
      <c r="B764" s="56" t="s">
        <v>66</v>
      </c>
      <c r="C764" s="56" t="s">
        <v>17</v>
      </c>
      <c r="D764" s="56" t="s">
        <v>19</v>
      </c>
      <c r="E764" s="56" t="s">
        <v>67</v>
      </c>
      <c r="F764" s="56" t="s">
        <v>67</v>
      </c>
      <c r="G764" s="57">
        <v>7969200929</v>
      </c>
      <c r="H764" s="56" t="s">
        <v>68</v>
      </c>
      <c r="I764" s="58" t="str">
        <f t="shared" si="130"/>
        <v>Greece-Offline</v>
      </c>
      <c r="J764" s="40"/>
      <c r="K764" s="59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</row>
    <row r="765" spans="1:42" ht="17.25" customHeight="1" x14ac:dyDescent="0.25">
      <c r="A765" s="60">
        <v>2011</v>
      </c>
      <c r="B765" s="61" t="s">
        <v>66</v>
      </c>
      <c r="C765" s="61" t="s">
        <v>17</v>
      </c>
      <c r="D765" s="61" t="s">
        <v>19</v>
      </c>
      <c r="E765" s="61" t="s">
        <v>69</v>
      </c>
      <c r="F765" s="61" t="s">
        <v>70</v>
      </c>
      <c r="G765" s="62">
        <v>1595792301</v>
      </c>
      <c r="H765" s="61" t="s">
        <v>68</v>
      </c>
      <c r="I765" s="63" t="str">
        <f t="shared" si="130"/>
        <v>Greece-Online Supplier-Direct</v>
      </c>
      <c r="J765" s="47"/>
      <c r="K765" s="54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</row>
    <row r="766" spans="1:42" ht="17.25" customHeight="1" x14ac:dyDescent="0.25">
      <c r="A766" s="55">
        <v>2011</v>
      </c>
      <c r="B766" s="56" t="s">
        <v>66</v>
      </c>
      <c r="C766" s="56" t="s">
        <v>17</v>
      </c>
      <c r="D766" s="56" t="s">
        <v>19</v>
      </c>
      <c r="E766" s="56" t="s">
        <v>69</v>
      </c>
      <c r="F766" s="56" t="s">
        <v>71</v>
      </c>
      <c r="G766" s="57">
        <v>685234482</v>
      </c>
      <c r="H766" s="56" t="s">
        <v>68</v>
      </c>
      <c r="I766" s="58" t="str">
        <f t="shared" si="130"/>
        <v>Greece-OTA</v>
      </c>
      <c r="J766" s="40"/>
      <c r="K766" s="59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</row>
    <row r="767" spans="1:42" ht="17.25" customHeight="1" x14ac:dyDescent="0.25">
      <c r="A767" s="60">
        <v>2011</v>
      </c>
      <c r="B767" s="61" t="s">
        <v>66</v>
      </c>
      <c r="C767" s="61" t="s">
        <v>4</v>
      </c>
      <c r="D767" s="61" t="s">
        <v>6</v>
      </c>
      <c r="E767" s="61" t="s">
        <v>67</v>
      </c>
      <c r="F767" s="61" t="s">
        <v>67</v>
      </c>
      <c r="G767" s="62">
        <v>12180633013</v>
      </c>
      <c r="H767" s="61" t="s">
        <v>68</v>
      </c>
      <c r="I767" s="63" t="str">
        <f t="shared" ref="I767:I1021" si="131">D767&amp;"-"&amp;F767</f>
        <v>Hong Kong-Offline</v>
      </c>
      <c r="J767" s="47"/>
      <c r="K767" s="54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</row>
    <row r="768" spans="1:42" ht="17.25" customHeight="1" x14ac:dyDescent="0.25">
      <c r="A768" s="55">
        <v>2011</v>
      </c>
      <c r="B768" s="56" t="s">
        <v>66</v>
      </c>
      <c r="C768" s="56" t="s">
        <v>4</v>
      </c>
      <c r="D768" s="56" t="s">
        <v>6</v>
      </c>
      <c r="E768" s="56" t="s">
        <v>69</v>
      </c>
      <c r="F768" s="56" t="s">
        <v>70</v>
      </c>
      <c r="G768" s="57">
        <v>702064759</v>
      </c>
      <c r="H768" s="56" t="s">
        <v>68</v>
      </c>
      <c r="I768" s="58" t="str">
        <f t="shared" si="131"/>
        <v>Hong Kong-Online Supplier-Direct</v>
      </c>
      <c r="J768" s="40"/>
      <c r="K768" s="59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</row>
    <row r="769" spans="1:42" ht="17.25" customHeight="1" x14ac:dyDescent="0.25">
      <c r="A769" s="60">
        <v>2011</v>
      </c>
      <c r="B769" s="61" t="s">
        <v>66</v>
      </c>
      <c r="C769" s="61" t="s">
        <v>4</v>
      </c>
      <c r="D769" s="61" t="s">
        <v>6</v>
      </c>
      <c r="E769" s="61" t="s">
        <v>69</v>
      </c>
      <c r="F769" s="61" t="s">
        <v>71</v>
      </c>
      <c r="G769" s="62">
        <v>221705046</v>
      </c>
      <c r="H769" s="61" t="s">
        <v>68</v>
      </c>
      <c r="I769" s="63" t="str">
        <f t="shared" si="131"/>
        <v>Hong Kong-OTA</v>
      </c>
      <c r="J769" s="47"/>
      <c r="K769" s="54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</row>
    <row r="770" spans="1:42" ht="17.25" customHeight="1" x14ac:dyDescent="0.25">
      <c r="A770" s="55">
        <v>2011</v>
      </c>
      <c r="B770" s="56" t="s">
        <v>66</v>
      </c>
      <c r="C770" s="56" t="s">
        <v>17</v>
      </c>
      <c r="D770" s="56" t="s">
        <v>20</v>
      </c>
      <c r="E770" s="56" t="s">
        <v>67</v>
      </c>
      <c r="F770" s="56" t="s">
        <v>67</v>
      </c>
      <c r="G770" s="57">
        <v>2151796775</v>
      </c>
      <c r="H770" s="56" t="s">
        <v>68</v>
      </c>
      <c r="I770" s="58" t="str">
        <f t="shared" si="131"/>
        <v>Hungary-Offline</v>
      </c>
      <c r="J770" s="40"/>
      <c r="K770" s="59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</row>
    <row r="771" spans="1:42" ht="17.25" customHeight="1" x14ac:dyDescent="0.25">
      <c r="A771" s="60">
        <v>2011</v>
      </c>
      <c r="B771" s="61" t="s">
        <v>66</v>
      </c>
      <c r="C771" s="61" t="s">
        <v>17</v>
      </c>
      <c r="D771" s="61" t="s">
        <v>20</v>
      </c>
      <c r="E771" s="61" t="s">
        <v>69</v>
      </c>
      <c r="F771" s="61" t="s">
        <v>70</v>
      </c>
      <c r="G771" s="62">
        <v>491274815</v>
      </c>
      <c r="H771" s="61" t="s">
        <v>68</v>
      </c>
      <c r="I771" s="63" t="str">
        <f t="shared" si="131"/>
        <v>Hungary-Online Supplier-Direct</v>
      </c>
      <c r="J771" s="47"/>
      <c r="K771" s="54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</row>
    <row r="772" spans="1:42" ht="17.25" customHeight="1" x14ac:dyDescent="0.25">
      <c r="A772" s="55">
        <v>2011</v>
      </c>
      <c r="B772" s="56" t="s">
        <v>66</v>
      </c>
      <c r="C772" s="56" t="s">
        <v>17</v>
      </c>
      <c r="D772" s="56" t="s">
        <v>20</v>
      </c>
      <c r="E772" s="56" t="s">
        <v>69</v>
      </c>
      <c r="F772" s="56" t="s">
        <v>71</v>
      </c>
      <c r="G772" s="57">
        <v>155120360</v>
      </c>
      <c r="H772" s="56" t="s">
        <v>68</v>
      </c>
      <c r="I772" s="58" t="str">
        <f t="shared" si="131"/>
        <v>Hungary-OTA</v>
      </c>
      <c r="J772" s="40"/>
      <c r="K772" s="59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</row>
    <row r="773" spans="1:42" ht="17.25" customHeight="1" x14ac:dyDescent="0.25">
      <c r="A773" s="60">
        <v>2011</v>
      </c>
      <c r="B773" s="61" t="s">
        <v>66</v>
      </c>
      <c r="C773" s="61" t="s">
        <v>4</v>
      </c>
      <c r="D773" s="61" t="s">
        <v>7</v>
      </c>
      <c r="E773" s="61" t="s">
        <v>67</v>
      </c>
      <c r="F773" s="61" t="s">
        <v>67</v>
      </c>
      <c r="G773" s="62">
        <v>16304676226</v>
      </c>
      <c r="H773" s="61" t="s">
        <v>68</v>
      </c>
      <c r="I773" s="63" t="str">
        <f t="shared" si="131"/>
        <v>India-Offline</v>
      </c>
      <c r="J773" s="47"/>
      <c r="K773" s="54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</row>
    <row r="774" spans="1:42" ht="17.25" customHeight="1" x14ac:dyDescent="0.25">
      <c r="A774" s="55">
        <v>2011</v>
      </c>
      <c r="B774" s="56" t="s">
        <v>66</v>
      </c>
      <c r="C774" s="56" t="s">
        <v>4</v>
      </c>
      <c r="D774" s="56" t="s">
        <v>7</v>
      </c>
      <c r="E774" s="56" t="s">
        <v>69</v>
      </c>
      <c r="F774" s="56" t="s">
        <v>70</v>
      </c>
      <c r="G774" s="57">
        <v>3784515991</v>
      </c>
      <c r="H774" s="56" t="s">
        <v>68</v>
      </c>
      <c r="I774" s="58" t="str">
        <f t="shared" si="131"/>
        <v>India-Online Supplier-Direct</v>
      </c>
      <c r="J774" s="40"/>
      <c r="K774" s="59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</row>
    <row r="775" spans="1:42" ht="17.25" customHeight="1" x14ac:dyDescent="0.25">
      <c r="A775" s="60">
        <v>2011</v>
      </c>
      <c r="B775" s="61" t="s">
        <v>66</v>
      </c>
      <c r="C775" s="61" t="s">
        <v>4</v>
      </c>
      <c r="D775" s="61" t="s">
        <v>7</v>
      </c>
      <c r="E775" s="61" t="s">
        <v>69</v>
      </c>
      <c r="F775" s="61" t="s">
        <v>71</v>
      </c>
      <c r="G775" s="62">
        <v>2348195969</v>
      </c>
      <c r="H775" s="61" t="s">
        <v>68</v>
      </c>
      <c r="I775" s="63" t="str">
        <f t="shared" si="131"/>
        <v>India-OTA</v>
      </c>
      <c r="J775" s="47"/>
      <c r="K775" s="54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</row>
    <row r="776" spans="1:42" ht="17.25" customHeight="1" x14ac:dyDescent="0.25">
      <c r="A776" s="55">
        <v>2011</v>
      </c>
      <c r="B776" s="56" t="s">
        <v>66</v>
      </c>
      <c r="C776" s="56" t="s">
        <v>4</v>
      </c>
      <c r="D776" s="56" t="s">
        <v>8</v>
      </c>
      <c r="E776" s="56" t="s">
        <v>67</v>
      </c>
      <c r="F776" s="56" t="s">
        <v>67</v>
      </c>
      <c r="G776" s="57">
        <v>9374836917</v>
      </c>
      <c r="H776" s="56" t="s">
        <v>68</v>
      </c>
      <c r="I776" s="58" t="str">
        <f t="shared" si="131"/>
        <v>Indonesia-Offline</v>
      </c>
      <c r="J776" s="40"/>
      <c r="K776" s="59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</row>
    <row r="777" spans="1:42" ht="17.25" customHeight="1" x14ac:dyDescent="0.25">
      <c r="A777" s="60">
        <v>2011</v>
      </c>
      <c r="B777" s="61" t="s">
        <v>66</v>
      </c>
      <c r="C777" s="61" t="s">
        <v>4</v>
      </c>
      <c r="D777" s="61" t="s">
        <v>8</v>
      </c>
      <c r="E777" s="61" t="s">
        <v>69</v>
      </c>
      <c r="F777" s="61" t="s">
        <v>70</v>
      </c>
      <c r="G777" s="62">
        <v>368242887</v>
      </c>
      <c r="H777" s="61" t="s">
        <v>68</v>
      </c>
      <c r="I777" s="63" t="str">
        <f t="shared" si="131"/>
        <v>Indonesia-Online Supplier-Direct</v>
      </c>
      <c r="J777" s="47"/>
      <c r="K777" s="54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</row>
    <row r="778" spans="1:42" ht="17.25" customHeight="1" x14ac:dyDescent="0.25">
      <c r="A778" s="55">
        <v>2011</v>
      </c>
      <c r="B778" s="56" t="s">
        <v>66</v>
      </c>
      <c r="C778" s="56" t="s">
        <v>4</v>
      </c>
      <c r="D778" s="56" t="s">
        <v>8</v>
      </c>
      <c r="E778" s="56" t="s">
        <v>69</v>
      </c>
      <c r="F778" s="56" t="s">
        <v>71</v>
      </c>
      <c r="G778" s="57">
        <v>101716833</v>
      </c>
      <c r="H778" s="56" t="s">
        <v>68</v>
      </c>
      <c r="I778" s="58" t="str">
        <f t="shared" si="131"/>
        <v>Indonesia-OTA</v>
      </c>
      <c r="J778" s="40"/>
      <c r="K778" s="59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</row>
    <row r="779" spans="1:42" ht="17.25" customHeight="1" x14ac:dyDescent="0.25">
      <c r="A779" s="60">
        <v>2011</v>
      </c>
      <c r="B779" s="61" t="s">
        <v>66</v>
      </c>
      <c r="C779" s="61" t="s">
        <v>27</v>
      </c>
      <c r="D779" s="61" t="s">
        <v>29</v>
      </c>
      <c r="E779" s="61" t="s">
        <v>67</v>
      </c>
      <c r="F779" s="61" t="s">
        <v>67</v>
      </c>
      <c r="G779" s="62">
        <v>21007915738</v>
      </c>
      <c r="H779" s="61" t="s">
        <v>68</v>
      </c>
      <c r="I779" s="63" t="str">
        <f t="shared" si="131"/>
        <v>Italy-Offline</v>
      </c>
      <c r="J779" s="47"/>
      <c r="K779" s="54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</row>
    <row r="780" spans="1:42" ht="17.25" customHeight="1" x14ac:dyDescent="0.25">
      <c r="A780" s="55">
        <v>2011</v>
      </c>
      <c r="B780" s="56" t="s">
        <v>66</v>
      </c>
      <c r="C780" s="56" t="s">
        <v>27</v>
      </c>
      <c r="D780" s="56" t="s">
        <v>29</v>
      </c>
      <c r="E780" s="56" t="s">
        <v>69</v>
      </c>
      <c r="F780" s="56" t="s">
        <v>70</v>
      </c>
      <c r="G780" s="57">
        <v>3515415632</v>
      </c>
      <c r="H780" s="56" t="s">
        <v>68</v>
      </c>
      <c r="I780" s="58" t="str">
        <f t="shared" si="131"/>
        <v>Italy-Online Supplier-Direct</v>
      </c>
      <c r="J780" s="40"/>
      <c r="K780" s="59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</row>
    <row r="781" spans="1:42" ht="17.25" customHeight="1" x14ac:dyDescent="0.25">
      <c r="A781" s="60">
        <v>2011</v>
      </c>
      <c r="B781" s="61" t="s">
        <v>66</v>
      </c>
      <c r="C781" s="61" t="s">
        <v>27</v>
      </c>
      <c r="D781" s="61" t="s">
        <v>29</v>
      </c>
      <c r="E781" s="61" t="s">
        <v>69</v>
      </c>
      <c r="F781" s="61" t="s">
        <v>71</v>
      </c>
      <c r="G781" s="62">
        <v>4024709589</v>
      </c>
      <c r="H781" s="61" t="s">
        <v>68</v>
      </c>
      <c r="I781" s="63" t="str">
        <f t="shared" si="131"/>
        <v>Italy-OTA</v>
      </c>
      <c r="J781" s="47"/>
      <c r="K781" s="54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</row>
    <row r="782" spans="1:42" ht="17.25" customHeight="1" x14ac:dyDescent="0.25">
      <c r="A782" s="55">
        <v>2011</v>
      </c>
      <c r="B782" s="56" t="s">
        <v>66</v>
      </c>
      <c r="C782" s="56" t="s">
        <v>4</v>
      </c>
      <c r="D782" s="56" t="s">
        <v>9</v>
      </c>
      <c r="E782" s="56" t="s">
        <v>67</v>
      </c>
      <c r="F782" s="56" t="s">
        <v>67</v>
      </c>
      <c r="G782" s="57">
        <v>76177898925</v>
      </c>
      <c r="H782" s="56" t="s">
        <v>68</v>
      </c>
      <c r="I782" s="58" t="str">
        <f t="shared" si="131"/>
        <v>Japan-Offline</v>
      </c>
      <c r="J782" s="40"/>
      <c r="K782" s="59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</row>
    <row r="783" spans="1:42" ht="17.25" customHeight="1" x14ac:dyDescent="0.25">
      <c r="A783" s="60">
        <v>2011</v>
      </c>
      <c r="B783" s="61" t="s">
        <v>66</v>
      </c>
      <c r="C783" s="61" t="s">
        <v>4</v>
      </c>
      <c r="D783" s="61" t="s">
        <v>9</v>
      </c>
      <c r="E783" s="61" t="s">
        <v>69</v>
      </c>
      <c r="F783" s="61" t="s">
        <v>70</v>
      </c>
      <c r="G783" s="62">
        <v>18628014255</v>
      </c>
      <c r="H783" s="61" t="s">
        <v>68</v>
      </c>
      <c r="I783" s="63" t="str">
        <f t="shared" si="131"/>
        <v>Japan-Online Supplier-Direct</v>
      </c>
      <c r="J783" s="47"/>
      <c r="K783" s="54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</row>
    <row r="784" spans="1:42" ht="17.25" customHeight="1" x14ac:dyDescent="0.25">
      <c r="A784" s="55">
        <v>2011</v>
      </c>
      <c r="B784" s="56" t="s">
        <v>66</v>
      </c>
      <c r="C784" s="56" t="s">
        <v>4</v>
      </c>
      <c r="D784" s="56" t="s">
        <v>9</v>
      </c>
      <c r="E784" s="56" t="s">
        <v>69</v>
      </c>
      <c r="F784" s="56" t="s">
        <v>71</v>
      </c>
      <c r="G784" s="57">
        <v>9994370519</v>
      </c>
      <c r="H784" s="56" t="s">
        <v>68</v>
      </c>
      <c r="I784" s="58" t="str">
        <f t="shared" si="131"/>
        <v>Japan-OTA</v>
      </c>
      <c r="J784" s="40"/>
      <c r="K784" s="59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</row>
    <row r="785" spans="1:42" ht="17.25" customHeight="1" x14ac:dyDescent="0.25">
      <c r="A785" s="60">
        <v>2011</v>
      </c>
      <c r="B785" s="61" t="s">
        <v>66</v>
      </c>
      <c r="C785" s="61" t="s">
        <v>4</v>
      </c>
      <c r="D785" s="61" t="s">
        <v>10</v>
      </c>
      <c r="E785" s="61" t="s">
        <v>67</v>
      </c>
      <c r="F785" s="61" t="s">
        <v>67</v>
      </c>
      <c r="G785" s="62">
        <v>751315571</v>
      </c>
      <c r="H785" s="61" t="s">
        <v>68</v>
      </c>
      <c r="I785" s="63" t="str">
        <f t="shared" si="131"/>
        <v>Macau-Offline</v>
      </c>
      <c r="J785" s="47"/>
      <c r="K785" s="54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</row>
    <row r="786" spans="1:42" ht="17.25" customHeight="1" x14ac:dyDescent="0.25">
      <c r="A786" s="55">
        <v>2011</v>
      </c>
      <c r="B786" s="56" t="s">
        <v>66</v>
      </c>
      <c r="C786" s="56" t="s">
        <v>4</v>
      </c>
      <c r="D786" s="56" t="s">
        <v>10</v>
      </c>
      <c r="E786" s="56" t="s">
        <v>69</v>
      </c>
      <c r="F786" s="56" t="s">
        <v>70</v>
      </c>
      <c r="G786" s="57">
        <v>8656866</v>
      </c>
      <c r="H786" s="56" t="s">
        <v>68</v>
      </c>
      <c r="I786" s="58" t="str">
        <f t="shared" si="131"/>
        <v>Macau-Online Supplier-Direct</v>
      </c>
      <c r="J786" s="40"/>
      <c r="K786" s="59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</row>
    <row r="787" spans="1:42" ht="17.25" customHeight="1" x14ac:dyDescent="0.25">
      <c r="A787" s="60">
        <v>2011</v>
      </c>
      <c r="B787" s="61" t="s">
        <v>66</v>
      </c>
      <c r="C787" s="61" t="s">
        <v>4</v>
      </c>
      <c r="D787" s="61" t="s">
        <v>10</v>
      </c>
      <c r="E787" s="61" t="s">
        <v>69</v>
      </c>
      <c r="F787" s="61" t="s">
        <v>71</v>
      </c>
      <c r="G787" s="62">
        <v>16077037</v>
      </c>
      <c r="H787" s="61" t="s">
        <v>68</v>
      </c>
      <c r="I787" s="63" t="str">
        <f t="shared" si="131"/>
        <v>Macau-OTA</v>
      </c>
      <c r="J787" s="47"/>
      <c r="K787" s="54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</row>
    <row r="788" spans="1:42" ht="17.25" customHeight="1" x14ac:dyDescent="0.25">
      <c r="A788" s="55">
        <v>2011</v>
      </c>
      <c r="B788" s="56" t="s">
        <v>66</v>
      </c>
      <c r="C788" s="56" t="s">
        <v>4</v>
      </c>
      <c r="D788" s="56" t="s">
        <v>11</v>
      </c>
      <c r="E788" s="56" t="s">
        <v>67</v>
      </c>
      <c r="F788" s="56" t="s">
        <v>67</v>
      </c>
      <c r="G788" s="57">
        <v>6002049351</v>
      </c>
      <c r="H788" s="56" t="s">
        <v>68</v>
      </c>
      <c r="I788" s="58" t="str">
        <f t="shared" si="131"/>
        <v>Malaysia-Offline</v>
      </c>
      <c r="J788" s="40"/>
      <c r="K788" s="59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</row>
    <row r="789" spans="1:42" ht="17.25" customHeight="1" x14ac:dyDescent="0.25">
      <c r="A789" s="60">
        <v>2011</v>
      </c>
      <c r="B789" s="61" t="s">
        <v>66</v>
      </c>
      <c r="C789" s="61" t="s">
        <v>4</v>
      </c>
      <c r="D789" s="61" t="s">
        <v>11</v>
      </c>
      <c r="E789" s="61" t="s">
        <v>69</v>
      </c>
      <c r="F789" s="61" t="s">
        <v>70</v>
      </c>
      <c r="G789" s="62">
        <v>2160808120</v>
      </c>
      <c r="H789" s="61" t="s">
        <v>68</v>
      </c>
      <c r="I789" s="63" t="str">
        <f t="shared" si="131"/>
        <v>Malaysia-Online Supplier-Direct</v>
      </c>
      <c r="J789" s="47"/>
      <c r="K789" s="54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</row>
    <row r="790" spans="1:42" ht="17.25" customHeight="1" x14ac:dyDescent="0.25">
      <c r="A790" s="55">
        <v>2011</v>
      </c>
      <c r="B790" s="56" t="s">
        <v>66</v>
      </c>
      <c r="C790" s="56" t="s">
        <v>4</v>
      </c>
      <c r="D790" s="56" t="s">
        <v>11</v>
      </c>
      <c r="E790" s="56" t="s">
        <v>69</v>
      </c>
      <c r="F790" s="56" t="s">
        <v>71</v>
      </c>
      <c r="G790" s="57">
        <v>314493585</v>
      </c>
      <c r="H790" s="56" t="s">
        <v>68</v>
      </c>
      <c r="I790" s="58" t="str">
        <f t="shared" si="131"/>
        <v>Malaysia-OTA</v>
      </c>
      <c r="J790" s="40"/>
      <c r="K790" s="59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</row>
    <row r="791" spans="1:42" ht="17.25" customHeight="1" x14ac:dyDescent="0.25">
      <c r="A791" s="60">
        <v>2011</v>
      </c>
      <c r="B791" s="61" t="s">
        <v>66</v>
      </c>
      <c r="C791" s="61" t="s">
        <v>35</v>
      </c>
      <c r="D791" s="61" t="s">
        <v>39</v>
      </c>
      <c r="E791" s="61" t="s">
        <v>67</v>
      </c>
      <c r="F791" s="61" t="s">
        <v>67</v>
      </c>
      <c r="G791" s="62">
        <v>17779907338</v>
      </c>
      <c r="H791" s="61" t="s">
        <v>68</v>
      </c>
      <c r="I791" s="63" t="str">
        <f t="shared" si="131"/>
        <v>Mexico-Offline</v>
      </c>
      <c r="J791" s="47"/>
      <c r="K791" s="54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</row>
    <row r="792" spans="1:42" ht="17.25" customHeight="1" x14ac:dyDescent="0.25">
      <c r="A792" s="55">
        <v>2011</v>
      </c>
      <c r="B792" s="56" t="s">
        <v>66</v>
      </c>
      <c r="C792" s="56" t="s">
        <v>35</v>
      </c>
      <c r="D792" s="56" t="s">
        <v>39</v>
      </c>
      <c r="E792" s="56" t="s">
        <v>69</v>
      </c>
      <c r="F792" s="56" t="s">
        <v>70</v>
      </c>
      <c r="G792" s="57">
        <v>1472486038</v>
      </c>
      <c r="H792" s="56" t="s">
        <v>68</v>
      </c>
      <c r="I792" s="58" t="str">
        <f t="shared" si="131"/>
        <v>Mexico-Online Supplier-Direct</v>
      </c>
      <c r="J792" s="40"/>
      <c r="K792" s="59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</row>
    <row r="793" spans="1:42" ht="17.25" customHeight="1" x14ac:dyDescent="0.25">
      <c r="A793" s="60">
        <v>2011</v>
      </c>
      <c r="B793" s="61" t="s">
        <v>66</v>
      </c>
      <c r="C793" s="61" t="s">
        <v>35</v>
      </c>
      <c r="D793" s="61" t="s">
        <v>39</v>
      </c>
      <c r="E793" s="61" t="s">
        <v>69</v>
      </c>
      <c r="F793" s="61" t="s">
        <v>71</v>
      </c>
      <c r="G793" s="62">
        <v>2767342480</v>
      </c>
      <c r="H793" s="61" t="s">
        <v>68</v>
      </c>
      <c r="I793" s="63" t="str">
        <f t="shared" si="131"/>
        <v>Mexico-OTA</v>
      </c>
      <c r="J793" s="47"/>
      <c r="K793" s="54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</row>
    <row r="794" spans="1:42" ht="17.25" customHeight="1" x14ac:dyDescent="0.25">
      <c r="A794" s="55">
        <v>2011</v>
      </c>
      <c r="B794" s="56" t="s">
        <v>66</v>
      </c>
      <c r="C794" s="56" t="s">
        <v>17</v>
      </c>
      <c r="D794" s="56" t="s">
        <v>21</v>
      </c>
      <c r="E794" s="56" t="s">
        <v>67</v>
      </c>
      <c r="F794" s="56" t="s">
        <v>67</v>
      </c>
      <c r="G794" s="57">
        <v>3771496837</v>
      </c>
      <c r="H794" s="56" t="s">
        <v>68</v>
      </c>
      <c r="I794" s="58" t="str">
        <f t="shared" si="131"/>
        <v>Poland-Offline</v>
      </c>
      <c r="J794" s="40"/>
      <c r="K794" s="59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</row>
    <row r="795" spans="1:42" ht="17.25" customHeight="1" x14ac:dyDescent="0.25">
      <c r="A795" s="60">
        <v>2011</v>
      </c>
      <c r="B795" s="61" t="s">
        <v>66</v>
      </c>
      <c r="C795" s="61" t="s">
        <v>17</v>
      </c>
      <c r="D795" s="61" t="s">
        <v>21</v>
      </c>
      <c r="E795" s="61" t="s">
        <v>69</v>
      </c>
      <c r="F795" s="61" t="s">
        <v>70</v>
      </c>
      <c r="G795" s="62">
        <v>690362402</v>
      </c>
      <c r="H795" s="61" t="s">
        <v>68</v>
      </c>
      <c r="I795" s="63" t="str">
        <f t="shared" si="131"/>
        <v>Poland-Online Supplier-Direct</v>
      </c>
      <c r="J795" s="47"/>
      <c r="K795" s="54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</row>
    <row r="796" spans="1:42" ht="17.25" customHeight="1" x14ac:dyDescent="0.25">
      <c r="A796" s="55">
        <v>2011</v>
      </c>
      <c r="B796" s="56" t="s">
        <v>66</v>
      </c>
      <c r="C796" s="56" t="s">
        <v>17</v>
      </c>
      <c r="D796" s="56" t="s">
        <v>21</v>
      </c>
      <c r="E796" s="56" t="s">
        <v>69</v>
      </c>
      <c r="F796" s="56" t="s">
        <v>71</v>
      </c>
      <c r="G796" s="57">
        <v>337308461</v>
      </c>
      <c r="H796" s="56" t="s">
        <v>68</v>
      </c>
      <c r="I796" s="58" t="str">
        <f t="shared" si="131"/>
        <v>Poland-OTA</v>
      </c>
      <c r="J796" s="40"/>
      <c r="K796" s="59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</row>
    <row r="797" spans="1:42" ht="17.25" customHeight="1" x14ac:dyDescent="0.25">
      <c r="A797" s="60">
        <v>2011</v>
      </c>
      <c r="B797" s="61" t="s">
        <v>66</v>
      </c>
      <c r="C797" s="61" t="s">
        <v>41</v>
      </c>
      <c r="D797" s="61" t="s">
        <v>42</v>
      </c>
      <c r="E797" s="61" t="s">
        <v>67</v>
      </c>
      <c r="F797" s="61" t="s">
        <v>67</v>
      </c>
      <c r="G797" s="62">
        <v>5492586540</v>
      </c>
      <c r="H797" s="61" t="s">
        <v>68</v>
      </c>
      <c r="I797" s="63" t="str">
        <f t="shared" si="131"/>
        <v>Qatar-Offline</v>
      </c>
      <c r="J797" s="47"/>
      <c r="K797" s="54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</row>
    <row r="798" spans="1:42" ht="17.25" customHeight="1" x14ac:dyDescent="0.25">
      <c r="A798" s="55">
        <v>2011</v>
      </c>
      <c r="B798" s="56" t="s">
        <v>66</v>
      </c>
      <c r="C798" s="56" t="s">
        <v>41</v>
      </c>
      <c r="D798" s="56" t="s">
        <v>42</v>
      </c>
      <c r="E798" s="56" t="s">
        <v>69</v>
      </c>
      <c r="F798" s="56" t="s">
        <v>70</v>
      </c>
      <c r="G798" s="57">
        <v>685959441</v>
      </c>
      <c r="H798" s="56" t="s">
        <v>68</v>
      </c>
      <c r="I798" s="58" t="str">
        <f t="shared" si="131"/>
        <v>Qatar-Online Supplier-Direct</v>
      </c>
      <c r="J798" s="40"/>
      <c r="K798" s="59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</row>
    <row r="799" spans="1:42" ht="17.25" customHeight="1" x14ac:dyDescent="0.25">
      <c r="A799" s="60">
        <v>2011</v>
      </c>
      <c r="B799" s="61" t="s">
        <v>66</v>
      </c>
      <c r="C799" s="61" t="s">
        <v>41</v>
      </c>
      <c r="D799" s="61" t="s">
        <v>42</v>
      </c>
      <c r="E799" s="61" t="s">
        <v>69</v>
      </c>
      <c r="F799" s="61" t="s">
        <v>71</v>
      </c>
      <c r="G799" s="62">
        <v>464030722</v>
      </c>
      <c r="H799" s="61" t="s">
        <v>68</v>
      </c>
      <c r="I799" s="63" t="str">
        <f t="shared" si="131"/>
        <v>Qatar-OTA</v>
      </c>
      <c r="J799" s="47"/>
      <c r="K799" s="54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</row>
    <row r="800" spans="1:42" ht="17.25" customHeight="1" x14ac:dyDescent="0.25">
      <c r="A800" s="55">
        <v>2011</v>
      </c>
      <c r="B800" s="56" t="s">
        <v>66</v>
      </c>
      <c r="C800" s="56" t="s">
        <v>17</v>
      </c>
      <c r="D800" s="56" t="s">
        <v>22</v>
      </c>
      <c r="E800" s="56" t="s">
        <v>67</v>
      </c>
      <c r="F800" s="56" t="s">
        <v>67</v>
      </c>
      <c r="G800" s="57">
        <v>3743175626</v>
      </c>
      <c r="H800" s="56" t="s">
        <v>68</v>
      </c>
      <c r="I800" s="58" t="str">
        <f t="shared" si="131"/>
        <v>Rest of Eastern Europe-Offline</v>
      </c>
      <c r="J800" s="40"/>
      <c r="K800" s="59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</row>
    <row r="801" spans="1:42" ht="17.25" customHeight="1" x14ac:dyDescent="0.25">
      <c r="A801" s="60">
        <v>2011</v>
      </c>
      <c r="B801" s="61" t="s">
        <v>66</v>
      </c>
      <c r="C801" s="61" t="s">
        <v>17</v>
      </c>
      <c r="D801" s="61" t="s">
        <v>22</v>
      </c>
      <c r="E801" s="61" t="s">
        <v>69</v>
      </c>
      <c r="F801" s="61" t="s">
        <v>70</v>
      </c>
      <c r="G801" s="62">
        <v>241511771</v>
      </c>
      <c r="H801" s="61" t="s">
        <v>68</v>
      </c>
      <c r="I801" s="63" t="str">
        <f t="shared" si="131"/>
        <v>Rest of Eastern Europe-Online Supplier-Direct</v>
      </c>
      <c r="J801" s="47"/>
      <c r="K801" s="54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</row>
    <row r="802" spans="1:42" ht="17.25" customHeight="1" x14ac:dyDescent="0.25">
      <c r="A802" s="55">
        <v>2011</v>
      </c>
      <c r="B802" s="56" t="s">
        <v>66</v>
      </c>
      <c r="C802" s="56" t="s">
        <v>17</v>
      </c>
      <c r="D802" s="56" t="s">
        <v>22</v>
      </c>
      <c r="E802" s="56" t="s">
        <v>69</v>
      </c>
      <c r="F802" s="56" t="s">
        <v>71</v>
      </c>
      <c r="G802" s="57">
        <v>266272004</v>
      </c>
      <c r="H802" s="56" t="s">
        <v>68</v>
      </c>
      <c r="I802" s="58" t="str">
        <f t="shared" si="131"/>
        <v>Rest of Eastern Europe-OTA</v>
      </c>
      <c r="J802" s="40"/>
      <c r="K802" s="59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</row>
    <row r="803" spans="1:42" ht="17.25" customHeight="1" x14ac:dyDescent="0.25">
      <c r="A803" s="60">
        <v>2011</v>
      </c>
      <c r="B803" s="61" t="s">
        <v>66</v>
      </c>
      <c r="C803" s="61" t="s">
        <v>27</v>
      </c>
      <c r="D803" s="61" t="s">
        <v>30</v>
      </c>
      <c r="E803" s="61" t="s">
        <v>67</v>
      </c>
      <c r="F803" s="61" t="s">
        <v>67</v>
      </c>
      <c r="G803" s="62">
        <v>41191428037</v>
      </c>
      <c r="H803" s="61" t="s">
        <v>68</v>
      </c>
      <c r="I803" s="63" t="str">
        <f t="shared" si="131"/>
        <v>Rest of Europe-Offline</v>
      </c>
      <c r="J803" s="47"/>
      <c r="K803" s="54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</row>
    <row r="804" spans="1:42" ht="17.25" customHeight="1" x14ac:dyDescent="0.25">
      <c r="A804" s="55">
        <v>2011</v>
      </c>
      <c r="B804" s="56" t="s">
        <v>66</v>
      </c>
      <c r="C804" s="56" t="s">
        <v>27</v>
      </c>
      <c r="D804" s="56" t="s">
        <v>30</v>
      </c>
      <c r="E804" s="56" t="s">
        <v>69</v>
      </c>
      <c r="F804" s="56" t="s">
        <v>70</v>
      </c>
      <c r="G804" s="57">
        <v>11468457106</v>
      </c>
      <c r="H804" s="56" t="s">
        <v>68</v>
      </c>
      <c r="I804" s="58" t="str">
        <f t="shared" si="131"/>
        <v>Rest of Europe-Online Supplier-Direct</v>
      </c>
      <c r="J804" s="40"/>
      <c r="K804" s="59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</row>
    <row r="805" spans="1:42" ht="17.25" customHeight="1" x14ac:dyDescent="0.25">
      <c r="A805" s="60">
        <v>2011</v>
      </c>
      <c r="B805" s="61" t="s">
        <v>66</v>
      </c>
      <c r="C805" s="61" t="s">
        <v>27</v>
      </c>
      <c r="D805" s="61" t="s">
        <v>30</v>
      </c>
      <c r="E805" s="61" t="s">
        <v>69</v>
      </c>
      <c r="F805" s="61" t="s">
        <v>71</v>
      </c>
      <c r="G805" s="62">
        <v>6137481642</v>
      </c>
      <c r="H805" s="61" t="s">
        <v>68</v>
      </c>
      <c r="I805" s="63" t="str">
        <f t="shared" si="131"/>
        <v>Rest of Europe-OTA</v>
      </c>
      <c r="J805" s="47"/>
      <c r="K805" s="54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</row>
    <row r="806" spans="1:42" ht="17.25" customHeight="1" x14ac:dyDescent="0.25">
      <c r="A806" s="55">
        <v>2011</v>
      </c>
      <c r="B806" s="56" t="s">
        <v>66</v>
      </c>
      <c r="C806" s="56" t="s">
        <v>41</v>
      </c>
      <c r="D806" s="56" t="s">
        <v>43</v>
      </c>
      <c r="E806" s="56" t="s">
        <v>67</v>
      </c>
      <c r="F806" s="56" t="s">
        <v>67</v>
      </c>
      <c r="G806" s="57">
        <v>6899632532</v>
      </c>
      <c r="H806" s="56" t="s">
        <v>68</v>
      </c>
      <c r="I806" s="58" t="str">
        <f t="shared" si="131"/>
        <v>Rest of Middle East-Offline</v>
      </c>
      <c r="J806" s="40"/>
      <c r="K806" s="59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</row>
    <row r="807" spans="1:42" ht="17.25" customHeight="1" x14ac:dyDescent="0.25">
      <c r="A807" s="60">
        <v>2011</v>
      </c>
      <c r="B807" s="61" t="s">
        <v>66</v>
      </c>
      <c r="C807" s="61" t="s">
        <v>41</v>
      </c>
      <c r="D807" s="61" t="s">
        <v>43</v>
      </c>
      <c r="E807" s="61" t="s">
        <v>69</v>
      </c>
      <c r="F807" s="61" t="s">
        <v>70</v>
      </c>
      <c r="G807" s="62">
        <v>488561810</v>
      </c>
      <c r="H807" s="61" t="s">
        <v>68</v>
      </c>
      <c r="I807" s="63" t="str">
        <f t="shared" si="131"/>
        <v>Rest of Middle East-Online Supplier-Direct</v>
      </c>
      <c r="J807" s="47"/>
      <c r="K807" s="54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</row>
    <row r="808" spans="1:42" ht="17.25" customHeight="1" x14ac:dyDescent="0.25">
      <c r="A808" s="55">
        <v>2011</v>
      </c>
      <c r="B808" s="56" t="s">
        <v>66</v>
      </c>
      <c r="C808" s="56" t="s">
        <v>41</v>
      </c>
      <c r="D808" s="56" t="s">
        <v>43</v>
      </c>
      <c r="E808" s="56" t="s">
        <v>69</v>
      </c>
      <c r="F808" s="56" t="s">
        <v>71</v>
      </c>
      <c r="G808" s="57">
        <v>436190883</v>
      </c>
      <c r="H808" s="56" t="s">
        <v>68</v>
      </c>
      <c r="I808" s="58" t="str">
        <f t="shared" si="131"/>
        <v>Rest of Middle East-OTA</v>
      </c>
      <c r="J808" s="40"/>
      <c r="K808" s="59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</row>
    <row r="809" spans="1:42" ht="17.25" customHeight="1" x14ac:dyDescent="0.25">
      <c r="A809" s="60">
        <v>2011</v>
      </c>
      <c r="B809" s="61" t="s">
        <v>66</v>
      </c>
      <c r="C809" s="61" t="s">
        <v>17</v>
      </c>
      <c r="D809" s="61" t="s">
        <v>23</v>
      </c>
      <c r="E809" s="61" t="s">
        <v>67</v>
      </c>
      <c r="F809" s="61" t="s">
        <v>67</v>
      </c>
      <c r="G809" s="62">
        <v>2918318367</v>
      </c>
      <c r="H809" s="61" t="s">
        <v>68</v>
      </c>
      <c r="I809" s="63" t="str">
        <f t="shared" si="131"/>
        <v>Romania-Offline</v>
      </c>
      <c r="J809" s="47"/>
      <c r="K809" s="54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</row>
    <row r="810" spans="1:42" ht="17.25" customHeight="1" x14ac:dyDescent="0.25">
      <c r="A810" s="55">
        <v>2011</v>
      </c>
      <c r="B810" s="56" t="s">
        <v>66</v>
      </c>
      <c r="C810" s="56" t="s">
        <v>17</v>
      </c>
      <c r="D810" s="56" t="s">
        <v>23</v>
      </c>
      <c r="E810" s="56" t="s">
        <v>69</v>
      </c>
      <c r="F810" s="56" t="s">
        <v>70</v>
      </c>
      <c r="G810" s="57">
        <v>387293736</v>
      </c>
      <c r="H810" s="56" t="s">
        <v>68</v>
      </c>
      <c r="I810" s="58" t="str">
        <f t="shared" si="131"/>
        <v>Romania-Online Supplier-Direct</v>
      </c>
      <c r="J810" s="40"/>
      <c r="K810" s="59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</row>
    <row r="811" spans="1:42" ht="17.25" customHeight="1" x14ac:dyDescent="0.25">
      <c r="A811" s="60">
        <v>2011</v>
      </c>
      <c r="B811" s="61" t="s">
        <v>66</v>
      </c>
      <c r="C811" s="61" t="s">
        <v>17</v>
      </c>
      <c r="D811" s="61" t="s">
        <v>23</v>
      </c>
      <c r="E811" s="61" t="s">
        <v>69</v>
      </c>
      <c r="F811" s="61" t="s">
        <v>71</v>
      </c>
      <c r="G811" s="62">
        <v>180672667</v>
      </c>
      <c r="H811" s="61" t="s">
        <v>68</v>
      </c>
      <c r="I811" s="63" t="str">
        <f t="shared" si="131"/>
        <v>Romania-OTA</v>
      </c>
      <c r="J811" s="47"/>
      <c r="K811" s="54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</row>
    <row r="812" spans="1:42" ht="17.25" customHeight="1" x14ac:dyDescent="0.25">
      <c r="A812" s="55">
        <v>2011</v>
      </c>
      <c r="B812" s="56" t="s">
        <v>66</v>
      </c>
      <c r="C812" s="56" t="s">
        <v>17</v>
      </c>
      <c r="D812" s="56" t="s">
        <v>24</v>
      </c>
      <c r="E812" s="56" t="s">
        <v>67</v>
      </c>
      <c r="F812" s="56" t="s">
        <v>67</v>
      </c>
      <c r="G812" s="57">
        <v>37221698924</v>
      </c>
      <c r="H812" s="56" t="s">
        <v>68</v>
      </c>
      <c r="I812" s="58" t="str">
        <f t="shared" si="131"/>
        <v>Russia-Offline</v>
      </c>
      <c r="J812" s="40"/>
      <c r="K812" s="59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</row>
    <row r="813" spans="1:42" ht="17.25" customHeight="1" x14ac:dyDescent="0.25">
      <c r="A813" s="60">
        <v>2011</v>
      </c>
      <c r="B813" s="61" t="s">
        <v>66</v>
      </c>
      <c r="C813" s="61" t="s">
        <v>17</v>
      </c>
      <c r="D813" s="61" t="s">
        <v>24</v>
      </c>
      <c r="E813" s="61" t="s">
        <v>69</v>
      </c>
      <c r="F813" s="61" t="s">
        <v>70</v>
      </c>
      <c r="G813" s="62">
        <v>2716178874</v>
      </c>
      <c r="H813" s="61" t="s">
        <v>68</v>
      </c>
      <c r="I813" s="63" t="str">
        <f t="shared" si="131"/>
        <v>Russia-Online Supplier-Direct</v>
      </c>
      <c r="J813" s="47"/>
      <c r="K813" s="54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</row>
    <row r="814" spans="1:42" ht="17.25" customHeight="1" x14ac:dyDescent="0.25">
      <c r="A814" s="55">
        <v>2011</v>
      </c>
      <c r="B814" s="56" t="s">
        <v>66</v>
      </c>
      <c r="C814" s="56" t="s">
        <v>17</v>
      </c>
      <c r="D814" s="56" t="s">
        <v>24</v>
      </c>
      <c r="E814" s="56" t="s">
        <v>69</v>
      </c>
      <c r="F814" s="56" t="s">
        <v>71</v>
      </c>
      <c r="G814" s="57">
        <v>2478489221</v>
      </c>
      <c r="H814" s="56" t="s">
        <v>68</v>
      </c>
      <c r="I814" s="58" t="str">
        <f t="shared" si="131"/>
        <v>Russia-OTA</v>
      </c>
      <c r="J814" s="40"/>
      <c r="K814" s="59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</row>
    <row r="815" spans="1:42" ht="17.25" customHeight="1" x14ac:dyDescent="0.25">
      <c r="A815" s="60">
        <v>2011</v>
      </c>
      <c r="B815" s="61" t="s">
        <v>66</v>
      </c>
      <c r="C815" s="61" t="s">
        <v>41</v>
      </c>
      <c r="D815" s="61" t="s">
        <v>44</v>
      </c>
      <c r="E815" s="61" t="s">
        <v>67</v>
      </c>
      <c r="F815" s="61" t="s">
        <v>67</v>
      </c>
      <c r="G815" s="62">
        <v>8283814364</v>
      </c>
      <c r="H815" s="61" t="s">
        <v>68</v>
      </c>
      <c r="I815" s="63" t="str">
        <f t="shared" si="131"/>
        <v>Saudi Arabia-Offline</v>
      </c>
      <c r="J815" s="47"/>
      <c r="K815" s="54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</row>
    <row r="816" spans="1:42" ht="17.25" customHeight="1" x14ac:dyDescent="0.25">
      <c r="A816" s="55">
        <v>2011</v>
      </c>
      <c r="B816" s="56" t="s">
        <v>66</v>
      </c>
      <c r="C816" s="56" t="s">
        <v>41</v>
      </c>
      <c r="D816" s="56" t="s">
        <v>44</v>
      </c>
      <c r="E816" s="56" t="s">
        <v>69</v>
      </c>
      <c r="F816" s="56" t="s">
        <v>70</v>
      </c>
      <c r="G816" s="57">
        <v>592002270</v>
      </c>
      <c r="H816" s="56" t="s">
        <v>68</v>
      </c>
      <c r="I816" s="58" t="str">
        <f t="shared" si="131"/>
        <v>Saudi Arabia-Online Supplier-Direct</v>
      </c>
      <c r="J816" s="40"/>
      <c r="K816" s="59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</row>
    <row r="817" spans="1:42" ht="17.25" customHeight="1" x14ac:dyDescent="0.25">
      <c r="A817" s="60">
        <v>2011</v>
      </c>
      <c r="B817" s="61" t="s">
        <v>66</v>
      </c>
      <c r="C817" s="61" t="s">
        <v>41</v>
      </c>
      <c r="D817" s="61" t="s">
        <v>44</v>
      </c>
      <c r="E817" s="61" t="s">
        <v>69</v>
      </c>
      <c r="F817" s="61" t="s">
        <v>71</v>
      </c>
      <c r="G817" s="62">
        <v>792176611</v>
      </c>
      <c r="H817" s="61" t="s">
        <v>68</v>
      </c>
      <c r="I817" s="63" t="str">
        <f t="shared" si="131"/>
        <v>Saudi Arabia-OTA</v>
      </c>
      <c r="J817" s="47"/>
      <c r="K817" s="54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</row>
    <row r="818" spans="1:42" ht="17.25" customHeight="1" x14ac:dyDescent="0.25">
      <c r="A818" s="55">
        <v>2011</v>
      </c>
      <c r="B818" s="56" t="s">
        <v>66</v>
      </c>
      <c r="C818" s="56" t="s">
        <v>27</v>
      </c>
      <c r="D818" s="56" t="s">
        <v>31</v>
      </c>
      <c r="E818" s="56" t="s">
        <v>67</v>
      </c>
      <c r="F818" s="56" t="s">
        <v>67</v>
      </c>
      <c r="G818" s="57">
        <v>10144771623</v>
      </c>
      <c r="H818" s="56" t="s">
        <v>68</v>
      </c>
      <c r="I818" s="58" t="str">
        <f t="shared" si="131"/>
        <v>Scandinavia-Offline</v>
      </c>
      <c r="J818" s="40"/>
      <c r="K818" s="59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</row>
    <row r="819" spans="1:42" ht="17.25" customHeight="1" x14ac:dyDescent="0.25">
      <c r="A819" s="60">
        <v>2011</v>
      </c>
      <c r="B819" s="61" t="s">
        <v>66</v>
      </c>
      <c r="C819" s="61" t="s">
        <v>27</v>
      </c>
      <c r="D819" s="61" t="s">
        <v>31</v>
      </c>
      <c r="E819" s="61" t="s">
        <v>69</v>
      </c>
      <c r="F819" s="61" t="s">
        <v>70</v>
      </c>
      <c r="G819" s="62">
        <v>6804535434</v>
      </c>
      <c r="H819" s="61" t="s">
        <v>68</v>
      </c>
      <c r="I819" s="63" t="str">
        <f t="shared" si="131"/>
        <v>Scandinavia-Online Supplier-Direct</v>
      </c>
      <c r="J819" s="47"/>
      <c r="K819" s="54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</row>
    <row r="820" spans="1:42" ht="17.25" customHeight="1" x14ac:dyDescent="0.25">
      <c r="A820" s="55">
        <v>2011</v>
      </c>
      <c r="B820" s="56" t="s">
        <v>66</v>
      </c>
      <c r="C820" s="56" t="s">
        <v>27</v>
      </c>
      <c r="D820" s="56" t="s">
        <v>31</v>
      </c>
      <c r="E820" s="56" t="s">
        <v>69</v>
      </c>
      <c r="F820" s="56" t="s">
        <v>71</v>
      </c>
      <c r="G820" s="57">
        <v>2703183491</v>
      </c>
      <c r="H820" s="56" t="s">
        <v>68</v>
      </c>
      <c r="I820" s="58" t="str">
        <f t="shared" si="131"/>
        <v>Scandinavia-OTA</v>
      </c>
      <c r="J820" s="40"/>
      <c r="K820" s="59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</row>
    <row r="821" spans="1:42" ht="17.25" customHeight="1" x14ac:dyDescent="0.25">
      <c r="A821" s="60">
        <v>2011</v>
      </c>
      <c r="B821" s="61" t="s">
        <v>66</v>
      </c>
      <c r="C821" s="61" t="s">
        <v>4</v>
      </c>
      <c r="D821" s="61" t="s">
        <v>12</v>
      </c>
      <c r="E821" s="61" t="s">
        <v>67</v>
      </c>
      <c r="F821" s="61" t="s">
        <v>67</v>
      </c>
      <c r="G821" s="62">
        <v>7219185203</v>
      </c>
      <c r="H821" s="61" t="s">
        <v>68</v>
      </c>
      <c r="I821" s="63" t="str">
        <f t="shared" si="131"/>
        <v>Singapore-Offline</v>
      </c>
      <c r="J821" s="47"/>
      <c r="K821" s="54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</row>
    <row r="822" spans="1:42" ht="17.25" customHeight="1" x14ac:dyDescent="0.25">
      <c r="A822" s="55">
        <v>2011</v>
      </c>
      <c r="B822" s="56" t="s">
        <v>66</v>
      </c>
      <c r="C822" s="56" t="s">
        <v>4</v>
      </c>
      <c r="D822" s="56" t="s">
        <v>12</v>
      </c>
      <c r="E822" s="56" t="s">
        <v>69</v>
      </c>
      <c r="F822" s="56" t="s">
        <v>70</v>
      </c>
      <c r="G822" s="57">
        <v>2042973865</v>
      </c>
      <c r="H822" s="56" t="s">
        <v>68</v>
      </c>
      <c r="I822" s="58" t="str">
        <f t="shared" si="131"/>
        <v>Singapore-Online Supplier-Direct</v>
      </c>
      <c r="J822" s="40"/>
      <c r="K822" s="59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</row>
    <row r="823" spans="1:42" ht="17.25" customHeight="1" x14ac:dyDescent="0.25">
      <c r="A823" s="60">
        <v>2011</v>
      </c>
      <c r="B823" s="61" t="s">
        <v>66</v>
      </c>
      <c r="C823" s="61" t="s">
        <v>4</v>
      </c>
      <c r="D823" s="61" t="s">
        <v>12</v>
      </c>
      <c r="E823" s="61" t="s">
        <v>69</v>
      </c>
      <c r="F823" s="61" t="s">
        <v>71</v>
      </c>
      <c r="G823" s="62">
        <v>498631836</v>
      </c>
      <c r="H823" s="61" t="s">
        <v>68</v>
      </c>
      <c r="I823" s="63" t="str">
        <f t="shared" si="131"/>
        <v>Singapore-OTA</v>
      </c>
      <c r="J823" s="47"/>
      <c r="K823" s="54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</row>
    <row r="824" spans="1:42" ht="17.25" customHeight="1" x14ac:dyDescent="0.25">
      <c r="A824" s="55">
        <v>2011</v>
      </c>
      <c r="B824" s="56" t="s">
        <v>66</v>
      </c>
      <c r="C824" s="56" t="s">
        <v>4</v>
      </c>
      <c r="D824" s="56" t="s">
        <v>13</v>
      </c>
      <c r="E824" s="56" t="s">
        <v>67</v>
      </c>
      <c r="F824" s="56" t="s">
        <v>67</v>
      </c>
      <c r="G824" s="57">
        <v>12022895752</v>
      </c>
      <c r="H824" s="56" t="s">
        <v>68</v>
      </c>
      <c r="I824" s="58" t="str">
        <f t="shared" si="131"/>
        <v>South Korea-Offline</v>
      </c>
      <c r="J824" s="40"/>
      <c r="K824" s="59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</row>
    <row r="825" spans="1:42" ht="17.25" customHeight="1" x14ac:dyDescent="0.25">
      <c r="A825" s="60">
        <v>2011</v>
      </c>
      <c r="B825" s="61" t="s">
        <v>66</v>
      </c>
      <c r="C825" s="61" t="s">
        <v>4</v>
      </c>
      <c r="D825" s="61" t="s">
        <v>13</v>
      </c>
      <c r="E825" s="61" t="s">
        <v>69</v>
      </c>
      <c r="F825" s="61" t="s">
        <v>70</v>
      </c>
      <c r="G825" s="62">
        <v>2078398653</v>
      </c>
      <c r="H825" s="61" t="s">
        <v>68</v>
      </c>
      <c r="I825" s="63" t="str">
        <f t="shared" si="131"/>
        <v>South Korea-Online Supplier-Direct</v>
      </c>
      <c r="J825" s="47"/>
      <c r="K825" s="54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</row>
    <row r="826" spans="1:42" ht="17.25" customHeight="1" x14ac:dyDescent="0.25">
      <c r="A826" s="55">
        <v>2011</v>
      </c>
      <c r="B826" s="56" t="s">
        <v>66</v>
      </c>
      <c r="C826" s="56" t="s">
        <v>4</v>
      </c>
      <c r="D826" s="56" t="s">
        <v>13</v>
      </c>
      <c r="E826" s="56" t="s">
        <v>69</v>
      </c>
      <c r="F826" s="56" t="s">
        <v>71</v>
      </c>
      <c r="G826" s="57">
        <v>312731325</v>
      </c>
      <c r="H826" s="56" t="s">
        <v>68</v>
      </c>
      <c r="I826" s="58" t="str">
        <f t="shared" si="131"/>
        <v>South Korea-OTA</v>
      </c>
      <c r="J826" s="40"/>
      <c r="K826" s="59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</row>
    <row r="827" spans="1:42" ht="17.25" customHeight="1" x14ac:dyDescent="0.25">
      <c r="A827" s="60">
        <v>2011</v>
      </c>
      <c r="B827" s="61" t="s">
        <v>66</v>
      </c>
      <c r="C827" s="61" t="s">
        <v>27</v>
      </c>
      <c r="D827" s="61" t="s">
        <v>32</v>
      </c>
      <c r="E827" s="61" t="s">
        <v>67</v>
      </c>
      <c r="F827" s="61" t="s">
        <v>67</v>
      </c>
      <c r="G827" s="62">
        <v>19933474057</v>
      </c>
      <c r="H827" s="61" t="s">
        <v>68</v>
      </c>
      <c r="I827" s="63" t="str">
        <f t="shared" si="131"/>
        <v>Spain-Offline</v>
      </c>
      <c r="J827" s="47"/>
      <c r="K827" s="54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</row>
    <row r="828" spans="1:42" ht="17.25" customHeight="1" x14ac:dyDescent="0.25">
      <c r="A828" s="55">
        <v>2011</v>
      </c>
      <c r="B828" s="56" t="s">
        <v>66</v>
      </c>
      <c r="C828" s="56" t="s">
        <v>27</v>
      </c>
      <c r="D828" s="56" t="s">
        <v>32</v>
      </c>
      <c r="E828" s="56" t="s">
        <v>69</v>
      </c>
      <c r="F828" s="56" t="s">
        <v>70</v>
      </c>
      <c r="G828" s="57">
        <v>3321353028</v>
      </c>
      <c r="H828" s="56" t="s">
        <v>68</v>
      </c>
      <c r="I828" s="58" t="str">
        <f t="shared" si="131"/>
        <v>Spain-Online Supplier-Direct</v>
      </c>
      <c r="J828" s="40"/>
      <c r="K828" s="59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</row>
    <row r="829" spans="1:42" ht="17.25" customHeight="1" x14ac:dyDescent="0.25">
      <c r="A829" s="60">
        <v>2011</v>
      </c>
      <c r="B829" s="61" t="s">
        <v>66</v>
      </c>
      <c r="C829" s="61" t="s">
        <v>27</v>
      </c>
      <c r="D829" s="61" t="s">
        <v>32</v>
      </c>
      <c r="E829" s="61" t="s">
        <v>69</v>
      </c>
      <c r="F829" s="61" t="s">
        <v>71</v>
      </c>
      <c r="G829" s="62">
        <v>4768328181</v>
      </c>
      <c r="H829" s="61" t="s">
        <v>68</v>
      </c>
      <c r="I829" s="63" t="str">
        <f t="shared" si="131"/>
        <v>Spain-OTA</v>
      </c>
      <c r="J829" s="47"/>
      <c r="K829" s="54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</row>
    <row r="830" spans="1:42" ht="17.25" customHeight="1" x14ac:dyDescent="0.25">
      <c r="A830" s="55">
        <v>2011</v>
      </c>
      <c r="B830" s="56" t="s">
        <v>66</v>
      </c>
      <c r="C830" s="56" t="s">
        <v>4</v>
      </c>
      <c r="D830" s="56" t="s">
        <v>14</v>
      </c>
      <c r="E830" s="56" t="s">
        <v>67</v>
      </c>
      <c r="F830" s="56" t="s">
        <v>67</v>
      </c>
      <c r="G830" s="57">
        <v>6244067530</v>
      </c>
      <c r="H830" s="56" t="s">
        <v>68</v>
      </c>
      <c r="I830" s="58" t="str">
        <f t="shared" si="131"/>
        <v>Taiwan-Offline</v>
      </c>
      <c r="J830" s="40"/>
      <c r="K830" s="59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</row>
    <row r="831" spans="1:42" ht="17.25" customHeight="1" x14ac:dyDescent="0.25">
      <c r="A831" s="60">
        <v>2011</v>
      </c>
      <c r="B831" s="61" t="s">
        <v>66</v>
      </c>
      <c r="C831" s="61" t="s">
        <v>4</v>
      </c>
      <c r="D831" s="61" t="s">
        <v>14</v>
      </c>
      <c r="E831" s="61" t="s">
        <v>69</v>
      </c>
      <c r="F831" s="61" t="s">
        <v>70</v>
      </c>
      <c r="G831" s="62">
        <v>633438747</v>
      </c>
      <c r="H831" s="61" t="s">
        <v>68</v>
      </c>
      <c r="I831" s="63" t="str">
        <f t="shared" si="131"/>
        <v>Taiwan-Online Supplier-Direct</v>
      </c>
      <c r="J831" s="47"/>
      <c r="K831" s="54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</row>
    <row r="832" spans="1:42" ht="17.25" customHeight="1" x14ac:dyDescent="0.25">
      <c r="A832" s="55">
        <v>2011</v>
      </c>
      <c r="B832" s="56" t="s">
        <v>66</v>
      </c>
      <c r="C832" s="56" t="s">
        <v>4</v>
      </c>
      <c r="D832" s="56" t="s">
        <v>14</v>
      </c>
      <c r="E832" s="56" t="s">
        <v>69</v>
      </c>
      <c r="F832" s="56" t="s">
        <v>71</v>
      </c>
      <c r="G832" s="57">
        <v>186793512</v>
      </c>
      <c r="H832" s="56" t="s">
        <v>68</v>
      </c>
      <c r="I832" s="58" t="str">
        <f t="shared" si="131"/>
        <v>Taiwan-OTA</v>
      </c>
      <c r="J832" s="40"/>
      <c r="K832" s="59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</row>
    <row r="833" spans="1:42" ht="17.25" customHeight="1" x14ac:dyDescent="0.25">
      <c r="A833" s="60">
        <v>2011</v>
      </c>
      <c r="B833" s="61" t="s">
        <v>66</v>
      </c>
      <c r="C833" s="61" t="s">
        <v>4</v>
      </c>
      <c r="D833" s="61" t="s">
        <v>15</v>
      </c>
      <c r="E833" s="61" t="s">
        <v>67</v>
      </c>
      <c r="F833" s="61" t="s">
        <v>67</v>
      </c>
      <c r="G833" s="62">
        <v>9242916750</v>
      </c>
      <c r="H833" s="61" t="s">
        <v>68</v>
      </c>
      <c r="I833" s="63" t="str">
        <f t="shared" si="131"/>
        <v>Thailand-Offline</v>
      </c>
      <c r="J833" s="47"/>
      <c r="K833" s="54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</row>
    <row r="834" spans="1:42" ht="17.25" customHeight="1" x14ac:dyDescent="0.25">
      <c r="A834" s="55">
        <v>2011</v>
      </c>
      <c r="B834" s="56" t="s">
        <v>66</v>
      </c>
      <c r="C834" s="56" t="s">
        <v>4</v>
      </c>
      <c r="D834" s="56" t="s">
        <v>15</v>
      </c>
      <c r="E834" s="56" t="s">
        <v>69</v>
      </c>
      <c r="F834" s="56" t="s">
        <v>70</v>
      </c>
      <c r="G834" s="57">
        <v>1160096471</v>
      </c>
      <c r="H834" s="56" t="s">
        <v>68</v>
      </c>
      <c r="I834" s="58" t="str">
        <f t="shared" si="131"/>
        <v>Thailand-Online Supplier-Direct</v>
      </c>
      <c r="J834" s="40"/>
      <c r="K834" s="59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</row>
    <row r="835" spans="1:42" ht="17.25" customHeight="1" x14ac:dyDescent="0.25">
      <c r="A835" s="60">
        <v>2011</v>
      </c>
      <c r="B835" s="61" t="s">
        <v>66</v>
      </c>
      <c r="C835" s="61" t="s">
        <v>4</v>
      </c>
      <c r="D835" s="61" t="s">
        <v>15</v>
      </c>
      <c r="E835" s="61" t="s">
        <v>69</v>
      </c>
      <c r="F835" s="61" t="s">
        <v>71</v>
      </c>
      <c r="G835" s="62">
        <v>1007437445</v>
      </c>
      <c r="H835" s="61" t="s">
        <v>68</v>
      </c>
      <c r="I835" s="63" t="str">
        <f t="shared" si="131"/>
        <v>Thailand-OTA</v>
      </c>
      <c r="J835" s="47"/>
      <c r="K835" s="54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</row>
    <row r="836" spans="1:42" ht="17.25" customHeight="1" x14ac:dyDescent="0.25">
      <c r="A836" s="55">
        <v>2011</v>
      </c>
      <c r="B836" s="56" t="s">
        <v>66</v>
      </c>
      <c r="C836" s="56" t="s">
        <v>41</v>
      </c>
      <c r="D836" s="56" t="s">
        <v>45</v>
      </c>
      <c r="E836" s="56" t="s">
        <v>67</v>
      </c>
      <c r="F836" s="56" t="s">
        <v>67</v>
      </c>
      <c r="G836" s="57">
        <v>20855350280</v>
      </c>
      <c r="H836" s="56" t="s">
        <v>68</v>
      </c>
      <c r="I836" s="58" t="str">
        <f t="shared" si="131"/>
        <v>U.A.E.-Offline</v>
      </c>
      <c r="J836" s="40"/>
      <c r="K836" s="59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</row>
    <row r="837" spans="1:42" ht="17.25" customHeight="1" x14ac:dyDescent="0.25">
      <c r="A837" s="60">
        <v>2011</v>
      </c>
      <c r="B837" s="61" t="s">
        <v>66</v>
      </c>
      <c r="C837" s="61" t="s">
        <v>41</v>
      </c>
      <c r="D837" s="61" t="s">
        <v>45</v>
      </c>
      <c r="E837" s="61" t="s">
        <v>69</v>
      </c>
      <c r="F837" s="61" t="s">
        <v>70</v>
      </c>
      <c r="G837" s="62">
        <v>2957335569</v>
      </c>
      <c r="H837" s="61" t="s">
        <v>68</v>
      </c>
      <c r="I837" s="63" t="str">
        <f t="shared" si="131"/>
        <v>U.A.E.-Online Supplier-Direct</v>
      </c>
      <c r="J837" s="47"/>
      <c r="K837" s="54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</row>
    <row r="838" spans="1:42" ht="17.25" customHeight="1" x14ac:dyDescent="0.25">
      <c r="A838" s="55">
        <v>2011</v>
      </c>
      <c r="B838" s="56" t="s">
        <v>66</v>
      </c>
      <c r="C838" s="56" t="s">
        <v>41</v>
      </c>
      <c r="D838" s="56" t="s">
        <v>45</v>
      </c>
      <c r="E838" s="56" t="s">
        <v>69</v>
      </c>
      <c r="F838" s="56" t="s">
        <v>71</v>
      </c>
      <c r="G838" s="57">
        <v>2202828645</v>
      </c>
      <c r="H838" s="56" t="s">
        <v>68</v>
      </c>
      <c r="I838" s="58" t="str">
        <f t="shared" si="131"/>
        <v>U.A.E.-OTA</v>
      </c>
      <c r="J838" s="40"/>
      <c r="K838" s="59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</row>
    <row r="839" spans="1:42" ht="17.25" customHeight="1" x14ac:dyDescent="0.25">
      <c r="A839" s="60">
        <v>2011</v>
      </c>
      <c r="B839" s="61" t="s">
        <v>66</v>
      </c>
      <c r="C839" s="61" t="s">
        <v>27</v>
      </c>
      <c r="D839" s="61" t="s">
        <v>33</v>
      </c>
      <c r="E839" s="61" t="s">
        <v>67</v>
      </c>
      <c r="F839" s="61" t="s">
        <v>67</v>
      </c>
      <c r="G839" s="62">
        <v>27752167029</v>
      </c>
      <c r="H839" s="61" t="s">
        <v>68</v>
      </c>
      <c r="I839" s="63" t="str">
        <f t="shared" si="131"/>
        <v>U.K.-Offline</v>
      </c>
      <c r="J839" s="47"/>
      <c r="K839" s="54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</row>
    <row r="840" spans="1:42" ht="17.25" customHeight="1" x14ac:dyDescent="0.25">
      <c r="A840" s="55">
        <v>2011</v>
      </c>
      <c r="B840" s="56" t="s">
        <v>66</v>
      </c>
      <c r="C840" s="56" t="s">
        <v>27</v>
      </c>
      <c r="D840" s="56" t="s">
        <v>33</v>
      </c>
      <c r="E840" s="56" t="s">
        <v>69</v>
      </c>
      <c r="F840" s="56" t="s">
        <v>70</v>
      </c>
      <c r="G840" s="57">
        <v>20661212513</v>
      </c>
      <c r="H840" s="56" t="s">
        <v>68</v>
      </c>
      <c r="I840" s="58" t="str">
        <f t="shared" si="131"/>
        <v>U.K.-Online Supplier-Direct</v>
      </c>
      <c r="J840" s="40"/>
      <c r="K840" s="59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</row>
    <row r="841" spans="1:42" ht="17.25" customHeight="1" x14ac:dyDescent="0.25">
      <c r="A841" s="60">
        <v>2011</v>
      </c>
      <c r="B841" s="61" t="s">
        <v>66</v>
      </c>
      <c r="C841" s="61" t="s">
        <v>27</v>
      </c>
      <c r="D841" s="61" t="s">
        <v>33</v>
      </c>
      <c r="E841" s="61" t="s">
        <v>69</v>
      </c>
      <c r="F841" s="61" t="s">
        <v>71</v>
      </c>
      <c r="G841" s="62">
        <v>6862077974</v>
      </c>
      <c r="H841" s="61" t="s">
        <v>68</v>
      </c>
      <c r="I841" s="63" t="str">
        <f t="shared" si="131"/>
        <v>U.K.-OTA</v>
      </c>
      <c r="J841" s="47"/>
      <c r="K841" s="54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</row>
    <row r="842" spans="1:42" ht="17.25" customHeight="1" x14ac:dyDescent="0.25">
      <c r="A842" s="55">
        <v>2011</v>
      </c>
      <c r="B842" s="56" t="s">
        <v>66</v>
      </c>
      <c r="C842" s="56" t="s">
        <v>47</v>
      </c>
      <c r="D842" s="56" t="s">
        <v>48</v>
      </c>
      <c r="E842" s="56" t="s">
        <v>72</v>
      </c>
      <c r="F842" s="56" t="s">
        <v>73</v>
      </c>
      <c r="G842" s="57">
        <v>80354494244</v>
      </c>
      <c r="H842" s="56" t="s">
        <v>68</v>
      </c>
      <c r="I842" s="58" t="str">
        <f t="shared" si="131"/>
        <v>U.S.-Central Reservation</v>
      </c>
      <c r="J842" s="40"/>
      <c r="K842" s="59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</row>
    <row r="843" spans="1:42" ht="17.25" customHeight="1" x14ac:dyDescent="0.25">
      <c r="A843" s="60">
        <v>2011</v>
      </c>
      <c r="B843" s="61" t="s">
        <v>66</v>
      </c>
      <c r="C843" s="61" t="s">
        <v>47</v>
      </c>
      <c r="D843" s="61" t="s">
        <v>48</v>
      </c>
      <c r="E843" s="61" t="s">
        <v>67</v>
      </c>
      <c r="F843" s="61" t="s">
        <v>74</v>
      </c>
      <c r="G843" s="62">
        <v>87577196761</v>
      </c>
      <c r="H843" s="61" t="s">
        <v>68</v>
      </c>
      <c r="I843" s="63" t="str">
        <f t="shared" si="131"/>
        <v>U.S.-Travel Agency/TMC</v>
      </c>
      <c r="J843" s="47"/>
      <c r="K843" s="54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</row>
    <row r="844" spans="1:42" ht="17.25" customHeight="1" x14ac:dyDescent="0.25">
      <c r="A844" s="55">
        <v>2011</v>
      </c>
      <c r="B844" s="56" t="s">
        <v>66</v>
      </c>
      <c r="C844" s="56" t="s">
        <v>47</v>
      </c>
      <c r="D844" s="56" t="s">
        <v>48</v>
      </c>
      <c r="E844" s="56" t="s">
        <v>69</v>
      </c>
      <c r="F844" s="56" t="s">
        <v>70</v>
      </c>
      <c r="G844" s="57">
        <v>71347634853</v>
      </c>
      <c r="H844" s="56" t="s">
        <v>68</v>
      </c>
      <c r="I844" s="58" t="str">
        <f t="shared" si="131"/>
        <v>U.S.-Online Supplier-Direct</v>
      </c>
      <c r="J844" s="40"/>
      <c r="K844" s="59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</row>
    <row r="845" spans="1:42" ht="17.25" customHeight="1" x14ac:dyDescent="0.25">
      <c r="A845" s="60">
        <v>2011</v>
      </c>
      <c r="B845" s="61" t="s">
        <v>66</v>
      </c>
      <c r="C845" s="61" t="s">
        <v>47</v>
      </c>
      <c r="D845" s="61" t="s">
        <v>48</v>
      </c>
      <c r="E845" s="61" t="s">
        <v>69</v>
      </c>
      <c r="F845" s="61" t="s">
        <v>71</v>
      </c>
      <c r="G845" s="62">
        <v>40352794300</v>
      </c>
      <c r="H845" s="61" t="s">
        <v>68</v>
      </c>
      <c r="I845" s="63" t="str">
        <f t="shared" si="131"/>
        <v>U.S.-OTA</v>
      </c>
      <c r="J845" s="47"/>
      <c r="K845" s="54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</row>
    <row r="846" spans="1:42" ht="17.25" customHeight="1" x14ac:dyDescent="0.25">
      <c r="A846" s="55">
        <v>2011</v>
      </c>
      <c r="B846" s="56" t="s">
        <v>66</v>
      </c>
      <c r="C846" s="56" t="s">
        <v>17</v>
      </c>
      <c r="D846" s="56" t="s">
        <v>25</v>
      </c>
      <c r="E846" s="56" t="s">
        <v>67</v>
      </c>
      <c r="F846" s="56" t="s">
        <v>67</v>
      </c>
      <c r="G846" s="57">
        <v>3674508223</v>
      </c>
      <c r="H846" s="56" t="s">
        <v>68</v>
      </c>
      <c r="I846" s="58" t="str">
        <f t="shared" si="131"/>
        <v>Ukraine-Offline</v>
      </c>
      <c r="J846" s="40"/>
      <c r="K846" s="59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</row>
    <row r="847" spans="1:42" ht="17.25" customHeight="1" x14ac:dyDescent="0.25">
      <c r="A847" s="60">
        <v>2011</v>
      </c>
      <c r="B847" s="61" t="s">
        <v>66</v>
      </c>
      <c r="C847" s="61" t="s">
        <v>17</v>
      </c>
      <c r="D847" s="61" t="s">
        <v>25</v>
      </c>
      <c r="E847" s="61" t="s">
        <v>69</v>
      </c>
      <c r="F847" s="61" t="s">
        <v>70</v>
      </c>
      <c r="G847" s="62">
        <v>455777414</v>
      </c>
      <c r="H847" s="61" t="s">
        <v>68</v>
      </c>
      <c r="I847" s="63" t="str">
        <f t="shared" si="131"/>
        <v>Ukraine-Online Supplier-Direct</v>
      </c>
      <c r="J847" s="47"/>
      <c r="K847" s="54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</row>
    <row r="848" spans="1:42" ht="17.25" customHeight="1" x14ac:dyDescent="0.25">
      <c r="A848" s="55">
        <v>2011</v>
      </c>
      <c r="B848" s="56" t="s">
        <v>66</v>
      </c>
      <c r="C848" s="56" t="s">
        <v>17</v>
      </c>
      <c r="D848" s="56" t="s">
        <v>25</v>
      </c>
      <c r="E848" s="56" t="s">
        <v>69</v>
      </c>
      <c r="F848" s="56" t="s">
        <v>71</v>
      </c>
      <c r="G848" s="57">
        <v>303076038</v>
      </c>
      <c r="H848" s="56" t="s">
        <v>68</v>
      </c>
      <c r="I848" s="58" t="str">
        <f t="shared" si="131"/>
        <v>Ukraine-OTA</v>
      </c>
      <c r="J848" s="40"/>
      <c r="K848" s="59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</row>
    <row r="849" spans="1:42" ht="17.25" customHeight="1" x14ac:dyDescent="0.25">
      <c r="A849" s="60">
        <v>2012</v>
      </c>
      <c r="B849" s="61" t="s">
        <v>66</v>
      </c>
      <c r="C849" s="61" t="s">
        <v>35</v>
      </c>
      <c r="D849" s="61" t="s">
        <v>34</v>
      </c>
      <c r="E849" s="61" t="s">
        <v>67</v>
      </c>
      <c r="F849" s="61" t="s">
        <v>67</v>
      </c>
      <c r="G849" s="62">
        <v>8444768912</v>
      </c>
      <c r="H849" s="61" t="s">
        <v>68</v>
      </c>
      <c r="I849" s="63" t="str">
        <f t="shared" si="131"/>
        <v>Argentina-Offline</v>
      </c>
      <c r="J849" s="47"/>
      <c r="K849" s="54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</row>
    <row r="850" spans="1:42" ht="17.25" customHeight="1" x14ac:dyDescent="0.25">
      <c r="A850" s="55">
        <v>2012</v>
      </c>
      <c r="B850" s="56" t="s">
        <v>66</v>
      </c>
      <c r="C850" s="56" t="s">
        <v>35</v>
      </c>
      <c r="D850" s="56" t="s">
        <v>34</v>
      </c>
      <c r="E850" s="56" t="s">
        <v>69</v>
      </c>
      <c r="F850" s="56" t="s">
        <v>70</v>
      </c>
      <c r="G850" s="57">
        <v>498320534</v>
      </c>
      <c r="H850" s="56" t="s">
        <v>68</v>
      </c>
      <c r="I850" s="58" t="str">
        <f t="shared" si="131"/>
        <v>Argentina-Online Supplier-Direct</v>
      </c>
      <c r="J850" s="40"/>
      <c r="K850" s="59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</row>
    <row r="851" spans="1:42" ht="17.25" customHeight="1" x14ac:dyDescent="0.25">
      <c r="A851" s="60">
        <v>2012</v>
      </c>
      <c r="B851" s="61" t="s">
        <v>66</v>
      </c>
      <c r="C851" s="61" t="s">
        <v>35</v>
      </c>
      <c r="D851" s="61" t="s">
        <v>34</v>
      </c>
      <c r="E851" s="61" t="s">
        <v>69</v>
      </c>
      <c r="F851" s="61" t="s">
        <v>71</v>
      </c>
      <c r="G851" s="62">
        <v>646260671</v>
      </c>
      <c r="H851" s="61" t="s">
        <v>68</v>
      </c>
      <c r="I851" s="63" t="str">
        <f t="shared" si="131"/>
        <v>Argentina-OTA</v>
      </c>
      <c r="J851" s="47"/>
      <c r="K851" s="54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</row>
    <row r="852" spans="1:42" ht="17.25" customHeight="1" x14ac:dyDescent="0.25">
      <c r="A852" s="55">
        <v>2012</v>
      </c>
      <c r="B852" s="56" t="s">
        <v>66</v>
      </c>
      <c r="C852" s="56" t="s">
        <v>4</v>
      </c>
      <c r="D852" s="56" t="s">
        <v>3</v>
      </c>
      <c r="E852" s="56" t="s">
        <v>67</v>
      </c>
      <c r="F852" s="56" t="s">
        <v>67</v>
      </c>
      <c r="G852" s="57">
        <v>22595873742</v>
      </c>
      <c r="H852" s="56" t="s">
        <v>68</v>
      </c>
      <c r="I852" s="58" t="str">
        <f t="shared" si="131"/>
        <v>Australia-New Zealand-Offline</v>
      </c>
      <c r="J852" s="40"/>
      <c r="K852" s="59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</row>
    <row r="853" spans="1:42" ht="17.25" customHeight="1" x14ac:dyDescent="0.25">
      <c r="A853" s="60">
        <v>2012</v>
      </c>
      <c r="B853" s="61" t="s">
        <v>66</v>
      </c>
      <c r="C853" s="61" t="s">
        <v>4</v>
      </c>
      <c r="D853" s="61" t="s">
        <v>3</v>
      </c>
      <c r="E853" s="61" t="s">
        <v>69</v>
      </c>
      <c r="F853" s="61" t="s">
        <v>70</v>
      </c>
      <c r="G853" s="62">
        <v>9412593961</v>
      </c>
      <c r="H853" s="61" t="s">
        <v>68</v>
      </c>
      <c r="I853" s="63" t="str">
        <f t="shared" si="131"/>
        <v>Australia-New Zealand-Online Supplier-Direct</v>
      </c>
      <c r="J853" s="47"/>
      <c r="K853" s="54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</row>
    <row r="854" spans="1:42" ht="17.25" customHeight="1" x14ac:dyDescent="0.25">
      <c r="A854" s="55">
        <v>2012</v>
      </c>
      <c r="B854" s="56" t="s">
        <v>66</v>
      </c>
      <c r="C854" s="56" t="s">
        <v>4</v>
      </c>
      <c r="D854" s="56" t="s">
        <v>3</v>
      </c>
      <c r="E854" s="56" t="s">
        <v>69</v>
      </c>
      <c r="F854" s="56" t="s">
        <v>71</v>
      </c>
      <c r="G854" s="57">
        <v>2889682468</v>
      </c>
      <c r="H854" s="56" t="s">
        <v>68</v>
      </c>
      <c r="I854" s="58" t="str">
        <f t="shared" si="131"/>
        <v>Australia-New Zealand-OTA</v>
      </c>
      <c r="J854" s="40"/>
      <c r="K854" s="59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</row>
    <row r="855" spans="1:42" ht="17.25" customHeight="1" x14ac:dyDescent="0.25">
      <c r="A855" s="60">
        <v>2012</v>
      </c>
      <c r="B855" s="61" t="s">
        <v>66</v>
      </c>
      <c r="C855" s="61" t="s">
        <v>35</v>
      </c>
      <c r="D855" s="61" t="s">
        <v>36</v>
      </c>
      <c r="E855" s="61" t="s">
        <v>67</v>
      </c>
      <c r="F855" s="61" t="s">
        <v>67</v>
      </c>
      <c r="G855" s="62">
        <v>32777350154</v>
      </c>
      <c r="H855" s="61" t="s">
        <v>68</v>
      </c>
      <c r="I855" s="63" t="str">
        <f t="shared" si="131"/>
        <v>Brazil-Offline</v>
      </c>
      <c r="J855" s="47"/>
      <c r="K855" s="54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</row>
    <row r="856" spans="1:42" ht="17.25" customHeight="1" x14ac:dyDescent="0.25">
      <c r="A856" s="55">
        <v>2012</v>
      </c>
      <c r="B856" s="56" t="s">
        <v>66</v>
      </c>
      <c r="C856" s="56" t="s">
        <v>35</v>
      </c>
      <c r="D856" s="56" t="s">
        <v>36</v>
      </c>
      <c r="E856" s="56" t="s">
        <v>69</v>
      </c>
      <c r="F856" s="56" t="s">
        <v>70</v>
      </c>
      <c r="G856" s="57">
        <v>2363596033</v>
      </c>
      <c r="H856" s="56" t="s">
        <v>68</v>
      </c>
      <c r="I856" s="58" t="str">
        <f t="shared" si="131"/>
        <v>Brazil-Online Supplier-Direct</v>
      </c>
      <c r="J856" s="40"/>
      <c r="K856" s="59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</row>
    <row r="857" spans="1:42" ht="17.25" customHeight="1" x14ac:dyDescent="0.25">
      <c r="A857" s="60">
        <v>2012</v>
      </c>
      <c r="B857" s="61" t="s">
        <v>66</v>
      </c>
      <c r="C857" s="61" t="s">
        <v>35</v>
      </c>
      <c r="D857" s="61" t="s">
        <v>36</v>
      </c>
      <c r="E857" s="61" t="s">
        <v>69</v>
      </c>
      <c r="F857" s="61" t="s">
        <v>71</v>
      </c>
      <c r="G857" s="62">
        <v>5708969492</v>
      </c>
      <c r="H857" s="61" t="s">
        <v>68</v>
      </c>
      <c r="I857" s="63" t="str">
        <f t="shared" si="131"/>
        <v>Brazil-OTA</v>
      </c>
      <c r="J857" s="47"/>
      <c r="K857" s="54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</row>
    <row r="858" spans="1:42" ht="17.25" customHeight="1" x14ac:dyDescent="0.25">
      <c r="A858" s="55">
        <v>2012</v>
      </c>
      <c r="B858" s="56" t="s">
        <v>66</v>
      </c>
      <c r="C858" s="56" t="s">
        <v>17</v>
      </c>
      <c r="D858" s="56" t="s">
        <v>16</v>
      </c>
      <c r="E858" s="56" t="s">
        <v>67</v>
      </c>
      <c r="F858" s="56" t="s">
        <v>67</v>
      </c>
      <c r="G858" s="57">
        <v>1261518555</v>
      </c>
      <c r="H858" s="56" t="s">
        <v>68</v>
      </c>
      <c r="I858" s="58" t="str">
        <f t="shared" si="131"/>
        <v>Bulgaria-Offline</v>
      </c>
      <c r="J858" s="40"/>
      <c r="K858" s="59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</row>
    <row r="859" spans="1:42" ht="17.25" customHeight="1" x14ac:dyDescent="0.25">
      <c r="A859" s="60">
        <v>2012</v>
      </c>
      <c r="B859" s="61" t="s">
        <v>66</v>
      </c>
      <c r="C859" s="61" t="s">
        <v>17</v>
      </c>
      <c r="D859" s="61" t="s">
        <v>16</v>
      </c>
      <c r="E859" s="61" t="s">
        <v>69</v>
      </c>
      <c r="F859" s="61" t="s">
        <v>70</v>
      </c>
      <c r="G859" s="62">
        <v>195828481</v>
      </c>
      <c r="H859" s="61" t="s">
        <v>68</v>
      </c>
      <c r="I859" s="63" t="str">
        <f t="shared" si="131"/>
        <v>Bulgaria-Online Supplier-Direct</v>
      </c>
      <c r="J859" s="47"/>
      <c r="K859" s="54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</row>
    <row r="860" spans="1:42" ht="17.25" customHeight="1" x14ac:dyDescent="0.25">
      <c r="A860" s="55">
        <v>2012</v>
      </c>
      <c r="B860" s="56" t="s">
        <v>66</v>
      </c>
      <c r="C860" s="56" t="s">
        <v>17</v>
      </c>
      <c r="D860" s="56" t="s">
        <v>16</v>
      </c>
      <c r="E860" s="56" t="s">
        <v>69</v>
      </c>
      <c r="F860" s="56" t="s">
        <v>71</v>
      </c>
      <c r="G860" s="57">
        <v>54004599</v>
      </c>
      <c r="H860" s="56" t="s">
        <v>68</v>
      </c>
      <c r="I860" s="58" t="str">
        <f t="shared" si="131"/>
        <v>Bulgaria-OTA</v>
      </c>
      <c r="J860" s="40"/>
      <c r="K860" s="59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</row>
    <row r="861" spans="1:42" ht="17.25" customHeight="1" x14ac:dyDescent="0.25">
      <c r="A861" s="60">
        <v>2012</v>
      </c>
      <c r="B861" s="61" t="s">
        <v>66</v>
      </c>
      <c r="C861" s="61" t="s">
        <v>47</v>
      </c>
      <c r="D861" s="61" t="s">
        <v>46</v>
      </c>
      <c r="E861" s="61" t="s">
        <v>67</v>
      </c>
      <c r="F861" s="61" t="s">
        <v>67</v>
      </c>
      <c r="G861" s="62">
        <v>23674119053</v>
      </c>
      <c r="H861" s="61" t="s">
        <v>68</v>
      </c>
      <c r="I861" s="63" t="str">
        <f t="shared" si="131"/>
        <v>Canada-Offline</v>
      </c>
      <c r="J861" s="47"/>
      <c r="K861" s="54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</row>
    <row r="862" spans="1:42" ht="17.25" customHeight="1" x14ac:dyDescent="0.25">
      <c r="A862" s="55">
        <v>2012</v>
      </c>
      <c r="B862" s="56" t="s">
        <v>66</v>
      </c>
      <c r="C862" s="56" t="s">
        <v>47</v>
      </c>
      <c r="D862" s="56" t="s">
        <v>46</v>
      </c>
      <c r="E862" s="56" t="s">
        <v>69</v>
      </c>
      <c r="F862" s="56" t="s">
        <v>70</v>
      </c>
      <c r="G862" s="57">
        <v>9272761224</v>
      </c>
      <c r="H862" s="56" t="s">
        <v>68</v>
      </c>
      <c r="I862" s="58" t="str">
        <f t="shared" si="131"/>
        <v>Canada-Online Supplier-Direct</v>
      </c>
      <c r="J862" s="40"/>
      <c r="K862" s="59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</row>
    <row r="863" spans="1:42" ht="17.25" customHeight="1" x14ac:dyDescent="0.25">
      <c r="A863" s="60">
        <v>2012</v>
      </c>
      <c r="B863" s="61" t="s">
        <v>66</v>
      </c>
      <c r="C863" s="61" t="s">
        <v>47</v>
      </c>
      <c r="D863" s="61" t="s">
        <v>46</v>
      </c>
      <c r="E863" s="61" t="s">
        <v>69</v>
      </c>
      <c r="F863" s="61" t="s">
        <v>71</v>
      </c>
      <c r="G863" s="62">
        <v>3817845834</v>
      </c>
      <c r="H863" s="61" t="s">
        <v>68</v>
      </c>
      <c r="I863" s="63" t="str">
        <f t="shared" si="131"/>
        <v>Canada-OTA</v>
      </c>
      <c r="J863" s="47"/>
      <c r="K863" s="54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</row>
    <row r="864" spans="1:42" ht="17.25" customHeight="1" x14ac:dyDescent="0.25">
      <c r="A864" s="55">
        <v>2012</v>
      </c>
      <c r="B864" s="56" t="s">
        <v>66</v>
      </c>
      <c r="C864" s="56" t="s">
        <v>35</v>
      </c>
      <c r="D864" s="56" t="s">
        <v>37</v>
      </c>
      <c r="E864" s="56" t="s">
        <v>67</v>
      </c>
      <c r="F864" s="56" t="s">
        <v>67</v>
      </c>
      <c r="G864" s="57">
        <v>3871910968</v>
      </c>
      <c r="H864" s="56" t="s">
        <v>68</v>
      </c>
      <c r="I864" s="58" t="str">
        <f t="shared" si="131"/>
        <v>Chile-Offline</v>
      </c>
      <c r="J864" s="40"/>
      <c r="K864" s="59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</row>
    <row r="865" spans="1:42" ht="17.25" customHeight="1" x14ac:dyDescent="0.25">
      <c r="A865" s="60">
        <v>2012</v>
      </c>
      <c r="B865" s="61" t="s">
        <v>66</v>
      </c>
      <c r="C865" s="61" t="s">
        <v>35</v>
      </c>
      <c r="D865" s="61" t="s">
        <v>37</v>
      </c>
      <c r="E865" s="61" t="s">
        <v>69</v>
      </c>
      <c r="F865" s="61" t="s">
        <v>70</v>
      </c>
      <c r="G865" s="62">
        <v>762098815</v>
      </c>
      <c r="H865" s="61" t="s">
        <v>68</v>
      </c>
      <c r="I865" s="63" t="str">
        <f t="shared" si="131"/>
        <v>Chile-Online Supplier-Direct</v>
      </c>
      <c r="J865" s="47"/>
      <c r="K865" s="54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</row>
    <row r="866" spans="1:42" ht="17.25" customHeight="1" x14ac:dyDescent="0.25">
      <c r="A866" s="55">
        <v>2012</v>
      </c>
      <c r="B866" s="56" t="s">
        <v>66</v>
      </c>
      <c r="C866" s="56" t="s">
        <v>35</v>
      </c>
      <c r="D866" s="56" t="s">
        <v>37</v>
      </c>
      <c r="E866" s="56" t="s">
        <v>69</v>
      </c>
      <c r="F866" s="56" t="s">
        <v>71</v>
      </c>
      <c r="G866" s="57">
        <v>494325136</v>
      </c>
      <c r="H866" s="56" t="s">
        <v>68</v>
      </c>
      <c r="I866" s="58" t="str">
        <f t="shared" si="131"/>
        <v>Chile-OTA</v>
      </c>
      <c r="J866" s="40"/>
      <c r="K866" s="59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</row>
    <row r="867" spans="1:42" ht="17.25" customHeight="1" x14ac:dyDescent="0.25">
      <c r="A867" s="60">
        <v>2012</v>
      </c>
      <c r="B867" s="61" t="s">
        <v>66</v>
      </c>
      <c r="C867" s="61" t="s">
        <v>4</v>
      </c>
      <c r="D867" s="61" t="s">
        <v>5</v>
      </c>
      <c r="E867" s="61" t="s">
        <v>67</v>
      </c>
      <c r="F867" s="61" t="s">
        <v>67</v>
      </c>
      <c r="G867" s="62">
        <v>93602618112</v>
      </c>
      <c r="H867" s="61" t="s">
        <v>68</v>
      </c>
      <c r="I867" s="63" t="str">
        <f t="shared" si="131"/>
        <v>China-Offline</v>
      </c>
      <c r="J867" s="47"/>
      <c r="K867" s="54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</row>
    <row r="868" spans="1:42" ht="17.25" customHeight="1" x14ac:dyDescent="0.25">
      <c r="A868" s="55">
        <v>2012</v>
      </c>
      <c r="B868" s="56" t="s">
        <v>66</v>
      </c>
      <c r="C868" s="56" t="s">
        <v>4</v>
      </c>
      <c r="D868" s="56" t="s">
        <v>5</v>
      </c>
      <c r="E868" s="56" t="s">
        <v>69</v>
      </c>
      <c r="F868" s="56" t="s">
        <v>70</v>
      </c>
      <c r="G868" s="57">
        <v>6731243887</v>
      </c>
      <c r="H868" s="56" t="s">
        <v>68</v>
      </c>
      <c r="I868" s="58" t="str">
        <f t="shared" si="131"/>
        <v>China-Online Supplier-Direct</v>
      </c>
      <c r="J868" s="40"/>
      <c r="K868" s="59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</row>
    <row r="869" spans="1:42" ht="17.25" customHeight="1" x14ac:dyDescent="0.25">
      <c r="A869" s="60">
        <v>2012</v>
      </c>
      <c r="B869" s="61" t="s">
        <v>66</v>
      </c>
      <c r="C869" s="61" t="s">
        <v>4</v>
      </c>
      <c r="D869" s="61" t="s">
        <v>5</v>
      </c>
      <c r="E869" s="61" t="s">
        <v>69</v>
      </c>
      <c r="F869" s="61" t="s">
        <v>71</v>
      </c>
      <c r="G869" s="62">
        <v>7590458432</v>
      </c>
      <c r="H869" s="61" t="s">
        <v>68</v>
      </c>
      <c r="I869" s="63" t="str">
        <f t="shared" si="131"/>
        <v>China-OTA</v>
      </c>
      <c r="J869" s="47"/>
      <c r="K869" s="54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</row>
    <row r="870" spans="1:42" ht="17.25" customHeight="1" x14ac:dyDescent="0.25">
      <c r="A870" s="55">
        <v>2012</v>
      </c>
      <c r="B870" s="56" t="s">
        <v>66</v>
      </c>
      <c r="C870" s="56" t="s">
        <v>35</v>
      </c>
      <c r="D870" s="56" t="s">
        <v>38</v>
      </c>
      <c r="E870" s="56" t="s">
        <v>67</v>
      </c>
      <c r="F870" s="56" t="s">
        <v>67</v>
      </c>
      <c r="G870" s="57">
        <v>8577090600</v>
      </c>
      <c r="H870" s="56" t="s">
        <v>68</v>
      </c>
      <c r="I870" s="58" t="str">
        <f t="shared" si="131"/>
        <v>Colombia-Offline</v>
      </c>
      <c r="J870" s="40"/>
      <c r="K870" s="59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</row>
    <row r="871" spans="1:42" ht="17.25" customHeight="1" x14ac:dyDescent="0.25">
      <c r="A871" s="60">
        <v>2012</v>
      </c>
      <c r="B871" s="61" t="s">
        <v>66</v>
      </c>
      <c r="C871" s="61" t="s">
        <v>35</v>
      </c>
      <c r="D871" s="61" t="s">
        <v>38</v>
      </c>
      <c r="E871" s="61" t="s">
        <v>69</v>
      </c>
      <c r="F871" s="61" t="s">
        <v>70</v>
      </c>
      <c r="G871" s="62">
        <v>885768318</v>
      </c>
      <c r="H871" s="61" t="s">
        <v>68</v>
      </c>
      <c r="I871" s="63" t="str">
        <f t="shared" si="131"/>
        <v>Colombia-Online Supplier-Direct</v>
      </c>
      <c r="J871" s="47"/>
      <c r="K871" s="54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</row>
    <row r="872" spans="1:42" ht="17.25" customHeight="1" x14ac:dyDescent="0.25">
      <c r="A872" s="55">
        <v>2012</v>
      </c>
      <c r="B872" s="56" t="s">
        <v>66</v>
      </c>
      <c r="C872" s="56" t="s">
        <v>35</v>
      </c>
      <c r="D872" s="56" t="s">
        <v>38</v>
      </c>
      <c r="E872" s="56" t="s">
        <v>69</v>
      </c>
      <c r="F872" s="56" t="s">
        <v>71</v>
      </c>
      <c r="G872" s="57">
        <v>1029480385</v>
      </c>
      <c r="H872" s="56" t="s">
        <v>68</v>
      </c>
      <c r="I872" s="58" t="str">
        <f t="shared" si="131"/>
        <v>Colombia-OTA</v>
      </c>
      <c r="J872" s="40"/>
      <c r="K872" s="59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</row>
    <row r="873" spans="1:42" ht="17.25" customHeight="1" x14ac:dyDescent="0.25">
      <c r="A873" s="60">
        <v>2012</v>
      </c>
      <c r="B873" s="61" t="s">
        <v>66</v>
      </c>
      <c r="C873" s="61" t="s">
        <v>17</v>
      </c>
      <c r="D873" s="61" t="s">
        <v>18</v>
      </c>
      <c r="E873" s="61" t="s">
        <v>67</v>
      </c>
      <c r="F873" s="61" t="s">
        <v>67</v>
      </c>
      <c r="G873" s="62">
        <v>2566064689</v>
      </c>
      <c r="H873" s="61" t="s">
        <v>68</v>
      </c>
      <c r="I873" s="63" t="str">
        <f t="shared" si="131"/>
        <v>Czech Republic-Offline</v>
      </c>
      <c r="J873" s="47"/>
      <c r="K873" s="54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</row>
    <row r="874" spans="1:42" ht="17.25" customHeight="1" x14ac:dyDescent="0.25">
      <c r="A874" s="55">
        <v>2012</v>
      </c>
      <c r="B874" s="56" t="s">
        <v>66</v>
      </c>
      <c r="C874" s="56" t="s">
        <v>17</v>
      </c>
      <c r="D874" s="56" t="s">
        <v>18</v>
      </c>
      <c r="E874" s="56" t="s">
        <v>69</v>
      </c>
      <c r="F874" s="56" t="s">
        <v>70</v>
      </c>
      <c r="G874" s="57">
        <v>427766437</v>
      </c>
      <c r="H874" s="56" t="s">
        <v>68</v>
      </c>
      <c r="I874" s="58" t="str">
        <f t="shared" si="131"/>
        <v>Czech Republic-Online Supplier-Direct</v>
      </c>
      <c r="J874" s="40"/>
      <c r="K874" s="59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</row>
    <row r="875" spans="1:42" ht="17.25" customHeight="1" x14ac:dyDescent="0.25">
      <c r="A875" s="60">
        <v>2012</v>
      </c>
      <c r="B875" s="61" t="s">
        <v>66</v>
      </c>
      <c r="C875" s="61" t="s">
        <v>17</v>
      </c>
      <c r="D875" s="61" t="s">
        <v>18</v>
      </c>
      <c r="E875" s="61" t="s">
        <v>69</v>
      </c>
      <c r="F875" s="61" t="s">
        <v>71</v>
      </c>
      <c r="G875" s="62">
        <v>425690640</v>
      </c>
      <c r="H875" s="61" t="s">
        <v>68</v>
      </c>
      <c r="I875" s="63" t="str">
        <f t="shared" si="131"/>
        <v>Czech Republic-OTA</v>
      </c>
      <c r="J875" s="47"/>
      <c r="K875" s="54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</row>
    <row r="876" spans="1:42" ht="17.25" customHeight="1" x14ac:dyDescent="0.25">
      <c r="A876" s="55">
        <v>2012</v>
      </c>
      <c r="B876" s="56" t="s">
        <v>66</v>
      </c>
      <c r="C876" s="56" t="s">
        <v>41</v>
      </c>
      <c r="D876" s="56" t="s">
        <v>40</v>
      </c>
      <c r="E876" s="56" t="s">
        <v>67</v>
      </c>
      <c r="F876" s="56" t="s">
        <v>67</v>
      </c>
      <c r="G876" s="57">
        <v>6586796933</v>
      </c>
      <c r="H876" s="56" t="s">
        <v>68</v>
      </c>
      <c r="I876" s="58" t="str">
        <f t="shared" si="131"/>
        <v>Egypt-Offline</v>
      </c>
      <c r="J876" s="40"/>
      <c r="K876" s="59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</row>
    <row r="877" spans="1:42" ht="17.25" customHeight="1" x14ac:dyDescent="0.25">
      <c r="A877" s="60">
        <v>2012</v>
      </c>
      <c r="B877" s="61" t="s">
        <v>66</v>
      </c>
      <c r="C877" s="61" t="s">
        <v>41</v>
      </c>
      <c r="D877" s="61" t="s">
        <v>40</v>
      </c>
      <c r="E877" s="61" t="s">
        <v>69</v>
      </c>
      <c r="F877" s="61" t="s">
        <v>70</v>
      </c>
      <c r="G877" s="62">
        <v>290692579</v>
      </c>
      <c r="H877" s="61" t="s">
        <v>68</v>
      </c>
      <c r="I877" s="63" t="str">
        <f t="shared" si="131"/>
        <v>Egypt-Online Supplier-Direct</v>
      </c>
      <c r="J877" s="47"/>
      <c r="K877" s="54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</row>
    <row r="878" spans="1:42" ht="17.25" customHeight="1" x14ac:dyDescent="0.25">
      <c r="A878" s="55">
        <v>2012</v>
      </c>
      <c r="B878" s="56" t="s">
        <v>66</v>
      </c>
      <c r="C878" s="56" t="s">
        <v>41</v>
      </c>
      <c r="D878" s="56" t="s">
        <v>40</v>
      </c>
      <c r="E878" s="56" t="s">
        <v>69</v>
      </c>
      <c r="F878" s="56" t="s">
        <v>71</v>
      </c>
      <c r="G878" s="57">
        <v>337360848</v>
      </c>
      <c r="H878" s="56" t="s">
        <v>68</v>
      </c>
      <c r="I878" s="58" t="str">
        <f t="shared" si="131"/>
        <v>Egypt-OTA</v>
      </c>
      <c r="J878" s="40"/>
      <c r="K878" s="59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</row>
    <row r="879" spans="1:42" ht="17.25" customHeight="1" x14ac:dyDescent="0.25">
      <c r="A879" s="60">
        <v>2012</v>
      </c>
      <c r="B879" s="61" t="s">
        <v>66</v>
      </c>
      <c r="C879" s="61" t="s">
        <v>27</v>
      </c>
      <c r="D879" s="61" t="s">
        <v>26</v>
      </c>
      <c r="E879" s="61" t="s">
        <v>67</v>
      </c>
      <c r="F879" s="61" t="s">
        <v>67</v>
      </c>
      <c r="G879" s="62">
        <v>33882546866</v>
      </c>
      <c r="H879" s="61" t="s">
        <v>68</v>
      </c>
      <c r="I879" s="63" t="str">
        <f t="shared" si="131"/>
        <v>France-Offline</v>
      </c>
      <c r="J879" s="47"/>
      <c r="K879" s="54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</row>
    <row r="880" spans="1:42" ht="17.25" customHeight="1" x14ac:dyDescent="0.25">
      <c r="A880" s="55">
        <v>2012</v>
      </c>
      <c r="B880" s="56" t="s">
        <v>66</v>
      </c>
      <c r="C880" s="56" t="s">
        <v>27</v>
      </c>
      <c r="D880" s="56" t="s">
        <v>26</v>
      </c>
      <c r="E880" s="56" t="s">
        <v>69</v>
      </c>
      <c r="F880" s="56" t="s">
        <v>70</v>
      </c>
      <c r="G880" s="57">
        <v>12411746866</v>
      </c>
      <c r="H880" s="56" t="s">
        <v>68</v>
      </c>
      <c r="I880" s="58" t="str">
        <f t="shared" si="131"/>
        <v>France-Online Supplier-Direct</v>
      </c>
      <c r="J880" s="40"/>
      <c r="K880" s="59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</row>
    <row r="881" spans="1:42" ht="17.25" customHeight="1" x14ac:dyDescent="0.25">
      <c r="A881" s="60">
        <v>2012</v>
      </c>
      <c r="B881" s="61" t="s">
        <v>66</v>
      </c>
      <c r="C881" s="61" t="s">
        <v>27</v>
      </c>
      <c r="D881" s="61" t="s">
        <v>26</v>
      </c>
      <c r="E881" s="61" t="s">
        <v>69</v>
      </c>
      <c r="F881" s="61" t="s">
        <v>71</v>
      </c>
      <c r="G881" s="62">
        <v>6612497060</v>
      </c>
      <c r="H881" s="61" t="s">
        <v>68</v>
      </c>
      <c r="I881" s="63" t="str">
        <f t="shared" si="131"/>
        <v>France-OTA</v>
      </c>
      <c r="J881" s="47"/>
      <c r="K881" s="54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</row>
    <row r="882" spans="1:42" ht="17.25" customHeight="1" x14ac:dyDescent="0.25">
      <c r="A882" s="55">
        <v>2012</v>
      </c>
      <c r="B882" s="56" t="s">
        <v>66</v>
      </c>
      <c r="C882" s="56" t="s">
        <v>27</v>
      </c>
      <c r="D882" s="56" t="s">
        <v>28</v>
      </c>
      <c r="E882" s="56" t="s">
        <v>67</v>
      </c>
      <c r="F882" s="56" t="s">
        <v>67</v>
      </c>
      <c r="G882" s="57">
        <v>49644013581</v>
      </c>
      <c r="H882" s="56" t="s">
        <v>68</v>
      </c>
      <c r="I882" s="58" t="str">
        <f t="shared" si="131"/>
        <v>Germany-Offline</v>
      </c>
      <c r="J882" s="40"/>
      <c r="K882" s="59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</row>
    <row r="883" spans="1:42" ht="17.25" customHeight="1" x14ac:dyDescent="0.25">
      <c r="A883" s="60">
        <v>2012</v>
      </c>
      <c r="B883" s="61" t="s">
        <v>66</v>
      </c>
      <c r="C883" s="61" t="s">
        <v>27</v>
      </c>
      <c r="D883" s="61" t="s">
        <v>28</v>
      </c>
      <c r="E883" s="61" t="s">
        <v>69</v>
      </c>
      <c r="F883" s="61" t="s">
        <v>70</v>
      </c>
      <c r="G883" s="62">
        <v>14140526939</v>
      </c>
      <c r="H883" s="61" t="s">
        <v>68</v>
      </c>
      <c r="I883" s="63" t="str">
        <f t="shared" si="131"/>
        <v>Germany-Online Supplier-Direct</v>
      </c>
      <c r="J883" s="47"/>
      <c r="K883" s="54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</row>
    <row r="884" spans="1:42" ht="17.25" customHeight="1" x14ac:dyDescent="0.25">
      <c r="A884" s="55">
        <v>2012</v>
      </c>
      <c r="B884" s="56" t="s">
        <v>66</v>
      </c>
      <c r="C884" s="56" t="s">
        <v>27</v>
      </c>
      <c r="D884" s="56" t="s">
        <v>28</v>
      </c>
      <c r="E884" s="56" t="s">
        <v>69</v>
      </c>
      <c r="F884" s="56" t="s">
        <v>71</v>
      </c>
      <c r="G884" s="57">
        <v>11130608325</v>
      </c>
      <c r="H884" s="56" t="s">
        <v>68</v>
      </c>
      <c r="I884" s="58" t="str">
        <f t="shared" si="131"/>
        <v>Germany-OTA</v>
      </c>
      <c r="J884" s="40"/>
      <c r="K884" s="59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</row>
    <row r="885" spans="1:42" ht="17.25" customHeight="1" x14ac:dyDescent="0.25">
      <c r="A885" s="60">
        <v>2012</v>
      </c>
      <c r="B885" s="61" t="s">
        <v>66</v>
      </c>
      <c r="C885" s="61" t="s">
        <v>17</v>
      </c>
      <c r="D885" s="61" t="s">
        <v>19</v>
      </c>
      <c r="E885" s="61" t="s">
        <v>67</v>
      </c>
      <c r="F885" s="61" t="s">
        <v>67</v>
      </c>
      <c r="G885" s="62">
        <v>7571196438</v>
      </c>
      <c r="H885" s="61" t="s">
        <v>68</v>
      </c>
      <c r="I885" s="63" t="str">
        <f t="shared" si="131"/>
        <v>Greece-Offline</v>
      </c>
      <c r="J885" s="47"/>
      <c r="K885" s="54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</row>
    <row r="886" spans="1:42" ht="17.25" customHeight="1" x14ac:dyDescent="0.25">
      <c r="A886" s="55">
        <v>2012</v>
      </c>
      <c r="B886" s="56" t="s">
        <v>66</v>
      </c>
      <c r="C886" s="56" t="s">
        <v>17</v>
      </c>
      <c r="D886" s="56" t="s">
        <v>19</v>
      </c>
      <c r="E886" s="56" t="s">
        <v>69</v>
      </c>
      <c r="F886" s="56" t="s">
        <v>70</v>
      </c>
      <c r="G886" s="57">
        <v>1583921687</v>
      </c>
      <c r="H886" s="56" t="s">
        <v>68</v>
      </c>
      <c r="I886" s="58" t="str">
        <f t="shared" si="131"/>
        <v>Greece-Online Supplier-Direct</v>
      </c>
      <c r="J886" s="40"/>
      <c r="K886" s="59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</row>
    <row r="887" spans="1:42" ht="17.25" customHeight="1" x14ac:dyDescent="0.25">
      <c r="A887" s="60">
        <v>2012</v>
      </c>
      <c r="B887" s="61" t="s">
        <v>66</v>
      </c>
      <c r="C887" s="61" t="s">
        <v>17</v>
      </c>
      <c r="D887" s="61" t="s">
        <v>19</v>
      </c>
      <c r="E887" s="61" t="s">
        <v>69</v>
      </c>
      <c r="F887" s="61" t="s">
        <v>71</v>
      </c>
      <c r="G887" s="62">
        <v>828218647</v>
      </c>
      <c r="H887" s="61" t="s">
        <v>68</v>
      </c>
      <c r="I887" s="63" t="str">
        <f t="shared" si="131"/>
        <v>Greece-OTA</v>
      </c>
      <c r="J887" s="47"/>
      <c r="K887" s="54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</row>
    <row r="888" spans="1:42" ht="17.25" customHeight="1" x14ac:dyDescent="0.25">
      <c r="A888" s="55">
        <v>2012</v>
      </c>
      <c r="B888" s="56" t="s">
        <v>66</v>
      </c>
      <c r="C888" s="56" t="s">
        <v>4</v>
      </c>
      <c r="D888" s="56" t="s">
        <v>6</v>
      </c>
      <c r="E888" s="56" t="s">
        <v>67</v>
      </c>
      <c r="F888" s="56" t="s">
        <v>67</v>
      </c>
      <c r="G888" s="57">
        <v>12457882294</v>
      </c>
      <c r="H888" s="56" t="s">
        <v>68</v>
      </c>
      <c r="I888" s="58" t="str">
        <f t="shared" si="131"/>
        <v>Hong Kong-Offline</v>
      </c>
      <c r="J888" s="40"/>
      <c r="K888" s="59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</row>
    <row r="889" spans="1:42" ht="17.25" customHeight="1" x14ac:dyDescent="0.25">
      <c r="A889" s="60">
        <v>2012</v>
      </c>
      <c r="B889" s="61" t="s">
        <v>66</v>
      </c>
      <c r="C889" s="61" t="s">
        <v>4</v>
      </c>
      <c r="D889" s="61" t="s">
        <v>6</v>
      </c>
      <c r="E889" s="61" t="s">
        <v>69</v>
      </c>
      <c r="F889" s="61" t="s">
        <v>70</v>
      </c>
      <c r="G889" s="62">
        <v>883639439</v>
      </c>
      <c r="H889" s="61" t="s">
        <v>68</v>
      </c>
      <c r="I889" s="63" t="str">
        <f t="shared" si="131"/>
        <v>Hong Kong-Online Supplier-Direct</v>
      </c>
      <c r="J889" s="47"/>
      <c r="K889" s="54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</row>
    <row r="890" spans="1:42" ht="17.25" customHeight="1" x14ac:dyDescent="0.25">
      <c r="A890" s="55">
        <v>2012</v>
      </c>
      <c r="B890" s="56" t="s">
        <v>66</v>
      </c>
      <c r="C890" s="56" t="s">
        <v>4</v>
      </c>
      <c r="D890" s="56" t="s">
        <v>6</v>
      </c>
      <c r="E890" s="56" t="s">
        <v>69</v>
      </c>
      <c r="F890" s="56" t="s">
        <v>71</v>
      </c>
      <c r="G890" s="57">
        <v>362091696</v>
      </c>
      <c r="H890" s="56" t="s">
        <v>68</v>
      </c>
      <c r="I890" s="58" t="str">
        <f t="shared" si="131"/>
        <v>Hong Kong-OTA</v>
      </c>
      <c r="J890" s="40"/>
      <c r="K890" s="59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</row>
    <row r="891" spans="1:42" ht="17.25" customHeight="1" x14ac:dyDescent="0.25">
      <c r="A891" s="60">
        <v>2012</v>
      </c>
      <c r="B891" s="61" t="s">
        <v>66</v>
      </c>
      <c r="C891" s="61" t="s">
        <v>17</v>
      </c>
      <c r="D891" s="61" t="s">
        <v>20</v>
      </c>
      <c r="E891" s="61" t="s">
        <v>67</v>
      </c>
      <c r="F891" s="61" t="s">
        <v>67</v>
      </c>
      <c r="G891" s="62">
        <v>1678712243</v>
      </c>
      <c r="H891" s="61" t="s">
        <v>68</v>
      </c>
      <c r="I891" s="63" t="str">
        <f t="shared" si="131"/>
        <v>Hungary-Offline</v>
      </c>
      <c r="J891" s="47"/>
      <c r="K891" s="54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</row>
    <row r="892" spans="1:42" ht="17.25" customHeight="1" x14ac:dyDescent="0.25">
      <c r="A892" s="55">
        <v>2012</v>
      </c>
      <c r="B892" s="56" t="s">
        <v>66</v>
      </c>
      <c r="C892" s="56" t="s">
        <v>17</v>
      </c>
      <c r="D892" s="56" t="s">
        <v>20</v>
      </c>
      <c r="E892" s="56" t="s">
        <v>69</v>
      </c>
      <c r="F892" s="56" t="s">
        <v>70</v>
      </c>
      <c r="G892" s="57">
        <v>529090863</v>
      </c>
      <c r="H892" s="56" t="s">
        <v>68</v>
      </c>
      <c r="I892" s="58" t="str">
        <f t="shared" si="131"/>
        <v>Hungary-Online Supplier-Direct</v>
      </c>
      <c r="J892" s="40"/>
      <c r="K892" s="59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</row>
    <row r="893" spans="1:42" ht="17.25" customHeight="1" x14ac:dyDescent="0.25">
      <c r="A893" s="60">
        <v>2012</v>
      </c>
      <c r="B893" s="61" t="s">
        <v>66</v>
      </c>
      <c r="C893" s="61" t="s">
        <v>17</v>
      </c>
      <c r="D893" s="61" t="s">
        <v>20</v>
      </c>
      <c r="E893" s="61" t="s">
        <v>69</v>
      </c>
      <c r="F893" s="61" t="s">
        <v>71</v>
      </c>
      <c r="G893" s="62">
        <v>122244779</v>
      </c>
      <c r="H893" s="61" t="s">
        <v>68</v>
      </c>
      <c r="I893" s="63" t="str">
        <f t="shared" si="131"/>
        <v>Hungary-OTA</v>
      </c>
      <c r="J893" s="47"/>
      <c r="K893" s="54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</row>
    <row r="894" spans="1:42" ht="17.25" customHeight="1" x14ac:dyDescent="0.25">
      <c r="A894" s="55">
        <v>2012</v>
      </c>
      <c r="B894" s="56" t="s">
        <v>66</v>
      </c>
      <c r="C894" s="56" t="s">
        <v>4</v>
      </c>
      <c r="D894" s="56" t="s">
        <v>7</v>
      </c>
      <c r="E894" s="56" t="s">
        <v>67</v>
      </c>
      <c r="F894" s="56" t="s">
        <v>67</v>
      </c>
      <c r="G894" s="57">
        <v>16445966960</v>
      </c>
      <c r="H894" s="56" t="s">
        <v>68</v>
      </c>
      <c r="I894" s="58" t="str">
        <f t="shared" si="131"/>
        <v>India-Offline</v>
      </c>
      <c r="J894" s="40"/>
      <c r="K894" s="59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</row>
    <row r="895" spans="1:42" ht="17.25" customHeight="1" x14ac:dyDescent="0.25">
      <c r="A895" s="60">
        <v>2012</v>
      </c>
      <c r="B895" s="61" t="s">
        <v>66</v>
      </c>
      <c r="C895" s="61" t="s">
        <v>4</v>
      </c>
      <c r="D895" s="61" t="s">
        <v>7</v>
      </c>
      <c r="E895" s="61" t="s">
        <v>69</v>
      </c>
      <c r="F895" s="61" t="s">
        <v>70</v>
      </c>
      <c r="G895" s="62">
        <v>3698330746</v>
      </c>
      <c r="H895" s="61" t="s">
        <v>68</v>
      </c>
      <c r="I895" s="63" t="str">
        <f t="shared" si="131"/>
        <v>India-Online Supplier-Direct</v>
      </c>
      <c r="J895" s="47"/>
      <c r="K895" s="54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</row>
    <row r="896" spans="1:42" ht="17.25" customHeight="1" x14ac:dyDescent="0.25">
      <c r="A896" s="55">
        <v>2012</v>
      </c>
      <c r="B896" s="56" t="s">
        <v>66</v>
      </c>
      <c r="C896" s="56" t="s">
        <v>4</v>
      </c>
      <c r="D896" s="56" t="s">
        <v>7</v>
      </c>
      <c r="E896" s="56" t="s">
        <v>69</v>
      </c>
      <c r="F896" s="56" t="s">
        <v>71</v>
      </c>
      <c r="G896" s="57">
        <v>2250564953</v>
      </c>
      <c r="H896" s="56" t="s">
        <v>68</v>
      </c>
      <c r="I896" s="58" t="str">
        <f t="shared" si="131"/>
        <v>India-OTA</v>
      </c>
      <c r="J896" s="40"/>
      <c r="K896" s="59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</row>
    <row r="897" spans="1:42" ht="17.25" customHeight="1" x14ac:dyDescent="0.25">
      <c r="A897" s="60">
        <v>2012</v>
      </c>
      <c r="B897" s="61" t="s">
        <v>66</v>
      </c>
      <c r="C897" s="61" t="s">
        <v>4</v>
      </c>
      <c r="D897" s="61" t="s">
        <v>8</v>
      </c>
      <c r="E897" s="61" t="s">
        <v>67</v>
      </c>
      <c r="F897" s="61" t="s">
        <v>67</v>
      </c>
      <c r="G897" s="62">
        <v>9925204142</v>
      </c>
      <c r="H897" s="61" t="s">
        <v>68</v>
      </c>
      <c r="I897" s="63" t="str">
        <f t="shared" si="131"/>
        <v>Indonesia-Offline</v>
      </c>
      <c r="J897" s="47"/>
      <c r="K897" s="54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</row>
    <row r="898" spans="1:42" ht="17.25" customHeight="1" x14ac:dyDescent="0.25">
      <c r="A898" s="55">
        <v>2012</v>
      </c>
      <c r="B898" s="56" t="s">
        <v>66</v>
      </c>
      <c r="C898" s="56" t="s">
        <v>4</v>
      </c>
      <c r="D898" s="56" t="s">
        <v>8</v>
      </c>
      <c r="E898" s="56" t="s">
        <v>69</v>
      </c>
      <c r="F898" s="56" t="s">
        <v>70</v>
      </c>
      <c r="G898" s="57">
        <v>613603630</v>
      </c>
      <c r="H898" s="56" t="s">
        <v>68</v>
      </c>
      <c r="I898" s="58" t="str">
        <f t="shared" si="131"/>
        <v>Indonesia-Online Supplier-Direct</v>
      </c>
      <c r="J898" s="40"/>
      <c r="K898" s="59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</row>
    <row r="899" spans="1:42" ht="17.25" customHeight="1" x14ac:dyDescent="0.25">
      <c r="A899" s="60">
        <v>2012</v>
      </c>
      <c r="B899" s="61" t="s">
        <v>66</v>
      </c>
      <c r="C899" s="61" t="s">
        <v>4</v>
      </c>
      <c r="D899" s="61" t="s">
        <v>8</v>
      </c>
      <c r="E899" s="61" t="s">
        <v>69</v>
      </c>
      <c r="F899" s="61" t="s">
        <v>71</v>
      </c>
      <c r="G899" s="62">
        <v>170861491</v>
      </c>
      <c r="H899" s="61" t="s">
        <v>68</v>
      </c>
      <c r="I899" s="63" t="str">
        <f t="shared" si="131"/>
        <v>Indonesia-OTA</v>
      </c>
      <c r="J899" s="47"/>
      <c r="K899" s="54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</row>
    <row r="900" spans="1:42" ht="17.25" customHeight="1" x14ac:dyDescent="0.25">
      <c r="A900" s="55">
        <v>2012</v>
      </c>
      <c r="B900" s="56" t="s">
        <v>66</v>
      </c>
      <c r="C900" s="56" t="s">
        <v>27</v>
      </c>
      <c r="D900" s="56" t="s">
        <v>29</v>
      </c>
      <c r="E900" s="56" t="s">
        <v>67</v>
      </c>
      <c r="F900" s="56" t="s">
        <v>67</v>
      </c>
      <c r="G900" s="57">
        <v>19241595808</v>
      </c>
      <c r="H900" s="56" t="s">
        <v>68</v>
      </c>
      <c r="I900" s="58" t="str">
        <f t="shared" si="131"/>
        <v>Italy-Offline</v>
      </c>
      <c r="J900" s="40"/>
      <c r="K900" s="59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</row>
    <row r="901" spans="1:42" ht="17.25" customHeight="1" x14ac:dyDescent="0.25">
      <c r="A901" s="60">
        <v>2012</v>
      </c>
      <c r="B901" s="61" t="s">
        <v>66</v>
      </c>
      <c r="C901" s="61" t="s">
        <v>27</v>
      </c>
      <c r="D901" s="61" t="s">
        <v>29</v>
      </c>
      <c r="E901" s="61" t="s">
        <v>69</v>
      </c>
      <c r="F901" s="61" t="s">
        <v>70</v>
      </c>
      <c r="G901" s="62">
        <v>3316832723</v>
      </c>
      <c r="H901" s="61" t="s">
        <v>68</v>
      </c>
      <c r="I901" s="63" t="str">
        <f t="shared" si="131"/>
        <v>Italy-Online Supplier-Direct</v>
      </c>
      <c r="J901" s="47"/>
      <c r="K901" s="54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</row>
    <row r="902" spans="1:42" ht="17.25" customHeight="1" x14ac:dyDescent="0.25">
      <c r="A902" s="55">
        <v>2012</v>
      </c>
      <c r="B902" s="56" t="s">
        <v>66</v>
      </c>
      <c r="C902" s="56" t="s">
        <v>27</v>
      </c>
      <c r="D902" s="56" t="s">
        <v>29</v>
      </c>
      <c r="E902" s="56" t="s">
        <v>69</v>
      </c>
      <c r="F902" s="56" t="s">
        <v>71</v>
      </c>
      <c r="G902" s="57">
        <v>4227806046</v>
      </c>
      <c r="H902" s="56" t="s">
        <v>68</v>
      </c>
      <c r="I902" s="58" t="str">
        <f t="shared" si="131"/>
        <v>Italy-OTA</v>
      </c>
      <c r="J902" s="40"/>
      <c r="K902" s="59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</row>
    <row r="903" spans="1:42" ht="17.25" customHeight="1" x14ac:dyDescent="0.25">
      <c r="A903" s="60">
        <v>2012</v>
      </c>
      <c r="B903" s="61" t="s">
        <v>66</v>
      </c>
      <c r="C903" s="61" t="s">
        <v>4</v>
      </c>
      <c r="D903" s="61" t="s">
        <v>9</v>
      </c>
      <c r="E903" s="61" t="s">
        <v>67</v>
      </c>
      <c r="F903" s="61" t="s">
        <v>67</v>
      </c>
      <c r="G903" s="62">
        <v>73165912352</v>
      </c>
      <c r="H903" s="61" t="s">
        <v>68</v>
      </c>
      <c r="I903" s="63" t="str">
        <f t="shared" si="131"/>
        <v>Japan-Offline</v>
      </c>
      <c r="J903" s="47"/>
      <c r="K903" s="54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</row>
    <row r="904" spans="1:42" ht="17.25" customHeight="1" x14ac:dyDescent="0.25">
      <c r="A904" s="55">
        <v>2012</v>
      </c>
      <c r="B904" s="56" t="s">
        <v>66</v>
      </c>
      <c r="C904" s="56" t="s">
        <v>4</v>
      </c>
      <c r="D904" s="56" t="s">
        <v>9</v>
      </c>
      <c r="E904" s="56" t="s">
        <v>69</v>
      </c>
      <c r="F904" s="56" t="s">
        <v>70</v>
      </c>
      <c r="G904" s="57">
        <v>20043997748</v>
      </c>
      <c r="H904" s="56" t="s">
        <v>68</v>
      </c>
      <c r="I904" s="58" t="str">
        <f t="shared" si="131"/>
        <v>Japan-Online Supplier-Direct</v>
      </c>
      <c r="J904" s="40"/>
      <c r="K904" s="59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</row>
    <row r="905" spans="1:42" ht="17.25" customHeight="1" x14ac:dyDescent="0.25">
      <c r="A905" s="60">
        <v>2012</v>
      </c>
      <c r="B905" s="61" t="s">
        <v>66</v>
      </c>
      <c r="C905" s="61" t="s">
        <v>4</v>
      </c>
      <c r="D905" s="61" t="s">
        <v>9</v>
      </c>
      <c r="E905" s="61" t="s">
        <v>69</v>
      </c>
      <c r="F905" s="61" t="s">
        <v>71</v>
      </c>
      <c r="G905" s="62">
        <v>12383915282</v>
      </c>
      <c r="H905" s="61" t="s">
        <v>68</v>
      </c>
      <c r="I905" s="63" t="str">
        <f t="shared" si="131"/>
        <v>Japan-OTA</v>
      </c>
      <c r="J905" s="47"/>
      <c r="K905" s="54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</row>
    <row r="906" spans="1:42" ht="17.25" customHeight="1" x14ac:dyDescent="0.25">
      <c r="A906" s="55">
        <v>2012</v>
      </c>
      <c r="B906" s="56" t="s">
        <v>66</v>
      </c>
      <c r="C906" s="56" t="s">
        <v>4</v>
      </c>
      <c r="D906" s="56" t="s">
        <v>10</v>
      </c>
      <c r="E906" s="56" t="s">
        <v>67</v>
      </c>
      <c r="F906" s="56" t="s">
        <v>67</v>
      </c>
      <c r="G906" s="57">
        <v>781650543</v>
      </c>
      <c r="H906" s="56" t="s">
        <v>68</v>
      </c>
      <c r="I906" s="58" t="str">
        <f t="shared" si="131"/>
        <v>Macau-Offline</v>
      </c>
      <c r="J906" s="40"/>
      <c r="K906" s="59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</row>
    <row r="907" spans="1:42" ht="17.25" customHeight="1" x14ac:dyDescent="0.25">
      <c r="A907" s="60">
        <v>2012</v>
      </c>
      <c r="B907" s="61" t="s">
        <v>66</v>
      </c>
      <c r="C907" s="61" t="s">
        <v>4</v>
      </c>
      <c r="D907" s="61" t="s">
        <v>10</v>
      </c>
      <c r="E907" s="61" t="s">
        <v>69</v>
      </c>
      <c r="F907" s="61" t="s">
        <v>70</v>
      </c>
      <c r="G907" s="62">
        <v>12341851</v>
      </c>
      <c r="H907" s="61" t="s">
        <v>68</v>
      </c>
      <c r="I907" s="63" t="str">
        <f t="shared" si="131"/>
        <v>Macau-Online Supplier-Direct</v>
      </c>
      <c r="J907" s="47"/>
      <c r="K907" s="54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</row>
    <row r="908" spans="1:42" ht="17.25" customHeight="1" x14ac:dyDescent="0.25">
      <c r="A908" s="55">
        <v>2012</v>
      </c>
      <c r="B908" s="56" t="s">
        <v>66</v>
      </c>
      <c r="C908" s="56" t="s">
        <v>4</v>
      </c>
      <c r="D908" s="56" t="s">
        <v>10</v>
      </c>
      <c r="E908" s="56" t="s">
        <v>69</v>
      </c>
      <c r="F908" s="56" t="s">
        <v>71</v>
      </c>
      <c r="G908" s="57">
        <v>28797652</v>
      </c>
      <c r="H908" s="56" t="s">
        <v>68</v>
      </c>
      <c r="I908" s="58" t="str">
        <f t="shared" si="131"/>
        <v>Macau-OTA</v>
      </c>
      <c r="J908" s="40"/>
      <c r="K908" s="59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</row>
    <row r="909" spans="1:42" ht="17.25" customHeight="1" x14ac:dyDescent="0.25">
      <c r="A909" s="60">
        <v>2012</v>
      </c>
      <c r="B909" s="61" t="s">
        <v>66</v>
      </c>
      <c r="C909" s="61" t="s">
        <v>4</v>
      </c>
      <c r="D909" s="61" t="s">
        <v>11</v>
      </c>
      <c r="E909" s="61" t="s">
        <v>67</v>
      </c>
      <c r="F909" s="61" t="s">
        <v>67</v>
      </c>
      <c r="G909" s="62">
        <v>6227992734</v>
      </c>
      <c r="H909" s="61" t="s">
        <v>68</v>
      </c>
      <c r="I909" s="63" t="str">
        <f t="shared" si="131"/>
        <v>Malaysia-Offline</v>
      </c>
      <c r="J909" s="47"/>
      <c r="K909" s="54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</row>
    <row r="910" spans="1:42" ht="17.25" customHeight="1" x14ac:dyDescent="0.25">
      <c r="A910" s="55">
        <v>2012</v>
      </c>
      <c r="B910" s="56" t="s">
        <v>66</v>
      </c>
      <c r="C910" s="56" t="s">
        <v>4</v>
      </c>
      <c r="D910" s="56" t="s">
        <v>11</v>
      </c>
      <c r="E910" s="56" t="s">
        <v>69</v>
      </c>
      <c r="F910" s="56" t="s">
        <v>70</v>
      </c>
      <c r="G910" s="57">
        <v>2276217599</v>
      </c>
      <c r="H910" s="56" t="s">
        <v>68</v>
      </c>
      <c r="I910" s="58" t="str">
        <f t="shared" si="131"/>
        <v>Malaysia-Online Supplier-Direct</v>
      </c>
      <c r="J910" s="40"/>
      <c r="K910" s="59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</row>
    <row r="911" spans="1:42" ht="17.25" customHeight="1" x14ac:dyDescent="0.25">
      <c r="A911" s="60">
        <v>2012</v>
      </c>
      <c r="B911" s="61" t="s">
        <v>66</v>
      </c>
      <c r="C911" s="61" t="s">
        <v>4</v>
      </c>
      <c r="D911" s="61" t="s">
        <v>11</v>
      </c>
      <c r="E911" s="61" t="s">
        <v>69</v>
      </c>
      <c r="F911" s="61" t="s">
        <v>71</v>
      </c>
      <c r="G911" s="62">
        <v>513218844</v>
      </c>
      <c r="H911" s="61" t="s">
        <v>68</v>
      </c>
      <c r="I911" s="63" t="str">
        <f t="shared" si="131"/>
        <v>Malaysia-OTA</v>
      </c>
      <c r="J911" s="47"/>
      <c r="K911" s="54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</row>
    <row r="912" spans="1:42" ht="17.25" customHeight="1" x14ac:dyDescent="0.25">
      <c r="A912" s="55">
        <v>2012</v>
      </c>
      <c r="B912" s="56" t="s">
        <v>66</v>
      </c>
      <c r="C912" s="56" t="s">
        <v>35</v>
      </c>
      <c r="D912" s="56" t="s">
        <v>39</v>
      </c>
      <c r="E912" s="56" t="s">
        <v>67</v>
      </c>
      <c r="F912" s="56" t="s">
        <v>67</v>
      </c>
      <c r="G912" s="57">
        <v>18400149893</v>
      </c>
      <c r="H912" s="56" t="s">
        <v>68</v>
      </c>
      <c r="I912" s="58" t="str">
        <f t="shared" si="131"/>
        <v>Mexico-Offline</v>
      </c>
      <c r="J912" s="40"/>
      <c r="K912" s="59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</row>
    <row r="913" spans="1:42" ht="17.25" customHeight="1" x14ac:dyDescent="0.25">
      <c r="A913" s="60">
        <v>2012</v>
      </c>
      <c r="B913" s="61" t="s">
        <v>66</v>
      </c>
      <c r="C913" s="61" t="s">
        <v>35</v>
      </c>
      <c r="D913" s="61" t="s">
        <v>39</v>
      </c>
      <c r="E913" s="61" t="s">
        <v>69</v>
      </c>
      <c r="F913" s="61" t="s">
        <v>70</v>
      </c>
      <c r="G913" s="62">
        <v>1944873781</v>
      </c>
      <c r="H913" s="61" t="s">
        <v>68</v>
      </c>
      <c r="I913" s="63" t="str">
        <f t="shared" si="131"/>
        <v>Mexico-Online Supplier-Direct</v>
      </c>
      <c r="J913" s="47"/>
      <c r="K913" s="54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</row>
    <row r="914" spans="1:42" ht="17.25" customHeight="1" x14ac:dyDescent="0.25">
      <c r="A914" s="55">
        <v>2012</v>
      </c>
      <c r="B914" s="56" t="s">
        <v>66</v>
      </c>
      <c r="C914" s="56" t="s">
        <v>35</v>
      </c>
      <c r="D914" s="56" t="s">
        <v>39</v>
      </c>
      <c r="E914" s="56" t="s">
        <v>69</v>
      </c>
      <c r="F914" s="56" t="s">
        <v>71</v>
      </c>
      <c r="G914" s="57">
        <v>3149013915</v>
      </c>
      <c r="H914" s="56" t="s">
        <v>68</v>
      </c>
      <c r="I914" s="58" t="str">
        <f t="shared" si="131"/>
        <v>Mexico-OTA</v>
      </c>
      <c r="J914" s="40"/>
      <c r="K914" s="59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</row>
    <row r="915" spans="1:42" ht="17.25" customHeight="1" x14ac:dyDescent="0.25">
      <c r="A915" s="60">
        <v>2012</v>
      </c>
      <c r="B915" s="61" t="s">
        <v>66</v>
      </c>
      <c r="C915" s="61" t="s">
        <v>17</v>
      </c>
      <c r="D915" s="61" t="s">
        <v>21</v>
      </c>
      <c r="E915" s="61" t="s">
        <v>67</v>
      </c>
      <c r="F915" s="61" t="s">
        <v>67</v>
      </c>
      <c r="G915" s="62">
        <v>4016230853</v>
      </c>
      <c r="H915" s="61" t="s">
        <v>68</v>
      </c>
      <c r="I915" s="63" t="str">
        <f t="shared" si="131"/>
        <v>Poland-Offline</v>
      </c>
      <c r="J915" s="47"/>
      <c r="K915" s="54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</row>
    <row r="916" spans="1:42" ht="17.25" customHeight="1" x14ac:dyDescent="0.25">
      <c r="A916" s="55">
        <v>2012</v>
      </c>
      <c r="B916" s="56" t="s">
        <v>66</v>
      </c>
      <c r="C916" s="56" t="s">
        <v>17</v>
      </c>
      <c r="D916" s="56" t="s">
        <v>21</v>
      </c>
      <c r="E916" s="56" t="s">
        <v>69</v>
      </c>
      <c r="F916" s="56" t="s">
        <v>70</v>
      </c>
      <c r="G916" s="57">
        <v>838432148</v>
      </c>
      <c r="H916" s="56" t="s">
        <v>68</v>
      </c>
      <c r="I916" s="58" t="str">
        <f t="shared" si="131"/>
        <v>Poland-Online Supplier-Direct</v>
      </c>
      <c r="J916" s="40"/>
      <c r="K916" s="59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</row>
    <row r="917" spans="1:42" ht="17.25" customHeight="1" x14ac:dyDescent="0.25">
      <c r="A917" s="60">
        <v>2012</v>
      </c>
      <c r="B917" s="61" t="s">
        <v>66</v>
      </c>
      <c r="C917" s="61" t="s">
        <v>17</v>
      </c>
      <c r="D917" s="61" t="s">
        <v>21</v>
      </c>
      <c r="E917" s="61" t="s">
        <v>69</v>
      </c>
      <c r="F917" s="61" t="s">
        <v>71</v>
      </c>
      <c r="G917" s="62">
        <v>379203910</v>
      </c>
      <c r="H917" s="61" t="s">
        <v>68</v>
      </c>
      <c r="I917" s="63" t="str">
        <f t="shared" si="131"/>
        <v>Poland-OTA</v>
      </c>
      <c r="J917" s="47"/>
      <c r="K917" s="54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</row>
    <row r="918" spans="1:42" ht="17.25" customHeight="1" x14ac:dyDescent="0.25">
      <c r="A918" s="55">
        <v>2012</v>
      </c>
      <c r="B918" s="56" t="s">
        <v>66</v>
      </c>
      <c r="C918" s="56" t="s">
        <v>41</v>
      </c>
      <c r="D918" s="56" t="s">
        <v>42</v>
      </c>
      <c r="E918" s="56" t="s">
        <v>67</v>
      </c>
      <c r="F918" s="56" t="s">
        <v>67</v>
      </c>
      <c r="G918" s="57">
        <v>6001269771</v>
      </c>
      <c r="H918" s="56" t="s">
        <v>68</v>
      </c>
      <c r="I918" s="58" t="str">
        <f t="shared" si="131"/>
        <v>Qatar-Offline</v>
      </c>
      <c r="J918" s="40"/>
      <c r="K918" s="59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</row>
    <row r="919" spans="1:42" ht="17.25" customHeight="1" x14ac:dyDescent="0.25">
      <c r="A919" s="60">
        <v>2012</v>
      </c>
      <c r="B919" s="61" t="s">
        <v>66</v>
      </c>
      <c r="C919" s="61" t="s">
        <v>41</v>
      </c>
      <c r="D919" s="61" t="s">
        <v>42</v>
      </c>
      <c r="E919" s="61" t="s">
        <v>69</v>
      </c>
      <c r="F919" s="61" t="s">
        <v>70</v>
      </c>
      <c r="G919" s="62">
        <v>836811556</v>
      </c>
      <c r="H919" s="61" t="s">
        <v>68</v>
      </c>
      <c r="I919" s="63" t="str">
        <f t="shared" si="131"/>
        <v>Qatar-Online Supplier-Direct</v>
      </c>
      <c r="J919" s="47"/>
      <c r="K919" s="54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</row>
    <row r="920" spans="1:42" ht="17.25" customHeight="1" x14ac:dyDescent="0.25">
      <c r="A920" s="55">
        <v>2012</v>
      </c>
      <c r="B920" s="56" t="s">
        <v>66</v>
      </c>
      <c r="C920" s="56" t="s">
        <v>41</v>
      </c>
      <c r="D920" s="56" t="s">
        <v>42</v>
      </c>
      <c r="E920" s="56" t="s">
        <v>69</v>
      </c>
      <c r="F920" s="56" t="s">
        <v>71</v>
      </c>
      <c r="G920" s="57">
        <v>530407220</v>
      </c>
      <c r="H920" s="56" t="s">
        <v>68</v>
      </c>
      <c r="I920" s="58" t="str">
        <f t="shared" si="131"/>
        <v>Qatar-OTA</v>
      </c>
      <c r="J920" s="40"/>
      <c r="K920" s="59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</row>
    <row r="921" spans="1:42" ht="17.25" customHeight="1" x14ac:dyDescent="0.25">
      <c r="A921" s="60">
        <v>2012</v>
      </c>
      <c r="B921" s="61" t="s">
        <v>66</v>
      </c>
      <c r="C921" s="61" t="s">
        <v>17</v>
      </c>
      <c r="D921" s="61" t="s">
        <v>22</v>
      </c>
      <c r="E921" s="61" t="s">
        <v>67</v>
      </c>
      <c r="F921" s="61" t="s">
        <v>67</v>
      </c>
      <c r="G921" s="62">
        <v>1867963412</v>
      </c>
      <c r="H921" s="61" t="s">
        <v>68</v>
      </c>
      <c r="I921" s="63" t="str">
        <f t="shared" si="131"/>
        <v>Rest of Eastern Europe-Offline</v>
      </c>
      <c r="J921" s="47"/>
      <c r="K921" s="54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</row>
    <row r="922" spans="1:42" ht="17.25" customHeight="1" x14ac:dyDescent="0.25">
      <c r="A922" s="55">
        <v>2012</v>
      </c>
      <c r="B922" s="56" t="s">
        <v>66</v>
      </c>
      <c r="C922" s="56" t="s">
        <v>17</v>
      </c>
      <c r="D922" s="56" t="s">
        <v>22</v>
      </c>
      <c r="E922" s="56" t="s">
        <v>69</v>
      </c>
      <c r="F922" s="56" t="s">
        <v>70</v>
      </c>
      <c r="G922" s="57">
        <v>176398901</v>
      </c>
      <c r="H922" s="56" t="s">
        <v>68</v>
      </c>
      <c r="I922" s="58" t="str">
        <f t="shared" si="131"/>
        <v>Rest of Eastern Europe-Online Supplier-Direct</v>
      </c>
      <c r="J922" s="40"/>
      <c r="K922" s="59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</row>
    <row r="923" spans="1:42" ht="17.25" customHeight="1" x14ac:dyDescent="0.25">
      <c r="A923" s="60">
        <v>2012</v>
      </c>
      <c r="B923" s="61" t="s">
        <v>66</v>
      </c>
      <c r="C923" s="61" t="s">
        <v>17</v>
      </c>
      <c r="D923" s="61" t="s">
        <v>22</v>
      </c>
      <c r="E923" s="61" t="s">
        <v>69</v>
      </c>
      <c r="F923" s="61" t="s">
        <v>71</v>
      </c>
      <c r="G923" s="62">
        <v>123824506</v>
      </c>
      <c r="H923" s="61" t="s">
        <v>68</v>
      </c>
      <c r="I923" s="63" t="str">
        <f t="shared" si="131"/>
        <v>Rest of Eastern Europe-OTA</v>
      </c>
      <c r="J923" s="47"/>
      <c r="K923" s="54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</row>
    <row r="924" spans="1:42" ht="17.25" customHeight="1" x14ac:dyDescent="0.25">
      <c r="A924" s="55">
        <v>2012</v>
      </c>
      <c r="B924" s="56" t="s">
        <v>66</v>
      </c>
      <c r="C924" s="56" t="s">
        <v>27</v>
      </c>
      <c r="D924" s="56" t="s">
        <v>30</v>
      </c>
      <c r="E924" s="56" t="s">
        <v>67</v>
      </c>
      <c r="F924" s="56" t="s">
        <v>67</v>
      </c>
      <c r="G924" s="57">
        <v>37284845893</v>
      </c>
      <c r="H924" s="56" t="s">
        <v>68</v>
      </c>
      <c r="I924" s="58" t="str">
        <f t="shared" si="131"/>
        <v>Rest of Europe-Offline</v>
      </c>
      <c r="J924" s="40"/>
      <c r="K924" s="59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</row>
    <row r="925" spans="1:42" ht="17.25" customHeight="1" x14ac:dyDescent="0.25">
      <c r="A925" s="60">
        <v>2012</v>
      </c>
      <c r="B925" s="61" t="s">
        <v>66</v>
      </c>
      <c r="C925" s="61" t="s">
        <v>27</v>
      </c>
      <c r="D925" s="61" t="s">
        <v>30</v>
      </c>
      <c r="E925" s="61" t="s">
        <v>69</v>
      </c>
      <c r="F925" s="61" t="s">
        <v>70</v>
      </c>
      <c r="G925" s="62">
        <v>12103221995</v>
      </c>
      <c r="H925" s="61" t="s">
        <v>68</v>
      </c>
      <c r="I925" s="63" t="str">
        <f t="shared" si="131"/>
        <v>Rest of Europe-Online Supplier-Direct</v>
      </c>
      <c r="J925" s="47"/>
      <c r="K925" s="54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</row>
    <row r="926" spans="1:42" ht="17.25" customHeight="1" x14ac:dyDescent="0.25">
      <c r="A926" s="55">
        <v>2012</v>
      </c>
      <c r="B926" s="56" t="s">
        <v>66</v>
      </c>
      <c r="C926" s="56" t="s">
        <v>27</v>
      </c>
      <c r="D926" s="56" t="s">
        <v>30</v>
      </c>
      <c r="E926" s="56" t="s">
        <v>69</v>
      </c>
      <c r="F926" s="56" t="s">
        <v>71</v>
      </c>
      <c r="G926" s="57">
        <v>6768014052</v>
      </c>
      <c r="H926" s="56" t="s">
        <v>68</v>
      </c>
      <c r="I926" s="58" t="str">
        <f t="shared" si="131"/>
        <v>Rest of Europe-OTA</v>
      </c>
      <c r="J926" s="40"/>
      <c r="K926" s="59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</row>
    <row r="927" spans="1:42" ht="17.25" customHeight="1" x14ac:dyDescent="0.25">
      <c r="A927" s="60">
        <v>2012</v>
      </c>
      <c r="B927" s="61" t="s">
        <v>66</v>
      </c>
      <c r="C927" s="61" t="s">
        <v>41</v>
      </c>
      <c r="D927" s="61" t="s">
        <v>43</v>
      </c>
      <c r="E927" s="61" t="s">
        <v>67</v>
      </c>
      <c r="F927" s="61" t="s">
        <v>67</v>
      </c>
      <c r="G927" s="62">
        <v>6879815028</v>
      </c>
      <c r="H927" s="61" t="s">
        <v>68</v>
      </c>
      <c r="I927" s="63" t="str">
        <f t="shared" si="131"/>
        <v>Rest of Middle East-Offline</v>
      </c>
      <c r="J927" s="47"/>
      <c r="K927" s="54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</row>
    <row r="928" spans="1:42" ht="17.25" customHeight="1" x14ac:dyDescent="0.25">
      <c r="A928" s="55">
        <v>2012</v>
      </c>
      <c r="B928" s="56" t="s">
        <v>66</v>
      </c>
      <c r="C928" s="56" t="s">
        <v>41</v>
      </c>
      <c r="D928" s="56" t="s">
        <v>43</v>
      </c>
      <c r="E928" s="56" t="s">
        <v>69</v>
      </c>
      <c r="F928" s="56" t="s">
        <v>70</v>
      </c>
      <c r="G928" s="57">
        <v>605336701</v>
      </c>
      <c r="H928" s="56" t="s">
        <v>68</v>
      </c>
      <c r="I928" s="58" t="str">
        <f t="shared" si="131"/>
        <v>Rest of Middle East-Online Supplier-Direct</v>
      </c>
      <c r="J928" s="40"/>
      <c r="K928" s="59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</row>
    <row r="929" spans="1:42" ht="17.25" customHeight="1" x14ac:dyDescent="0.25">
      <c r="A929" s="60">
        <v>2012</v>
      </c>
      <c r="B929" s="61" t="s">
        <v>66</v>
      </c>
      <c r="C929" s="61" t="s">
        <v>41</v>
      </c>
      <c r="D929" s="61" t="s">
        <v>43</v>
      </c>
      <c r="E929" s="61" t="s">
        <v>69</v>
      </c>
      <c r="F929" s="61" t="s">
        <v>71</v>
      </c>
      <c r="G929" s="62">
        <v>520834364</v>
      </c>
      <c r="H929" s="61" t="s">
        <v>68</v>
      </c>
      <c r="I929" s="63" t="str">
        <f t="shared" si="131"/>
        <v>Rest of Middle East-OTA</v>
      </c>
      <c r="J929" s="47"/>
      <c r="K929" s="54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</row>
    <row r="930" spans="1:42" ht="17.25" customHeight="1" x14ac:dyDescent="0.25">
      <c r="A930" s="55">
        <v>2012</v>
      </c>
      <c r="B930" s="56" t="s">
        <v>66</v>
      </c>
      <c r="C930" s="56" t="s">
        <v>17</v>
      </c>
      <c r="D930" s="56" t="s">
        <v>23</v>
      </c>
      <c r="E930" s="56" t="s">
        <v>67</v>
      </c>
      <c r="F930" s="56" t="s">
        <v>67</v>
      </c>
      <c r="G930" s="57">
        <v>2580282491</v>
      </c>
      <c r="H930" s="56" t="s">
        <v>68</v>
      </c>
      <c r="I930" s="58" t="str">
        <f t="shared" si="131"/>
        <v>Romania-Offline</v>
      </c>
      <c r="J930" s="40"/>
      <c r="K930" s="59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</row>
    <row r="931" spans="1:42" ht="17.25" customHeight="1" x14ac:dyDescent="0.25">
      <c r="A931" s="60">
        <v>2012</v>
      </c>
      <c r="B931" s="61" t="s">
        <v>66</v>
      </c>
      <c r="C931" s="61" t="s">
        <v>17</v>
      </c>
      <c r="D931" s="61" t="s">
        <v>23</v>
      </c>
      <c r="E931" s="61" t="s">
        <v>69</v>
      </c>
      <c r="F931" s="61" t="s">
        <v>70</v>
      </c>
      <c r="G931" s="62">
        <v>462944826</v>
      </c>
      <c r="H931" s="61" t="s">
        <v>68</v>
      </c>
      <c r="I931" s="63" t="str">
        <f t="shared" si="131"/>
        <v>Romania-Online Supplier-Direct</v>
      </c>
      <c r="J931" s="47"/>
      <c r="K931" s="54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</row>
    <row r="932" spans="1:42" ht="17.25" customHeight="1" x14ac:dyDescent="0.25">
      <c r="A932" s="55">
        <v>2012</v>
      </c>
      <c r="B932" s="56" t="s">
        <v>66</v>
      </c>
      <c r="C932" s="56" t="s">
        <v>17</v>
      </c>
      <c r="D932" s="56" t="s">
        <v>23</v>
      </c>
      <c r="E932" s="56" t="s">
        <v>69</v>
      </c>
      <c r="F932" s="56" t="s">
        <v>71</v>
      </c>
      <c r="G932" s="57">
        <v>197531068</v>
      </c>
      <c r="H932" s="56" t="s">
        <v>68</v>
      </c>
      <c r="I932" s="58" t="str">
        <f t="shared" si="131"/>
        <v>Romania-OTA</v>
      </c>
      <c r="J932" s="40"/>
      <c r="K932" s="59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</row>
    <row r="933" spans="1:42" ht="17.25" customHeight="1" x14ac:dyDescent="0.25">
      <c r="A933" s="60">
        <v>2012</v>
      </c>
      <c r="B933" s="61" t="s">
        <v>66</v>
      </c>
      <c r="C933" s="61" t="s">
        <v>17</v>
      </c>
      <c r="D933" s="61" t="s">
        <v>24</v>
      </c>
      <c r="E933" s="61" t="s">
        <v>67</v>
      </c>
      <c r="F933" s="61" t="s">
        <v>67</v>
      </c>
      <c r="G933" s="62">
        <v>36132509683</v>
      </c>
      <c r="H933" s="61" t="s">
        <v>68</v>
      </c>
      <c r="I933" s="63" t="str">
        <f t="shared" si="131"/>
        <v>Russia-Offline</v>
      </c>
      <c r="J933" s="47"/>
      <c r="K933" s="54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</row>
    <row r="934" spans="1:42" ht="17.25" customHeight="1" x14ac:dyDescent="0.25">
      <c r="A934" s="55">
        <v>2012</v>
      </c>
      <c r="B934" s="56" t="s">
        <v>66</v>
      </c>
      <c r="C934" s="56" t="s">
        <v>17</v>
      </c>
      <c r="D934" s="56" t="s">
        <v>24</v>
      </c>
      <c r="E934" s="56" t="s">
        <v>69</v>
      </c>
      <c r="F934" s="56" t="s">
        <v>70</v>
      </c>
      <c r="G934" s="57">
        <v>3978287461</v>
      </c>
      <c r="H934" s="56" t="s">
        <v>68</v>
      </c>
      <c r="I934" s="58" t="str">
        <f t="shared" si="131"/>
        <v>Russia-Online Supplier-Direct</v>
      </c>
      <c r="J934" s="40"/>
      <c r="K934" s="59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</row>
    <row r="935" spans="1:42" ht="17.25" customHeight="1" x14ac:dyDescent="0.25">
      <c r="A935" s="60">
        <v>2012</v>
      </c>
      <c r="B935" s="61" t="s">
        <v>66</v>
      </c>
      <c r="C935" s="61" t="s">
        <v>17</v>
      </c>
      <c r="D935" s="61" t="s">
        <v>24</v>
      </c>
      <c r="E935" s="61" t="s">
        <v>69</v>
      </c>
      <c r="F935" s="61" t="s">
        <v>71</v>
      </c>
      <c r="G935" s="62">
        <v>3626411078</v>
      </c>
      <c r="H935" s="61" t="s">
        <v>68</v>
      </c>
      <c r="I935" s="63" t="str">
        <f t="shared" si="131"/>
        <v>Russia-OTA</v>
      </c>
      <c r="J935" s="47"/>
      <c r="K935" s="54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</row>
    <row r="936" spans="1:42" ht="17.25" customHeight="1" x14ac:dyDescent="0.25">
      <c r="A936" s="55">
        <v>2012</v>
      </c>
      <c r="B936" s="56" t="s">
        <v>66</v>
      </c>
      <c r="C936" s="56" t="s">
        <v>41</v>
      </c>
      <c r="D936" s="56" t="s">
        <v>44</v>
      </c>
      <c r="E936" s="56" t="s">
        <v>67</v>
      </c>
      <c r="F936" s="56" t="s">
        <v>67</v>
      </c>
      <c r="G936" s="57">
        <v>8263853936</v>
      </c>
      <c r="H936" s="56" t="s">
        <v>68</v>
      </c>
      <c r="I936" s="58" t="str">
        <f t="shared" si="131"/>
        <v>Saudi Arabia-Offline</v>
      </c>
      <c r="J936" s="40"/>
      <c r="K936" s="59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</row>
    <row r="937" spans="1:42" ht="17.25" customHeight="1" x14ac:dyDescent="0.25">
      <c r="A937" s="60">
        <v>2012</v>
      </c>
      <c r="B937" s="61" t="s">
        <v>66</v>
      </c>
      <c r="C937" s="61" t="s">
        <v>41</v>
      </c>
      <c r="D937" s="61" t="s">
        <v>44</v>
      </c>
      <c r="E937" s="61" t="s">
        <v>69</v>
      </c>
      <c r="F937" s="61" t="s">
        <v>70</v>
      </c>
      <c r="G937" s="62">
        <v>704466528</v>
      </c>
      <c r="H937" s="61" t="s">
        <v>68</v>
      </c>
      <c r="I937" s="63" t="str">
        <f t="shared" si="131"/>
        <v>Saudi Arabia-Online Supplier-Direct</v>
      </c>
      <c r="J937" s="47"/>
      <c r="K937" s="54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</row>
    <row r="938" spans="1:42" ht="17.25" customHeight="1" x14ac:dyDescent="0.25">
      <c r="A938" s="55">
        <v>2012</v>
      </c>
      <c r="B938" s="56" t="s">
        <v>66</v>
      </c>
      <c r="C938" s="56" t="s">
        <v>41</v>
      </c>
      <c r="D938" s="56" t="s">
        <v>44</v>
      </c>
      <c r="E938" s="56" t="s">
        <v>69</v>
      </c>
      <c r="F938" s="56" t="s">
        <v>71</v>
      </c>
      <c r="G938" s="57">
        <v>917668753</v>
      </c>
      <c r="H938" s="56" t="s">
        <v>68</v>
      </c>
      <c r="I938" s="58" t="str">
        <f t="shared" si="131"/>
        <v>Saudi Arabia-OTA</v>
      </c>
      <c r="J938" s="40"/>
      <c r="K938" s="59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</row>
    <row r="939" spans="1:42" ht="17.25" customHeight="1" x14ac:dyDescent="0.25">
      <c r="A939" s="60">
        <v>2012</v>
      </c>
      <c r="B939" s="61" t="s">
        <v>66</v>
      </c>
      <c r="C939" s="61" t="s">
        <v>27</v>
      </c>
      <c r="D939" s="61" t="s">
        <v>31</v>
      </c>
      <c r="E939" s="61" t="s">
        <v>67</v>
      </c>
      <c r="F939" s="61" t="s">
        <v>67</v>
      </c>
      <c r="G939" s="62">
        <v>9745063678</v>
      </c>
      <c r="H939" s="61" t="s">
        <v>68</v>
      </c>
      <c r="I939" s="63" t="str">
        <f t="shared" si="131"/>
        <v>Scandinavia-Offline</v>
      </c>
      <c r="J939" s="47"/>
      <c r="K939" s="54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</row>
    <row r="940" spans="1:42" ht="17.25" customHeight="1" x14ac:dyDescent="0.25">
      <c r="A940" s="55">
        <v>2012</v>
      </c>
      <c r="B940" s="56" t="s">
        <v>66</v>
      </c>
      <c r="C940" s="56" t="s">
        <v>27</v>
      </c>
      <c r="D940" s="56" t="s">
        <v>31</v>
      </c>
      <c r="E940" s="56" t="s">
        <v>69</v>
      </c>
      <c r="F940" s="56" t="s">
        <v>70</v>
      </c>
      <c r="G940" s="57">
        <v>7049358598</v>
      </c>
      <c r="H940" s="56" t="s">
        <v>68</v>
      </c>
      <c r="I940" s="58" t="str">
        <f t="shared" si="131"/>
        <v>Scandinavia-Online Supplier-Direct</v>
      </c>
      <c r="J940" s="40"/>
      <c r="K940" s="59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</row>
    <row r="941" spans="1:42" ht="17.25" customHeight="1" x14ac:dyDescent="0.25">
      <c r="A941" s="60">
        <v>2012</v>
      </c>
      <c r="B941" s="61" t="s">
        <v>66</v>
      </c>
      <c r="C941" s="61" t="s">
        <v>27</v>
      </c>
      <c r="D941" s="61" t="s">
        <v>31</v>
      </c>
      <c r="E941" s="61" t="s">
        <v>69</v>
      </c>
      <c r="F941" s="61" t="s">
        <v>71</v>
      </c>
      <c r="G941" s="62">
        <v>3025031370</v>
      </c>
      <c r="H941" s="61" t="s">
        <v>68</v>
      </c>
      <c r="I941" s="63" t="str">
        <f t="shared" si="131"/>
        <v>Scandinavia-OTA</v>
      </c>
      <c r="J941" s="47"/>
      <c r="K941" s="54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</row>
    <row r="942" spans="1:42" ht="17.25" customHeight="1" x14ac:dyDescent="0.25">
      <c r="A942" s="55">
        <v>2012</v>
      </c>
      <c r="B942" s="56" t="s">
        <v>66</v>
      </c>
      <c r="C942" s="56" t="s">
        <v>4</v>
      </c>
      <c r="D942" s="56" t="s">
        <v>12</v>
      </c>
      <c r="E942" s="56" t="s">
        <v>67</v>
      </c>
      <c r="F942" s="56" t="s">
        <v>67</v>
      </c>
      <c r="G942" s="57">
        <v>7620382907</v>
      </c>
      <c r="H942" s="56" t="s">
        <v>68</v>
      </c>
      <c r="I942" s="58" t="str">
        <f t="shared" si="131"/>
        <v>Singapore-Offline</v>
      </c>
      <c r="J942" s="40"/>
      <c r="K942" s="59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</row>
    <row r="943" spans="1:42" ht="17.25" customHeight="1" x14ac:dyDescent="0.25">
      <c r="A943" s="60">
        <v>2012</v>
      </c>
      <c r="B943" s="61" t="s">
        <v>66</v>
      </c>
      <c r="C943" s="61" t="s">
        <v>4</v>
      </c>
      <c r="D943" s="61" t="s">
        <v>12</v>
      </c>
      <c r="E943" s="61" t="s">
        <v>69</v>
      </c>
      <c r="F943" s="61" t="s">
        <v>70</v>
      </c>
      <c r="G943" s="62">
        <v>2281185543</v>
      </c>
      <c r="H943" s="61" t="s">
        <v>68</v>
      </c>
      <c r="I943" s="63" t="str">
        <f t="shared" si="131"/>
        <v>Singapore-Online Supplier-Direct</v>
      </c>
      <c r="J943" s="47"/>
      <c r="K943" s="54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</row>
    <row r="944" spans="1:42" ht="17.25" customHeight="1" x14ac:dyDescent="0.25">
      <c r="A944" s="55">
        <v>2012</v>
      </c>
      <c r="B944" s="56" t="s">
        <v>66</v>
      </c>
      <c r="C944" s="56" t="s">
        <v>4</v>
      </c>
      <c r="D944" s="56" t="s">
        <v>12</v>
      </c>
      <c r="E944" s="56" t="s">
        <v>69</v>
      </c>
      <c r="F944" s="56" t="s">
        <v>71</v>
      </c>
      <c r="G944" s="57">
        <v>679769575</v>
      </c>
      <c r="H944" s="56" t="s">
        <v>68</v>
      </c>
      <c r="I944" s="58" t="str">
        <f t="shared" si="131"/>
        <v>Singapore-OTA</v>
      </c>
      <c r="J944" s="40"/>
      <c r="K944" s="59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</row>
    <row r="945" spans="1:42" ht="17.25" customHeight="1" x14ac:dyDescent="0.25">
      <c r="A945" s="60">
        <v>2012</v>
      </c>
      <c r="B945" s="61" t="s">
        <v>66</v>
      </c>
      <c r="C945" s="61" t="s">
        <v>4</v>
      </c>
      <c r="D945" s="61" t="s">
        <v>13</v>
      </c>
      <c r="E945" s="61" t="s">
        <v>67</v>
      </c>
      <c r="F945" s="61" t="s">
        <v>67</v>
      </c>
      <c r="G945" s="62">
        <v>11692094967</v>
      </c>
      <c r="H945" s="61" t="s">
        <v>68</v>
      </c>
      <c r="I945" s="63" t="str">
        <f t="shared" si="131"/>
        <v>South Korea-Offline</v>
      </c>
      <c r="J945" s="47"/>
      <c r="K945" s="54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</row>
    <row r="946" spans="1:42" ht="17.25" customHeight="1" x14ac:dyDescent="0.25">
      <c r="A946" s="55">
        <v>2012</v>
      </c>
      <c r="B946" s="56" t="s">
        <v>66</v>
      </c>
      <c r="C946" s="56" t="s">
        <v>4</v>
      </c>
      <c r="D946" s="56" t="s">
        <v>13</v>
      </c>
      <c r="E946" s="56" t="s">
        <v>69</v>
      </c>
      <c r="F946" s="56" t="s">
        <v>70</v>
      </c>
      <c r="G946" s="57">
        <v>2794701539</v>
      </c>
      <c r="H946" s="56" t="s">
        <v>68</v>
      </c>
      <c r="I946" s="58" t="str">
        <f t="shared" si="131"/>
        <v>South Korea-Online Supplier-Direct</v>
      </c>
      <c r="J946" s="40"/>
      <c r="K946" s="59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</row>
    <row r="947" spans="1:42" ht="17.25" customHeight="1" x14ac:dyDescent="0.25">
      <c r="A947" s="60">
        <v>2012</v>
      </c>
      <c r="B947" s="61" t="s">
        <v>66</v>
      </c>
      <c r="C947" s="61" t="s">
        <v>4</v>
      </c>
      <c r="D947" s="61" t="s">
        <v>13</v>
      </c>
      <c r="E947" s="61" t="s">
        <v>69</v>
      </c>
      <c r="F947" s="61" t="s">
        <v>71</v>
      </c>
      <c r="G947" s="62">
        <v>644095563</v>
      </c>
      <c r="H947" s="61" t="s">
        <v>68</v>
      </c>
      <c r="I947" s="63" t="str">
        <f t="shared" si="131"/>
        <v>South Korea-OTA</v>
      </c>
      <c r="J947" s="47"/>
      <c r="K947" s="54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</row>
    <row r="948" spans="1:42" ht="17.25" customHeight="1" x14ac:dyDescent="0.25">
      <c r="A948" s="55">
        <v>2012</v>
      </c>
      <c r="B948" s="56" t="s">
        <v>66</v>
      </c>
      <c r="C948" s="56" t="s">
        <v>27</v>
      </c>
      <c r="D948" s="56" t="s">
        <v>32</v>
      </c>
      <c r="E948" s="56" t="s">
        <v>67</v>
      </c>
      <c r="F948" s="56" t="s">
        <v>67</v>
      </c>
      <c r="G948" s="57">
        <v>17341589307</v>
      </c>
      <c r="H948" s="56" t="s">
        <v>68</v>
      </c>
      <c r="I948" s="58" t="str">
        <f t="shared" si="131"/>
        <v>Spain-Offline</v>
      </c>
      <c r="J948" s="40"/>
      <c r="K948" s="59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</row>
    <row r="949" spans="1:42" ht="17.25" customHeight="1" x14ac:dyDescent="0.25">
      <c r="A949" s="60">
        <v>2012</v>
      </c>
      <c r="B949" s="61" t="s">
        <v>66</v>
      </c>
      <c r="C949" s="61" t="s">
        <v>27</v>
      </c>
      <c r="D949" s="61" t="s">
        <v>32</v>
      </c>
      <c r="E949" s="61" t="s">
        <v>69</v>
      </c>
      <c r="F949" s="61" t="s">
        <v>70</v>
      </c>
      <c r="G949" s="62">
        <v>3607012832</v>
      </c>
      <c r="H949" s="61" t="s">
        <v>68</v>
      </c>
      <c r="I949" s="63" t="str">
        <f t="shared" si="131"/>
        <v>Spain-Online Supplier-Direct</v>
      </c>
      <c r="J949" s="47"/>
      <c r="K949" s="54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</row>
    <row r="950" spans="1:42" ht="17.25" customHeight="1" x14ac:dyDescent="0.25">
      <c r="A950" s="55">
        <v>2012</v>
      </c>
      <c r="B950" s="56" t="s">
        <v>66</v>
      </c>
      <c r="C950" s="56" t="s">
        <v>27</v>
      </c>
      <c r="D950" s="56" t="s">
        <v>32</v>
      </c>
      <c r="E950" s="56" t="s">
        <v>69</v>
      </c>
      <c r="F950" s="56" t="s">
        <v>71</v>
      </c>
      <c r="G950" s="57">
        <v>5122495863</v>
      </c>
      <c r="H950" s="56" t="s">
        <v>68</v>
      </c>
      <c r="I950" s="58" t="str">
        <f t="shared" si="131"/>
        <v>Spain-OTA</v>
      </c>
      <c r="J950" s="40"/>
      <c r="K950" s="59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</row>
    <row r="951" spans="1:42" ht="17.25" customHeight="1" x14ac:dyDescent="0.25">
      <c r="A951" s="60">
        <v>2012</v>
      </c>
      <c r="B951" s="61" t="s">
        <v>66</v>
      </c>
      <c r="C951" s="61" t="s">
        <v>4</v>
      </c>
      <c r="D951" s="61" t="s">
        <v>14</v>
      </c>
      <c r="E951" s="61" t="s">
        <v>67</v>
      </c>
      <c r="F951" s="61" t="s">
        <v>67</v>
      </c>
      <c r="G951" s="62">
        <v>7612864586</v>
      </c>
      <c r="H951" s="61" t="s">
        <v>68</v>
      </c>
      <c r="I951" s="63" t="str">
        <f t="shared" si="131"/>
        <v>Taiwan-Offline</v>
      </c>
      <c r="J951" s="47"/>
      <c r="K951" s="54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</row>
    <row r="952" spans="1:42" ht="17.25" customHeight="1" x14ac:dyDescent="0.25">
      <c r="A952" s="55">
        <v>2012</v>
      </c>
      <c r="B952" s="56" t="s">
        <v>66</v>
      </c>
      <c r="C952" s="56" t="s">
        <v>4</v>
      </c>
      <c r="D952" s="56" t="s">
        <v>14</v>
      </c>
      <c r="E952" s="56" t="s">
        <v>69</v>
      </c>
      <c r="F952" s="56" t="s">
        <v>70</v>
      </c>
      <c r="G952" s="57">
        <v>894443792</v>
      </c>
      <c r="H952" s="56" t="s">
        <v>68</v>
      </c>
      <c r="I952" s="58" t="str">
        <f t="shared" si="131"/>
        <v>Taiwan-Online Supplier-Direct</v>
      </c>
      <c r="J952" s="40"/>
      <c r="K952" s="59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</row>
    <row r="953" spans="1:42" ht="17.25" customHeight="1" x14ac:dyDescent="0.25">
      <c r="A953" s="60">
        <v>2012</v>
      </c>
      <c r="B953" s="61" t="s">
        <v>66</v>
      </c>
      <c r="C953" s="61" t="s">
        <v>4</v>
      </c>
      <c r="D953" s="61" t="s">
        <v>14</v>
      </c>
      <c r="E953" s="61" t="s">
        <v>69</v>
      </c>
      <c r="F953" s="61" t="s">
        <v>71</v>
      </c>
      <c r="G953" s="62">
        <v>250236532</v>
      </c>
      <c r="H953" s="61" t="s">
        <v>68</v>
      </c>
      <c r="I953" s="63" t="str">
        <f t="shared" si="131"/>
        <v>Taiwan-OTA</v>
      </c>
      <c r="J953" s="47"/>
      <c r="K953" s="54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</row>
    <row r="954" spans="1:42" ht="17.25" customHeight="1" x14ac:dyDescent="0.25">
      <c r="A954" s="55">
        <v>2012</v>
      </c>
      <c r="B954" s="56" t="s">
        <v>66</v>
      </c>
      <c r="C954" s="56" t="s">
        <v>4</v>
      </c>
      <c r="D954" s="56" t="s">
        <v>15</v>
      </c>
      <c r="E954" s="56" t="s">
        <v>67</v>
      </c>
      <c r="F954" s="56" t="s">
        <v>67</v>
      </c>
      <c r="G954" s="57">
        <v>8974570559</v>
      </c>
      <c r="H954" s="56" t="s">
        <v>68</v>
      </c>
      <c r="I954" s="58" t="str">
        <f t="shared" si="131"/>
        <v>Thailand-Offline</v>
      </c>
      <c r="J954" s="40"/>
      <c r="K954" s="59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</row>
    <row r="955" spans="1:42" ht="17.25" customHeight="1" x14ac:dyDescent="0.25">
      <c r="A955" s="60">
        <v>2012</v>
      </c>
      <c r="B955" s="61" t="s">
        <v>66</v>
      </c>
      <c r="C955" s="61" t="s">
        <v>4</v>
      </c>
      <c r="D955" s="61" t="s">
        <v>15</v>
      </c>
      <c r="E955" s="61" t="s">
        <v>69</v>
      </c>
      <c r="F955" s="61" t="s">
        <v>70</v>
      </c>
      <c r="G955" s="62">
        <v>1245852480</v>
      </c>
      <c r="H955" s="61" t="s">
        <v>68</v>
      </c>
      <c r="I955" s="63" t="str">
        <f t="shared" si="131"/>
        <v>Thailand-Online Supplier-Direct</v>
      </c>
      <c r="J955" s="47"/>
      <c r="K955" s="54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</row>
    <row r="956" spans="1:42" ht="17.25" customHeight="1" x14ac:dyDescent="0.25">
      <c r="A956" s="55">
        <v>2012</v>
      </c>
      <c r="B956" s="56" t="s">
        <v>66</v>
      </c>
      <c r="C956" s="56" t="s">
        <v>4</v>
      </c>
      <c r="D956" s="56" t="s">
        <v>15</v>
      </c>
      <c r="E956" s="56" t="s">
        <v>69</v>
      </c>
      <c r="F956" s="56" t="s">
        <v>71</v>
      </c>
      <c r="G956" s="57">
        <v>1214902644</v>
      </c>
      <c r="H956" s="56" t="s">
        <v>68</v>
      </c>
      <c r="I956" s="58" t="str">
        <f t="shared" si="131"/>
        <v>Thailand-OTA</v>
      </c>
      <c r="J956" s="40"/>
      <c r="K956" s="59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</row>
    <row r="957" spans="1:42" ht="17.25" customHeight="1" x14ac:dyDescent="0.25">
      <c r="A957" s="60">
        <v>2012</v>
      </c>
      <c r="B957" s="61" t="s">
        <v>66</v>
      </c>
      <c r="C957" s="61" t="s">
        <v>41</v>
      </c>
      <c r="D957" s="61" t="s">
        <v>45</v>
      </c>
      <c r="E957" s="61" t="s">
        <v>67</v>
      </c>
      <c r="F957" s="61" t="s">
        <v>67</v>
      </c>
      <c r="G957" s="62">
        <v>22584624660</v>
      </c>
      <c r="H957" s="61" t="s">
        <v>68</v>
      </c>
      <c r="I957" s="63" t="str">
        <f t="shared" si="131"/>
        <v>U.A.E.-Offline</v>
      </c>
      <c r="J957" s="47"/>
      <c r="K957" s="54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</row>
    <row r="958" spans="1:42" ht="17.25" customHeight="1" x14ac:dyDescent="0.25">
      <c r="A958" s="55">
        <v>2012</v>
      </c>
      <c r="B958" s="56" t="s">
        <v>66</v>
      </c>
      <c r="C958" s="56" t="s">
        <v>41</v>
      </c>
      <c r="D958" s="56" t="s">
        <v>45</v>
      </c>
      <c r="E958" s="56" t="s">
        <v>69</v>
      </c>
      <c r="F958" s="56" t="s">
        <v>70</v>
      </c>
      <c r="G958" s="57">
        <v>3872437458</v>
      </c>
      <c r="H958" s="56" t="s">
        <v>68</v>
      </c>
      <c r="I958" s="58" t="str">
        <f t="shared" si="131"/>
        <v>U.A.E.-Online Supplier-Direct</v>
      </c>
      <c r="J958" s="40"/>
      <c r="K958" s="59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</row>
    <row r="959" spans="1:42" ht="17.25" customHeight="1" x14ac:dyDescent="0.25">
      <c r="A959" s="60">
        <v>2012</v>
      </c>
      <c r="B959" s="61" t="s">
        <v>66</v>
      </c>
      <c r="C959" s="61" t="s">
        <v>41</v>
      </c>
      <c r="D959" s="61" t="s">
        <v>45</v>
      </c>
      <c r="E959" s="61" t="s">
        <v>69</v>
      </c>
      <c r="F959" s="61" t="s">
        <v>71</v>
      </c>
      <c r="G959" s="62">
        <v>2608785311</v>
      </c>
      <c r="H959" s="61" t="s">
        <v>68</v>
      </c>
      <c r="I959" s="63" t="str">
        <f t="shared" si="131"/>
        <v>U.A.E.-OTA</v>
      </c>
      <c r="J959" s="47"/>
      <c r="K959" s="54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</row>
    <row r="960" spans="1:42" ht="17.25" customHeight="1" x14ac:dyDescent="0.25">
      <c r="A960" s="55">
        <v>2012</v>
      </c>
      <c r="B960" s="56" t="s">
        <v>66</v>
      </c>
      <c r="C960" s="56" t="s">
        <v>27</v>
      </c>
      <c r="D960" s="56" t="s">
        <v>33</v>
      </c>
      <c r="E960" s="56" t="s">
        <v>67</v>
      </c>
      <c r="F960" s="56" t="s">
        <v>67</v>
      </c>
      <c r="G960" s="57">
        <v>32851806903</v>
      </c>
      <c r="H960" s="56" t="s">
        <v>68</v>
      </c>
      <c r="I960" s="58" t="str">
        <f t="shared" si="131"/>
        <v>U.K.-Offline</v>
      </c>
      <c r="J960" s="40"/>
      <c r="K960" s="59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</row>
    <row r="961" spans="1:42" ht="17.25" customHeight="1" x14ac:dyDescent="0.25">
      <c r="A961" s="60">
        <v>2012</v>
      </c>
      <c r="B961" s="61" t="s">
        <v>66</v>
      </c>
      <c r="C961" s="61" t="s">
        <v>27</v>
      </c>
      <c r="D961" s="61" t="s">
        <v>33</v>
      </c>
      <c r="E961" s="61" t="s">
        <v>69</v>
      </c>
      <c r="F961" s="61" t="s">
        <v>70</v>
      </c>
      <c r="G961" s="62">
        <v>22280713728</v>
      </c>
      <c r="H961" s="61" t="s">
        <v>68</v>
      </c>
      <c r="I961" s="63" t="str">
        <f t="shared" si="131"/>
        <v>U.K.-Online Supplier-Direct</v>
      </c>
      <c r="J961" s="47"/>
      <c r="K961" s="54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</row>
    <row r="962" spans="1:42" ht="17.25" customHeight="1" x14ac:dyDescent="0.25">
      <c r="A962" s="55">
        <v>2012</v>
      </c>
      <c r="B962" s="56" t="s">
        <v>66</v>
      </c>
      <c r="C962" s="56" t="s">
        <v>27</v>
      </c>
      <c r="D962" s="56" t="s">
        <v>33</v>
      </c>
      <c r="E962" s="56" t="s">
        <v>69</v>
      </c>
      <c r="F962" s="56" t="s">
        <v>71</v>
      </c>
      <c r="G962" s="57">
        <v>8152747299</v>
      </c>
      <c r="H962" s="56" t="s">
        <v>68</v>
      </c>
      <c r="I962" s="58" t="str">
        <f t="shared" si="131"/>
        <v>U.K.-OTA</v>
      </c>
      <c r="J962" s="40"/>
      <c r="K962" s="59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</row>
    <row r="963" spans="1:42" ht="17.25" customHeight="1" x14ac:dyDescent="0.25">
      <c r="A963" s="60">
        <v>2012</v>
      </c>
      <c r="B963" s="61" t="s">
        <v>66</v>
      </c>
      <c r="C963" s="61" t="s">
        <v>47</v>
      </c>
      <c r="D963" s="61" t="s">
        <v>48</v>
      </c>
      <c r="E963" s="61" t="s">
        <v>72</v>
      </c>
      <c r="F963" s="61" t="s">
        <v>73</v>
      </c>
      <c r="G963" s="62">
        <v>82876423588</v>
      </c>
      <c r="H963" s="61" t="s">
        <v>68</v>
      </c>
      <c r="I963" s="63" t="str">
        <f t="shared" si="131"/>
        <v>U.S.-Central Reservation</v>
      </c>
      <c r="J963" s="47"/>
      <c r="K963" s="54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</row>
    <row r="964" spans="1:42" ht="17.25" customHeight="1" x14ac:dyDescent="0.25">
      <c r="A964" s="55">
        <v>2012</v>
      </c>
      <c r="B964" s="56" t="s">
        <v>66</v>
      </c>
      <c r="C964" s="56" t="s">
        <v>47</v>
      </c>
      <c r="D964" s="56" t="s">
        <v>48</v>
      </c>
      <c r="E964" s="56" t="s">
        <v>67</v>
      </c>
      <c r="F964" s="56" t="s">
        <v>74</v>
      </c>
      <c r="G964" s="57">
        <v>89003462330</v>
      </c>
      <c r="H964" s="56" t="s">
        <v>68</v>
      </c>
      <c r="I964" s="58" t="str">
        <f t="shared" si="131"/>
        <v>U.S.-Travel Agency/TMC</v>
      </c>
      <c r="J964" s="40"/>
      <c r="K964" s="59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</row>
    <row r="965" spans="1:42" ht="17.25" customHeight="1" x14ac:dyDescent="0.25">
      <c r="A965" s="60">
        <v>2012</v>
      </c>
      <c r="B965" s="61" t="s">
        <v>66</v>
      </c>
      <c r="C965" s="61" t="s">
        <v>47</v>
      </c>
      <c r="D965" s="61" t="s">
        <v>48</v>
      </c>
      <c r="E965" s="61" t="s">
        <v>69</v>
      </c>
      <c r="F965" s="61" t="s">
        <v>70</v>
      </c>
      <c r="G965" s="62">
        <v>78003232480</v>
      </c>
      <c r="H965" s="61" t="s">
        <v>68</v>
      </c>
      <c r="I965" s="63" t="str">
        <f t="shared" si="131"/>
        <v>U.S.-Online Supplier-Direct</v>
      </c>
      <c r="J965" s="47"/>
      <c r="K965" s="54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</row>
    <row r="966" spans="1:42" ht="17.25" customHeight="1" x14ac:dyDescent="0.25">
      <c r="A966" s="55">
        <v>2012</v>
      </c>
      <c r="B966" s="56" t="s">
        <v>66</v>
      </c>
      <c r="C966" s="56" t="s">
        <v>47</v>
      </c>
      <c r="D966" s="56" t="s">
        <v>48</v>
      </c>
      <c r="E966" s="56" t="s">
        <v>69</v>
      </c>
      <c r="F966" s="56" t="s">
        <v>71</v>
      </c>
      <c r="G966" s="57">
        <v>43041933125</v>
      </c>
      <c r="H966" s="56" t="s">
        <v>68</v>
      </c>
      <c r="I966" s="58" t="str">
        <f t="shared" si="131"/>
        <v>U.S.-OTA</v>
      </c>
      <c r="J966" s="40"/>
      <c r="K966" s="59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</row>
    <row r="967" spans="1:42" ht="17.25" customHeight="1" x14ac:dyDescent="0.25">
      <c r="A967" s="60">
        <v>2012</v>
      </c>
      <c r="B967" s="61" t="s">
        <v>66</v>
      </c>
      <c r="C967" s="61" t="s">
        <v>17</v>
      </c>
      <c r="D967" s="61" t="s">
        <v>25</v>
      </c>
      <c r="E967" s="61" t="s">
        <v>67</v>
      </c>
      <c r="F967" s="61" t="s">
        <v>67</v>
      </c>
      <c r="G967" s="62">
        <v>3421264653</v>
      </c>
      <c r="H967" s="61" t="s">
        <v>68</v>
      </c>
      <c r="I967" s="63" t="str">
        <f t="shared" si="131"/>
        <v>Ukraine-Offline</v>
      </c>
      <c r="J967" s="47"/>
      <c r="K967" s="54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</row>
    <row r="968" spans="1:42" ht="17.25" customHeight="1" x14ac:dyDescent="0.25">
      <c r="A968" s="55">
        <v>2012</v>
      </c>
      <c r="B968" s="56" t="s">
        <v>66</v>
      </c>
      <c r="C968" s="56" t="s">
        <v>17</v>
      </c>
      <c r="D968" s="56" t="s">
        <v>25</v>
      </c>
      <c r="E968" s="56" t="s">
        <v>69</v>
      </c>
      <c r="F968" s="56" t="s">
        <v>70</v>
      </c>
      <c r="G968" s="57">
        <v>544642223</v>
      </c>
      <c r="H968" s="56" t="s">
        <v>68</v>
      </c>
      <c r="I968" s="58" t="str">
        <f t="shared" si="131"/>
        <v>Ukraine-Online Supplier-Direct</v>
      </c>
      <c r="J968" s="40"/>
      <c r="K968" s="59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</row>
    <row r="969" spans="1:42" ht="17.25" customHeight="1" x14ac:dyDescent="0.25">
      <c r="A969" s="60">
        <v>2012</v>
      </c>
      <c r="B969" s="61" t="s">
        <v>66</v>
      </c>
      <c r="C969" s="61" t="s">
        <v>17</v>
      </c>
      <c r="D969" s="61" t="s">
        <v>25</v>
      </c>
      <c r="E969" s="61" t="s">
        <v>69</v>
      </c>
      <c r="F969" s="61" t="s">
        <v>71</v>
      </c>
      <c r="G969" s="62">
        <v>309220127</v>
      </c>
      <c r="H969" s="61" t="s">
        <v>68</v>
      </c>
      <c r="I969" s="63" t="str">
        <f t="shared" si="131"/>
        <v>Ukraine-OTA</v>
      </c>
      <c r="J969" s="47"/>
      <c r="K969" s="54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</row>
    <row r="970" spans="1:42" ht="17.25" customHeight="1" x14ac:dyDescent="0.25">
      <c r="A970" s="55">
        <v>2013</v>
      </c>
      <c r="B970" s="56" t="s">
        <v>66</v>
      </c>
      <c r="C970" s="56" t="s">
        <v>35</v>
      </c>
      <c r="D970" s="56" t="s">
        <v>34</v>
      </c>
      <c r="E970" s="56" t="s">
        <v>67</v>
      </c>
      <c r="F970" s="56" t="s">
        <v>67</v>
      </c>
      <c r="G970" s="57">
        <v>7156268041</v>
      </c>
      <c r="H970" s="56" t="s">
        <v>68</v>
      </c>
      <c r="I970" s="58" t="str">
        <f t="shared" si="131"/>
        <v>Argentina-Offline</v>
      </c>
      <c r="J970" s="40"/>
      <c r="K970" s="59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</row>
    <row r="971" spans="1:42" ht="17.25" customHeight="1" x14ac:dyDescent="0.25">
      <c r="A971" s="60">
        <v>2013</v>
      </c>
      <c r="B971" s="61" t="s">
        <v>66</v>
      </c>
      <c r="C971" s="61" t="s">
        <v>35</v>
      </c>
      <c r="D971" s="61" t="s">
        <v>34</v>
      </c>
      <c r="E971" s="61" t="s">
        <v>69</v>
      </c>
      <c r="F971" s="61" t="s">
        <v>70</v>
      </c>
      <c r="G971" s="62">
        <v>594045833</v>
      </c>
      <c r="H971" s="61" t="s">
        <v>68</v>
      </c>
      <c r="I971" s="63" t="str">
        <f t="shared" si="131"/>
        <v>Argentina-Online Supplier-Direct</v>
      </c>
      <c r="J971" s="47"/>
      <c r="K971" s="54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</row>
    <row r="972" spans="1:42" ht="17.25" customHeight="1" x14ac:dyDescent="0.25">
      <c r="A972" s="55">
        <v>2013</v>
      </c>
      <c r="B972" s="56" t="s">
        <v>66</v>
      </c>
      <c r="C972" s="56" t="s">
        <v>35</v>
      </c>
      <c r="D972" s="56" t="s">
        <v>34</v>
      </c>
      <c r="E972" s="56" t="s">
        <v>69</v>
      </c>
      <c r="F972" s="56" t="s">
        <v>71</v>
      </c>
      <c r="G972" s="57">
        <v>796644432</v>
      </c>
      <c r="H972" s="56" t="s">
        <v>68</v>
      </c>
      <c r="I972" s="58" t="str">
        <f t="shared" si="131"/>
        <v>Argentina-OTA</v>
      </c>
      <c r="J972" s="40"/>
      <c r="K972" s="59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</row>
    <row r="973" spans="1:42" ht="17.25" customHeight="1" x14ac:dyDescent="0.25">
      <c r="A973" s="60">
        <v>2013</v>
      </c>
      <c r="B973" s="61" t="s">
        <v>66</v>
      </c>
      <c r="C973" s="61" t="s">
        <v>4</v>
      </c>
      <c r="D973" s="61" t="s">
        <v>3</v>
      </c>
      <c r="E973" s="61" t="s">
        <v>67</v>
      </c>
      <c r="F973" s="61" t="s">
        <v>67</v>
      </c>
      <c r="G973" s="62">
        <v>20452840081</v>
      </c>
      <c r="H973" s="61" t="s">
        <v>68</v>
      </c>
      <c r="I973" s="63" t="str">
        <f t="shared" si="131"/>
        <v>Australia-New Zealand-Offline</v>
      </c>
      <c r="J973" s="47"/>
      <c r="K973" s="54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</row>
    <row r="974" spans="1:42" ht="17.25" customHeight="1" x14ac:dyDescent="0.25">
      <c r="A974" s="55">
        <v>2013</v>
      </c>
      <c r="B974" s="56" t="s">
        <v>66</v>
      </c>
      <c r="C974" s="56" t="s">
        <v>4</v>
      </c>
      <c r="D974" s="56" t="s">
        <v>3</v>
      </c>
      <c r="E974" s="56" t="s">
        <v>69</v>
      </c>
      <c r="F974" s="56" t="s">
        <v>70</v>
      </c>
      <c r="G974" s="57">
        <v>9324868453</v>
      </c>
      <c r="H974" s="56" t="s">
        <v>68</v>
      </c>
      <c r="I974" s="58" t="str">
        <f t="shared" si="131"/>
        <v>Australia-New Zealand-Online Supplier-Direct</v>
      </c>
      <c r="J974" s="40"/>
      <c r="K974" s="59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</row>
    <row r="975" spans="1:42" ht="17.25" customHeight="1" x14ac:dyDescent="0.25">
      <c r="A975" s="60">
        <v>2013</v>
      </c>
      <c r="B975" s="61" t="s">
        <v>66</v>
      </c>
      <c r="C975" s="61" t="s">
        <v>4</v>
      </c>
      <c r="D975" s="61" t="s">
        <v>3</v>
      </c>
      <c r="E975" s="61" t="s">
        <v>69</v>
      </c>
      <c r="F975" s="61" t="s">
        <v>71</v>
      </c>
      <c r="G975" s="62">
        <v>2725010087</v>
      </c>
      <c r="H975" s="61" t="s">
        <v>68</v>
      </c>
      <c r="I975" s="63" t="str">
        <f t="shared" si="131"/>
        <v>Australia-New Zealand-OTA</v>
      </c>
      <c r="J975" s="47"/>
      <c r="K975" s="54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</row>
    <row r="976" spans="1:42" ht="17.25" customHeight="1" x14ac:dyDescent="0.25">
      <c r="A976" s="55">
        <v>2013</v>
      </c>
      <c r="B976" s="56" t="s">
        <v>66</v>
      </c>
      <c r="C976" s="56" t="s">
        <v>35</v>
      </c>
      <c r="D976" s="56" t="s">
        <v>36</v>
      </c>
      <c r="E976" s="56" t="s">
        <v>67</v>
      </c>
      <c r="F976" s="56" t="s">
        <v>67</v>
      </c>
      <c r="G976" s="57">
        <v>27689692858</v>
      </c>
      <c r="H976" s="56" t="s">
        <v>68</v>
      </c>
      <c r="I976" s="58" t="str">
        <f t="shared" si="131"/>
        <v>Brazil-Offline</v>
      </c>
      <c r="J976" s="40"/>
      <c r="K976" s="59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</row>
    <row r="977" spans="1:42" ht="17.25" customHeight="1" x14ac:dyDescent="0.25">
      <c r="A977" s="60">
        <v>2013</v>
      </c>
      <c r="B977" s="61" t="s">
        <v>66</v>
      </c>
      <c r="C977" s="61" t="s">
        <v>35</v>
      </c>
      <c r="D977" s="61" t="s">
        <v>36</v>
      </c>
      <c r="E977" s="61" t="s">
        <v>69</v>
      </c>
      <c r="F977" s="61" t="s">
        <v>70</v>
      </c>
      <c r="G977" s="62">
        <v>2494846939</v>
      </c>
      <c r="H977" s="61" t="s">
        <v>68</v>
      </c>
      <c r="I977" s="63" t="str">
        <f t="shared" si="131"/>
        <v>Brazil-Online Supplier-Direct</v>
      </c>
      <c r="J977" s="47"/>
      <c r="K977" s="54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</row>
    <row r="978" spans="1:42" ht="17.25" customHeight="1" x14ac:dyDescent="0.25">
      <c r="A978" s="55">
        <v>2013</v>
      </c>
      <c r="B978" s="56" t="s">
        <v>66</v>
      </c>
      <c r="C978" s="56" t="s">
        <v>35</v>
      </c>
      <c r="D978" s="56" t="s">
        <v>36</v>
      </c>
      <c r="E978" s="56" t="s">
        <v>69</v>
      </c>
      <c r="F978" s="56" t="s">
        <v>71</v>
      </c>
      <c r="G978" s="57">
        <v>5800346988</v>
      </c>
      <c r="H978" s="56" t="s">
        <v>68</v>
      </c>
      <c r="I978" s="58" t="str">
        <f t="shared" si="131"/>
        <v>Brazil-OTA</v>
      </c>
      <c r="J978" s="40"/>
      <c r="K978" s="59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</row>
    <row r="979" spans="1:42" ht="17.25" customHeight="1" x14ac:dyDescent="0.25">
      <c r="A979" s="60">
        <v>2013</v>
      </c>
      <c r="B979" s="61" t="s">
        <v>66</v>
      </c>
      <c r="C979" s="61" t="s">
        <v>17</v>
      </c>
      <c r="D979" s="61" t="s">
        <v>16</v>
      </c>
      <c r="E979" s="61" t="s">
        <v>67</v>
      </c>
      <c r="F979" s="61" t="s">
        <v>67</v>
      </c>
      <c r="G979" s="62">
        <v>1172186992</v>
      </c>
      <c r="H979" s="61" t="s">
        <v>68</v>
      </c>
      <c r="I979" s="63" t="str">
        <f t="shared" si="131"/>
        <v>Bulgaria-Offline</v>
      </c>
      <c r="J979" s="47"/>
      <c r="K979" s="54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</row>
    <row r="980" spans="1:42" ht="17.25" customHeight="1" x14ac:dyDescent="0.25">
      <c r="A980" s="55">
        <v>2013</v>
      </c>
      <c r="B980" s="56" t="s">
        <v>66</v>
      </c>
      <c r="C980" s="56" t="s">
        <v>17</v>
      </c>
      <c r="D980" s="56" t="s">
        <v>16</v>
      </c>
      <c r="E980" s="56" t="s">
        <v>69</v>
      </c>
      <c r="F980" s="56" t="s">
        <v>70</v>
      </c>
      <c r="G980" s="57">
        <v>240558374</v>
      </c>
      <c r="H980" s="56" t="s">
        <v>68</v>
      </c>
      <c r="I980" s="58" t="str">
        <f t="shared" si="131"/>
        <v>Bulgaria-Online Supplier-Direct</v>
      </c>
      <c r="J980" s="40"/>
      <c r="K980" s="59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</row>
    <row r="981" spans="1:42" ht="17.25" customHeight="1" x14ac:dyDescent="0.25">
      <c r="A981" s="60">
        <v>2013</v>
      </c>
      <c r="B981" s="61" t="s">
        <v>66</v>
      </c>
      <c r="C981" s="61" t="s">
        <v>17</v>
      </c>
      <c r="D981" s="61" t="s">
        <v>16</v>
      </c>
      <c r="E981" s="61" t="s">
        <v>69</v>
      </c>
      <c r="F981" s="61" t="s">
        <v>71</v>
      </c>
      <c r="G981" s="62">
        <v>68521957</v>
      </c>
      <c r="H981" s="61" t="s">
        <v>68</v>
      </c>
      <c r="I981" s="63" t="str">
        <f t="shared" si="131"/>
        <v>Bulgaria-OTA</v>
      </c>
      <c r="J981" s="47"/>
      <c r="K981" s="54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</row>
    <row r="982" spans="1:42" ht="17.25" customHeight="1" x14ac:dyDescent="0.25">
      <c r="A982" s="55">
        <v>2013</v>
      </c>
      <c r="B982" s="56" t="s">
        <v>66</v>
      </c>
      <c r="C982" s="56" t="s">
        <v>47</v>
      </c>
      <c r="D982" s="56" t="s">
        <v>46</v>
      </c>
      <c r="E982" s="56" t="s">
        <v>67</v>
      </c>
      <c r="F982" s="56" t="s">
        <v>67</v>
      </c>
      <c r="G982" s="57">
        <v>22601867569</v>
      </c>
      <c r="H982" s="56" t="s">
        <v>68</v>
      </c>
      <c r="I982" s="58" t="str">
        <f t="shared" si="131"/>
        <v>Canada-Offline</v>
      </c>
      <c r="J982" s="40"/>
      <c r="K982" s="59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</row>
    <row r="983" spans="1:42" ht="17.25" customHeight="1" x14ac:dyDescent="0.25">
      <c r="A983" s="60">
        <v>2013</v>
      </c>
      <c r="B983" s="61" t="s">
        <v>66</v>
      </c>
      <c r="C983" s="61" t="s">
        <v>47</v>
      </c>
      <c r="D983" s="61" t="s">
        <v>46</v>
      </c>
      <c r="E983" s="61" t="s">
        <v>69</v>
      </c>
      <c r="F983" s="61" t="s">
        <v>70</v>
      </c>
      <c r="G983" s="62">
        <v>9174603537</v>
      </c>
      <c r="H983" s="61" t="s">
        <v>68</v>
      </c>
      <c r="I983" s="63" t="str">
        <f t="shared" si="131"/>
        <v>Canada-Online Supplier-Direct</v>
      </c>
      <c r="J983" s="47"/>
      <c r="K983" s="54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</row>
    <row r="984" spans="1:42" ht="17.25" customHeight="1" x14ac:dyDescent="0.25">
      <c r="A984" s="55">
        <v>2013</v>
      </c>
      <c r="B984" s="56" t="s">
        <v>66</v>
      </c>
      <c r="C984" s="56" t="s">
        <v>47</v>
      </c>
      <c r="D984" s="56" t="s">
        <v>46</v>
      </c>
      <c r="E984" s="56" t="s">
        <v>69</v>
      </c>
      <c r="F984" s="56" t="s">
        <v>71</v>
      </c>
      <c r="G984" s="57">
        <v>4192372837</v>
      </c>
      <c r="H984" s="56" t="s">
        <v>68</v>
      </c>
      <c r="I984" s="58" t="str">
        <f t="shared" si="131"/>
        <v>Canada-OTA</v>
      </c>
      <c r="J984" s="40"/>
      <c r="K984" s="59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</row>
    <row r="985" spans="1:42" ht="17.25" customHeight="1" x14ac:dyDescent="0.25">
      <c r="A985" s="60">
        <v>2013</v>
      </c>
      <c r="B985" s="61" t="s">
        <v>66</v>
      </c>
      <c r="C985" s="61" t="s">
        <v>35</v>
      </c>
      <c r="D985" s="61" t="s">
        <v>37</v>
      </c>
      <c r="E985" s="61" t="s">
        <v>67</v>
      </c>
      <c r="F985" s="61" t="s">
        <v>67</v>
      </c>
      <c r="G985" s="62">
        <v>3830078210</v>
      </c>
      <c r="H985" s="61" t="s">
        <v>68</v>
      </c>
      <c r="I985" s="63" t="str">
        <f t="shared" si="131"/>
        <v>Chile-Offline</v>
      </c>
      <c r="J985" s="47"/>
      <c r="K985" s="54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</row>
    <row r="986" spans="1:42" ht="17.25" customHeight="1" x14ac:dyDescent="0.25">
      <c r="A986" s="55">
        <v>2013</v>
      </c>
      <c r="B986" s="56" t="s">
        <v>66</v>
      </c>
      <c r="C986" s="56" t="s">
        <v>35</v>
      </c>
      <c r="D986" s="56" t="s">
        <v>37</v>
      </c>
      <c r="E986" s="56" t="s">
        <v>69</v>
      </c>
      <c r="F986" s="56" t="s">
        <v>70</v>
      </c>
      <c r="G986" s="57">
        <v>842985803</v>
      </c>
      <c r="H986" s="56" t="s">
        <v>68</v>
      </c>
      <c r="I986" s="58" t="str">
        <f t="shared" si="131"/>
        <v>Chile-Online Supplier-Direct</v>
      </c>
      <c r="J986" s="40"/>
      <c r="K986" s="59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</row>
    <row r="987" spans="1:42" ht="17.25" customHeight="1" x14ac:dyDescent="0.25">
      <c r="A987" s="60">
        <v>2013</v>
      </c>
      <c r="B987" s="61" t="s">
        <v>66</v>
      </c>
      <c r="C987" s="61" t="s">
        <v>35</v>
      </c>
      <c r="D987" s="61" t="s">
        <v>37</v>
      </c>
      <c r="E987" s="61" t="s">
        <v>69</v>
      </c>
      <c r="F987" s="61" t="s">
        <v>71</v>
      </c>
      <c r="G987" s="62">
        <v>626371553</v>
      </c>
      <c r="H987" s="61" t="s">
        <v>68</v>
      </c>
      <c r="I987" s="63" t="str">
        <f t="shared" si="131"/>
        <v>Chile-OTA</v>
      </c>
      <c r="J987" s="47"/>
      <c r="K987" s="54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</row>
    <row r="988" spans="1:42" ht="17.25" customHeight="1" x14ac:dyDescent="0.25">
      <c r="A988" s="55">
        <v>2013</v>
      </c>
      <c r="B988" s="56" t="s">
        <v>66</v>
      </c>
      <c r="C988" s="56" t="s">
        <v>4</v>
      </c>
      <c r="D988" s="56" t="s">
        <v>5</v>
      </c>
      <c r="E988" s="56" t="s">
        <v>67</v>
      </c>
      <c r="F988" s="56" t="s">
        <v>67</v>
      </c>
      <c r="G988" s="57">
        <v>98004247565</v>
      </c>
      <c r="H988" s="56" t="s">
        <v>68</v>
      </c>
      <c r="I988" s="58" t="str">
        <f t="shared" si="131"/>
        <v>China-Offline</v>
      </c>
      <c r="J988" s="40"/>
      <c r="K988" s="59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</row>
    <row r="989" spans="1:42" ht="17.25" customHeight="1" x14ac:dyDescent="0.25">
      <c r="A989" s="60">
        <v>2013</v>
      </c>
      <c r="B989" s="61" t="s">
        <v>66</v>
      </c>
      <c r="C989" s="61" t="s">
        <v>4</v>
      </c>
      <c r="D989" s="61" t="s">
        <v>5</v>
      </c>
      <c r="E989" s="61" t="s">
        <v>69</v>
      </c>
      <c r="F989" s="61" t="s">
        <v>70</v>
      </c>
      <c r="G989" s="62">
        <v>8908649555</v>
      </c>
      <c r="H989" s="61" t="s">
        <v>68</v>
      </c>
      <c r="I989" s="63" t="str">
        <f t="shared" si="131"/>
        <v>China-Online Supplier-Direct</v>
      </c>
      <c r="J989" s="47"/>
      <c r="K989" s="54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</row>
    <row r="990" spans="1:42" ht="17.25" customHeight="1" x14ac:dyDescent="0.25">
      <c r="A990" s="55">
        <v>2013</v>
      </c>
      <c r="B990" s="56" t="s">
        <v>66</v>
      </c>
      <c r="C990" s="56" t="s">
        <v>4</v>
      </c>
      <c r="D990" s="56" t="s">
        <v>5</v>
      </c>
      <c r="E990" s="56" t="s">
        <v>69</v>
      </c>
      <c r="F990" s="56" t="s">
        <v>71</v>
      </c>
      <c r="G990" s="57">
        <v>10629977817</v>
      </c>
      <c r="H990" s="56" t="s">
        <v>68</v>
      </c>
      <c r="I990" s="58" t="str">
        <f t="shared" si="131"/>
        <v>China-OTA</v>
      </c>
      <c r="J990" s="40"/>
      <c r="K990" s="59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</row>
    <row r="991" spans="1:42" ht="17.25" customHeight="1" x14ac:dyDescent="0.25">
      <c r="A991" s="60">
        <v>2013</v>
      </c>
      <c r="B991" s="61" t="s">
        <v>66</v>
      </c>
      <c r="C991" s="61" t="s">
        <v>35</v>
      </c>
      <c r="D991" s="61" t="s">
        <v>38</v>
      </c>
      <c r="E991" s="61" t="s">
        <v>67</v>
      </c>
      <c r="F991" s="61" t="s">
        <v>67</v>
      </c>
      <c r="G991" s="62">
        <v>8229403506</v>
      </c>
      <c r="H991" s="61" t="s">
        <v>68</v>
      </c>
      <c r="I991" s="63" t="str">
        <f t="shared" si="131"/>
        <v>Colombia-Offline</v>
      </c>
      <c r="J991" s="47"/>
      <c r="K991" s="54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</row>
    <row r="992" spans="1:42" ht="17.25" customHeight="1" x14ac:dyDescent="0.25">
      <c r="A992" s="55">
        <v>2013</v>
      </c>
      <c r="B992" s="56" t="s">
        <v>66</v>
      </c>
      <c r="C992" s="56" t="s">
        <v>35</v>
      </c>
      <c r="D992" s="56" t="s">
        <v>38</v>
      </c>
      <c r="E992" s="56" t="s">
        <v>69</v>
      </c>
      <c r="F992" s="56" t="s">
        <v>70</v>
      </c>
      <c r="G992" s="57">
        <v>1090507369</v>
      </c>
      <c r="H992" s="56" t="s">
        <v>68</v>
      </c>
      <c r="I992" s="58" t="str">
        <f t="shared" si="131"/>
        <v>Colombia-Online Supplier-Direct</v>
      </c>
      <c r="J992" s="40"/>
      <c r="K992" s="59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</row>
    <row r="993" spans="1:42" ht="17.25" customHeight="1" x14ac:dyDescent="0.25">
      <c r="A993" s="60">
        <v>2013</v>
      </c>
      <c r="B993" s="61" t="s">
        <v>66</v>
      </c>
      <c r="C993" s="61" t="s">
        <v>35</v>
      </c>
      <c r="D993" s="61" t="s">
        <v>38</v>
      </c>
      <c r="E993" s="61" t="s">
        <v>69</v>
      </c>
      <c r="F993" s="61" t="s">
        <v>71</v>
      </c>
      <c r="G993" s="62">
        <v>1228089125</v>
      </c>
      <c r="H993" s="61" t="s">
        <v>68</v>
      </c>
      <c r="I993" s="63" t="str">
        <f t="shared" si="131"/>
        <v>Colombia-OTA</v>
      </c>
      <c r="J993" s="47"/>
      <c r="K993" s="54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</row>
    <row r="994" spans="1:42" ht="17.25" customHeight="1" x14ac:dyDescent="0.25">
      <c r="A994" s="55">
        <v>2013</v>
      </c>
      <c r="B994" s="56" t="s">
        <v>66</v>
      </c>
      <c r="C994" s="56" t="s">
        <v>17</v>
      </c>
      <c r="D994" s="56" t="s">
        <v>18</v>
      </c>
      <c r="E994" s="56" t="s">
        <v>67</v>
      </c>
      <c r="F994" s="56" t="s">
        <v>67</v>
      </c>
      <c r="G994" s="57">
        <v>2209987438</v>
      </c>
      <c r="H994" s="56" t="s">
        <v>68</v>
      </c>
      <c r="I994" s="58" t="str">
        <f t="shared" si="131"/>
        <v>Czech Republic-Offline</v>
      </c>
      <c r="J994" s="40"/>
      <c r="K994" s="59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</row>
    <row r="995" spans="1:42" ht="17.25" customHeight="1" x14ac:dyDescent="0.25">
      <c r="A995" s="60">
        <v>2013</v>
      </c>
      <c r="B995" s="61" t="s">
        <v>66</v>
      </c>
      <c r="C995" s="61" t="s">
        <v>17</v>
      </c>
      <c r="D995" s="61" t="s">
        <v>18</v>
      </c>
      <c r="E995" s="61" t="s">
        <v>69</v>
      </c>
      <c r="F995" s="61" t="s">
        <v>70</v>
      </c>
      <c r="G995" s="62">
        <v>450199647</v>
      </c>
      <c r="H995" s="61" t="s">
        <v>68</v>
      </c>
      <c r="I995" s="63" t="str">
        <f t="shared" si="131"/>
        <v>Czech Republic-Online Supplier-Direct</v>
      </c>
      <c r="J995" s="47"/>
      <c r="K995" s="54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</row>
    <row r="996" spans="1:42" ht="17.25" customHeight="1" x14ac:dyDescent="0.25">
      <c r="A996" s="55">
        <v>2013</v>
      </c>
      <c r="B996" s="56" t="s">
        <v>66</v>
      </c>
      <c r="C996" s="56" t="s">
        <v>17</v>
      </c>
      <c r="D996" s="56" t="s">
        <v>18</v>
      </c>
      <c r="E996" s="56" t="s">
        <v>69</v>
      </c>
      <c r="F996" s="56" t="s">
        <v>71</v>
      </c>
      <c r="G996" s="57">
        <v>434515464</v>
      </c>
      <c r="H996" s="56" t="s">
        <v>68</v>
      </c>
      <c r="I996" s="58" t="str">
        <f t="shared" si="131"/>
        <v>Czech Republic-OTA</v>
      </c>
      <c r="J996" s="40"/>
      <c r="K996" s="59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</row>
    <row r="997" spans="1:42" ht="17.25" customHeight="1" x14ac:dyDescent="0.25">
      <c r="A997" s="60">
        <v>2013</v>
      </c>
      <c r="B997" s="61" t="s">
        <v>66</v>
      </c>
      <c r="C997" s="61" t="s">
        <v>41</v>
      </c>
      <c r="D997" s="61" t="s">
        <v>40</v>
      </c>
      <c r="E997" s="61" t="s">
        <v>67</v>
      </c>
      <c r="F997" s="61" t="s">
        <v>67</v>
      </c>
      <c r="G997" s="62">
        <v>6747014269</v>
      </c>
      <c r="H997" s="61" t="s">
        <v>68</v>
      </c>
      <c r="I997" s="63" t="str">
        <f t="shared" si="131"/>
        <v>Egypt-Offline</v>
      </c>
      <c r="J997" s="47"/>
      <c r="K997" s="54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</row>
    <row r="998" spans="1:42" ht="17.25" customHeight="1" x14ac:dyDescent="0.25">
      <c r="A998" s="55">
        <v>2013</v>
      </c>
      <c r="B998" s="56" t="s">
        <v>66</v>
      </c>
      <c r="C998" s="56" t="s">
        <v>41</v>
      </c>
      <c r="D998" s="56" t="s">
        <v>40</v>
      </c>
      <c r="E998" s="56" t="s">
        <v>69</v>
      </c>
      <c r="F998" s="56" t="s">
        <v>70</v>
      </c>
      <c r="G998" s="57">
        <v>298542756</v>
      </c>
      <c r="H998" s="56" t="s">
        <v>68</v>
      </c>
      <c r="I998" s="58" t="str">
        <f t="shared" si="131"/>
        <v>Egypt-Online Supplier-Direct</v>
      </c>
      <c r="J998" s="40"/>
      <c r="K998" s="59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</row>
    <row r="999" spans="1:42" ht="17.25" customHeight="1" x14ac:dyDescent="0.25">
      <c r="A999" s="60">
        <v>2013</v>
      </c>
      <c r="B999" s="61" t="s">
        <v>66</v>
      </c>
      <c r="C999" s="61" t="s">
        <v>41</v>
      </c>
      <c r="D999" s="61" t="s">
        <v>40</v>
      </c>
      <c r="E999" s="61" t="s">
        <v>69</v>
      </c>
      <c r="F999" s="61" t="s">
        <v>71</v>
      </c>
      <c r="G999" s="62">
        <v>403766941</v>
      </c>
      <c r="H999" s="61" t="s">
        <v>68</v>
      </c>
      <c r="I999" s="63" t="str">
        <f t="shared" si="131"/>
        <v>Egypt-OTA</v>
      </c>
      <c r="J999" s="47"/>
      <c r="K999" s="54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</row>
    <row r="1000" spans="1:42" ht="17.25" customHeight="1" x14ac:dyDescent="0.25">
      <c r="A1000" s="55">
        <v>2013</v>
      </c>
      <c r="B1000" s="56" t="s">
        <v>66</v>
      </c>
      <c r="C1000" s="56" t="s">
        <v>27</v>
      </c>
      <c r="D1000" s="56" t="s">
        <v>26</v>
      </c>
      <c r="E1000" s="56" t="s">
        <v>67</v>
      </c>
      <c r="F1000" s="56" t="s">
        <v>67</v>
      </c>
      <c r="G1000" s="57">
        <v>35300842948</v>
      </c>
      <c r="H1000" s="56" t="s">
        <v>68</v>
      </c>
      <c r="I1000" s="58" t="str">
        <f t="shared" si="131"/>
        <v>France-Offline</v>
      </c>
      <c r="J1000" s="40"/>
      <c r="K1000" s="59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</row>
    <row r="1001" spans="1:42" ht="17.25" customHeight="1" x14ac:dyDescent="0.25">
      <c r="A1001" s="60">
        <v>2013</v>
      </c>
      <c r="B1001" s="61" t="s">
        <v>66</v>
      </c>
      <c r="C1001" s="61" t="s">
        <v>27</v>
      </c>
      <c r="D1001" s="61" t="s">
        <v>26</v>
      </c>
      <c r="E1001" s="61" t="s">
        <v>69</v>
      </c>
      <c r="F1001" s="61" t="s">
        <v>70</v>
      </c>
      <c r="G1001" s="62">
        <v>13605027873</v>
      </c>
      <c r="H1001" s="61" t="s">
        <v>68</v>
      </c>
      <c r="I1001" s="63" t="str">
        <f t="shared" si="131"/>
        <v>France-Online Supplier-Direct</v>
      </c>
      <c r="J1001" s="47"/>
      <c r="K1001" s="54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</row>
    <row r="1002" spans="1:42" ht="17.25" customHeight="1" x14ac:dyDescent="0.25">
      <c r="A1002" s="55">
        <v>2013</v>
      </c>
      <c r="B1002" s="56" t="s">
        <v>66</v>
      </c>
      <c r="C1002" s="56" t="s">
        <v>27</v>
      </c>
      <c r="D1002" s="56" t="s">
        <v>26</v>
      </c>
      <c r="E1002" s="56" t="s">
        <v>69</v>
      </c>
      <c r="F1002" s="56" t="s">
        <v>71</v>
      </c>
      <c r="G1002" s="57">
        <v>7068656652</v>
      </c>
      <c r="H1002" s="56" t="s">
        <v>68</v>
      </c>
      <c r="I1002" s="58" t="str">
        <f t="shared" si="131"/>
        <v>France-OTA</v>
      </c>
      <c r="J1002" s="40"/>
      <c r="K1002" s="59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</row>
    <row r="1003" spans="1:42" ht="17.25" customHeight="1" x14ac:dyDescent="0.25">
      <c r="A1003" s="60">
        <v>2013</v>
      </c>
      <c r="B1003" s="61" t="s">
        <v>66</v>
      </c>
      <c r="C1003" s="61" t="s">
        <v>27</v>
      </c>
      <c r="D1003" s="61" t="s">
        <v>28</v>
      </c>
      <c r="E1003" s="61" t="s">
        <v>67</v>
      </c>
      <c r="F1003" s="61" t="s">
        <v>67</v>
      </c>
      <c r="G1003" s="62">
        <v>50305961024</v>
      </c>
      <c r="H1003" s="61" t="s">
        <v>68</v>
      </c>
      <c r="I1003" s="63" t="str">
        <f t="shared" si="131"/>
        <v>Germany-Offline</v>
      </c>
      <c r="J1003" s="47"/>
      <c r="K1003" s="54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</row>
    <row r="1004" spans="1:42" ht="17.25" customHeight="1" x14ac:dyDescent="0.25">
      <c r="A1004" s="55">
        <v>2013</v>
      </c>
      <c r="B1004" s="56" t="s">
        <v>66</v>
      </c>
      <c r="C1004" s="56" t="s">
        <v>27</v>
      </c>
      <c r="D1004" s="56" t="s">
        <v>28</v>
      </c>
      <c r="E1004" s="56" t="s">
        <v>69</v>
      </c>
      <c r="F1004" s="56" t="s">
        <v>70</v>
      </c>
      <c r="G1004" s="57">
        <v>15705494780</v>
      </c>
      <c r="H1004" s="56" t="s">
        <v>68</v>
      </c>
      <c r="I1004" s="58" t="str">
        <f t="shared" si="131"/>
        <v>Germany-Online Supplier-Direct</v>
      </c>
      <c r="J1004" s="40"/>
      <c r="K1004" s="59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</row>
    <row r="1005" spans="1:42" ht="17.25" customHeight="1" x14ac:dyDescent="0.25">
      <c r="A1005" s="60">
        <v>2013</v>
      </c>
      <c r="B1005" s="61" t="s">
        <v>66</v>
      </c>
      <c r="C1005" s="61" t="s">
        <v>27</v>
      </c>
      <c r="D1005" s="61" t="s">
        <v>28</v>
      </c>
      <c r="E1005" s="61" t="s">
        <v>69</v>
      </c>
      <c r="F1005" s="61" t="s">
        <v>71</v>
      </c>
      <c r="G1005" s="62">
        <v>11613457006</v>
      </c>
      <c r="H1005" s="61" t="s">
        <v>68</v>
      </c>
      <c r="I1005" s="63" t="str">
        <f t="shared" si="131"/>
        <v>Germany-OTA</v>
      </c>
      <c r="J1005" s="47"/>
      <c r="K1005" s="54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</row>
    <row r="1006" spans="1:42" ht="17.25" customHeight="1" x14ac:dyDescent="0.25">
      <c r="A1006" s="55">
        <v>2013</v>
      </c>
      <c r="B1006" s="56" t="s">
        <v>66</v>
      </c>
      <c r="C1006" s="56" t="s">
        <v>17</v>
      </c>
      <c r="D1006" s="56" t="s">
        <v>19</v>
      </c>
      <c r="E1006" s="56" t="s">
        <v>67</v>
      </c>
      <c r="F1006" s="56" t="s">
        <v>67</v>
      </c>
      <c r="G1006" s="57">
        <v>6705275063</v>
      </c>
      <c r="H1006" s="56" t="s">
        <v>68</v>
      </c>
      <c r="I1006" s="58" t="str">
        <f t="shared" si="131"/>
        <v>Greece-Offline</v>
      </c>
      <c r="J1006" s="40"/>
      <c r="K1006" s="59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</row>
    <row r="1007" spans="1:42" ht="17.25" customHeight="1" x14ac:dyDescent="0.25">
      <c r="A1007" s="60">
        <v>2013</v>
      </c>
      <c r="B1007" s="61" t="s">
        <v>66</v>
      </c>
      <c r="C1007" s="61" t="s">
        <v>17</v>
      </c>
      <c r="D1007" s="61" t="s">
        <v>19</v>
      </c>
      <c r="E1007" s="61" t="s">
        <v>69</v>
      </c>
      <c r="F1007" s="61" t="s">
        <v>70</v>
      </c>
      <c r="G1007" s="62">
        <v>1535015921</v>
      </c>
      <c r="H1007" s="61" t="s">
        <v>68</v>
      </c>
      <c r="I1007" s="63" t="str">
        <f t="shared" si="131"/>
        <v>Greece-Online Supplier-Direct</v>
      </c>
      <c r="J1007" s="47"/>
      <c r="K1007" s="54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</row>
    <row r="1008" spans="1:42" ht="17.25" customHeight="1" x14ac:dyDescent="0.25">
      <c r="A1008" s="55">
        <v>2013</v>
      </c>
      <c r="B1008" s="56" t="s">
        <v>66</v>
      </c>
      <c r="C1008" s="56" t="s">
        <v>17</v>
      </c>
      <c r="D1008" s="56" t="s">
        <v>19</v>
      </c>
      <c r="E1008" s="56" t="s">
        <v>69</v>
      </c>
      <c r="F1008" s="56" t="s">
        <v>71</v>
      </c>
      <c r="G1008" s="57">
        <v>777600085</v>
      </c>
      <c r="H1008" s="56" t="s">
        <v>68</v>
      </c>
      <c r="I1008" s="58" t="str">
        <f t="shared" si="131"/>
        <v>Greece-OTA</v>
      </c>
      <c r="J1008" s="40"/>
      <c r="K1008" s="59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</row>
    <row r="1009" spans="1:42" ht="17.25" customHeight="1" x14ac:dyDescent="0.25">
      <c r="A1009" s="60">
        <v>2013</v>
      </c>
      <c r="B1009" s="61" t="s">
        <v>66</v>
      </c>
      <c r="C1009" s="61" t="s">
        <v>4</v>
      </c>
      <c r="D1009" s="61" t="s">
        <v>6</v>
      </c>
      <c r="E1009" s="61" t="s">
        <v>67</v>
      </c>
      <c r="F1009" s="61" t="s">
        <v>67</v>
      </c>
      <c r="G1009" s="62">
        <v>11730744076</v>
      </c>
      <c r="H1009" s="61" t="s">
        <v>68</v>
      </c>
      <c r="I1009" s="63" t="str">
        <f t="shared" si="131"/>
        <v>Hong Kong-Offline</v>
      </c>
      <c r="J1009" s="47"/>
      <c r="K1009" s="54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</row>
    <row r="1010" spans="1:42" ht="17.25" customHeight="1" x14ac:dyDescent="0.25">
      <c r="A1010" s="55">
        <v>2013</v>
      </c>
      <c r="B1010" s="56" t="s">
        <v>66</v>
      </c>
      <c r="C1010" s="56" t="s">
        <v>4</v>
      </c>
      <c r="D1010" s="56" t="s">
        <v>6</v>
      </c>
      <c r="E1010" s="56" t="s">
        <v>69</v>
      </c>
      <c r="F1010" s="56" t="s">
        <v>70</v>
      </c>
      <c r="G1010" s="57">
        <v>919502951</v>
      </c>
      <c r="H1010" s="56" t="s">
        <v>68</v>
      </c>
      <c r="I1010" s="58" t="str">
        <f t="shared" si="131"/>
        <v>Hong Kong-Online Supplier-Direct</v>
      </c>
      <c r="J1010" s="40"/>
      <c r="K1010" s="59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</row>
    <row r="1011" spans="1:42" ht="17.25" customHeight="1" x14ac:dyDescent="0.25">
      <c r="A1011" s="60">
        <v>2013</v>
      </c>
      <c r="B1011" s="61" t="s">
        <v>66</v>
      </c>
      <c r="C1011" s="61" t="s">
        <v>4</v>
      </c>
      <c r="D1011" s="61" t="s">
        <v>6</v>
      </c>
      <c r="E1011" s="61" t="s">
        <v>69</v>
      </c>
      <c r="F1011" s="61" t="s">
        <v>71</v>
      </c>
      <c r="G1011" s="62">
        <v>385653255</v>
      </c>
      <c r="H1011" s="61" t="s">
        <v>68</v>
      </c>
      <c r="I1011" s="63" t="str">
        <f t="shared" si="131"/>
        <v>Hong Kong-OTA</v>
      </c>
      <c r="J1011" s="47"/>
      <c r="K1011" s="54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</row>
    <row r="1012" spans="1:42" ht="17.25" customHeight="1" x14ac:dyDescent="0.25">
      <c r="A1012" s="55">
        <v>2013</v>
      </c>
      <c r="B1012" s="56" t="s">
        <v>66</v>
      </c>
      <c r="C1012" s="56" t="s">
        <v>17</v>
      </c>
      <c r="D1012" s="56" t="s">
        <v>20</v>
      </c>
      <c r="E1012" s="56" t="s">
        <v>67</v>
      </c>
      <c r="F1012" s="56" t="s">
        <v>67</v>
      </c>
      <c r="G1012" s="57">
        <v>1533987442</v>
      </c>
      <c r="H1012" s="56" t="s">
        <v>68</v>
      </c>
      <c r="I1012" s="58" t="str">
        <f t="shared" si="131"/>
        <v>Hungary-Offline</v>
      </c>
      <c r="J1012" s="40"/>
      <c r="K1012" s="59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</row>
    <row r="1013" spans="1:42" ht="17.25" customHeight="1" x14ac:dyDescent="0.25">
      <c r="A1013" s="60">
        <v>2013</v>
      </c>
      <c r="B1013" s="61" t="s">
        <v>66</v>
      </c>
      <c r="C1013" s="61" t="s">
        <v>17</v>
      </c>
      <c r="D1013" s="61" t="s">
        <v>20</v>
      </c>
      <c r="E1013" s="61" t="s">
        <v>69</v>
      </c>
      <c r="F1013" s="61" t="s">
        <v>70</v>
      </c>
      <c r="G1013" s="62">
        <v>586972482</v>
      </c>
      <c r="H1013" s="61" t="s">
        <v>68</v>
      </c>
      <c r="I1013" s="63" t="str">
        <f t="shared" si="131"/>
        <v>Hungary-Online Supplier-Direct</v>
      </c>
      <c r="J1013" s="47"/>
      <c r="K1013" s="54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</row>
    <row r="1014" spans="1:42" ht="17.25" customHeight="1" x14ac:dyDescent="0.25">
      <c r="A1014" s="55">
        <v>2013</v>
      </c>
      <c r="B1014" s="56" t="s">
        <v>66</v>
      </c>
      <c r="C1014" s="56" t="s">
        <v>17</v>
      </c>
      <c r="D1014" s="56" t="s">
        <v>20</v>
      </c>
      <c r="E1014" s="56" t="s">
        <v>69</v>
      </c>
      <c r="F1014" s="56" t="s">
        <v>71</v>
      </c>
      <c r="G1014" s="57">
        <v>137994362</v>
      </c>
      <c r="H1014" s="56" t="s">
        <v>68</v>
      </c>
      <c r="I1014" s="58" t="str">
        <f t="shared" si="131"/>
        <v>Hungary-OTA</v>
      </c>
      <c r="J1014" s="40"/>
      <c r="K1014" s="59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</row>
    <row r="1015" spans="1:42" ht="17.25" customHeight="1" x14ac:dyDescent="0.25">
      <c r="A1015" s="60">
        <v>2013</v>
      </c>
      <c r="B1015" s="61" t="s">
        <v>66</v>
      </c>
      <c r="C1015" s="61" t="s">
        <v>4</v>
      </c>
      <c r="D1015" s="61" t="s">
        <v>7</v>
      </c>
      <c r="E1015" s="61" t="s">
        <v>67</v>
      </c>
      <c r="F1015" s="61" t="s">
        <v>67</v>
      </c>
      <c r="G1015" s="62">
        <v>15758031733</v>
      </c>
      <c r="H1015" s="61" t="s">
        <v>68</v>
      </c>
      <c r="I1015" s="63" t="str">
        <f t="shared" si="131"/>
        <v>India-Offline</v>
      </c>
      <c r="J1015" s="47"/>
      <c r="K1015" s="54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</row>
    <row r="1016" spans="1:42" ht="17.25" customHeight="1" x14ac:dyDescent="0.25">
      <c r="A1016" s="55">
        <v>2013</v>
      </c>
      <c r="B1016" s="56" t="s">
        <v>66</v>
      </c>
      <c r="C1016" s="56" t="s">
        <v>4</v>
      </c>
      <c r="D1016" s="56" t="s">
        <v>7</v>
      </c>
      <c r="E1016" s="56" t="s">
        <v>69</v>
      </c>
      <c r="F1016" s="56" t="s">
        <v>70</v>
      </c>
      <c r="G1016" s="57">
        <v>3998517508</v>
      </c>
      <c r="H1016" s="56" t="s">
        <v>68</v>
      </c>
      <c r="I1016" s="58" t="str">
        <f t="shared" si="131"/>
        <v>India-Online Supplier-Direct</v>
      </c>
      <c r="J1016" s="40"/>
      <c r="K1016" s="59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</row>
    <row r="1017" spans="1:42" ht="17.25" customHeight="1" x14ac:dyDescent="0.25">
      <c r="A1017" s="60">
        <v>2013</v>
      </c>
      <c r="B1017" s="61" t="s">
        <v>66</v>
      </c>
      <c r="C1017" s="61" t="s">
        <v>4</v>
      </c>
      <c r="D1017" s="61" t="s">
        <v>7</v>
      </c>
      <c r="E1017" s="61" t="s">
        <v>69</v>
      </c>
      <c r="F1017" s="61" t="s">
        <v>71</v>
      </c>
      <c r="G1017" s="62">
        <v>2438044139</v>
      </c>
      <c r="H1017" s="61" t="s">
        <v>68</v>
      </c>
      <c r="I1017" s="63" t="str">
        <f t="shared" si="131"/>
        <v>India-OTA</v>
      </c>
      <c r="J1017" s="47"/>
      <c r="K1017" s="54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</row>
    <row r="1018" spans="1:42" ht="17.25" customHeight="1" x14ac:dyDescent="0.25">
      <c r="A1018" s="55">
        <v>2013</v>
      </c>
      <c r="B1018" s="56" t="s">
        <v>66</v>
      </c>
      <c r="C1018" s="56" t="s">
        <v>4</v>
      </c>
      <c r="D1018" s="56" t="s">
        <v>8</v>
      </c>
      <c r="E1018" s="56" t="s">
        <v>67</v>
      </c>
      <c r="F1018" s="56" t="s">
        <v>67</v>
      </c>
      <c r="G1018" s="57">
        <v>10585442290</v>
      </c>
      <c r="H1018" s="56" t="s">
        <v>68</v>
      </c>
      <c r="I1018" s="58" t="str">
        <f t="shared" si="131"/>
        <v>Indonesia-Offline</v>
      </c>
      <c r="J1018" s="40"/>
      <c r="K1018" s="59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</row>
    <row r="1019" spans="1:42" ht="17.25" customHeight="1" x14ac:dyDescent="0.25">
      <c r="A1019" s="60">
        <v>2013</v>
      </c>
      <c r="B1019" s="61" t="s">
        <v>66</v>
      </c>
      <c r="C1019" s="61" t="s">
        <v>4</v>
      </c>
      <c r="D1019" s="61" t="s">
        <v>8</v>
      </c>
      <c r="E1019" s="61" t="s">
        <v>69</v>
      </c>
      <c r="F1019" s="61" t="s">
        <v>70</v>
      </c>
      <c r="G1019" s="62">
        <v>745311994</v>
      </c>
      <c r="H1019" s="61" t="s">
        <v>68</v>
      </c>
      <c r="I1019" s="63" t="str">
        <f t="shared" si="131"/>
        <v>Indonesia-Online Supplier-Direct</v>
      </c>
      <c r="J1019" s="47"/>
      <c r="K1019" s="54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</row>
    <row r="1020" spans="1:42" ht="17.25" customHeight="1" x14ac:dyDescent="0.25">
      <c r="A1020" s="55">
        <v>2013</v>
      </c>
      <c r="B1020" s="56" t="s">
        <v>66</v>
      </c>
      <c r="C1020" s="56" t="s">
        <v>4</v>
      </c>
      <c r="D1020" s="56" t="s">
        <v>8</v>
      </c>
      <c r="E1020" s="56" t="s">
        <v>69</v>
      </c>
      <c r="F1020" s="56" t="s">
        <v>71</v>
      </c>
      <c r="G1020" s="57">
        <v>273845133</v>
      </c>
      <c r="H1020" s="56" t="s">
        <v>68</v>
      </c>
      <c r="I1020" s="58" t="str">
        <f t="shared" si="131"/>
        <v>Indonesia-OTA</v>
      </c>
      <c r="J1020" s="40"/>
      <c r="K1020" s="59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</row>
    <row r="1021" spans="1:42" ht="17.25" customHeight="1" x14ac:dyDescent="0.25">
      <c r="A1021" s="60">
        <v>2013</v>
      </c>
      <c r="B1021" s="61" t="s">
        <v>66</v>
      </c>
      <c r="C1021" s="61" t="s">
        <v>27</v>
      </c>
      <c r="D1021" s="61" t="s">
        <v>29</v>
      </c>
      <c r="E1021" s="61" t="s">
        <v>67</v>
      </c>
      <c r="F1021" s="61" t="s">
        <v>67</v>
      </c>
      <c r="G1021" s="62">
        <v>18836662341</v>
      </c>
      <c r="H1021" s="61" t="s">
        <v>68</v>
      </c>
      <c r="I1021" s="63" t="str">
        <f t="shared" si="131"/>
        <v>Italy-Offline</v>
      </c>
      <c r="J1021" s="47"/>
      <c r="K1021" s="54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</row>
    <row r="1022" spans="1:42" ht="17.25" customHeight="1" x14ac:dyDescent="0.25">
      <c r="A1022" s="55">
        <v>2013</v>
      </c>
      <c r="B1022" s="56" t="s">
        <v>66</v>
      </c>
      <c r="C1022" s="56" t="s">
        <v>27</v>
      </c>
      <c r="D1022" s="56" t="s">
        <v>29</v>
      </c>
      <c r="E1022" s="56" t="s">
        <v>69</v>
      </c>
      <c r="F1022" s="56" t="s">
        <v>70</v>
      </c>
      <c r="G1022" s="57">
        <v>3529784324</v>
      </c>
      <c r="H1022" s="56" t="s">
        <v>68</v>
      </c>
      <c r="I1022" s="58" t="str">
        <f t="shared" ref="I1022:I1276" si="132">D1022&amp;"-"&amp;F1022</f>
        <v>Italy-Online Supplier-Direct</v>
      </c>
      <c r="J1022" s="40"/>
      <c r="K1022" s="59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</row>
    <row r="1023" spans="1:42" ht="17.25" customHeight="1" x14ac:dyDescent="0.25">
      <c r="A1023" s="60">
        <v>2013</v>
      </c>
      <c r="B1023" s="61" t="s">
        <v>66</v>
      </c>
      <c r="C1023" s="61" t="s">
        <v>27</v>
      </c>
      <c r="D1023" s="61" t="s">
        <v>29</v>
      </c>
      <c r="E1023" s="61" t="s">
        <v>69</v>
      </c>
      <c r="F1023" s="61" t="s">
        <v>71</v>
      </c>
      <c r="G1023" s="62">
        <v>4671079025</v>
      </c>
      <c r="H1023" s="61" t="s">
        <v>68</v>
      </c>
      <c r="I1023" s="63" t="str">
        <f t="shared" si="132"/>
        <v>Italy-OTA</v>
      </c>
      <c r="J1023" s="47"/>
      <c r="K1023" s="54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</row>
    <row r="1024" spans="1:42" ht="17.25" customHeight="1" x14ac:dyDescent="0.25">
      <c r="A1024" s="55">
        <v>2013</v>
      </c>
      <c r="B1024" s="56" t="s">
        <v>66</v>
      </c>
      <c r="C1024" s="56" t="s">
        <v>4</v>
      </c>
      <c r="D1024" s="56" t="s">
        <v>9</v>
      </c>
      <c r="E1024" s="56" t="s">
        <v>67</v>
      </c>
      <c r="F1024" s="56" t="s">
        <v>67</v>
      </c>
      <c r="G1024" s="57">
        <v>62422190391</v>
      </c>
      <c r="H1024" s="56" t="s">
        <v>68</v>
      </c>
      <c r="I1024" s="58" t="str">
        <f t="shared" si="132"/>
        <v>Japan-Offline</v>
      </c>
      <c r="J1024" s="40"/>
      <c r="K1024" s="59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</row>
    <row r="1025" spans="1:42" ht="17.25" customHeight="1" x14ac:dyDescent="0.25">
      <c r="A1025" s="60">
        <v>2013</v>
      </c>
      <c r="B1025" s="61" t="s">
        <v>66</v>
      </c>
      <c r="C1025" s="61" t="s">
        <v>4</v>
      </c>
      <c r="D1025" s="61" t="s">
        <v>9</v>
      </c>
      <c r="E1025" s="61" t="s">
        <v>69</v>
      </c>
      <c r="F1025" s="61" t="s">
        <v>70</v>
      </c>
      <c r="G1025" s="62">
        <v>18718600006</v>
      </c>
      <c r="H1025" s="61" t="s">
        <v>68</v>
      </c>
      <c r="I1025" s="63" t="str">
        <f t="shared" si="132"/>
        <v>Japan-Online Supplier-Direct</v>
      </c>
      <c r="J1025" s="47"/>
      <c r="K1025" s="54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</row>
    <row r="1026" spans="1:42" ht="17.25" customHeight="1" x14ac:dyDescent="0.25">
      <c r="A1026" s="55">
        <v>2013</v>
      </c>
      <c r="B1026" s="56" t="s">
        <v>66</v>
      </c>
      <c r="C1026" s="56" t="s">
        <v>4</v>
      </c>
      <c r="D1026" s="56" t="s">
        <v>9</v>
      </c>
      <c r="E1026" s="56" t="s">
        <v>69</v>
      </c>
      <c r="F1026" s="56" t="s">
        <v>71</v>
      </c>
      <c r="G1026" s="57">
        <v>12159491815</v>
      </c>
      <c r="H1026" s="56" t="s">
        <v>68</v>
      </c>
      <c r="I1026" s="58" t="str">
        <f t="shared" si="132"/>
        <v>Japan-OTA</v>
      </c>
      <c r="J1026" s="40"/>
      <c r="K1026" s="59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</row>
    <row r="1027" spans="1:42" ht="17.25" customHeight="1" x14ac:dyDescent="0.25">
      <c r="A1027" s="60">
        <v>2013</v>
      </c>
      <c r="B1027" s="61" t="s">
        <v>66</v>
      </c>
      <c r="C1027" s="61" t="s">
        <v>4</v>
      </c>
      <c r="D1027" s="61" t="s">
        <v>10</v>
      </c>
      <c r="E1027" s="61" t="s">
        <v>67</v>
      </c>
      <c r="F1027" s="61" t="s">
        <v>67</v>
      </c>
      <c r="G1027" s="62">
        <v>1297402265</v>
      </c>
      <c r="H1027" s="61" t="s">
        <v>68</v>
      </c>
      <c r="I1027" s="63" t="str">
        <f t="shared" si="132"/>
        <v>Macau-Offline</v>
      </c>
      <c r="J1027" s="47"/>
      <c r="K1027" s="54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</row>
    <row r="1028" spans="1:42" ht="17.25" customHeight="1" x14ac:dyDescent="0.25">
      <c r="A1028" s="55">
        <v>2013</v>
      </c>
      <c r="B1028" s="56" t="s">
        <v>66</v>
      </c>
      <c r="C1028" s="56" t="s">
        <v>4</v>
      </c>
      <c r="D1028" s="56" t="s">
        <v>10</v>
      </c>
      <c r="E1028" s="56" t="s">
        <v>69</v>
      </c>
      <c r="F1028" s="56" t="s">
        <v>70</v>
      </c>
      <c r="G1028" s="57">
        <v>28395974</v>
      </c>
      <c r="H1028" s="56" t="s">
        <v>68</v>
      </c>
      <c r="I1028" s="58" t="str">
        <f t="shared" si="132"/>
        <v>Macau-Online Supplier-Direct</v>
      </c>
      <c r="J1028" s="40"/>
      <c r="K1028" s="59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</row>
    <row r="1029" spans="1:42" ht="17.25" customHeight="1" x14ac:dyDescent="0.25">
      <c r="A1029" s="60">
        <v>2013</v>
      </c>
      <c r="B1029" s="61" t="s">
        <v>66</v>
      </c>
      <c r="C1029" s="61" t="s">
        <v>4</v>
      </c>
      <c r="D1029" s="61" t="s">
        <v>10</v>
      </c>
      <c r="E1029" s="61" t="s">
        <v>69</v>
      </c>
      <c r="F1029" s="61" t="s">
        <v>71</v>
      </c>
      <c r="G1029" s="62">
        <v>73018219</v>
      </c>
      <c r="H1029" s="61" t="s">
        <v>68</v>
      </c>
      <c r="I1029" s="63" t="str">
        <f t="shared" si="132"/>
        <v>Macau-OTA</v>
      </c>
      <c r="J1029" s="47"/>
      <c r="K1029" s="54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</row>
    <row r="1030" spans="1:42" ht="17.25" customHeight="1" x14ac:dyDescent="0.25">
      <c r="A1030" s="55">
        <v>2013</v>
      </c>
      <c r="B1030" s="56" t="s">
        <v>66</v>
      </c>
      <c r="C1030" s="56" t="s">
        <v>4</v>
      </c>
      <c r="D1030" s="56" t="s">
        <v>11</v>
      </c>
      <c r="E1030" s="56" t="s">
        <v>67</v>
      </c>
      <c r="F1030" s="56" t="s">
        <v>67</v>
      </c>
      <c r="G1030" s="57">
        <v>6562055060</v>
      </c>
      <c r="H1030" s="56" t="s">
        <v>68</v>
      </c>
      <c r="I1030" s="58" t="str">
        <f t="shared" si="132"/>
        <v>Malaysia-Offline</v>
      </c>
      <c r="J1030" s="40"/>
      <c r="K1030" s="59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</row>
    <row r="1031" spans="1:42" ht="17.25" customHeight="1" x14ac:dyDescent="0.25">
      <c r="A1031" s="60">
        <v>2013</v>
      </c>
      <c r="B1031" s="61" t="s">
        <v>66</v>
      </c>
      <c r="C1031" s="61" t="s">
        <v>4</v>
      </c>
      <c r="D1031" s="61" t="s">
        <v>11</v>
      </c>
      <c r="E1031" s="61" t="s">
        <v>69</v>
      </c>
      <c r="F1031" s="61" t="s">
        <v>70</v>
      </c>
      <c r="G1031" s="62">
        <v>2690633642</v>
      </c>
      <c r="H1031" s="61" t="s">
        <v>68</v>
      </c>
      <c r="I1031" s="63" t="str">
        <f t="shared" si="132"/>
        <v>Malaysia-Online Supplier-Direct</v>
      </c>
      <c r="J1031" s="47"/>
      <c r="K1031" s="54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</row>
    <row r="1032" spans="1:42" ht="17.25" customHeight="1" x14ac:dyDescent="0.25">
      <c r="A1032" s="55">
        <v>2013</v>
      </c>
      <c r="B1032" s="56" t="s">
        <v>66</v>
      </c>
      <c r="C1032" s="56" t="s">
        <v>4</v>
      </c>
      <c r="D1032" s="56" t="s">
        <v>11</v>
      </c>
      <c r="E1032" s="56" t="s">
        <v>69</v>
      </c>
      <c r="F1032" s="56" t="s">
        <v>71</v>
      </c>
      <c r="G1032" s="57">
        <v>744497165</v>
      </c>
      <c r="H1032" s="56" t="s">
        <v>68</v>
      </c>
      <c r="I1032" s="58" t="str">
        <f t="shared" si="132"/>
        <v>Malaysia-OTA</v>
      </c>
      <c r="J1032" s="40"/>
      <c r="K1032" s="59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</row>
    <row r="1033" spans="1:42" ht="17.25" customHeight="1" x14ac:dyDescent="0.25">
      <c r="A1033" s="60">
        <v>2013</v>
      </c>
      <c r="B1033" s="61" t="s">
        <v>66</v>
      </c>
      <c r="C1033" s="61" t="s">
        <v>35</v>
      </c>
      <c r="D1033" s="61" t="s">
        <v>39</v>
      </c>
      <c r="E1033" s="61" t="s">
        <v>67</v>
      </c>
      <c r="F1033" s="61" t="s">
        <v>67</v>
      </c>
      <c r="G1033" s="62">
        <v>19615860000</v>
      </c>
      <c r="H1033" s="61" t="s">
        <v>68</v>
      </c>
      <c r="I1033" s="63" t="str">
        <f t="shared" si="132"/>
        <v>Mexico-Offline</v>
      </c>
      <c r="J1033" s="47"/>
      <c r="K1033" s="54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</row>
    <row r="1034" spans="1:42" ht="17.25" customHeight="1" x14ac:dyDescent="0.25">
      <c r="A1034" s="55">
        <v>2013</v>
      </c>
      <c r="B1034" s="56" t="s">
        <v>66</v>
      </c>
      <c r="C1034" s="56" t="s">
        <v>35</v>
      </c>
      <c r="D1034" s="56" t="s">
        <v>39</v>
      </c>
      <c r="E1034" s="56" t="s">
        <v>69</v>
      </c>
      <c r="F1034" s="56" t="s">
        <v>70</v>
      </c>
      <c r="G1034" s="57">
        <v>2532884800</v>
      </c>
      <c r="H1034" s="56" t="s">
        <v>68</v>
      </c>
      <c r="I1034" s="58" t="str">
        <f t="shared" si="132"/>
        <v>Mexico-Online Supplier-Direct</v>
      </c>
      <c r="J1034" s="40"/>
      <c r="K1034" s="59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</row>
    <row r="1035" spans="1:42" ht="17.25" customHeight="1" x14ac:dyDescent="0.25">
      <c r="A1035" s="60">
        <v>2013</v>
      </c>
      <c r="B1035" s="61" t="s">
        <v>66</v>
      </c>
      <c r="C1035" s="61" t="s">
        <v>35</v>
      </c>
      <c r="D1035" s="61" t="s">
        <v>39</v>
      </c>
      <c r="E1035" s="61" t="s">
        <v>69</v>
      </c>
      <c r="F1035" s="61" t="s">
        <v>71</v>
      </c>
      <c r="G1035" s="62">
        <v>3770255200</v>
      </c>
      <c r="H1035" s="61" t="s">
        <v>68</v>
      </c>
      <c r="I1035" s="63" t="str">
        <f t="shared" si="132"/>
        <v>Mexico-OTA</v>
      </c>
      <c r="J1035" s="47"/>
      <c r="K1035" s="54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</row>
    <row r="1036" spans="1:42" ht="17.25" customHeight="1" x14ac:dyDescent="0.25">
      <c r="A1036" s="55">
        <v>2013</v>
      </c>
      <c r="B1036" s="56" t="s">
        <v>66</v>
      </c>
      <c r="C1036" s="56" t="s">
        <v>17</v>
      </c>
      <c r="D1036" s="56" t="s">
        <v>21</v>
      </c>
      <c r="E1036" s="56" t="s">
        <v>67</v>
      </c>
      <c r="F1036" s="56" t="s">
        <v>67</v>
      </c>
      <c r="G1036" s="57">
        <v>3973104974</v>
      </c>
      <c r="H1036" s="56" t="s">
        <v>68</v>
      </c>
      <c r="I1036" s="58" t="str">
        <f t="shared" si="132"/>
        <v>Poland-Offline</v>
      </c>
      <c r="J1036" s="40"/>
      <c r="K1036" s="59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</row>
    <row r="1037" spans="1:42" ht="17.25" customHeight="1" x14ac:dyDescent="0.25">
      <c r="A1037" s="60">
        <v>2013</v>
      </c>
      <c r="B1037" s="61" t="s">
        <v>66</v>
      </c>
      <c r="C1037" s="61" t="s">
        <v>17</v>
      </c>
      <c r="D1037" s="61" t="s">
        <v>21</v>
      </c>
      <c r="E1037" s="61" t="s">
        <v>69</v>
      </c>
      <c r="F1037" s="61" t="s">
        <v>70</v>
      </c>
      <c r="G1037" s="62">
        <v>734499846</v>
      </c>
      <c r="H1037" s="61" t="s">
        <v>68</v>
      </c>
      <c r="I1037" s="63" t="str">
        <f t="shared" si="132"/>
        <v>Poland-Online Supplier-Direct</v>
      </c>
      <c r="J1037" s="47"/>
      <c r="K1037" s="54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</row>
    <row r="1038" spans="1:42" ht="17.25" customHeight="1" x14ac:dyDescent="0.25">
      <c r="A1038" s="55">
        <v>2013</v>
      </c>
      <c r="B1038" s="56" t="s">
        <v>66</v>
      </c>
      <c r="C1038" s="56" t="s">
        <v>17</v>
      </c>
      <c r="D1038" s="56" t="s">
        <v>21</v>
      </c>
      <c r="E1038" s="56" t="s">
        <v>69</v>
      </c>
      <c r="F1038" s="56" t="s">
        <v>71</v>
      </c>
      <c r="G1038" s="57">
        <v>564550422</v>
      </c>
      <c r="H1038" s="56" t="s">
        <v>68</v>
      </c>
      <c r="I1038" s="58" t="str">
        <f t="shared" si="132"/>
        <v>Poland-OTA</v>
      </c>
      <c r="J1038" s="40"/>
      <c r="K1038" s="59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</row>
    <row r="1039" spans="1:42" ht="17.25" customHeight="1" x14ac:dyDescent="0.25">
      <c r="A1039" s="60">
        <v>2013</v>
      </c>
      <c r="B1039" s="61" t="s">
        <v>66</v>
      </c>
      <c r="C1039" s="61" t="s">
        <v>41</v>
      </c>
      <c r="D1039" s="61" t="s">
        <v>42</v>
      </c>
      <c r="E1039" s="61" t="s">
        <v>67</v>
      </c>
      <c r="F1039" s="61" t="s">
        <v>67</v>
      </c>
      <c r="G1039" s="62">
        <v>6482565884</v>
      </c>
      <c r="H1039" s="61" t="s">
        <v>68</v>
      </c>
      <c r="I1039" s="63" t="str">
        <f t="shared" si="132"/>
        <v>Qatar-Offline</v>
      </c>
      <c r="J1039" s="47"/>
      <c r="K1039" s="54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</row>
    <row r="1040" spans="1:42" ht="17.25" customHeight="1" x14ac:dyDescent="0.25">
      <c r="A1040" s="55">
        <v>2013</v>
      </c>
      <c r="B1040" s="56" t="s">
        <v>66</v>
      </c>
      <c r="C1040" s="56" t="s">
        <v>41</v>
      </c>
      <c r="D1040" s="56" t="s">
        <v>42</v>
      </c>
      <c r="E1040" s="56" t="s">
        <v>69</v>
      </c>
      <c r="F1040" s="56" t="s">
        <v>70</v>
      </c>
      <c r="G1040" s="57">
        <v>1008810881</v>
      </c>
      <c r="H1040" s="56" t="s">
        <v>68</v>
      </c>
      <c r="I1040" s="58" t="str">
        <f t="shared" si="132"/>
        <v>Qatar-Online Supplier-Direct</v>
      </c>
      <c r="J1040" s="40"/>
      <c r="K1040" s="59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</row>
    <row r="1041" spans="1:42" ht="17.25" customHeight="1" x14ac:dyDescent="0.25">
      <c r="A1041" s="60">
        <v>2013</v>
      </c>
      <c r="B1041" s="61" t="s">
        <v>66</v>
      </c>
      <c r="C1041" s="61" t="s">
        <v>41</v>
      </c>
      <c r="D1041" s="61" t="s">
        <v>42</v>
      </c>
      <c r="E1041" s="61" t="s">
        <v>69</v>
      </c>
      <c r="F1041" s="61" t="s">
        <v>71</v>
      </c>
      <c r="G1041" s="62">
        <v>600941484</v>
      </c>
      <c r="H1041" s="61" t="s">
        <v>68</v>
      </c>
      <c r="I1041" s="63" t="str">
        <f t="shared" si="132"/>
        <v>Qatar-OTA</v>
      </c>
      <c r="J1041" s="47"/>
      <c r="K1041" s="54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</row>
    <row r="1042" spans="1:42" ht="17.25" customHeight="1" x14ac:dyDescent="0.25">
      <c r="A1042" s="55">
        <v>2013</v>
      </c>
      <c r="B1042" s="56" t="s">
        <v>66</v>
      </c>
      <c r="C1042" s="56" t="s">
        <v>17</v>
      </c>
      <c r="D1042" s="56" t="s">
        <v>22</v>
      </c>
      <c r="E1042" s="56" t="s">
        <v>67</v>
      </c>
      <c r="F1042" s="56" t="s">
        <v>67</v>
      </c>
      <c r="G1042" s="57">
        <v>1711206221</v>
      </c>
      <c r="H1042" s="56" t="s">
        <v>68</v>
      </c>
      <c r="I1042" s="58" t="str">
        <f t="shared" si="132"/>
        <v>Rest of Eastern Europe-Offline</v>
      </c>
      <c r="J1042" s="40"/>
      <c r="K1042" s="59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</row>
    <row r="1043" spans="1:42" ht="17.25" customHeight="1" x14ac:dyDescent="0.25">
      <c r="A1043" s="60">
        <v>2013</v>
      </c>
      <c r="B1043" s="61" t="s">
        <v>66</v>
      </c>
      <c r="C1043" s="61" t="s">
        <v>17</v>
      </c>
      <c r="D1043" s="61" t="s">
        <v>22</v>
      </c>
      <c r="E1043" s="61" t="s">
        <v>69</v>
      </c>
      <c r="F1043" s="61" t="s">
        <v>70</v>
      </c>
      <c r="G1043" s="62">
        <v>177561531</v>
      </c>
      <c r="H1043" s="61" t="s">
        <v>68</v>
      </c>
      <c r="I1043" s="63" t="str">
        <f t="shared" si="132"/>
        <v>Rest of Eastern Europe-Online Supplier-Direct</v>
      </c>
      <c r="J1043" s="47"/>
      <c r="K1043" s="54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</row>
    <row r="1044" spans="1:42" ht="17.25" customHeight="1" x14ac:dyDescent="0.25">
      <c r="A1044" s="55">
        <v>2013</v>
      </c>
      <c r="B1044" s="56" t="s">
        <v>66</v>
      </c>
      <c r="C1044" s="56" t="s">
        <v>17</v>
      </c>
      <c r="D1044" s="56" t="s">
        <v>22</v>
      </c>
      <c r="E1044" s="56" t="s">
        <v>69</v>
      </c>
      <c r="F1044" s="56" t="s">
        <v>71</v>
      </c>
      <c r="G1044" s="57">
        <v>161022604</v>
      </c>
      <c r="H1044" s="56" t="s">
        <v>68</v>
      </c>
      <c r="I1044" s="58" t="str">
        <f t="shared" si="132"/>
        <v>Rest of Eastern Europe-OTA</v>
      </c>
      <c r="J1044" s="40"/>
      <c r="K1044" s="59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</row>
    <row r="1045" spans="1:42" ht="17.25" customHeight="1" x14ac:dyDescent="0.25">
      <c r="A1045" s="60">
        <v>2013</v>
      </c>
      <c r="B1045" s="61" t="s">
        <v>66</v>
      </c>
      <c r="C1045" s="61" t="s">
        <v>27</v>
      </c>
      <c r="D1045" s="61" t="s">
        <v>30</v>
      </c>
      <c r="E1045" s="61" t="s">
        <v>67</v>
      </c>
      <c r="F1045" s="61" t="s">
        <v>67</v>
      </c>
      <c r="G1045" s="62">
        <v>39050474564</v>
      </c>
      <c r="H1045" s="61" t="s">
        <v>68</v>
      </c>
      <c r="I1045" s="63" t="str">
        <f t="shared" si="132"/>
        <v>Rest of Europe-Offline</v>
      </c>
      <c r="J1045" s="47"/>
      <c r="K1045" s="54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</row>
    <row r="1046" spans="1:42" ht="17.25" customHeight="1" x14ac:dyDescent="0.25">
      <c r="A1046" s="55">
        <v>2013</v>
      </c>
      <c r="B1046" s="56" t="s">
        <v>66</v>
      </c>
      <c r="C1046" s="56" t="s">
        <v>27</v>
      </c>
      <c r="D1046" s="56" t="s">
        <v>30</v>
      </c>
      <c r="E1046" s="56" t="s">
        <v>69</v>
      </c>
      <c r="F1046" s="56" t="s">
        <v>70</v>
      </c>
      <c r="G1046" s="57">
        <v>13999209707</v>
      </c>
      <c r="H1046" s="56" t="s">
        <v>68</v>
      </c>
      <c r="I1046" s="58" t="str">
        <f t="shared" si="132"/>
        <v>Rest of Europe-Online Supplier-Direct</v>
      </c>
      <c r="J1046" s="40"/>
      <c r="K1046" s="59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</row>
    <row r="1047" spans="1:42" ht="17.25" customHeight="1" x14ac:dyDescent="0.25">
      <c r="A1047" s="60">
        <v>2013</v>
      </c>
      <c r="B1047" s="61" t="s">
        <v>66</v>
      </c>
      <c r="C1047" s="61" t="s">
        <v>27</v>
      </c>
      <c r="D1047" s="61" t="s">
        <v>30</v>
      </c>
      <c r="E1047" s="61" t="s">
        <v>69</v>
      </c>
      <c r="F1047" s="61" t="s">
        <v>71</v>
      </c>
      <c r="G1047" s="62">
        <v>7647736848</v>
      </c>
      <c r="H1047" s="61" t="s">
        <v>68</v>
      </c>
      <c r="I1047" s="63" t="str">
        <f t="shared" si="132"/>
        <v>Rest of Europe-OTA</v>
      </c>
      <c r="J1047" s="47"/>
      <c r="K1047" s="54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</row>
    <row r="1048" spans="1:42" ht="17.25" customHeight="1" x14ac:dyDescent="0.25">
      <c r="A1048" s="55">
        <v>2013</v>
      </c>
      <c r="B1048" s="56" t="s">
        <v>66</v>
      </c>
      <c r="C1048" s="56" t="s">
        <v>41</v>
      </c>
      <c r="D1048" s="56" t="s">
        <v>43</v>
      </c>
      <c r="E1048" s="56" t="s">
        <v>67</v>
      </c>
      <c r="F1048" s="56" t="s">
        <v>67</v>
      </c>
      <c r="G1048" s="57">
        <v>6531897314</v>
      </c>
      <c r="H1048" s="56" t="s">
        <v>68</v>
      </c>
      <c r="I1048" s="58" t="str">
        <f t="shared" si="132"/>
        <v>Rest of Middle East-Offline</v>
      </c>
      <c r="J1048" s="40"/>
      <c r="K1048" s="59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</row>
    <row r="1049" spans="1:42" ht="17.25" customHeight="1" x14ac:dyDescent="0.25">
      <c r="A1049" s="60">
        <v>2013</v>
      </c>
      <c r="B1049" s="61" t="s">
        <v>66</v>
      </c>
      <c r="C1049" s="61" t="s">
        <v>41</v>
      </c>
      <c r="D1049" s="61" t="s">
        <v>43</v>
      </c>
      <c r="E1049" s="61" t="s">
        <v>69</v>
      </c>
      <c r="F1049" s="61" t="s">
        <v>70</v>
      </c>
      <c r="G1049" s="62">
        <v>712996199</v>
      </c>
      <c r="H1049" s="61" t="s">
        <v>68</v>
      </c>
      <c r="I1049" s="63" t="str">
        <f t="shared" si="132"/>
        <v>Rest of Middle East-Online Supplier-Direct</v>
      </c>
      <c r="J1049" s="47"/>
      <c r="K1049" s="54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</row>
    <row r="1050" spans="1:42" ht="17.25" customHeight="1" x14ac:dyDescent="0.25">
      <c r="A1050" s="55">
        <v>2013</v>
      </c>
      <c r="B1050" s="56" t="s">
        <v>66</v>
      </c>
      <c r="C1050" s="56" t="s">
        <v>41</v>
      </c>
      <c r="D1050" s="56" t="s">
        <v>43</v>
      </c>
      <c r="E1050" s="56" t="s">
        <v>69</v>
      </c>
      <c r="F1050" s="56" t="s">
        <v>71</v>
      </c>
      <c r="G1050" s="57">
        <v>672117687</v>
      </c>
      <c r="H1050" s="56" t="s">
        <v>68</v>
      </c>
      <c r="I1050" s="58" t="str">
        <f t="shared" si="132"/>
        <v>Rest of Middle East-OTA</v>
      </c>
      <c r="J1050" s="40"/>
      <c r="K1050" s="59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</row>
    <row r="1051" spans="1:42" ht="17.25" customHeight="1" x14ac:dyDescent="0.25">
      <c r="A1051" s="60">
        <v>2013</v>
      </c>
      <c r="B1051" s="61" t="s">
        <v>66</v>
      </c>
      <c r="C1051" s="61" t="s">
        <v>17</v>
      </c>
      <c r="D1051" s="61" t="s">
        <v>23</v>
      </c>
      <c r="E1051" s="61" t="s">
        <v>67</v>
      </c>
      <c r="F1051" s="61" t="s">
        <v>67</v>
      </c>
      <c r="G1051" s="62">
        <v>2404759300</v>
      </c>
      <c r="H1051" s="61" t="s">
        <v>68</v>
      </c>
      <c r="I1051" s="63" t="str">
        <f t="shared" si="132"/>
        <v>Romania-Offline</v>
      </c>
      <c r="J1051" s="47"/>
      <c r="K1051" s="54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</row>
    <row r="1052" spans="1:42" ht="17.25" customHeight="1" x14ac:dyDescent="0.25">
      <c r="A1052" s="55">
        <v>2013</v>
      </c>
      <c r="B1052" s="56" t="s">
        <v>66</v>
      </c>
      <c r="C1052" s="56" t="s">
        <v>17</v>
      </c>
      <c r="D1052" s="56" t="s">
        <v>23</v>
      </c>
      <c r="E1052" s="56" t="s">
        <v>69</v>
      </c>
      <c r="F1052" s="56" t="s">
        <v>70</v>
      </c>
      <c r="G1052" s="57">
        <v>516563964</v>
      </c>
      <c r="H1052" s="56" t="s">
        <v>68</v>
      </c>
      <c r="I1052" s="58" t="str">
        <f t="shared" si="132"/>
        <v>Romania-Online Supplier-Direct</v>
      </c>
      <c r="J1052" s="40"/>
      <c r="K1052" s="59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</row>
    <row r="1053" spans="1:42" ht="17.25" customHeight="1" x14ac:dyDescent="0.25">
      <c r="A1053" s="60">
        <v>2013</v>
      </c>
      <c r="B1053" s="61" t="s">
        <v>66</v>
      </c>
      <c r="C1053" s="61" t="s">
        <v>17</v>
      </c>
      <c r="D1053" s="61" t="s">
        <v>23</v>
      </c>
      <c r="E1053" s="61" t="s">
        <v>69</v>
      </c>
      <c r="F1053" s="61" t="s">
        <v>71</v>
      </c>
      <c r="G1053" s="62">
        <v>227335981</v>
      </c>
      <c r="H1053" s="61" t="s">
        <v>68</v>
      </c>
      <c r="I1053" s="63" t="str">
        <f t="shared" si="132"/>
        <v>Romania-OTA</v>
      </c>
      <c r="J1053" s="47"/>
      <c r="K1053" s="54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</row>
    <row r="1054" spans="1:42" ht="17.25" customHeight="1" x14ac:dyDescent="0.25">
      <c r="A1054" s="55">
        <v>2013</v>
      </c>
      <c r="B1054" s="56" t="s">
        <v>66</v>
      </c>
      <c r="C1054" s="56" t="s">
        <v>17</v>
      </c>
      <c r="D1054" s="56" t="s">
        <v>24</v>
      </c>
      <c r="E1054" s="56" t="s">
        <v>67</v>
      </c>
      <c r="F1054" s="56" t="s">
        <v>67</v>
      </c>
      <c r="G1054" s="57">
        <v>34417207067</v>
      </c>
      <c r="H1054" s="56" t="s">
        <v>68</v>
      </c>
      <c r="I1054" s="58" t="str">
        <f t="shared" si="132"/>
        <v>Russia-Offline</v>
      </c>
      <c r="J1054" s="40"/>
      <c r="K1054" s="59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</row>
    <row r="1055" spans="1:42" ht="17.25" customHeight="1" x14ac:dyDescent="0.25">
      <c r="A1055" s="60">
        <v>2013</v>
      </c>
      <c r="B1055" s="61" t="s">
        <v>66</v>
      </c>
      <c r="C1055" s="61" t="s">
        <v>17</v>
      </c>
      <c r="D1055" s="61" t="s">
        <v>24</v>
      </c>
      <c r="E1055" s="61" t="s">
        <v>69</v>
      </c>
      <c r="F1055" s="61" t="s">
        <v>70</v>
      </c>
      <c r="G1055" s="62">
        <v>5409912109</v>
      </c>
      <c r="H1055" s="61" t="s">
        <v>68</v>
      </c>
      <c r="I1055" s="63" t="str">
        <f t="shared" si="132"/>
        <v>Russia-Online Supplier-Direct</v>
      </c>
      <c r="J1055" s="47"/>
      <c r="K1055" s="54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</row>
    <row r="1056" spans="1:42" ht="17.25" customHeight="1" x14ac:dyDescent="0.25">
      <c r="A1056" s="55">
        <v>2013</v>
      </c>
      <c r="B1056" s="56" t="s">
        <v>66</v>
      </c>
      <c r="C1056" s="56" t="s">
        <v>17</v>
      </c>
      <c r="D1056" s="56" t="s">
        <v>24</v>
      </c>
      <c r="E1056" s="56" t="s">
        <v>69</v>
      </c>
      <c r="F1056" s="56" t="s">
        <v>71</v>
      </c>
      <c r="G1056" s="57">
        <v>5279748050</v>
      </c>
      <c r="H1056" s="56" t="s">
        <v>68</v>
      </c>
      <c r="I1056" s="58" t="str">
        <f t="shared" si="132"/>
        <v>Russia-OTA</v>
      </c>
      <c r="J1056" s="40"/>
      <c r="K1056" s="59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</row>
    <row r="1057" spans="1:42" ht="17.25" customHeight="1" x14ac:dyDescent="0.25">
      <c r="A1057" s="60">
        <v>2013</v>
      </c>
      <c r="B1057" s="61" t="s">
        <v>66</v>
      </c>
      <c r="C1057" s="61" t="s">
        <v>41</v>
      </c>
      <c r="D1057" s="61" t="s">
        <v>44</v>
      </c>
      <c r="E1057" s="61" t="s">
        <v>67</v>
      </c>
      <c r="F1057" s="61" t="s">
        <v>67</v>
      </c>
      <c r="G1057" s="62">
        <v>8275544135</v>
      </c>
      <c r="H1057" s="61" t="s">
        <v>68</v>
      </c>
      <c r="I1057" s="63" t="str">
        <f t="shared" si="132"/>
        <v>Saudi Arabia-Offline</v>
      </c>
      <c r="J1057" s="47"/>
      <c r="K1057" s="54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</row>
    <row r="1058" spans="1:42" ht="17.25" customHeight="1" x14ac:dyDescent="0.25">
      <c r="A1058" s="55">
        <v>2013</v>
      </c>
      <c r="B1058" s="56" t="s">
        <v>66</v>
      </c>
      <c r="C1058" s="56" t="s">
        <v>41</v>
      </c>
      <c r="D1058" s="56" t="s">
        <v>44</v>
      </c>
      <c r="E1058" s="56" t="s">
        <v>69</v>
      </c>
      <c r="F1058" s="56" t="s">
        <v>70</v>
      </c>
      <c r="G1058" s="57">
        <v>817661325</v>
      </c>
      <c r="H1058" s="56" t="s">
        <v>68</v>
      </c>
      <c r="I1058" s="58" t="str">
        <f t="shared" si="132"/>
        <v>Saudi Arabia-Online Supplier-Direct</v>
      </c>
      <c r="J1058" s="40"/>
      <c r="K1058" s="59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</row>
    <row r="1059" spans="1:42" ht="17.25" customHeight="1" x14ac:dyDescent="0.25">
      <c r="A1059" s="60">
        <v>2013</v>
      </c>
      <c r="B1059" s="61" t="s">
        <v>66</v>
      </c>
      <c r="C1059" s="61" t="s">
        <v>41</v>
      </c>
      <c r="D1059" s="61" t="s">
        <v>44</v>
      </c>
      <c r="E1059" s="61" t="s">
        <v>69</v>
      </c>
      <c r="F1059" s="61" t="s">
        <v>71</v>
      </c>
      <c r="G1059" s="62">
        <v>1090791351</v>
      </c>
      <c r="H1059" s="61" t="s">
        <v>68</v>
      </c>
      <c r="I1059" s="63" t="str">
        <f t="shared" si="132"/>
        <v>Saudi Arabia-OTA</v>
      </c>
      <c r="J1059" s="47"/>
      <c r="K1059" s="54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35"/>
      <c r="AJ1059" s="35"/>
      <c r="AK1059" s="35"/>
      <c r="AL1059" s="35"/>
      <c r="AM1059" s="35"/>
      <c r="AN1059" s="35"/>
      <c r="AO1059" s="35"/>
      <c r="AP1059" s="35"/>
    </row>
    <row r="1060" spans="1:42" ht="17.25" customHeight="1" x14ac:dyDescent="0.25">
      <c r="A1060" s="55">
        <v>2013</v>
      </c>
      <c r="B1060" s="56" t="s">
        <v>66</v>
      </c>
      <c r="C1060" s="56" t="s">
        <v>27</v>
      </c>
      <c r="D1060" s="56" t="s">
        <v>31</v>
      </c>
      <c r="E1060" s="56" t="s">
        <v>67</v>
      </c>
      <c r="F1060" s="56" t="s">
        <v>67</v>
      </c>
      <c r="G1060" s="57">
        <v>9856397752</v>
      </c>
      <c r="H1060" s="56" t="s">
        <v>68</v>
      </c>
      <c r="I1060" s="58" t="str">
        <f t="shared" si="132"/>
        <v>Scandinavia-Offline</v>
      </c>
      <c r="J1060" s="40"/>
      <c r="K1060" s="59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35"/>
      <c r="AJ1060" s="35"/>
      <c r="AK1060" s="35"/>
      <c r="AL1060" s="35"/>
      <c r="AM1060" s="35"/>
      <c r="AN1060" s="35"/>
      <c r="AO1060" s="35"/>
      <c r="AP1060" s="35"/>
    </row>
    <row r="1061" spans="1:42" ht="17.25" customHeight="1" x14ac:dyDescent="0.25">
      <c r="A1061" s="60">
        <v>2013</v>
      </c>
      <c r="B1061" s="61" t="s">
        <v>66</v>
      </c>
      <c r="C1061" s="61" t="s">
        <v>27</v>
      </c>
      <c r="D1061" s="61" t="s">
        <v>31</v>
      </c>
      <c r="E1061" s="61" t="s">
        <v>69</v>
      </c>
      <c r="F1061" s="61" t="s">
        <v>70</v>
      </c>
      <c r="G1061" s="62">
        <v>7563024260</v>
      </c>
      <c r="H1061" s="61" t="s">
        <v>68</v>
      </c>
      <c r="I1061" s="63" t="str">
        <f t="shared" si="132"/>
        <v>Scandinavia-Online Supplier-Direct</v>
      </c>
      <c r="J1061" s="47"/>
      <c r="K1061" s="54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</row>
    <row r="1062" spans="1:42" ht="17.25" customHeight="1" x14ac:dyDescent="0.25">
      <c r="A1062" s="55">
        <v>2013</v>
      </c>
      <c r="B1062" s="56" t="s">
        <v>66</v>
      </c>
      <c r="C1062" s="56" t="s">
        <v>27</v>
      </c>
      <c r="D1062" s="56" t="s">
        <v>31</v>
      </c>
      <c r="E1062" s="56" t="s">
        <v>69</v>
      </c>
      <c r="F1062" s="56" t="s">
        <v>71</v>
      </c>
      <c r="G1062" s="57">
        <v>3299450883</v>
      </c>
      <c r="H1062" s="56" t="s">
        <v>68</v>
      </c>
      <c r="I1062" s="58" t="str">
        <f t="shared" si="132"/>
        <v>Scandinavia-OTA</v>
      </c>
      <c r="J1062" s="40"/>
      <c r="K1062" s="59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35"/>
      <c r="AJ1062" s="35"/>
      <c r="AK1062" s="35"/>
      <c r="AL1062" s="35"/>
      <c r="AM1062" s="35"/>
      <c r="AN1062" s="35"/>
      <c r="AO1062" s="35"/>
      <c r="AP1062" s="35"/>
    </row>
    <row r="1063" spans="1:42" ht="17.25" customHeight="1" x14ac:dyDescent="0.25">
      <c r="A1063" s="60">
        <v>2013</v>
      </c>
      <c r="B1063" s="61" t="s">
        <v>66</v>
      </c>
      <c r="C1063" s="61" t="s">
        <v>4</v>
      </c>
      <c r="D1063" s="61" t="s">
        <v>12</v>
      </c>
      <c r="E1063" s="61" t="s">
        <v>67</v>
      </c>
      <c r="F1063" s="61" t="s">
        <v>67</v>
      </c>
      <c r="G1063" s="62">
        <v>7365826317</v>
      </c>
      <c r="H1063" s="61" t="s">
        <v>68</v>
      </c>
      <c r="I1063" s="63" t="str">
        <f t="shared" si="132"/>
        <v>Singapore-Offline</v>
      </c>
      <c r="J1063" s="47"/>
      <c r="K1063" s="54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35"/>
      <c r="AJ1063" s="35"/>
      <c r="AK1063" s="35"/>
      <c r="AL1063" s="35"/>
      <c r="AM1063" s="35"/>
      <c r="AN1063" s="35"/>
      <c r="AO1063" s="35"/>
      <c r="AP1063" s="35"/>
    </row>
    <row r="1064" spans="1:42" ht="17.25" customHeight="1" x14ac:dyDescent="0.25">
      <c r="A1064" s="55">
        <v>2013</v>
      </c>
      <c r="B1064" s="56" t="s">
        <v>66</v>
      </c>
      <c r="C1064" s="56" t="s">
        <v>4</v>
      </c>
      <c r="D1064" s="56" t="s">
        <v>12</v>
      </c>
      <c r="E1064" s="56" t="s">
        <v>69</v>
      </c>
      <c r="F1064" s="56" t="s">
        <v>70</v>
      </c>
      <c r="G1064" s="57">
        <v>2337557765</v>
      </c>
      <c r="H1064" s="56" t="s">
        <v>68</v>
      </c>
      <c r="I1064" s="58" t="str">
        <f t="shared" si="132"/>
        <v>Singapore-Online Supplier-Direct</v>
      </c>
      <c r="J1064" s="40"/>
      <c r="K1064" s="59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P1064" s="35"/>
    </row>
    <row r="1065" spans="1:42" ht="17.25" customHeight="1" x14ac:dyDescent="0.25">
      <c r="A1065" s="60">
        <v>2013</v>
      </c>
      <c r="B1065" s="61" t="s">
        <v>66</v>
      </c>
      <c r="C1065" s="61" t="s">
        <v>4</v>
      </c>
      <c r="D1065" s="61" t="s">
        <v>12</v>
      </c>
      <c r="E1065" s="61" t="s">
        <v>69</v>
      </c>
      <c r="F1065" s="61" t="s">
        <v>71</v>
      </c>
      <c r="G1065" s="62">
        <v>801898308</v>
      </c>
      <c r="H1065" s="61" t="s">
        <v>68</v>
      </c>
      <c r="I1065" s="63" t="str">
        <f t="shared" si="132"/>
        <v>Singapore-OTA</v>
      </c>
      <c r="J1065" s="47"/>
      <c r="K1065" s="54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</row>
    <row r="1066" spans="1:42" ht="17.25" customHeight="1" x14ac:dyDescent="0.25">
      <c r="A1066" s="55">
        <v>2013</v>
      </c>
      <c r="B1066" s="56" t="s">
        <v>66</v>
      </c>
      <c r="C1066" s="56" t="s">
        <v>4</v>
      </c>
      <c r="D1066" s="56" t="s">
        <v>13</v>
      </c>
      <c r="E1066" s="56" t="s">
        <v>67</v>
      </c>
      <c r="F1066" s="56" t="s">
        <v>67</v>
      </c>
      <c r="G1066" s="57">
        <v>11406465886</v>
      </c>
      <c r="H1066" s="56" t="s">
        <v>68</v>
      </c>
      <c r="I1066" s="58" t="str">
        <f t="shared" si="132"/>
        <v>South Korea-Offline</v>
      </c>
      <c r="J1066" s="40"/>
      <c r="K1066" s="59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  <c r="AP1066" s="35"/>
    </row>
    <row r="1067" spans="1:42" ht="17.25" customHeight="1" x14ac:dyDescent="0.25">
      <c r="A1067" s="60">
        <v>2013</v>
      </c>
      <c r="B1067" s="61" t="s">
        <v>66</v>
      </c>
      <c r="C1067" s="61" t="s">
        <v>4</v>
      </c>
      <c r="D1067" s="61" t="s">
        <v>13</v>
      </c>
      <c r="E1067" s="61" t="s">
        <v>69</v>
      </c>
      <c r="F1067" s="61" t="s">
        <v>70</v>
      </c>
      <c r="G1067" s="62">
        <v>2605770471</v>
      </c>
      <c r="H1067" s="61" t="s">
        <v>68</v>
      </c>
      <c r="I1067" s="63" t="str">
        <f t="shared" si="132"/>
        <v>South Korea-Online Supplier-Direct</v>
      </c>
      <c r="J1067" s="47"/>
      <c r="K1067" s="54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  <c r="AP1067" s="35"/>
    </row>
    <row r="1068" spans="1:42" ht="17.25" customHeight="1" x14ac:dyDescent="0.25">
      <c r="A1068" s="55">
        <v>2013</v>
      </c>
      <c r="B1068" s="56" t="s">
        <v>66</v>
      </c>
      <c r="C1068" s="56" t="s">
        <v>4</v>
      </c>
      <c r="D1068" s="56" t="s">
        <v>13</v>
      </c>
      <c r="E1068" s="56" t="s">
        <v>69</v>
      </c>
      <c r="F1068" s="56" t="s">
        <v>71</v>
      </c>
      <c r="G1068" s="57">
        <v>780174079</v>
      </c>
      <c r="H1068" s="56" t="s">
        <v>68</v>
      </c>
      <c r="I1068" s="58" t="str">
        <f t="shared" si="132"/>
        <v>South Korea-OTA</v>
      </c>
      <c r="J1068" s="40"/>
      <c r="K1068" s="59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  <c r="AP1068" s="35"/>
    </row>
    <row r="1069" spans="1:42" ht="17.25" customHeight="1" x14ac:dyDescent="0.25">
      <c r="A1069" s="60">
        <v>2013</v>
      </c>
      <c r="B1069" s="61" t="s">
        <v>66</v>
      </c>
      <c r="C1069" s="61" t="s">
        <v>27</v>
      </c>
      <c r="D1069" s="61" t="s">
        <v>32</v>
      </c>
      <c r="E1069" s="61" t="s">
        <v>67</v>
      </c>
      <c r="F1069" s="61" t="s">
        <v>67</v>
      </c>
      <c r="G1069" s="62">
        <v>16772162171</v>
      </c>
      <c r="H1069" s="61" t="s">
        <v>68</v>
      </c>
      <c r="I1069" s="63" t="str">
        <f t="shared" si="132"/>
        <v>Spain-Offline</v>
      </c>
      <c r="J1069" s="47"/>
      <c r="K1069" s="54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  <c r="AP1069" s="35"/>
    </row>
    <row r="1070" spans="1:42" ht="17.25" customHeight="1" x14ac:dyDescent="0.25">
      <c r="A1070" s="55">
        <v>2013</v>
      </c>
      <c r="B1070" s="56" t="s">
        <v>66</v>
      </c>
      <c r="C1070" s="56" t="s">
        <v>27</v>
      </c>
      <c r="D1070" s="56" t="s">
        <v>32</v>
      </c>
      <c r="E1070" s="56" t="s">
        <v>69</v>
      </c>
      <c r="F1070" s="56" t="s">
        <v>70</v>
      </c>
      <c r="G1070" s="57">
        <v>4502453871</v>
      </c>
      <c r="H1070" s="56" t="s">
        <v>68</v>
      </c>
      <c r="I1070" s="58" t="str">
        <f t="shared" si="132"/>
        <v>Spain-Online Supplier-Direct</v>
      </c>
      <c r="J1070" s="40"/>
      <c r="K1070" s="59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</row>
    <row r="1071" spans="1:42" ht="17.25" customHeight="1" x14ac:dyDescent="0.25">
      <c r="A1071" s="60">
        <v>2013</v>
      </c>
      <c r="B1071" s="61" t="s">
        <v>66</v>
      </c>
      <c r="C1071" s="61" t="s">
        <v>27</v>
      </c>
      <c r="D1071" s="61" t="s">
        <v>32</v>
      </c>
      <c r="E1071" s="61" t="s">
        <v>69</v>
      </c>
      <c r="F1071" s="61" t="s">
        <v>71</v>
      </c>
      <c r="G1071" s="62">
        <v>5779371798</v>
      </c>
      <c r="H1071" s="61" t="s">
        <v>68</v>
      </c>
      <c r="I1071" s="63" t="str">
        <f t="shared" si="132"/>
        <v>Spain-OTA</v>
      </c>
      <c r="J1071" s="47"/>
      <c r="K1071" s="54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</row>
    <row r="1072" spans="1:42" ht="17.25" customHeight="1" x14ac:dyDescent="0.25">
      <c r="A1072" s="55">
        <v>2013</v>
      </c>
      <c r="B1072" s="56" t="s">
        <v>66</v>
      </c>
      <c r="C1072" s="56" t="s">
        <v>4</v>
      </c>
      <c r="D1072" s="56" t="s">
        <v>14</v>
      </c>
      <c r="E1072" s="56" t="s">
        <v>67</v>
      </c>
      <c r="F1072" s="56" t="s">
        <v>67</v>
      </c>
      <c r="G1072" s="57">
        <v>8014876340</v>
      </c>
      <c r="H1072" s="56" t="s">
        <v>68</v>
      </c>
      <c r="I1072" s="58" t="str">
        <f t="shared" si="132"/>
        <v>Taiwan-Offline</v>
      </c>
      <c r="J1072" s="40"/>
      <c r="K1072" s="59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  <c r="AP1072" s="35"/>
    </row>
    <row r="1073" spans="1:42" ht="17.25" customHeight="1" x14ac:dyDescent="0.25">
      <c r="A1073" s="60">
        <v>2013</v>
      </c>
      <c r="B1073" s="61" t="s">
        <v>66</v>
      </c>
      <c r="C1073" s="61" t="s">
        <v>4</v>
      </c>
      <c r="D1073" s="61" t="s">
        <v>14</v>
      </c>
      <c r="E1073" s="61" t="s">
        <v>69</v>
      </c>
      <c r="F1073" s="61" t="s">
        <v>70</v>
      </c>
      <c r="G1073" s="62">
        <v>846513573</v>
      </c>
      <c r="H1073" s="61" t="s">
        <v>68</v>
      </c>
      <c r="I1073" s="63" t="str">
        <f t="shared" si="132"/>
        <v>Taiwan-Online Supplier-Direct</v>
      </c>
      <c r="J1073" s="47"/>
      <c r="K1073" s="54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  <c r="AP1073" s="35"/>
    </row>
    <row r="1074" spans="1:42" ht="17.25" customHeight="1" x14ac:dyDescent="0.25">
      <c r="A1074" s="55">
        <v>2013</v>
      </c>
      <c r="B1074" s="56" t="s">
        <v>66</v>
      </c>
      <c r="C1074" s="56" t="s">
        <v>4</v>
      </c>
      <c r="D1074" s="56" t="s">
        <v>14</v>
      </c>
      <c r="E1074" s="56" t="s">
        <v>69</v>
      </c>
      <c r="F1074" s="56" t="s">
        <v>71</v>
      </c>
      <c r="G1074" s="57">
        <v>332560683</v>
      </c>
      <c r="H1074" s="56" t="s">
        <v>68</v>
      </c>
      <c r="I1074" s="58" t="str">
        <f t="shared" si="132"/>
        <v>Taiwan-OTA</v>
      </c>
      <c r="J1074" s="40"/>
      <c r="K1074" s="59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  <c r="AP1074" s="35"/>
    </row>
    <row r="1075" spans="1:42" ht="17.25" customHeight="1" x14ac:dyDescent="0.25">
      <c r="A1075" s="60">
        <v>2013</v>
      </c>
      <c r="B1075" s="61" t="s">
        <v>66</v>
      </c>
      <c r="C1075" s="61" t="s">
        <v>4</v>
      </c>
      <c r="D1075" s="61" t="s">
        <v>15</v>
      </c>
      <c r="E1075" s="61" t="s">
        <v>67</v>
      </c>
      <c r="F1075" s="61" t="s">
        <v>67</v>
      </c>
      <c r="G1075" s="62">
        <v>9606310231</v>
      </c>
      <c r="H1075" s="61" t="s">
        <v>68</v>
      </c>
      <c r="I1075" s="63" t="str">
        <f t="shared" si="132"/>
        <v>Thailand-Offline</v>
      </c>
      <c r="J1075" s="47"/>
      <c r="K1075" s="54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  <c r="AP1075" s="35"/>
    </row>
    <row r="1076" spans="1:42" ht="17.25" customHeight="1" x14ac:dyDescent="0.25">
      <c r="A1076" s="55">
        <v>2013</v>
      </c>
      <c r="B1076" s="56" t="s">
        <v>66</v>
      </c>
      <c r="C1076" s="56" t="s">
        <v>4</v>
      </c>
      <c r="D1076" s="56" t="s">
        <v>15</v>
      </c>
      <c r="E1076" s="56" t="s">
        <v>69</v>
      </c>
      <c r="F1076" s="56" t="s">
        <v>70</v>
      </c>
      <c r="G1076" s="57">
        <v>1458609491</v>
      </c>
      <c r="H1076" s="56" t="s">
        <v>68</v>
      </c>
      <c r="I1076" s="58" t="str">
        <f t="shared" si="132"/>
        <v>Thailand-Online Supplier-Direct</v>
      </c>
      <c r="J1076" s="40"/>
      <c r="K1076" s="59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</row>
    <row r="1077" spans="1:42" ht="17.25" customHeight="1" x14ac:dyDescent="0.25">
      <c r="A1077" s="60">
        <v>2013</v>
      </c>
      <c r="B1077" s="61" t="s">
        <v>66</v>
      </c>
      <c r="C1077" s="61" t="s">
        <v>4</v>
      </c>
      <c r="D1077" s="61" t="s">
        <v>15</v>
      </c>
      <c r="E1077" s="61" t="s">
        <v>69</v>
      </c>
      <c r="F1077" s="61" t="s">
        <v>71</v>
      </c>
      <c r="G1077" s="62">
        <v>1616852798</v>
      </c>
      <c r="H1077" s="61" t="s">
        <v>68</v>
      </c>
      <c r="I1077" s="63" t="str">
        <f t="shared" si="132"/>
        <v>Thailand-OTA</v>
      </c>
      <c r="J1077" s="47"/>
      <c r="K1077" s="54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  <c r="AP1077" s="35"/>
    </row>
    <row r="1078" spans="1:42" ht="17.25" customHeight="1" x14ac:dyDescent="0.25">
      <c r="A1078" s="55">
        <v>2013</v>
      </c>
      <c r="B1078" s="56" t="s">
        <v>66</v>
      </c>
      <c r="C1078" s="56" t="s">
        <v>41</v>
      </c>
      <c r="D1078" s="56" t="s">
        <v>45</v>
      </c>
      <c r="E1078" s="56" t="s">
        <v>67</v>
      </c>
      <c r="F1078" s="56" t="s">
        <v>67</v>
      </c>
      <c r="G1078" s="57">
        <v>24298335754</v>
      </c>
      <c r="H1078" s="56" t="s">
        <v>68</v>
      </c>
      <c r="I1078" s="58" t="str">
        <f t="shared" si="132"/>
        <v>U.A.E.-Offline</v>
      </c>
      <c r="J1078" s="40"/>
      <c r="K1078" s="59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P1078" s="35"/>
    </row>
    <row r="1079" spans="1:42" ht="17.25" customHeight="1" x14ac:dyDescent="0.25">
      <c r="A1079" s="60">
        <v>2013</v>
      </c>
      <c r="B1079" s="61" t="s">
        <v>66</v>
      </c>
      <c r="C1079" s="61" t="s">
        <v>41</v>
      </c>
      <c r="D1079" s="61" t="s">
        <v>45</v>
      </c>
      <c r="E1079" s="61" t="s">
        <v>69</v>
      </c>
      <c r="F1079" s="61" t="s">
        <v>70</v>
      </c>
      <c r="G1079" s="62">
        <v>4932015194</v>
      </c>
      <c r="H1079" s="61" t="s">
        <v>68</v>
      </c>
      <c r="I1079" s="63" t="str">
        <f t="shared" si="132"/>
        <v>U.A.E.-Online Supplier-Direct</v>
      </c>
      <c r="J1079" s="47"/>
      <c r="K1079" s="54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P1079" s="35"/>
    </row>
    <row r="1080" spans="1:42" ht="17.25" customHeight="1" x14ac:dyDescent="0.25">
      <c r="A1080" s="55">
        <v>2013</v>
      </c>
      <c r="B1080" s="56" t="s">
        <v>66</v>
      </c>
      <c r="C1080" s="56" t="s">
        <v>41</v>
      </c>
      <c r="D1080" s="56" t="s">
        <v>45</v>
      </c>
      <c r="E1080" s="56" t="s">
        <v>69</v>
      </c>
      <c r="F1080" s="56" t="s">
        <v>71</v>
      </c>
      <c r="G1080" s="57">
        <v>3068832557</v>
      </c>
      <c r="H1080" s="56" t="s">
        <v>68</v>
      </c>
      <c r="I1080" s="58" t="str">
        <f t="shared" si="132"/>
        <v>U.A.E.-OTA</v>
      </c>
      <c r="J1080" s="40"/>
      <c r="K1080" s="59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P1080" s="35"/>
    </row>
    <row r="1081" spans="1:42" ht="17.25" customHeight="1" x14ac:dyDescent="0.25">
      <c r="A1081" s="60">
        <v>2013</v>
      </c>
      <c r="B1081" s="61" t="s">
        <v>66</v>
      </c>
      <c r="C1081" s="61" t="s">
        <v>27</v>
      </c>
      <c r="D1081" s="61" t="s">
        <v>33</v>
      </c>
      <c r="E1081" s="61" t="s">
        <v>67</v>
      </c>
      <c r="F1081" s="61" t="s">
        <v>67</v>
      </c>
      <c r="G1081" s="62">
        <v>33766530443</v>
      </c>
      <c r="H1081" s="61" t="s">
        <v>68</v>
      </c>
      <c r="I1081" s="63" t="str">
        <f t="shared" si="132"/>
        <v>U.K.-Offline</v>
      </c>
      <c r="J1081" s="47"/>
      <c r="K1081" s="54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P1081" s="35"/>
    </row>
    <row r="1082" spans="1:42" ht="17.25" customHeight="1" x14ac:dyDescent="0.25">
      <c r="A1082" s="55">
        <v>2013</v>
      </c>
      <c r="B1082" s="56" t="s">
        <v>66</v>
      </c>
      <c r="C1082" s="56" t="s">
        <v>27</v>
      </c>
      <c r="D1082" s="56" t="s">
        <v>33</v>
      </c>
      <c r="E1082" s="56" t="s">
        <v>69</v>
      </c>
      <c r="F1082" s="56" t="s">
        <v>70</v>
      </c>
      <c r="G1082" s="57">
        <v>23595900274</v>
      </c>
      <c r="H1082" s="56" t="s">
        <v>68</v>
      </c>
      <c r="I1082" s="58" t="str">
        <f t="shared" si="132"/>
        <v>U.K.-Online Supplier-Direct</v>
      </c>
      <c r="J1082" s="40"/>
      <c r="K1082" s="59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  <c r="AP1082" s="35"/>
    </row>
    <row r="1083" spans="1:42" ht="17.25" customHeight="1" x14ac:dyDescent="0.25">
      <c r="A1083" s="60">
        <v>2013</v>
      </c>
      <c r="B1083" s="61" t="s">
        <v>66</v>
      </c>
      <c r="C1083" s="61" t="s">
        <v>27</v>
      </c>
      <c r="D1083" s="61" t="s">
        <v>33</v>
      </c>
      <c r="E1083" s="61" t="s">
        <v>69</v>
      </c>
      <c r="F1083" s="61" t="s">
        <v>71</v>
      </c>
      <c r="G1083" s="62">
        <v>9278259362</v>
      </c>
      <c r="H1083" s="61" t="s">
        <v>68</v>
      </c>
      <c r="I1083" s="63" t="str">
        <f t="shared" si="132"/>
        <v>U.K.-OTA</v>
      </c>
      <c r="J1083" s="47"/>
      <c r="K1083" s="54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  <c r="AP1083" s="35"/>
    </row>
    <row r="1084" spans="1:42" ht="17.25" customHeight="1" x14ac:dyDescent="0.25">
      <c r="A1084" s="55">
        <v>2013</v>
      </c>
      <c r="B1084" s="56" t="s">
        <v>66</v>
      </c>
      <c r="C1084" s="56" t="s">
        <v>47</v>
      </c>
      <c r="D1084" s="56" t="s">
        <v>48</v>
      </c>
      <c r="E1084" s="56" t="s">
        <v>72</v>
      </c>
      <c r="F1084" s="56" t="s">
        <v>73</v>
      </c>
      <c r="G1084" s="57">
        <v>85026052616</v>
      </c>
      <c r="H1084" s="56" t="s">
        <v>68</v>
      </c>
      <c r="I1084" s="58" t="str">
        <f t="shared" si="132"/>
        <v>U.S.-Central Reservation</v>
      </c>
      <c r="J1084" s="40"/>
      <c r="K1084" s="59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  <c r="AP1084" s="35"/>
    </row>
    <row r="1085" spans="1:42" ht="17.25" customHeight="1" x14ac:dyDescent="0.25">
      <c r="A1085" s="60">
        <v>2013</v>
      </c>
      <c r="B1085" s="61" t="s">
        <v>66</v>
      </c>
      <c r="C1085" s="61" t="s">
        <v>47</v>
      </c>
      <c r="D1085" s="61" t="s">
        <v>48</v>
      </c>
      <c r="E1085" s="61" t="s">
        <v>67</v>
      </c>
      <c r="F1085" s="61" t="s">
        <v>74</v>
      </c>
      <c r="G1085" s="62">
        <v>90248313650</v>
      </c>
      <c r="H1085" s="61" t="s">
        <v>68</v>
      </c>
      <c r="I1085" s="63" t="str">
        <f t="shared" si="132"/>
        <v>U.S.-Travel Agency/TMC</v>
      </c>
      <c r="J1085" s="47"/>
      <c r="K1085" s="54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  <c r="AP1085" s="35"/>
    </row>
    <row r="1086" spans="1:42" ht="17.25" customHeight="1" x14ac:dyDescent="0.25">
      <c r="A1086" s="55">
        <v>2013</v>
      </c>
      <c r="B1086" s="56" t="s">
        <v>66</v>
      </c>
      <c r="C1086" s="56" t="s">
        <v>47</v>
      </c>
      <c r="D1086" s="56" t="s">
        <v>48</v>
      </c>
      <c r="E1086" s="56" t="s">
        <v>69</v>
      </c>
      <c r="F1086" s="56" t="s">
        <v>70</v>
      </c>
      <c r="G1086" s="57">
        <v>83750794801</v>
      </c>
      <c r="H1086" s="56" t="s">
        <v>68</v>
      </c>
      <c r="I1086" s="58" t="str">
        <f t="shared" si="132"/>
        <v>U.S.-Online Supplier-Direct</v>
      </c>
      <c r="J1086" s="40"/>
      <c r="K1086" s="59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  <c r="AP1086" s="35"/>
    </row>
    <row r="1087" spans="1:42" ht="17.25" customHeight="1" x14ac:dyDescent="0.25">
      <c r="A1087" s="60">
        <v>2013</v>
      </c>
      <c r="B1087" s="61" t="s">
        <v>66</v>
      </c>
      <c r="C1087" s="61" t="s">
        <v>47</v>
      </c>
      <c r="D1087" s="61" t="s">
        <v>48</v>
      </c>
      <c r="E1087" s="61" t="s">
        <v>69</v>
      </c>
      <c r="F1087" s="61" t="s">
        <v>71</v>
      </c>
      <c r="G1087" s="62">
        <v>48681000004</v>
      </c>
      <c r="H1087" s="61" t="s">
        <v>68</v>
      </c>
      <c r="I1087" s="63" t="str">
        <f t="shared" si="132"/>
        <v>U.S.-OTA</v>
      </c>
      <c r="J1087" s="47"/>
      <c r="K1087" s="54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  <c r="AP1087" s="35"/>
    </row>
    <row r="1088" spans="1:42" ht="17.25" customHeight="1" x14ac:dyDescent="0.25">
      <c r="A1088" s="55">
        <v>2013</v>
      </c>
      <c r="B1088" s="56" t="s">
        <v>66</v>
      </c>
      <c r="C1088" s="56" t="s">
        <v>17</v>
      </c>
      <c r="D1088" s="56" t="s">
        <v>25</v>
      </c>
      <c r="E1088" s="56" t="s">
        <v>67</v>
      </c>
      <c r="F1088" s="56" t="s">
        <v>67</v>
      </c>
      <c r="G1088" s="57">
        <v>3812708033</v>
      </c>
      <c r="H1088" s="56" t="s">
        <v>68</v>
      </c>
      <c r="I1088" s="58" t="str">
        <f t="shared" si="132"/>
        <v>Ukraine-Offline</v>
      </c>
      <c r="J1088" s="40"/>
      <c r="K1088" s="59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  <c r="AP1088" s="35"/>
    </row>
    <row r="1089" spans="1:42" ht="17.25" customHeight="1" x14ac:dyDescent="0.25">
      <c r="A1089" s="60">
        <v>2013</v>
      </c>
      <c r="B1089" s="61" t="s">
        <v>66</v>
      </c>
      <c r="C1089" s="61" t="s">
        <v>17</v>
      </c>
      <c r="D1089" s="61" t="s">
        <v>25</v>
      </c>
      <c r="E1089" s="61" t="s">
        <v>69</v>
      </c>
      <c r="F1089" s="61" t="s">
        <v>70</v>
      </c>
      <c r="G1089" s="62">
        <v>477347369</v>
      </c>
      <c r="H1089" s="61" t="s">
        <v>68</v>
      </c>
      <c r="I1089" s="63" t="str">
        <f t="shared" si="132"/>
        <v>Ukraine-Online Supplier-Direct</v>
      </c>
      <c r="J1089" s="47"/>
      <c r="K1089" s="54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  <c r="AP1089" s="35"/>
    </row>
    <row r="1090" spans="1:42" ht="17.25" customHeight="1" x14ac:dyDescent="0.25">
      <c r="A1090" s="55">
        <v>2013</v>
      </c>
      <c r="B1090" s="56" t="s">
        <v>66</v>
      </c>
      <c r="C1090" s="56" t="s">
        <v>17</v>
      </c>
      <c r="D1090" s="56" t="s">
        <v>25</v>
      </c>
      <c r="E1090" s="56" t="s">
        <v>69</v>
      </c>
      <c r="F1090" s="56" t="s">
        <v>71</v>
      </c>
      <c r="G1090" s="57">
        <v>360986042</v>
      </c>
      <c r="H1090" s="56" t="s">
        <v>68</v>
      </c>
      <c r="I1090" s="58" t="str">
        <f t="shared" si="132"/>
        <v>Ukraine-OTA</v>
      </c>
      <c r="J1090" s="40"/>
      <c r="K1090" s="59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  <c r="AP1090" s="35"/>
    </row>
    <row r="1091" spans="1:42" ht="17.25" customHeight="1" x14ac:dyDescent="0.25">
      <c r="A1091" s="60">
        <v>2014</v>
      </c>
      <c r="B1091" s="61" t="s">
        <v>66</v>
      </c>
      <c r="C1091" s="61" t="s">
        <v>35</v>
      </c>
      <c r="D1091" s="61" t="s">
        <v>34</v>
      </c>
      <c r="E1091" s="61" t="s">
        <v>67</v>
      </c>
      <c r="F1091" s="61" t="s">
        <v>67</v>
      </c>
      <c r="G1091" s="62">
        <v>4915273237</v>
      </c>
      <c r="H1091" s="61" t="s">
        <v>68</v>
      </c>
      <c r="I1091" s="63" t="str">
        <f t="shared" si="132"/>
        <v>Argentina-Offline</v>
      </c>
      <c r="J1091" s="47"/>
      <c r="K1091" s="54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  <c r="AP1091" s="35"/>
    </row>
    <row r="1092" spans="1:42" ht="17.25" customHeight="1" x14ac:dyDescent="0.25">
      <c r="A1092" s="55">
        <v>2014</v>
      </c>
      <c r="B1092" s="56" t="s">
        <v>66</v>
      </c>
      <c r="C1092" s="56" t="s">
        <v>35</v>
      </c>
      <c r="D1092" s="56" t="s">
        <v>34</v>
      </c>
      <c r="E1092" s="56" t="s">
        <v>69</v>
      </c>
      <c r="F1092" s="56" t="s">
        <v>70</v>
      </c>
      <c r="G1092" s="57">
        <v>511774377</v>
      </c>
      <c r="H1092" s="56" t="s">
        <v>68</v>
      </c>
      <c r="I1092" s="58" t="str">
        <f t="shared" si="132"/>
        <v>Argentina-Online Supplier-Direct</v>
      </c>
      <c r="J1092" s="40"/>
      <c r="K1092" s="59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  <c r="AP1092" s="35"/>
    </row>
    <row r="1093" spans="1:42" ht="17.25" customHeight="1" x14ac:dyDescent="0.25">
      <c r="A1093" s="60">
        <v>2014</v>
      </c>
      <c r="B1093" s="61" t="s">
        <v>66</v>
      </c>
      <c r="C1093" s="61" t="s">
        <v>35</v>
      </c>
      <c r="D1093" s="61" t="s">
        <v>34</v>
      </c>
      <c r="E1093" s="61" t="s">
        <v>69</v>
      </c>
      <c r="F1093" s="61" t="s">
        <v>71</v>
      </c>
      <c r="G1093" s="62">
        <v>682874162</v>
      </c>
      <c r="H1093" s="61" t="s">
        <v>68</v>
      </c>
      <c r="I1093" s="63" t="str">
        <f t="shared" si="132"/>
        <v>Argentina-OTA</v>
      </c>
      <c r="J1093" s="47"/>
      <c r="K1093" s="54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  <c r="AP1093" s="35"/>
    </row>
    <row r="1094" spans="1:42" ht="17.25" customHeight="1" x14ac:dyDescent="0.25">
      <c r="A1094" s="55">
        <v>2014</v>
      </c>
      <c r="B1094" s="56" t="s">
        <v>66</v>
      </c>
      <c r="C1094" s="56" t="s">
        <v>4</v>
      </c>
      <c r="D1094" s="56" t="s">
        <v>3</v>
      </c>
      <c r="E1094" s="56" t="s">
        <v>67</v>
      </c>
      <c r="F1094" s="56" t="s">
        <v>67</v>
      </c>
      <c r="G1094" s="57">
        <v>19449053548</v>
      </c>
      <c r="H1094" s="56" t="s">
        <v>68</v>
      </c>
      <c r="I1094" s="58" t="str">
        <f t="shared" si="132"/>
        <v>Australia-New Zealand-Offline</v>
      </c>
      <c r="J1094" s="40"/>
      <c r="K1094" s="59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  <c r="AP1094" s="35"/>
    </row>
    <row r="1095" spans="1:42" ht="17.25" customHeight="1" x14ac:dyDescent="0.25">
      <c r="A1095" s="60">
        <v>2014</v>
      </c>
      <c r="B1095" s="61" t="s">
        <v>66</v>
      </c>
      <c r="C1095" s="61" t="s">
        <v>4</v>
      </c>
      <c r="D1095" s="61" t="s">
        <v>3</v>
      </c>
      <c r="E1095" s="61" t="s">
        <v>69</v>
      </c>
      <c r="F1095" s="61" t="s">
        <v>70</v>
      </c>
      <c r="G1095" s="62">
        <v>8967282187</v>
      </c>
      <c r="H1095" s="61" t="s">
        <v>68</v>
      </c>
      <c r="I1095" s="63" t="str">
        <f t="shared" si="132"/>
        <v>Australia-New Zealand-Online Supplier-Direct</v>
      </c>
      <c r="J1095" s="47"/>
      <c r="K1095" s="54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  <c r="AP1095" s="35"/>
    </row>
    <row r="1096" spans="1:42" ht="17.25" customHeight="1" x14ac:dyDescent="0.25">
      <c r="A1096" s="55">
        <v>2014</v>
      </c>
      <c r="B1096" s="56" t="s">
        <v>66</v>
      </c>
      <c r="C1096" s="56" t="s">
        <v>4</v>
      </c>
      <c r="D1096" s="56" t="s">
        <v>3</v>
      </c>
      <c r="E1096" s="56" t="s">
        <v>69</v>
      </c>
      <c r="F1096" s="56" t="s">
        <v>71</v>
      </c>
      <c r="G1096" s="57">
        <v>2895191205</v>
      </c>
      <c r="H1096" s="56" t="s">
        <v>68</v>
      </c>
      <c r="I1096" s="58" t="str">
        <f t="shared" si="132"/>
        <v>Australia-New Zealand-OTA</v>
      </c>
      <c r="J1096" s="40"/>
      <c r="K1096" s="59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  <c r="AP1096" s="35"/>
    </row>
    <row r="1097" spans="1:42" ht="17.25" customHeight="1" x14ac:dyDescent="0.25">
      <c r="A1097" s="60">
        <v>2014</v>
      </c>
      <c r="B1097" s="61" t="s">
        <v>66</v>
      </c>
      <c r="C1097" s="61" t="s">
        <v>35</v>
      </c>
      <c r="D1097" s="61" t="s">
        <v>36</v>
      </c>
      <c r="E1097" s="61" t="s">
        <v>67</v>
      </c>
      <c r="F1097" s="61" t="s">
        <v>67</v>
      </c>
      <c r="G1097" s="62">
        <v>20710608843</v>
      </c>
      <c r="H1097" s="61" t="s">
        <v>68</v>
      </c>
      <c r="I1097" s="63" t="str">
        <f t="shared" si="132"/>
        <v>Brazil-Offline</v>
      </c>
      <c r="J1097" s="47"/>
      <c r="K1097" s="54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  <c r="AP1097" s="35"/>
    </row>
    <row r="1098" spans="1:42" ht="17.25" customHeight="1" x14ac:dyDescent="0.25">
      <c r="A1098" s="55">
        <v>2014</v>
      </c>
      <c r="B1098" s="56" t="s">
        <v>66</v>
      </c>
      <c r="C1098" s="56" t="s">
        <v>35</v>
      </c>
      <c r="D1098" s="56" t="s">
        <v>36</v>
      </c>
      <c r="E1098" s="56" t="s">
        <v>69</v>
      </c>
      <c r="F1098" s="56" t="s">
        <v>70</v>
      </c>
      <c r="G1098" s="57">
        <v>2256491458</v>
      </c>
      <c r="H1098" s="56" t="s">
        <v>68</v>
      </c>
      <c r="I1098" s="58" t="str">
        <f t="shared" si="132"/>
        <v>Brazil-Online Supplier-Direct</v>
      </c>
      <c r="J1098" s="40"/>
      <c r="K1098" s="59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P1098" s="35"/>
    </row>
    <row r="1099" spans="1:42" ht="17.25" customHeight="1" x14ac:dyDescent="0.25">
      <c r="A1099" s="60">
        <v>2014</v>
      </c>
      <c r="B1099" s="61" t="s">
        <v>66</v>
      </c>
      <c r="C1099" s="61" t="s">
        <v>35</v>
      </c>
      <c r="D1099" s="61" t="s">
        <v>36</v>
      </c>
      <c r="E1099" s="61" t="s">
        <v>69</v>
      </c>
      <c r="F1099" s="61" t="s">
        <v>71</v>
      </c>
      <c r="G1099" s="62">
        <v>5050009062</v>
      </c>
      <c r="H1099" s="61" t="s">
        <v>68</v>
      </c>
      <c r="I1099" s="63" t="str">
        <f t="shared" si="132"/>
        <v>Brazil-OTA</v>
      </c>
      <c r="J1099" s="47"/>
      <c r="K1099" s="54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P1099" s="35"/>
    </row>
    <row r="1100" spans="1:42" ht="17.25" customHeight="1" x14ac:dyDescent="0.25">
      <c r="A1100" s="55">
        <v>2014</v>
      </c>
      <c r="B1100" s="56" t="s">
        <v>66</v>
      </c>
      <c r="C1100" s="56" t="s">
        <v>17</v>
      </c>
      <c r="D1100" s="56" t="s">
        <v>16</v>
      </c>
      <c r="E1100" s="56" t="s">
        <v>67</v>
      </c>
      <c r="F1100" s="56" t="s">
        <v>67</v>
      </c>
      <c r="G1100" s="57">
        <v>1104869266</v>
      </c>
      <c r="H1100" s="56" t="s">
        <v>68</v>
      </c>
      <c r="I1100" s="58" t="str">
        <f t="shared" si="132"/>
        <v>Bulgaria-Offline</v>
      </c>
      <c r="J1100" s="40"/>
      <c r="K1100" s="59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  <c r="AP1100" s="35"/>
    </row>
    <row r="1101" spans="1:42" ht="17.25" customHeight="1" x14ac:dyDescent="0.25">
      <c r="A1101" s="60">
        <v>2014</v>
      </c>
      <c r="B1101" s="61" t="s">
        <v>66</v>
      </c>
      <c r="C1101" s="61" t="s">
        <v>17</v>
      </c>
      <c r="D1101" s="61" t="s">
        <v>16</v>
      </c>
      <c r="E1101" s="61" t="s">
        <v>69</v>
      </c>
      <c r="F1101" s="61" t="s">
        <v>70</v>
      </c>
      <c r="G1101" s="62">
        <v>173163427</v>
      </c>
      <c r="H1101" s="61" t="s">
        <v>68</v>
      </c>
      <c r="I1101" s="63" t="str">
        <f t="shared" si="132"/>
        <v>Bulgaria-Online Supplier-Direct</v>
      </c>
      <c r="J1101" s="47"/>
      <c r="K1101" s="54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  <c r="AP1101" s="35"/>
    </row>
    <row r="1102" spans="1:42" ht="17.25" customHeight="1" x14ac:dyDescent="0.25">
      <c r="A1102" s="55">
        <v>2014</v>
      </c>
      <c r="B1102" s="56" t="s">
        <v>66</v>
      </c>
      <c r="C1102" s="56" t="s">
        <v>17</v>
      </c>
      <c r="D1102" s="56" t="s">
        <v>16</v>
      </c>
      <c r="E1102" s="56" t="s">
        <v>69</v>
      </c>
      <c r="F1102" s="56" t="s">
        <v>71</v>
      </c>
      <c r="G1102" s="57">
        <v>126178399</v>
      </c>
      <c r="H1102" s="56" t="s">
        <v>68</v>
      </c>
      <c r="I1102" s="58" t="str">
        <f t="shared" si="132"/>
        <v>Bulgaria-OTA</v>
      </c>
      <c r="J1102" s="40"/>
      <c r="K1102" s="59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</row>
    <row r="1103" spans="1:42" ht="17.25" customHeight="1" x14ac:dyDescent="0.25">
      <c r="A1103" s="60">
        <v>2014</v>
      </c>
      <c r="B1103" s="61" t="s">
        <v>66</v>
      </c>
      <c r="C1103" s="61" t="s">
        <v>47</v>
      </c>
      <c r="D1103" s="61" t="s">
        <v>46</v>
      </c>
      <c r="E1103" s="61" t="s">
        <v>67</v>
      </c>
      <c r="F1103" s="61" t="s">
        <v>67</v>
      </c>
      <c r="G1103" s="62">
        <v>21561223654</v>
      </c>
      <c r="H1103" s="61" t="s">
        <v>68</v>
      </c>
      <c r="I1103" s="63" t="str">
        <f t="shared" si="132"/>
        <v>Canada-Offline</v>
      </c>
      <c r="J1103" s="47"/>
      <c r="K1103" s="54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</row>
    <row r="1104" spans="1:42" ht="17.25" customHeight="1" x14ac:dyDescent="0.25">
      <c r="A1104" s="55">
        <v>2014</v>
      </c>
      <c r="B1104" s="56" t="s">
        <v>66</v>
      </c>
      <c r="C1104" s="56" t="s">
        <v>47</v>
      </c>
      <c r="D1104" s="56" t="s">
        <v>46</v>
      </c>
      <c r="E1104" s="56" t="s">
        <v>69</v>
      </c>
      <c r="F1104" s="56" t="s">
        <v>70</v>
      </c>
      <c r="G1104" s="57">
        <v>9049191076</v>
      </c>
      <c r="H1104" s="56" t="s">
        <v>68</v>
      </c>
      <c r="I1104" s="58" t="str">
        <f t="shared" si="132"/>
        <v>Canada-Online Supplier-Direct</v>
      </c>
      <c r="J1104" s="40"/>
      <c r="K1104" s="59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</row>
    <row r="1105" spans="1:42" ht="17.25" customHeight="1" x14ac:dyDescent="0.25">
      <c r="A1105" s="60">
        <v>2014</v>
      </c>
      <c r="B1105" s="61" t="s">
        <v>66</v>
      </c>
      <c r="C1105" s="61" t="s">
        <v>47</v>
      </c>
      <c r="D1105" s="61" t="s">
        <v>46</v>
      </c>
      <c r="E1105" s="61" t="s">
        <v>69</v>
      </c>
      <c r="F1105" s="61" t="s">
        <v>71</v>
      </c>
      <c r="G1105" s="62">
        <v>4403582238</v>
      </c>
      <c r="H1105" s="61" t="s">
        <v>68</v>
      </c>
      <c r="I1105" s="63" t="str">
        <f t="shared" si="132"/>
        <v>Canada-OTA</v>
      </c>
      <c r="J1105" s="47"/>
      <c r="K1105" s="54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</row>
    <row r="1106" spans="1:42" ht="17.25" customHeight="1" x14ac:dyDescent="0.25">
      <c r="A1106" s="55">
        <v>2014</v>
      </c>
      <c r="B1106" s="56" t="s">
        <v>66</v>
      </c>
      <c r="C1106" s="56" t="s">
        <v>35</v>
      </c>
      <c r="D1106" s="56" t="s">
        <v>37</v>
      </c>
      <c r="E1106" s="56" t="s">
        <v>67</v>
      </c>
      <c r="F1106" s="56" t="s">
        <v>67</v>
      </c>
      <c r="G1106" s="57">
        <v>3422745420</v>
      </c>
      <c r="H1106" s="56" t="s">
        <v>68</v>
      </c>
      <c r="I1106" s="58" t="str">
        <f t="shared" si="132"/>
        <v>Chile-Offline</v>
      </c>
      <c r="J1106" s="40"/>
      <c r="K1106" s="59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</row>
    <row r="1107" spans="1:42" ht="17.25" customHeight="1" x14ac:dyDescent="0.25">
      <c r="A1107" s="60">
        <v>2014</v>
      </c>
      <c r="B1107" s="61" t="s">
        <v>66</v>
      </c>
      <c r="C1107" s="61" t="s">
        <v>35</v>
      </c>
      <c r="D1107" s="61" t="s">
        <v>37</v>
      </c>
      <c r="E1107" s="61" t="s">
        <v>69</v>
      </c>
      <c r="F1107" s="61" t="s">
        <v>70</v>
      </c>
      <c r="G1107" s="62">
        <v>776240963</v>
      </c>
      <c r="H1107" s="61" t="s">
        <v>68</v>
      </c>
      <c r="I1107" s="63" t="str">
        <f t="shared" si="132"/>
        <v>Chile-Online Supplier-Direct</v>
      </c>
      <c r="J1107" s="47"/>
      <c r="K1107" s="54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</row>
    <row r="1108" spans="1:42" ht="17.25" customHeight="1" x14ac:dyDescent="0.25">
      <c r="A1108" s="55">
        <v>2014</v>
      </c>
      <c r="B1108" s="56" t="s">
        <v>66</v>
      </c>
      <c r="C1108" s="56" t="s">
        <v>35</v>
      </c>
      <c r="D1108" s="56" t="s">
        <v>37</v>
      </c>
      <c r="E1108" s="56" t="s">
        <v>69</v>
      </c>
      <c r="F1108" s="56" t="s">
        <v>71</v>
      </c>
      <c r="G1108" s="57">
        <v>666806373</v>
      </c>
      <c r="H1108" s="56" t="s">
        <v>68</v>
      </c>
      <c r="I1108" s="58" t="str">
        <f t="shared" si="132"/>
        <v>Chile-OTA</v>
      </c>
      <c r="J1108" s="40"/>
      <c r="K1108" s="59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</row>
    <row r="1109" spans="1:42" ht="17.25" customHeight="1" x14ac:dyDescent="0.25">
      <c r="A1109" s="60">
        <v>2014</v>
      </c>
      <c r="B1109" s="61" t="s">
        <v>66</v>
      </c>
      <c r="C1109" s="61" t="s">
        <v>4</v>
      </c>
      <c r="D1109" s="61" t="s">
        <v>5</v>
      </c>
      <c r="E1109" s="61" t="s">
        <v>67</v>
      </c>
      <c r="F1109" s="61" t="s">
        <v>67</v>
      </c>
      <c r="G1109" s="62">
        <v>99797715006</v>
      </c>
      <c r="H1109" s="61" t="s">
        <v>68</v>
      </c>
      <c r="I1109" s="63" t="str">
        <f t="shared" si="132"/>
        <v>China-Offline</v>
      </c>
      <c r="J1109" s="47"/>
      <c r="K1109" s="54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</row>
    <row r="1110" spans="1:42" ht="17.25" customHeight="1" x14ac:dyDescent="0.25">
      <c r="A1110" s="55">
        <v>2014</v>
      </c>
      <c r="B1110" s="56" t="s">
        <v>66</v>
      </c>
      <c r="C1110" s="56" t="s">
        <v>4</v>
      </c>
      <c r="D1110" s="56" t="s">
        <v>5</v>
      </c>
      <c r="E1110" s="56" t="s">
        <v>69</v>
      </c>
      <c r="F1110" s="56" t="s">
        <v>70</v>
      </c>
      <c r="G1110" s="57">
        <v>14222985474</v>
      </c>
      <c r="H1110" s="56" t="s">
        <v>68</v>
      </c>
      <c r="I1110" s="58" t="str">
        <f t="shared" si="132"/>
        <v>China-Online Supplier-Direct</v>
      </c>
      <c r="J1110" s="40"/>
      <c r="K1110" s="59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</row>
    <row r="1111" spans="1:42" ht="17.25" customHeight="1" x14ac:dyDescent="0.25">
      <c r="A1111" s="60">
        <v>2014</v>
      </c>
      <c r="B1111" s="61" t="s">
        <v>66</v>
      </c>
      <c r="C1111" s="61" t="s">
        <v>4</v>
      </c>
      <c r="D1111" s="61" t="s">
        <v>5</v>
      </c>
      <c r="E1111" s="61" t="s">
        <v>69</v>
      </c>
      <c r="F1111" s="61" t="s">
        <v>71</v>
      </c>
      <c r="G1111" s="62">
        <v>16191785274</v>
      </c>
      <c r="H1111" s="61" t="s">
        <v>68</v>
      </c>
      <c r="I1111" s="63" t="str">
        <f t="shared" si="132"/>
        <v>China-OTA</v>
      </c>
      <c r="J1111" s="47"/>
      <c r="K1111" s="54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</row>
    <row r="1112" spans="1:42" ht="17.25" customHeight="1" x14ac:dyDescent="0.25">
      <c r="A1112" s="55">
        <v>2014</v>
      </c>
      <c r="B1112" s="56" t="s">
        <v>66</v>
      </c>
      <c r="C1112" s="56" t="s">
        <v>35</v>
      </c>
      <c r="D1112" s="56" t="s">
        <v>38</v>
      </c>
      <c r="E1112" s="56" t="s">
        <v>67</v>
      </c>
      <c r="F1112" s="56" t="s">
        <v>67</v>
      </c>
      <c r="G1112" s="57">
        <v>7659786029</v>
      </c>
      <c r="H1112" s="56" t="s">
        <v>68</v>
      </c>
      <c r="I1112" s="58" t="str">
        <f t="shared" si="132"/>
        <v>Colombia-Offline</v>
      </c>
      <c r="J1112" s="40"/>
      <c r="K1112" s="59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</row>
    <row r="1113" spans="1:42" ht="17.25" customHeight="1" x14ac:dyDescent="0.25">
      <c r="A1113" s="60">
        <v>2014</v>
      </c>
      <c r="B1113" s="61" t="s">
        <v>66</v>
      </c>
      <c r="C1113" s="61" t="s">
        <v>35</v>
      </c>
      <c r="D1113" s="61" t="s">
        <v>38</v>
      </c>
      <c r="E1113" s="61" t="s">
        <v>69</v>
      </c>
      <c r="F1113" s="61" t="s">
        <v>70</v>
      </c>
      <c r="G1113" s="62">
        <v>1269936829</v>
      </c>
      <c r="H1113" s="61" t="s">
        <v>68</v>
      </c>
      <c r="I1113" s="63" t="str">
        <f t="shared" si="132"/>
        <v>Colombia-Online Supplier-Direct</v>
      </c>
      <c r="J1113" s="47"/>
      <c r="K1113" s="54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</row>
    <row r="1114" spans="1:42" ht="17.25" customHeight="1" x14ac:dyDescent="0.25">
      <c r="A1114" s="55">
        <v>2014</v>
      </c>
      <c r="B1114" s="56" t="s">
        <v>66</v>
      </c>
      <c r="C1114" s="56" t="s">
        <v>35</v>
      </c>
      <c r="D1114" s="56" t="s">
        <v>38</v>
      </c>
      <c r="E1114" s="56" t="s">
        <v>69</v>
      </c>
      <c r="F1114" s="56" t="s">
        <v>71</v>
      </c>
      <c r="G1114" s="57">
        <v>1394319587</v>
      </c>
      <c r="H1114" s="56" t="s">
        <v>68</v>
      </c>
      <c r="I1114" s="58" t="str">
        <f t="shared" si="132"/>
        <v>Colombia-OTA</v>
      </c>
      <c r="J1114" s="40"/>
      <c r="K1114" s="59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</row>
    <row r="1115" spans="1:42" ht="17.25" customHeight="1" x14ac:dyDescent="0.25">
      <c r="A1115" s="60">
        <v>2014</v>
      </c>
      <c r="B1115" s="61" t="s">
        <v>66</v>
      </c>
      <c r="C1115" s="61" t="s">
        <v>17</v>
      </c>
      <c r="D1115" s="61" t="s">
        <v>18</v>
      </c>
      <c r="E1115" s="61" t="s">
        <v>67</v>
      </c>
      <c r="F1115" s="61" t="s">
        <v>67</v>
      </c>
      <c r="G1115" s="62">
        <v>2226511222</v>
      </c>
      <c r="H1115" s="61" t="s">
        <v>68</v>
      </c>
      <c r="I1115" s="63" t="str">
        <f t="shared" si="132"/>
        <v>Czech Republic-Offline</v>
      </c>
      <c r="J1115" s="47"/>
      <c r="K1115" s="54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</row>
    <row r="1116" spans="1:42" ht="17.25" customHeight="1" x14ac:dyDescent="0.25">
      <c r="A1116" s="55">
        <v>2014</v>
      </c>
      <c r="B1116" s="56" t="s">
        <v>66</v>
      </c>
      <c r="C1116" s="56" t="s">
        <v>17</v>
      </c>
      <c r="D1116" s="56" t="s">
        <v>18</v>
      </c>
      <c r="E1116" s="56" t="s">
        <v>69</v>
      </c>
      <c r="F1116" s="56" t="s">
        <v>70</v>
      </c>
      <c r="G1116" s="57">
        <v>504259957</v>
      </c>
      <c r="H1116" s="56" t="s">
        <v>68</v>
      </c>
      <c r="I1116" s="58" t="str">
        <f t="shared" si="132"/>
        <v>Czech Republic-Online Supplier-Direct</v>
      </c>
      <c r="J1116" s="40"/>
      <c r="K1116" s="59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</row>
    <row r="1117" spans="1:42" ht="17.25" customHeight="1" x14ac:dyDescent="0.25">
      <c r="A1117" s="60">
        <v>2014</v>
      </c>
      <c r="B1117" s="61" t="s">
        <v>66</v>
      </c>
      <c r="C1117" s="61" t="s">
        <v>17</v>
      </c>
      <c r="D1117" s="61" t="s">
        <v>18</v>
      </c>
      <c r="E1117" s="61" t="s">
        <v>69</v>
      </c>
      <c r="F1117" s="61" t="s">
        <v>71</v>
      </c>
      <c r="G1117" s="62">
        <v>423717462</v>
      </c>
      <c r="H1117" s="61" t="s">
        <v>68</v>
      </c>
      <c r="I1117" s="63" t="str">
        <f t="shared" si="132"/>
        <v>Czech Republic-OTA</v>
      </c>
      <c r="J1117" s="47"/>
      <c r="K1117" s="54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</row>
    <row r="1118" spans="1:42" ht="17.25" customHeight="1" x14ac:dyDescent="0.25">
      <c r="A1118" s="55">
        <v>2014</v>
      </c>
      <c r="B1118" s="56" t="s">
        <v>66</v>
      </c>
      <c r="C1118" s="56" t="s">
        <v>41</v>
      </c>
      <c r="D1118" s="56" t="s">
        <v>40</v>
      </c>
      <c r="E1118" s="56" t="s">
        <v>67</v>
      </c>
      <c r="F1118" s="56" t="s">
        <v>67</v>
      </c>
      <c r="G1118" s="57">
        <v>6871306020</v>
      </c>
      <c r="H1118" s="56" t="s">
        <v>68</v>
      </c>
      <c r="I1118" s="58" t="str">
        <f t="shared" si="132"/>
        <v>Egypt-Offline</v>
      </c>
      <c r="J1118" s="40"/>
      <c r="K1118" s="59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</row>
    <row r="1119" spans="1:42" ht="17.25" customHeight="1" x14ac:dyDescent="0.25">
      <c r="A1119" s="60">
        <v>2014</v>
      </c>
      <c r="B1119" s="61" t="s">
        <v>66</v>
      </c>
      <c r="C1119" s="61" t="s">
        <v>41</v>
      </c>
      <c r="D1119" s="61" t="s">
        <v>40</v>
      </c>
      <c r="E1119" s="61" t="s">
        <v>69</v>
      </c>
      <c r="F1119" s="61" t="s">
        <v>70</v>
      </c>
      <c r="G1119" s="62">
        <v>340524510</v>
      </c>
      <c r="H1119" s="61" t="s">
        <v>68</v>
      </c>
      <c r="I1119" s="63" t="str">
        <f t="shared" si="132"/>
        <v>Egypt-Online Supplier-Direct</v>
      </c>
      <c r="J1119" s="47"/>
      <c r="K1119" s="54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</row>
    <row r="1120" spans="1:42" ht="17.25" customHeight="1" x14ac:dyDescent="0.25">
      <c r="A1120" s="55">
        <v>2014</v>
      </c>
      <c r="B1120" s="56" t="s">
        <v>66</v>
      </c>
      <c r="C1120" s="56" t="s">
        <v>41</v>
      </c>
      <c r="D1120" s="56" t="s">
        <v>40</v>
      </c>
      <c r="E1120" s="56" t="s">
        <v>69</v>
      </c>
      <c r="F1120" s="56" t="s">
        <v>71</v>
      </c>
      <c r="G1120" s="57">
        <v>476392405</v>
      </c>
      <c r="H1120" s="56" t="s">
        <v>68</v>
      </c>
      <c r="I1120" s="58" t="str">
        <f t="shared" si="132"/>
        <v>Egypt-OTA</v>
      </c>
      <c r="J1120" s="40"/>
      <c r="K1120" s="59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</row>
    <row r="1121" spans="1:42" ht="17.25" customHeight="1" x14ac:dyDescent="0.25">
      <c r="A1121" s="60">
        <v>2014</v>
      </c>
      <c r="B1121" s="61" t="s">
        <v>66</v>
      </c>
      <c r="C1121" s="61" t="s">
        <v>27</v>
      </c>
      <c r="D1121" s="61" t="s">
        <v>26</v>
      </c>
      <c r="E1121" s="61" t="s">
        <v>67</v>
      </c>
      <c r="F1121" s="61" t="s">
        <v>67</v>
      </c>
      <c r="G1121" s="62">
        <v>35789177289</v>
      </c>
      <c r="H1121" s="61" t="s">
        <v>68</v>
      </c>
      <c r="I1121" s="63" t="str">
        <f t="shared" si="132"/>
        <v>France-Offline</v>
      </c>
      <c r="J1121" s="47"/>
      <c r="K1121" s="54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</row>
    <row r="1122" spans="1:42" ht="17.25" customHeight="1" x14ac:dyDescent="0.25">
      <c r="A1122" s="55">
        <v>2014</v>
      </c>
      <c r="B1122" s="56" t="s">
        <v>66</v>
      </c>
      <c r="C1122" s="56" t="s">
        <v>27</v>
      </c>
      <c r="D1122" s="56" t="s">
        <v>26</v>
      </c>
      <c r="E1122" s="56" t="s">
        <v>69</v>
      </c>
      <c r="F1122" s="56" t="s">
        <v>70</v>
      </c>
      <c r="G1122" s="57">
        <v>14317534846</v>
      </c>
      <c r="H1122" s="56" t="s">
        <v>68</v>
      </c>
      <c r="I1122" s="58" t="str">
        <f t="shared" si="132"/>
        <v>France-Online Supplier-Direct</v>
      </c>
      <c r="J1122" s="40"/>
      <c r="K1122" s="59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</row>
    <row r="1123" spans="1:42" ht="17.25" customHeight="1" x14ac:dyDescent="0.25">
      <c r="A1123" s="60">
        <v>2014</v>
      </c>
      <c r="B1123" s="61" t="s">
        <v>66</v>
      </c>
      <c r="C1123" s="61" t="s">
        <v>27</v>
      </c>
      <c r="D1123" s="61" t="s">
        <v>26</v>
      </c>
      <c r="E1123" s="61" t="s">
        <v>69</v>
      </c>
      <c r="F1123" s="61" t="s">
        <v>71</v>
      </c>
      <c r="G1123" s="62">
        <v>6626497837</v>
      </c>
      <c r="H1123" s="61" t="s">
        <v>68</v>
      </c>
      <c r="I1123" s="63" t="str">
        <f t="shared" si="132"/>
        <v>France-OTA</v>
      </c>
      <c r="J1123" s="47"/>
      <c r="K1123" s="54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</row>
    <row r="1124" spans="1:42" ht="17.25" customHeight="1" x14ac:dyDescent="0.25">
      <c r="A1124" s="55">
        <v>2014</v>
      </c>
      <c r="B1124" s="56" t="s">
        <v>66</v>
      </c>
      <c r="C1124" s="56" t="s">
        <v>27</v>
      </c>
      <c r="D1124" s="56" t="s">
        <v>28</v>
      </c>
      <c r="E1124" s="56" t="s">
        <v>67</v>
      </c>
      <c r="F1124" s="56" t="s">
        <v>67</v>
      </c>
      <c r="G1124" s="57">
        <v>48198643985</v>
      </c>
      <c r="H1124" s="56" t="s">
        <v>68</v>
      </c>
      <c r="I1124" s="58" t="str">
        <f t="shared" si="132"/>
        <v>Germany-Offline</v>
      </c>
      <c r="J1124" s="40"/>
      <c r="K1124" s="59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</row>
    <row r="1125" spans="1:42" ht="17.25" customHeight="1" x14ac:dyDescent="0.25">
      <c r="A1125" s="60">
        <v>2014</v>
      </c>
      <c r="B1125" s="61" t="s">
        <v>66</v>
      </c>
      <c r="C1125" s="61" t="s">
        <v>27</v>
      </c>
      <c r="D1125" s="61" t="s">
        <v>28</v>
      </c>
      <c r="E1125" s="61" t="s">
        <v>69</v>
      </c>
      <c r="F1125" s="61" t="s">
        <v>70</v>
      </c>
      <c r="G1125" s="62">
        <v>16814171182</v>
      </c>
      <c r="H1125" s="61" t="s">
        <v>68</v>
      </c>
      <c r="I1125" s="63" t="str">
        <f t="shared" si="132"/>
        <v>Germany-Online Supplier-Direct</v>
      </c>
      <c r="J1125" s="47"/>
      <c r="K1125" s="54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</row>
    <row r="1126" spans="1:42" ht="17.25" customHeight="1" x14ac:dyDescent="0.25">
      <c r="A1126" s="55">
        <v>2014</v>
      </c>
      <c r="B1126" s="56" t="s">
        <v>66</v>
      </c>
      <c r="C1126" s="56" t="s">
        <v>27</v>
      </c>
      <c r="D1126" s="56" t="s">
        <v>28</v>
      </c>
      <c r="E1126" s="56" t="s">
        <v>69</v>
      </c>
      <c r="F1126" s="56" t="s">
        <v>71</v>
      </c>
      <c r="G1126" s="57">
        <v>11957055865</v>
      </c>
      <c r="H1126" s="56" t="s">
        <v>68</v>
      </c>
      <c r="I1126" s="58" t="str">
        <f t="shared" si="132"/>
        <v>Germany-OTA</v>
      </c>
      <c r="J1126" s="40"/>
      <c r="K1126" s="59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</row>
    <row r="1127" spans="1:42" ht="17.25" customHeight="1" x14ac:dyDescent="0.25">
      <c r="A1127" s="60">
        <v>2014</v>
      </c>
      <c r="B1127" s="61" t="s">
        <v>66</v>
      </c>
      <c r="C1127" s="61" t="s">
        <v>17</v>
      </c>
      <c r="D1127" s="61" t="s">
        <v>19</v>
      </c>
      <c r="E1127" s="61" t="s">
        <v>67</v>
      </c>
      <c r="F1127" s="61" t="s">
        <v>67</v>
      </c>
      <c r="G1127" s="62">
        <v>5460845633</v>
      </c>
      <c r="H1127" s="61" t="s">
        <v>68</v>
      </c>
      <c r="I1127" s="63" t="str">
        <f t="shared" si="132"/>
        <v>Greece-Offline</v>
      </c>
      <c r="J1127" s="47"/>
      <c r="K1127" s="54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</row>
    <row r="1128" spans="1:42" ht="17.25" customHeight="1" x14ac:dyDescent="0.25">
      <c r="A1128" s="55">
        <v>2014</v>
      </c>
      <c r="B1128" s="56" t="s">
        <v>66</v>
      </c>
      <c r="C1128" s="56" t="s">
        <v>17</v>
      </c>
      <c r="D1128" s="56" t="s">
        <v>19</v>
      </c>
      <c r="E1128" s="56" t="s">
        <v>69</v>
      </c>
      <c r="F1128" s="56" t="s">
        <v>70</v>
      </c>
      <c r="G1128" s="57">
        <v>382446520</v>
      </c>
      <c r="H1128" s="56" t="s">
        <v>68</v>
      </c>
      <c r="I1128" s="58" t="str">
        <f t="shared" si="132"/>
        <v>Greece-Online Supplier-Direct</v>
      </c>
      <c r="J1128" s="40"/>
      <c r="K1128" s="59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  <c r="AB1128" s="35"/>
      <c r="AC1128" s="35"/>
      <c r="AD1128" s="35"/>
      <c r="AE1128" s="35"/>
      <c r="AF1128" s="35"/>
      <c r="AG1128" s="35"/>
      <c r="AH1128" s="35"/>
      <c r="AI1128" s="35"/>
      <c r="AJ1128" s="35"/>
      <c r="AK1128" s="35"/>
      <c r="AL1128" s="35"/>
      <c r="AM1128" s="35"/>
      <c r="AN1128" s="35"/>
      <c r="AO1128" s="35"/>
      <c r="AP1128" s="35"/>
    </row>
    <row r="1129" spans="1:42" ht="17.25" customHeight="1" x14ac:dyDescent="0.25">
      <c r="A1129" s="60">
        <v>2014</v>
      </c>
      <c r="B1129" s="61" t="s">
        <v>66</v>
      </c>
      <c r="C1129" s="61" t="s">
        <v>17</v>
      </c>
      <c r="D1129" s="61" t="s">
        <v>19</v>
      </c>
      <c r="E1129" s="61" t="s">
        <v>69</v>
      </c>
      <c r="F1129" s="61" t="s">
        <v>71</v>
      </c>
      <c r="G1129" s="62">
        <v>900065864</v>
      </c>
      <c r="H1129" s="61" t="s">
        <v>68</v>
      </c>
      <c r="I1129" s="63" t="str">
        <f t="shared" si="132"/>
        <v>Greece-OTA</v>
      </c>
      <c r="J1129" s="47"/>
      <c r="K1129" s="54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  <c r="AB1129" s="35"/>
      <c r="AC1129" s="35"/>
      <c r="AD1129" s="35"/>
      <c r="AE1129" s="35"/>
      <c r="AF1129" s="35"/>
      <c r="AG1129" s="35"/>
      <c r="AH1129" s="35"/>
      <c r="AI1129" s="35"/>
      <c r="AJ1129" s="35"/>
      <c r="AK1129" s="35"/>
      <c r="AL1129" s="35"/>
      <c r="AM1129" s="35"/>
      <c r="AN1129" s="35"/>
      <c r="AO1129" s="35"/>
      <c r="AP1129" s="35"/>
    </row>
    <row r="1130" spans="1:42" ht="17.25" customHeight="1" x14ac:dyDescent="0.25">
      <c r="A1130" s="55">
        <v>2014</v>
      </c>
      <c r="B1130" s="56" t="s">
        <v>66</v>
      </c>
      <c r="C1130" s="56" t="s">
        <v>4</v>
      </c>
      <c r="D1130" s="56" t="s">
        <v>6</v>
      </c>
      <c r="E1130" s="56" t="s">
        <v>67</v>
      </c>
      <c r="F1130" s="56" t="s">
        <v>67</v>
      </c>
      <c r="G1130" s="57">
        <v>12146783594</v>
      </c>
      <c r="H1130" s="56" t="s">
        <v>68</v>
      </c>
      <c r="I1130" s="58" t="str">
        <f t="shared" si="132"/>
        <v>Hong Kong-Offline</v>
      </c>
      <c r="J1130" s="40"/>
      <c r="K1130" s="59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  <c r="AA1130" s="35"/>
      <c r="AB1130" s="35"/>
      <c r="AC1130" s="35"/>
      <c r="AD1130" s="35"/>
      <c r="AE1130" s="35"/>
      <c r="AF1130" s="35"/>
      <c r="AG1130" s="35"/>
      <c r="AH1130" s="35"/>
      <c r="AI1130" s="35"/>
      <c r="AJ1130" s="35"/>
      <c r="AK1130" s="35"/>
      <c r="AL1130" s="35"/>
      <c r="AM1130" s="35"/>
      <c r="AN1130" s="35"/>
      <c r="AO1130" s="35"/>
      <c r="AP1130" s="35"/>
    </row>
    <row r="1131" spans="1:42" ht="17.25" customHeight="1" x14ac:dyDescent="0.25">
      <c r="A1131" s="60">
        <v>2014</v>
      </c>
      <c r="B1131" s="61" t="s">
        <v>66</v>
      </c>
      <c r="C1131" s="61" t="s">
        <v>4</v>
      </c>
      <c r="D1131" s="61" t="s">
        <v>6</v>
      </c>
      <c r="E1131" s="61" t="s">
        <v>69</v>
      </c>
      <c r="F1131" s="61" t="s">
        <v>70</v>
      </c>
      <c r="G1131" s="62">
        <v>1020532557</v>
      </c>
      <c r="H1131" s="61" t="s">
        <v>68</v>
      </c>
      <c r="I1131" s="63" t="str">
        <f t="shared" si="132"/>
        <v>Hong Kong-Online Supplier-Direct</v>
      </c>
      <c r="J1131" s="47"/>
      <c r="K1131" s="54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  <c r="AB1131" s="35"/>
      <c r="AC1131" s="35"/>
      <c r="AD1131" s="35"/>
      <c r="AE1131" s="35"/>
      <c r="AF1131" s="35"/>
      <c r="AG1131" s="35"/>
      <c r="AH1131" s="35"/>
      <c r="AI1131" s="35"/>
      <c r="AJ1131" s="35"/>
      <c r="AK1131" s="35"/>
      <c r="AL1131" s="35"/>
      <c r="AM1131" s="35"/>
      <c r="AN1131" s="35"/>
      <c r="AO1131" s="35"/>
      <c r="AP1131" s="35"/>
    </row>
    <row r="1132" spans="1:42" ht="17.25" customHeight="1" x14ac:dyDescent="0.25">
      <c r="A1132" s="55">
        <v>2014</v>
      </c>
      <c r="B1132" s="56" t="s">
        <v>66</v>
      </c>
      <c r="C1132" s="56" t="s">
        <v>4</v>
      </c>
      <c r="D1132" s="56" t="s">
        <v>6</v>
      </c>
      <c r="E1132" s="56" t="s">
        <v>69</v>
      </c>
      <c r="F1132" s="56" t="s">
        <v>71</v>
      </c>
      <c r="G1132" s="57">
        <v>457763517</v>
      </c>
      <c r="H1132" s="56" t="s">
        <v>68</v>
      </c>
      <c r="I1132" s="58" t="str">
        <f t="shared" si="132"/>
        <v>Hong Kong-OTA</v>
      </c>
      <c r="J1132" s="40"/>
      <c r="K1132" s="59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  <c r="AB1132" s="35"/>
      <c r="AC1132" s="35"/>
      <c r="AD1132" s="35"/>
      <c r="AE1132" s="35"/>
      <c r="AF1132" s="35"/>
      <c r="AG1132" s="35"/>
      <c r="AH1132" s="35"/>
      <c r="AI1132" s="35"/>
      <c r="AJ1132" s="35"/>
      <c r="AK1132" s="35"/>
      <c r="AL1132" s="35"/>
      <c r="AM1132" s="35"/>
      <c r="AN1132" s="35"/>
      <c r="AO1132" s="35"/>
      <c r="AP1132" s="35"/>
    </row>
    <row r="1133" spans="1:42" ht="17.25" customHeight="1" x14ac:dyDescent="0.25">
      <c r="A1133" s="60">
        <v>2014</v>
      </c>
      <c r="B1133" s="61" t="s">
        <v>66</v>
      </c>
      <c r="C1133" s="61" t="s">
        <v>17</v>
      </c>
      <c r="D1133" s="61" t="s">
        <v>20</v>
      </c>
      <c r="E1133" s="61" t="s">
        <v>67</v>
      </c>
      <c r="F1133" s="61" t="s">
        <v>67</v>
      </c>
      <c r="G1133" s="62">
        <v>1550687163</v>
      </c>
      <c r="H1133" s="61" t="s">
        <v>68</v>
      </c>
      <c r="I1133" s="63" t="str">
        <f t="shared" si="132"/>
        <v>Hungary-Offline</v>
      </c>
      <c r="J1133" s="47"/>
      <c r="K1133" s="54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  <c r="AB1133" s="35"/>
      <c r="AC1133" s="35"/>
      <c r="AD1133" s="35"/>
      <c r="AE1133" s="35"/>
      <c r="AF1133" s="35"/>
      <c r="AG1133" s="35"/>
      <c r="AH1133" s="35"/>
      <c r="AI1133" s="35"/>
      <c r="AJ1133" s="35"/>
      <c r="AK1133" s="35"/>
      <c r="AL1133" s="35"/>
      <c r="AM1133" s="35"/>
      <c r="AN1133" s="35"/>
      <c r="AO1133" s="35"/>
      <c r="AP1133" s="35"/>
    </row>
    <row r="1134" spans="1:42" ht="17.25" customHeight="1" x14ac:dyDescent="0.25">
      <c r="A1134" s="55">
        <v>2014</v>
      </c>
      <c r="B1134" s="56" t="s">
        <v>66</v>
      </c>
      <c r="C1134" s="56" t="s">
        <v>17</v>
      </c>
      <c r="D1134" s="56" t="s">
        <v>20</v>
      </c>
      <c r="E1134" s="56" t="s">
        <v>69</v>
      </c>
      <c r="F1134" s="56" t="s">
        <v>70</v>
      </c>
      <c r="G1134" s="57">
        <v>622538524</v>
      </c>
      <c r="H1134" s="56" t="s">
        <v>68</v>
      </c>
      <c r="I1134" s="58" t="str">
        <f t="shared" si="132"/>
        <v>Hungary-Online Supplier-Direct</v>
      </c>
      <c r="J1134" s="40"/>
      <c r="K1134" s="59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  <c r="AA1134" s="35"/>
      <c r="AB1134" s="35"/>
      <c r="AC1134" s="35"/>
      <c r="AD1134" s="35"/>
      <c r="AE1134" s="35"/>
      <c r="AF1134" s="35"/>
      <c r="AG1134" s="35"/>
      <c r="AH1134" s="35"/>
      <c r="AI1134" s="35"/>
      <c r="AJ1134" s="35"/>
      <c r="AK1134" s="35"/>
      <c r="AL1134" s="35"/>
      <c r="AM1134" s="35"/>
      <c r="AN1134" s="35"/>
      <c r="AO1134" s="35"/>
      <c r="AP1134" s="35"/>
    </row>
    <row r="1135" spans="1:42" ht="17.25" customHeight="1" x14ac:dyDescent="0.25">
      <c r="A1135" s="60">
        <v>2014</v>
      </c>
      <c r="B1135" s="61" t="s">
        <v>66</v>
      </c>
      <c r="C1135" s="61" t="s">
        <v>17</v>
      </c>
      <c r="D1135" s="61" t="s">
        <v>20</v>
      </c>
      <c r="E1135" s="61" t="s">
        <v>69</v>
      </c>
      <c r="F1135" s="61" t="s">
        <v>71</v>
      </c>
      <c r="G1135" s="62">
        <v>161880192</v>
      </c>
      <c r="H1135" s="61" t="s">
        <v>68</v>
      </c>
      <c r="I1135" s="63" t="str">
        <f t="shared" si="132"/>
        <v>Hungary-OTA</v>
      </c>
      <c r="J1135" s="47"/>
      <c r="K1135" s="54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  <c r="AB1135" s="35"/>
      <c r="AC1135" s="35"/>
      <c r="AD1135" s="35"/>
      <c r="AE1135" s="35"/>
      <c r="AF1135" s="35"/>
      <c r="AG1135" s="35"/>
      <c r="AH1135" s="35"/>
      <c r="AI1135" s="35"/>
      <c r="AJ1135" s="35"/>
      <c r="AK1135" s="35"/>
      <c r="AL1135" s="35"/>
      <c r="AM1135" s="35"/>
      <c r="AN1135" s="35"/>
      <c r="AO1135" s="35"/>
      <c r="AP1135" s="35"/>
    </row>
    <row r="1136" spans="1:42" ht="17.25" customHeight="1" x14ac:dyDescent="0.25">
      <c r="A1136" s="55">
        <v>2014</v>
      </c>
      <c r="B1136" s="56" t="s">
        <v>66</v>
      </c>
      <c r="C1136" s="56" t="s">
        <v>4</v>
      </c>
      <c r="D1136" s="56" t="s">
        <v>7</v>
      </c>
      <c r="E1136" s="56" t="s">
        <v>67</v>
      </c>
      <c r="F1136" s="56" t="s">
        <v>67</v>
      </c>
      <c r="G1136" s="57">
        <v>16726568981</v>
      </c>
      <c r="H1136" s="56" t="s">
        <v>68</v>
      </c>
      <c r="I1136" s="58" t="str">
        <f t="shared" si="132"/>
        <v>India-Offline</v>
      </c>
      <c r="J1136" s="40"/>
      <c r="K1136" s="59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  <c r="AB1136" s="35"/>
      <c r="AC1136" s="35"/>
      <c r="AD1136" s="35"/>
      <c r="AE1136" s="35"/>
      <c r="AF1136" s="35"/>
      <c r="AG1136" s="35"/>
      <c r="AH1136" s="35"/>
      <c r="AI1136" s="35"/>
      <c r="AJ1136" s="35"/>
      <c r="AK1136" s="35"/>
      <c r="AL1136" s="35"/>
      <c r="AM1136" s="35"/>
      <c r="AN1136" s="35"/>
      <c r="AO1136" s="35"/>
      <c r="AP1136" s="35"/>
    </row>
    <row r="1137" spans="1:42" ht="17.25" customHeight="1" x14ac:dyDescent="0.25">
      <c r="A1137" s="60">
        <v>2014</v>
      </c>
      <c r="B1137" s="61" t="s">
        <v>66</v>
      </c>
      <c r="C1137" s="61" t="s">
        <v>4</v>
      </c>
      <c r="D1137" s="61" t="s">
        <v>7</v>
      </c>
      <c r="E1137" s="61" t="s">
        <v>69</v>
      </c>
      <c r="F1137" s="61" t="s">
        <v>70</v>
      </c>
      <c r="G1137" s="62">
        <v>4718353572</v>
      </c>
      <c r="H1137" s="61" t="s">
        <v>68</v>
      </c>
      <c r="I1137" s="63" t="str">
        <f t="shared" si="132"/>
        <v>India-Online Supplier-Direct</v>
      </c>
      <c r="J1137" s="47"/>
      <c r="K1137" s="54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  <c r="AB1137" s="35"/>
      <c r="AC1137" s="35"/>
      <c r="AD1137" s="35"/>
      <c r="AE1137" s="35"/>
      <c r="AF1137" s="35"/>
      <c r="AG1137" s="35"/>
      <c r="AH1137" s="35"/>
      <c r="AI1137" s="35"/>
      <c r="AJ1137" s="35"/>
      <c r="AK1137" s="35"/>
      <c r="AL1137" s="35"/>
      <c r="AM1137" s="35"/>
      <c r="AN1137" s="35"/>
      <c r="AO1137" s="35"/>
      <c r="AP1137" s="35"/>
    </row>
    <row r="1138" spans="1:42" ht="17.25" customHeight="1" x14ac:dyDescent="0.25">
      <c r="A1138" s="55">
        <v>2014</v>
      </c>
      <c r="B1138" s="56" t="s">
        <v>66</v>
      </c>
      <c r="C1138" s="56" t="s">
        <v>4</v>
      </c>
      <c r="D1138" s="56" t="s">
        <v>7</v>
      </c>
      <c r="E1138" s="56" t="s">
        <v>69</v>
      </c>
      <c r="F1138" s="56" t="s">
        <v>71</v>
      </c>
      <c r="G1138" s="57">
        <v>3071257949</v>
      </c>
      <c r="H1138" s="56" t="s">
        <v>68</v>
      </c>
      <c r="I1138" s="58" t="str">
        <f t="shared" si="132"/>
        <v>India-OTA</v>
      </c>
      <c r="J1138" s="40"/>
      <c r="K1138" s="59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  <c r="AA1138" s="35"/>
      <c r="AB1138" s="35"/>
      <c r="AC1138" s="35"/>
      <c r="AD1138" s="35"/>
      <c r="AE1138" s="35"/>
      <c r="AF1138" s="35"/>
      <c r="AG1138" s="35"/>
      <c r="AH1138" s="35"/>
      <c r="AI1138" s="35"/>
      <c r="AJ1138" s="35"/>
      <c r="AK1138" s="35"/>
      <c r="AL1138" s="35"/>
      <c r="AM1138" s="35"/>
      <c r="AN1138" s="35"/>
      <c r="AO1138" s="35"/>
      <c r="AP1138" s="35"/>
    </row>
    <row r="1139" spans="1:42" ht="17.25" customHeight="1" x14ac:dyDescent="0.25">
      <c r="A1139" s="60">
        <v>2014</v>
      </c>
      <c r="B1139" s="61" t="s">
        <v>66</v>
      </c>
      <c r="C1139" s="61" t="s">
        <v>4</v>
      </c>
      <c r="D1139" s="61" t="s">
        <v>8</v>
      </c>
      <c r="E1139" s="61" t="s">
        <v>67</v>
      </c>
      <c r="F1139" s="61" t="s">
        <v>67</v>
      </c>
      <c r="G1139" s="62">
        <v>10679803334</v>
      </c>
      <c r="H1139" s="61" t="s">
        <v>68</v>
      </c>
      <c r="I1139" s="63" t="str">
        <f t="shared" si="132"/>
        <v>Indonesia-Offline</v>
      </c>
      <c r="J1139" s="47"/>
      <c r="K1139" s="54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  <c r="AB1139" s="35"/>
      <c r="AC1139" s="35"/>
      <c r="AD1139" s="35"/>
      <c r="AE1139" s="35"/>
      <c r="AF1139" s="35"/>
      <c r="AG1139" s="35"/>
      <c r="AH1139" s="35"/>
      <c r="AI1139" s="35"/>
      <c r="AJ1139" s="35"/>
      <c r="AK1139" s="35"/>
      <c r="AL1139" s="35"/>
      <c r="AM1139" s="35"/>
      <c r="AN1139" s="35"/>
      <c r="AO1139" s="35"/>
      <c r="AP1139" s="35"/>
    </row>
    <row r="1140" spans="1:42" ht="17.25" customHeight="1" x14ac:dyDescent="0.25">
      <c r="A1140" s="55">
        <v>2014</v>
      </c>
      <c r="B1140" s="56" t="s">
        <v>66</v>
      </c>
      <c r="C1140" s="56" t="s">
        <v>4</v>
      </c>
      <c r="D1140" s="56" t="s">
        <v>8</v>
      </c>
      <c r="E1140" s="56" t="s">
        <v>69</v>
      </c>
      <c r="F1140" s="56" t="s">
        <v>70</v>
      </c>
      <c r="G1140" s="57">
        <v>846896517</v>
      </c>
      <c r="H1140" s="56" t="s">
        <v>68</v>
      </c>
      <c r="I1140" s="58" t="str">
        <f t="shared" si="132"/>
        <v>Indonesia-Online Supplier-Direct</v>
      </c>
      <c r="J1140" s="40"/>
      <c r="K1140" s="59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  <c r="AB1140" s="35"/>
      <c r="AC1140" s="35"/>
      <c r="AD1140" s="35"/>
      <c r="AE1140" s="35"/>
      <c r="AF1140" s="35"/>
      <c r="AG1140" s="35"/>
      <c r="AH1140" s="35"/>
      <c r="AI1140" s="35"/>
      <c r="AJ1140" s="35"/>
      <c r="AK1140" s="35"/>
      <c r="AL1140" s="35"/>
      <c r="AM1140" s="35"/>
      <c r="AN1140" s="35"/>
      <c r="AO1140" s="35"/>
      <c r="AP1140" s="35"/>
    </row>
    <row r="1141" spans="1:42" ht="17.25" customHeight="1" x14ac:dyDescent="0.25">
      <c r="A1141" s="60">
        <v>2014</v>
      </c>
      <c r="B1141" s="61" t="s">
        <v>66</v>
      </c>
      <c r="C1141" s="61" t="s">
        <v>4</v>
      </c>
      <c r="D1141" s="61" t="s">
        <v>8</v>
      </c>
      <c r="E1141" s="61" t="s">
        <v>69</v>
      </c>
      <c r="F1141" s="61" t="s">
        <v>71</v>
      </c>
      <c r="G1141" s="62">
        <v>448114681</v>
      </c>
      <c r="H1141" s="61" t="s">
        <v>68</v>
      </c>
      <c r="I1141" s="63" t="str">
        <f t="shared" si="132"/>
        <v>Indonesia-OTA</v>
      </c>
      <c r="J1141" s="47"/>
      <c r="K1141" s="54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  <c r="AB1141" s="35"/>
      <c r="AC1141" s="35"/>
      <c r="AD1141" s="35"/>
      <c r="AE1141" s="35"/>
      <c r="AF1141" s="35"/>
      <c r="AG1141" s="35"/>
      <c r="AH1141" s="35"/>
      <c r="AI1141" s="35"/>
      <c r="AJ1141" s="35"/>
      <c r="AK1141" s="35"/>
      <c r="AL1141" s="35"/>
      <c r="AM1141" s="35"/>
      <c r="AN1141" s="35"/>
      <c r="AO1141" s="35"/>
      <c r="AP1141" s="35"/>
    </row>
    <row r="1142" spans="1:42" ht="17.25" customHeight="1" x14ac:dyDescent="0.25">
      <c r="A1142" s="55">
        <v>2014</v>
      </c>
      <c r="B1142" s="56" t="s">
        <v>66</v>
      </c>
      <c r="C1142" s="56" t="s">
        <v>27</v>
      </c>
      <c r="D1142" s="56" t="s">
        <v>29</v>
      </c>
      <c r="E1142" s="56" t="s">
        <v>67</v>
      </c>
      <c r="F1142" s="56" t="s">
        <v>67</v>
      </c>
      <c r="G1142" s="57">
        <v>18614624140</v>
      </c>
      <c r="H1142" s="56" t="s">
        <v>68</v>
      </c>
      <c r="I1142" s="58" t="str">
        <f t="shared" si="132"/>
        <v>Italy-Offline</v>
      </c>
      <c r="J1142" s="40"/>
      <c r="K1142" s="59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  <c r="AA1142" s="35"/>
      <c r="AB1142" s="35"/>
      <c r="AC1142" s="35"/>
      <c r="AD1142" s="35"/>
      <c r="AE1142" s="35"/>
      <c r="AF1142" s="35"/>
      <c r="AG1142" s="35"/>
      <c r="AH1142" s="35"/>
      <c r="AI1142" s="35"/>
      <c r="AJ1142" s="35"/>
      <c r="AK1142" s="35"/>
      <c r="AL1142" s="35"/>
      <c r="AM1142" s="35"/>
      <c r="AN1142" s="35"/>
      <c r="AO1142" s="35"/>
      <c r="AP1142" s="35"/>
    </row>
    <row r="1143" spans="1:42" ht="17.25" customHeight="1" x14ac:dyDescent="0.25">
      <c r="A1143" s="60">
        <v>2014</v>
      </c>
      <c r="B1143" s="61" t="s">
        <v>66</v>
      </c>
      <c r="C1143" s="61" t="s">
        <v>27</v>
      </c>
      <c r="D1143" s="61" t="s">
        <v>29</v>
      </c>
      <c r="E1143" s="61" t="s">
        <v>69</v>
      </c>
      <c r="F1143" s="61" t="s">
        <v>70</v>
      </c>
      <c r="G1143" s="62">
        <v>3920869946</v>
      </c>
      <c r="H1143" s="61" t="s">
        <v>68</v>
      </c>
      <c r="I1143" s="63" t="str">
        <f t="shared" si="132"/>
        <v>Italy-Online Supplier-Direct</v>
      </c>
      <c r="J1143" s="47"/>
      <c r="K1143" s="54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</row>
    <row r="1144" spans="1:42" ht="17.25" customHeight="1" x14ac:dyDescent="0.25">
      <c r="A1144" s="55">
        <v>2014</v>
      </c>
      <c r="B1144" s="56" t="s">
        <v>66</v>
      </c>
      <c r="C1144" s="56" t="s">
        <v>27</v>
      </c>
      <c r="D1144" s="56" t="s">
        <v>29</v>
      </c>
      <c r="E1144" s="56" t="s">
        <v>69</v>
      </c>
      <c r="F1144" s="56" t="s">
        <v>71</v>
      </c>
      <c r="G1144" s="57">
        <v>4966310380</v>
      </c>
      <c r="H1144" s="56" t="s">
        <v>68</v>
      </c>
      <c r="I1144" s="58" t="str">
        <f t="shared" si="132"/>
        <v>Italy-OTA</v>
      </c>
      <c r="J1144" s="40"/>
      <c r="K1144" s="59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  <c r="AB1144" s="35"/>
      <c r="AC1144" s="35"/>
      <c r="AD1144" s="35"/>
      <c r="AE1144" s="35"/>
      <c r="AF1144" s="35"/>
      <c r="AG1144" s="35"/>
      <c r="AH1144" s="35"/>
      <c r="AI1144" s="35"/>
      <c r="AJ1144" s="35"/>
      <c r="AK1144" s="35"/>
      <c r="AL1144" s="35"/>
      <c r="AM1144" s="35"/>
      <c r="AN1144" s="35"/>
      <c r="AO1144" s="35"/>
      <c r="AP1144" s="35"/>
    </row>
    <row r="1145" spans="1:42" ht="17.25" customHeight="1" x14ac:dyDescent="0.25">
      <c r="A1145" s="60">
        <v>2014</v>
      </c>
      <c r="B1145" s="61" t="s">
        <v>66</v>
      </c>
      <c r="C1145" s="61" t="s">
        <v>4</v>
      </c>
      <c r="D1145" s="61" t="s">
        <v>9</v>
      </c>
      <c r="E1145" s="61" t="s">
        <v>67</v>
      </c>
      <c r="F1145" s="61" t="s">
        <v>67</v>
      </c>
      <c r="G1145" s="62">
        <v>60432678891</v>
      </c>
      <c r="H1145" s="61" t="s">
        <v>68</v>
      </c>
      <c r="I1145" s="63" t="str">
        <f t="shared" si="132"/>
        <v>Japan-Offline</v>
      </c>
      <c r="J1145" s="47"/>
      <c r="K1145" s="54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  <c r="AB1145" s="35"/>
      <c r="AC1145" s="35"/>
      <c r="AD1145" s="35"/>
      <c r="AE1145" s="35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</row>
    <row r="1146" spans="1:42" ht="17.25" customHeight="1" x14ac:dyDescent="0.25">
      <c r="A1146" s="55">
        <v>2014</v>
      </c>
      <c r="B1146" s="56" t="s">
        <v>66</v>
      </c>
      <c r="C1146" s="56" t="s">
        <v>4</v>
      </c>
      <c r="D1146" s="56" t="s">
        <v>9</v>
      </c>
      <c r="E1146" s="56" t="s">
        <v>69</v>
      </c>
      <c r="F1146" s="56" t="s">
        <v>70</v>
      </c>
      <c r="G1146" s="57">
        <v>19383584370</v>
      </c>
      <c r="H1146" s="56" t="s">
        <v>68</v>
      </c>
      <c r="I1146" s="58" t="str">
        <f t="shared" si="132"/>
        <v>Japan-Online Supplier-Direct</v>
      </c>
      <c r="J1146" s="40"/>
      <c r="K1146" s="59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  <c r="AA1146" s="35"/>
      <c r="AB1146" s="35"/>
      <c r="AC1146" s="35"/>
      <c r="AD1146" s="35"/>
      <c r="AE1146" s="35"/>
      <c r="AF1146" s="35"/>
      <c r="AG1146" s="35"/>
      <c r="AH1146" s="35"/>
      <c r="AI1146" s="35"/>
      <c r="AJ1146" s="35"/>
      <c r="AK1146" s="35"/>
      <c r="AL1146" s="35"/>
      <c r="AM1146" s="35"/>
      <c r="AN1146" s="35"/>
      <c r="AO1146" s="35"/>
      <c r="AP1146" s="35"/>
    </row>
    <row r="1147" spans="1:42" ht="17.25" customHeight="1" x14ac:dyDescent="0.25">
      <c r="A1147" s="60">
        <v>2014</v>
      </c>
      <c r="B1147" s="61" t="s">
        <v>66</v>
      </c>
      <c r="C1147" s="61" t="s">
        <v>4</v>
      </c>
      <c r="D1147" s="61" t="s">
        <v>9</v>
      </c>
      <c r="E1147" s="61" t="s">
        <v>69</v>
      </c>
      <c r="F1147" s="61" t="s">
        <v>71</v>
      </c>
      <c r="G1147" s="62">
        <v>13004063672</v>
      </c>
      <c r="H1147" s="61" t="s">
        <v>68</v>
      </c>
      <c r="I1147" s="63" t="str">
        <f t="shared" si="132"/>
        <v>Japan-OTA</v>
      </c>
      <c r="J1147" s="47"/>
      <c r="K1147" s="54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  <c r="AB1147" s="35"/>
      <c r="AC1147" s="35"/>
      <c r="AD1147" s="35"/>
      <c r="AE1147" s="35"/>
      <c r="AF1147" s="35"/>
      <c r="AG1147" s="35"/>
      <c r="AH1147" s="35"/>
      <c r="AI1147" s="35"/>
      <c r="AJ1147" s="35"/>
      <c r="AK1147" s="35"/>
      <c r="AL1147" s="35"/>
      <c r="AM1147" s="35"/>
      <c r="AN1147" s="35"/>
      <c r="AO1147" s="35"/>
      <c r="AP1147" s="35"/>
    </row>
    <row r="1148" spans="1:42" ht="17.25" customHeight="1" x14ac:dyDescent="0.25">
      <c r="A1148" s="55">
        <v>2014</v>
      </c>
      <c r="B1148" s="56" t="s">
        <v>66</v>
      </c>
      <c r="C1148" s="56" t="s">
        <v>4</v>
      </c>
      <c r="D1148" s="56" t="s">
        <v>10</v>
      </c>
      <c r="E1148" s="56" t="s">
        <v>67</v>
      </c>
      <c r="F1148" s="56" t="s">
        <v>67</v>
      </c>
      <c r="G1148" s="57">
        <v>1559269046</v>
      </c>
      <c r="H1148" s="56" t="s">
        <v>68</v>
      </c>
      <c r="I1148" s="58" t="str">
        <f t="shared" si="132"/>
        <v>Macau-Offline</v>
      </c>
      <c r="J1148" s="40"/>
      <c r="K1148" s="59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  <c r="AB1148" s="35"/>
      <c r="AC1148" s="35"/>
      <c r="AD1148" s="35"/>
      <c r="AE1148" s="35"/>
      <c r="AF1148" s="35"/>
      <c r="AG1148" s="35"/>
      <c r="AH1148" s="35"/>
      <c r="AI1148" s="35"/>
      <c r="AJ1148" s="35"/>
      <c r="AK1148" s="35"/>
      <c r="AL1148" s="35"/>
      <c r="AM1148" s="35"/>
      <c r="AN1148" s="35"/>
      <c r="AO1148" s="35"/>
      <c r="AP1148" s="35"/>
    </row>
    <row r="1149" spans="1:42" ht="17.25" customHeight="1" x14ac:dyDescent="0.25">
      <c r="A1149" s="60">
        <v>2014</v>
      </c>
      <c r="B1149" s="61" t="s">
        <v>66</v>
      </c>
      <c r="C1149" s="61" t="s">
        <v>4</v>
      </c>
      <c r="D1149" s="61" t="s">
        <v>10</v>
      </c>
      <c r="E1149" s="61" t="s">
        <v>69</v>
      </c>
      <c r="F1149" s="61" t="s">
        <v>70</v>
      </c>
      <c r="G1149" s="62">
        <v>38553356</v>
      </c>
      <c r="H1149" s="61" t="s">
        <v>68</v>
      </c>
      <c r="I1149" s="63" t="str">
        <f t="shared" si="132"/>
        <v>Macau-Online Supplier-Direct</v>
      </c>
      <c r="J1149" s="47"/>
      <c r="K1149" s="54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</row>
    <row r="1150" spans="1:42" ht="17.25" customHeight="1" x14ac:dyDescent="0.25">
      <c r="A1150" s="55">
        <v>2014</v>
      </c>
      <c r="B1150" s="56" t="s">
        <v>66</v>
      </c>
      <c r="C1150" s="56" t="s">
        <v>4</v>
      </c>
      <c r="D1150" s="56" t="s">
        <v>10</v>
      </c>
      <c r="E1150" s="56" t="s">
        <v>69</v>
      </c>
      <c r="F1150" s="56" t="s">
        <v>71</v>
      </c>
      <c r="G1150" s="57">
        <v>115660067</v>
      </c>
      <c r="H1150" s="56" t="s">
        <v>68</v>
      </c>
      <c r="I1150" s="58" t="str">
        <f t="shared" si="132"/>
        <v>Macau-OTA</v>
      </c>
      <c r="J1150" s="40"/>
      <c r="K1150" s="59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</row>
    <row r="1151" spans="1:42" ht="17.25" customHeight="1" x14ac:dyDescent="0.25">
      <c r="A1151" s="60">
        <v>2014</v>
      </c>
      <c r="B1151" s="61" t="s">
        <v>66</v>
      </c>
      <c r="C1151" s="61" t="s">
        <v>4</v>
      </c>
      <c r="D1151" s="61" t="s">
        <v>11</v>
      </c>
      <c r="E1151" s="61" t="s">
        <v>67</v>
      </c>
      <c r="F1151" s="61" t="s">
        <v>67</v>
      </c>
      <c r="G1151" s="62">
        <v>6478892292</v>
      </c>
      <c r="H1151" s="61" t="s">
        <v>68</v>
      </c>
      <c r="I1151" s="63" t="str">
        <f t="shared" si="132"/>
        <v>Malaysia-Offline</v>
      </c>
      <c r="J1151" s="47"/>
      <c r="K1151" s="54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  <c r="AM1151" s="35"/>
      <c r="AN1151" s="35"/>
      <c r="AO1151" s="35"/>
      <c r="AP1151" s="35"/>
    </row>
    <row r="1152" spans="1:42" ht="17.25" customHeight="1" x14ac:dyDescent="0.25">
      <c r="A1152" s="55">
        <v>2014</v>
      </c>
      <c r="B1152" s="56" t="s">
        <v>66</v>
      </c>
      <c r="C1152" s="56" t="s">
        <v>4</v>
      </c>
      <c r="D1152" s="56" t="s">
        <v>11</v>
      </c>
      <c r="E1152" s="56" t="s">
        <v>69</v>
      </c>
      <c r="F1152" s="56" t="s">
        <v>70</v>
      </c>
      <c r="G1152" s="57">
        <v>2608715202</v>
      </c>
      <c r="H1152" s="56" t="s">
        <v>68</v>
      </c>
      <c r="I1152" s="58" t="str">
        <f t="shared" si="132"/>
        <v>Malaysia-Online Supplier-Direct</v>
      </c>
      <c r="J1152" s="40"/>
      <c r="K1152" s="59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  <c r="AM1152" s="35"/>
      <c r="AN1152" s="35"/>
      <c r="AO1152" s="35"/>
      <c r="AP1152" s="35"/>
    </row>
    <row r="1153" spans="1:42" ht="17.25" customHeight="1" x14ac:dyDescent="0.25">
      <c r="A1153" s="60">
        <v>2014</v>
      </c>
      <c r="B1153" s="61" t="s">
        <v>66</v>
      </c>
      <c r="C1153" s="61" t="s">
        <v>4</v>
      </c>
      <c r="D1153" s="61" t="s">
        <v>11</v>
      </c>
      <c r="E1153" s="61" t="s">
        <v>69</v>
      </c>
      <c r="F1153" s="61" t="s">
        <v>71</v>
      </c>
      <c r="G1153" s="62">
        <v>909468748</v>
      </c>
      <c r="H1153" s="61" t="s">
        <v>68</v>
      </c>
      <c r="I1153" s="63" t="str">
        <f t="shared" si="132"/>
        <v>Malaysia-OTA</v>
      </c>
      <c r="J1153" s="47"/>
      <c r="K1153" s="54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  <c r="AM1153" s="35"/>
      <c r="AN1153" s="35"/>
      <c r="AO1153" s="35"/>
      <c r="AP1153" s="35"/>
    </row>
    <row r="1154" spans="1:42" ht="17.25" customHeight="1" x14ac:dyDescent="0.25">
      <c r="A1154" s="55">
        <v>2014</v>
      </c>
      <c r="B1154" s="56" t="s">
        <v>66</v>
      </c>
      <c r="C1154" s="56" t="s">
        <v>35</v>
      </c>
      <c r="D1154" s="56" t="s">
        <v>39</v>
      </c>
      <c r="E1154" s="56" t="s">
        <v>67</v>
      </c>
      <c r="F1154" s="56" t="s">
        <v>67</v>
      </c>
      <c r="G1154" s="57">
        <v>19627254589</v>
      </c>
      <c r="H1154" s="56" t="s">
        <v>68</v>
      </c>
      <c r="I1154" s="58" t="str">
        <f t="shared" si="132"/>
        <v>Mexico-Offline</v>
      </c>
      <c r="J1154" s="40"/>
      <c r="K1154" s="59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  <c r="AM1154" s="35"/>
      <c r="AN1154" s="35"/>
      <c r="AO1154" s="35"/>
      <c r="AP1154" s="35"/>
    </row>
    <row r="1155" spans="1:42" ht="17.25" customHeight="1" x14ac:dyDescent="0.25">
      <c r="A1155" s="60">
        <v>2014</v>
      </c>
      <c r="B1155" s="61" t="s">
        <v>66</v>
      </c>
      <c r="C1155" s="61" t="s">
        <v>35</v>
      </c>
      <c r="D1155" s="61" t="s">
        <v>39</v>
      </c>
      <c r="E1155" s="61" t="s">
        <v>69</v>
      </c>
      <c r="F1155" s="61" t="s">
        <v>70</v>
      </c>
      <c r="G1155" s="62">
        <v>2976138507</v>
      </c>
      <c r="H1155" s="61" t="s">
        <v>68</v>
      </c>
      <c r="I1155" s="63" t="str">
        <f t="shared" si="132"/>
        <v>Mexico-Online Supplier-Direct</v>
      </c>
      <c r="J1155" s="47"/>
      <c r="K1155" s="54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  <c r="AM1155" s="35"/>
      <c r="AN1155" s="35"/>
      <c r="AO1155" s="35"/>
      <c r="AP1155" s="35"/>
    </row>
    <row r="1156" spans="1:42" ht="17.25" customHeight="1" x14ac:dyDescent="0.25">
      <c r="A1156" s="55">
        <v>2014</v>
      </c>
      <c r="B1156" s="56" t="s">
        <v>66</v>
      </c>
      <c r="C1156" s="56" t="s">
        <v>35</v>
      </c>
      <c r="D1156" s="56" t="s">
        <v>39</v>
      </c>
      <c r="E1156" s="56" t="s">
        <v>69</v>
      </c>
      <c r="F1156" s="56" t="s">
        <v>71</v>
      </c>
      <c r="G1156" s="57">
        <v>4306262611</v>
      </c>
      <c r="H1156" s="56" t="s">
        <v>68</v>
      </c>
      <c r="I1156" s="58" t="str">
        <f t="shared" si="132"/>
        <v>Mexico-OTA</v>
      </c>
      <c r="J1156" s="40"/>
      <c r="K1156" s="59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  <c r="AM1156" s="35"/>
      <c r="AN1156" s="35"/>
      <c r="AO1156" s="35"/>
      <c r="AP1156" s="35"/>
    </row>
    <row r="1157" spans="1:42" ht="17.25" customHeight="1" x14ac:dyDescent="0.25">
      <c r="A1157" s="60">
        <v>2014</v>
      </c>
      <c r="B1157" s="61" t="s">
        <v>66</v>
      </c>
      <c r="C1157" s="61" t="s">
        <v>17</v>
      </c>
      <c r="D1157" s="61" t="s">
        <v>21</v>
      </c>
      <c r="E1157" s="61" t="s">
        <v>67</v>
      </c>
      <c r="F1157" s="61" t="s">
        <v>67</v>
      </c>
      <c r="G1157" s="62">
        <v>3984924787</v>
      </c>
      <c r="H1157" s="61" t="s">
        <v>68</v>
      </c>
      <c r="I1157" s="63" t="str">
        <f t="shared" si="132"/>
        <v>Poland-Offline</v>
      </c>
      <c r="J1157" s="47"/>
      <c r="K1157" s="54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  <c r="AM1157" s="35"/>
      <c r="AN1157" s="35"/>
      <c r="AO1157" s="35"/>
      <c r="AP1157" s="35"/>
    </row>
    <row r="1158" spans="1:42" ht="17.25" customHeight="1" x14ac:dyDescent="0.25">
      <c r="A1158" s="55">
        <v>2014</v>
      </c>
      <c r="B1158" s="56" t="s">
        <v>66</v>
      </c>
      <c r="C1158" s="56" t="s">
        <v>17</v>
      </c>
      <c r="D1158" s="56" t="s">
        <v>21</v>
      </c>
      <c r="E1158" s="56" t="s">
        <v>69</v>
      </c>
      <c r="F1158" s="56" t="s">
        <v>70</v>
      </c>
      <c r="G1158" s="57">
        <v>910755372</v>
      </c>
      <c r="H1158" s="56" t="s">
        <v>68</v>
      </c>
      <c r="I1158" s="58" t="str">
        <f t="shared" si="132"/>
        <v>Poland-Online Supplier-Direct</v>
      </c>
      <c r="J1158" s="40"/>
      <c r="K1158" s="59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  <c r="AM1158" s="35"/>
      <c r="AN1158" s="35"/>
      <c r="AO1158" s="35"/>
      <c r="AP1158" s="35"/>
    </row>
    <row r="1159" spans="1:42" ht="17.25" customHeight="1" x14ac:dyDescent="0.25">
      <c r="A1159" s="60">
        <v>2014</v>
      </c>
      <c r="B1159" s="61" t="s">
        <v>66</v>
      </c>
      <c r="C1159" s="61" t="s">
        <v>17</v>
      </c>
      <c r="D1159" s="61" t="s">
        <v>21</v>
      </c>
      <c r="E1159" s="61" t="s">
        <v>69</v>
      </c>
      <c r="F1159" s="61" t="s">
        <v>71</v>
      </c>
      <c r="G1159" s="62">
        <v>774767272</v>
      </c>
      <c r="H1159" s="61" t="s">
        <v>68</v>
      </c>
      <c r="I1159" s="63" t="str">
        <f t="shared" si="132"/>
        <v>Poland-OTA</v>
      </c>
      <c r="J1159" s="47"/>
      <c r="K1159" s="54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  <c r="AM1159" s="35"/>
      <c r="AN1159" s="35"/>
      <c r="AO1159" s="35"/>
      <c r="AP1159" s="35"/>
    </row>
    <row r="1160" spans="1:42" ht="17.25" customHeight="1" x14ac:dyDescent="0.25">
      <c r="A1160" s="55">
        <v>2014</v>
      </c>
      <c r="B1160" s="56" t="s">
        <v>66</v>
      </c>
      <c r="C1160" s="56" t="s">
        <v>41</v>
      </c>
      <c r="D1160" s="56" t="s">
        <v>42</v>
      </c>
      <c r="E1160" s="56" t="s">
        <v>67</v>
      </c>
      <c r="F1160" s="56" t="s">
        <v>67</v>
      </c>
      <c r="G1160" s="57">
        <v>7056355678</v>
      </c>
      <c r="H1160" s="56" t="s">
        <v>68</v>
      </c>
      <c r="I1160" s="58" t="str">
        <f t="shared" si="132"/>
        <v>Qatar-Offline</v>
      </c>
      <c r="J1160" s="40"/>
      <c r="K1160" s="59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  <c r="AM1160" s="35"/>
      <c r="AN1160" s="35"/>
      <c r="AO1160" s="35"/>
      <c r="AP1160" s="35"/>
    </row>
    <row r="1161" spans="1:42" ht="17.25" customHeight="1" x14ac:dyDescent="0.25">
      <c r="A1161" s="60">
        <v>2014</v>
      </c>
      <c r="B1161" s="61" t="s">
        <v>66</v>
      </c>
      <c r="C1161" s="61" t="s">
        <v>41</v>
      </c>
      <c r="D1161" s="61" t="s">
        <v>42</v>
      </c>
      <c r="E1161" s="61" t="s">
        <v>69</v>
      </c>
      <c r="F1161" s="61" t="s">
        <v>70</v>
      </c>
      <c r="G1161" s="62">
        <v>1238394129</v>
      </c>
      <c r="H1161" s="61" t="s">
        <v>68</v>
      </c>
      <c r="I1161" s="63" t="str">
        <f t="shared" si="132"/>
        <v>Qatar-Online Supplier-Direct</v>
      </c>
      <c r="J1161" s="47"/>
      <c r="K1161" s="54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</row>
    <row r="1162" spans="1:42" ht="17.25" customHeight="1" x14ac:dyDescent="0.25">
      <c r="A1162" s="55">
        <v>2014</v>
      </c>
      <c r="B1162" s="56" t="s">
        <v>66</v>
      </c>
      <c r="C1162" s="56" t="s">
        <v>41</v>
      </c>
      <c r="D1162" s="56" t="s">
        <v>42</v>
      </c>
      <c r="E1162" s="56" t="s">
        <v>69</v>
      </c>
      <c r="F1162" s="56" t="s">
        <v>71</v>
      </c>
      <c r="G1162" s="57">
        <v>706181151</v>
      </c>
      <c r="H1162" s="56" t="s">
        <v>68</v>
      </c>
      <c r="I1162" s="58" t="str">
        <f t="shared" si="132"/>
        <v>Qatar-OTA</v>
      </c>
      <c r="J1162" s="40"/>
      <c r="K1162" s="59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  <c r="AM1162" s="35"/>
      <c r="AN1162" s="35"/>
      <c r="AO1162" s="35"/>
      <c r="AP1162" s="35"/>
    </row>
    <row r="1163" spans="1:42" ht="17.25" customHeight="1" x14ac:dyDescent="0.25">
      <c r="A1163" s="60">
        <v>2014</v>
      </c>
      <c r="B1163" s="61" t="s">
        <v>66</v>
      </c>
      <c r="C1163" s="61" t="s">
        <v>17</v>
      </c>
      <c r="D1163" s="61" t="s">
        <v>22</v>
      </c>
      <c r="E1163" s="61" t="s">
        <v>67</v>
      </c>
      <c r="F1163" s="61" t="s">
        <v>67</v>
      </c>
      <c r="G1163" s="62">
        <v>1693608361</v>
      </c>
      <c r="H1163" s="61" t="s">
        <v>68</v>
      </c>
      <c r="I1163" s="63" t="str">
        <f t="shared" si="132"/>
        <v>Rest of Eastern Europe-Offline</v>
      </c>
      <c r="J1163" s="47"/>
      <c r="K1163" s="54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  <c r="AM1163" s="35"/>
      <c r="AN1163" s="35"/>
      <c r="AO1163" s="35"/>
      <c r="AP1163" s="35"/>
    </row>
    <row r="1164" spans="1:42" ht="17.25" customHeight="1" x14ac:dyDescent="0.25">
      <c r="A1164" s="55">
        <v>2014</v>
      </c>
      <c r="B1164" s="56" t="s">
        <v>66</v>
      </c>
      <c r="C1164" s="56" t="s">
        <v>17</v>
      </c>
      <c r="D1164" s="56" t="s">
        <v>22</v>
      </c>
      <c r="E1164" s="56" t="s">
        <v>69</v>
      </c>
      <c r="F1164" s="56" t="s">
        <v>70</v>
      </c>
      <c r="G1164" s="57">
        <v>195279071</v>
      </c>
      <c r="H1164" s="56" t="s">
        <v>68</v>
      </c>
      <c r="I1164" s="58" t="str">
        <f t="shared" si="132"/>
        <v>Rest of Eastern Europe-Online Supplier-Direct</v>
      </c>
      <c r="J1164" s="40"/>
      <c r="K1164" s="59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  <c r="AM1164" s="35"/>
      <c r="AN1164" s="35"/>
      <c r="AO1164" s="35"/>
      <c r="AP1164" s="35"/>
    </row>
    <row r="1165" spans="1:42" ht="17.25" customHeight="1" x14ac:dyDescent="0.25">
      <c r="A1165" s="60">
        <v>2014</v>
      </c>
      <c r="B1165" s="61" t="s">
        <v>66</v>
      </c>
      <c r="C1165" s="61" t="s">
        <v>17</v>
      </c>
      <c r="D1165" s="61" t="s">
        <v>22</v>
      </c>
      <c r="E1165" s="61" t="s">
        <v>69</v>
      </c>
      <c r="F1165" s="61" t="s">
        <v>71</v>
      </c>
      <c r="G1165" s="62">
        <v>209260023</v>
      </c>
      <c r="H1165" s="61" t="s">
        <v>68</v>
      </c>
      <c r="I1165" s="63" t="str">
        <f t="shared" si="132"/>
        <v>Rest of Eastern Europe-OTA</v>
      </c>
      <c r="J1165" s="47"/>
      <c r="K1165" s="54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  <c r="AM1165" s="35"/>
      <c r="AN1165" s="35"/>
      <c r="AO1165" s="35"/>
      <c r="AP1165" s="35"/>
    </row>
    <row r="1166" spans="1:42" ht="17.25" customHeight="1" x14ac:dyDescent="0.25">
      <c r="A1166" s="55">
        <v>2014</v>
      </c>
      <c r="B1166" s="56" t="s">
        <v>66</v>
      </c>
      <c r="C1166" s="56" t="s">
        <v>27</v>
      </c>
      <c r="D1166" s="56" t="s">
        <v>30</v>
      </c>
      <c r="E1166" s="56" t="s">
        <v>67</v>
      </c>
      <c r="F1166" s="56" t="s">
        <v>67</v>
      </c>
      <c r="G1166" s="57">
        <v>38666647373</v>
      </c>
      <c r="H1166" s="56" t="s">
        <v>68</v>
      </c>
      <c r="I1166" s="58" t="str">
        <f t="shared" si="132"/>
        <v>Rest of Europe-Offline</v>
      </c>
      <c r="J1166" s="40"/>
      <c r="K1166" s="59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  <c r="AM1166" s="35"/>
      <c r="AN1166" s="35"/>
      <c r="AO1166" s="35"/>
      <c r="AP1166" s="35"/>
    </row>
    <row r="1167" spans="1:42" ht="17.25" customHeight="1" x14ac:dyDescent="0.25">
      <c r="A1167" s="60">
        <v>2014</v>
      </c>
      <c r="B1167" s="61" t="s">
        <v>66</v>
      </c>
      <c r="C1167" s="61" t="s">
        <v>27</v>
      </c>
      <c r="D1167" s="61" t="s">
        <v>30</v>
      </c>
      <c r="E1167" s="61" t="s">
        <v>69</v>
      </c>
      <c r="F1167" s="61" t="s">
        <v>70</v>
      </c>
      <c r="G1167" s="62">
        <v>14571711959</v>
      </c>
      <c r="H1167" s="61" t="s">
        <v>68</v>
      </c>
      <c r="I1167" s="63" t="str">
        <f t="shared" si="132"/>
        <v>Rest of Europe-Online Supplier-Direct</v>
      </c>
      <c r="J1167" s="47"/>
      <c r="K1167" s="54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</row>
    <row r="1168" spans="1:42" ht="17.25" customHeight="1" x14ac:dyDescent="0.25">
      <c r="A1168" s="55">
        <v>2014</v>
      </c>
      <c r="B1168" s="56" t="s">
        <v>66</v>
      </c>
      <c r="C1168" s="56" t="s">
        <v>27</v>
      </c>
      <c r="D1168" s="56" t="s">
        <v>30</v>
      </c>
      <c r="E1168" s="56" t="s">
        <v>69</v>
      </c>
      <c r="F1168" s="56" t="s">
        <v>71</v>
      </c>
      <c r="G1168" s="57">
        <v>8334937282</v>
      </c>
      <c r="H1168" s="56" t="s">
        <v>68</v>
      </c>
      <c r="I1168" s="58" t="str">
        <f t="shared" si="132"/>
        <v>Rest of Europe-OTA</v>
      </c>
      <c r="J1168" s="40"/>
      <c r="K1168" s="59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</row>
    <row r="1169" spans="1:42" ht="17.25" customHeight="1" x14ac:dyDescent="0.25">
      <c r="A1169" s="60">
        <v>2014</v>
      </c>
      <c r="B1169" s="61" t="s">
        <v>66</v>
      </c>
      <c r="C1169" s="61" t="s">
        <v>41</v>
      </c>
      <c r="D1169" s="61" t="s">
        <v>43</v>
      </c>
      <c r="E1169" s="61" t="s">
        <v>67</v>
      </c>
      <c r="F1169" s="61" t="s">
        <v>67</v>
      </c>
      <c r="G1169" s="62">
        <v>6697794918</v>
      </c>
      <c r="H1169" s="61" t="s">
        <v>68</v>
      </c>
      <c r="I1169" s="63" t="str">
        <f t="shared" si="132"/>
        <v>Rest of Middle East-Offline</v>
      </c>
      <c r="J1169" s="47"/>
      <c r="K1169" s="54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  <c r="AM1169" s="35"/>
      <c r="AN1169" s="35"/>
      <c r="AO1169" s="35"/>
      <c r="AP1169" s="35"/>
    </row>
    <row r="1170" spans="1:42" ht="17.25" customHeight="1" x14ac:dyDescent="0.25">
      <c r="A1170" s="55">
        <v>2014</v>
      </c>
      <c r="B1170" s="56" t="s">
        <v>66</v>
      </c>
      <c r="C1170" s="56" t="s">
        <v>41</v>
      </c>
      <c r="D1170" s="56" t="s">
        <v>43</v>
      </c>
      <c r="E1170" s="56" t="s">
        <v>69</v>
      </c>
      <c r="F1170" s="56" t="s">
        <v>70</v>
      </c>
      <c r="G1170" s="57">
        <v>792926237</v>
      </c>
      <c r="H1170" s="56" t="s">
        <v>68</v>
      </c>
      <c r="I1170" s="58" t="str">
        <f t="shared" si="132"/>
        <v>Rest of Middle East-Online Supplier-Direct</v>
      </c>
      <c r="J1170" s="40"/>
      <c r="K1170" s="59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  <c r="AM1170" s="35"/>
      <c r="AN1170" s="35"/>
      <c r="AO1170" s="35"/>
      <c r="AP1170" s="35"/>
    </row>
    <row r="1171" spans="1:42" ht="17.25" customHeight="1" x14ac:dyDescent="0.25">
      <c r="A1171" s="60">
        <v>2014</v>
      </c>
      <c r="B1171" s="61" t="s">
        <v>66</v>
      </c>
      <c r="C1171" s="61" t="s">
        <v>41</v>
      </c>
      <c r="D1171" s="61" t="s">
        <v>43</v>
      </c>
      <c r="E1171" s="61" t="s">
        <v>69</v>
      </c>
      <c r="F1171" s="61" t="s">
        <v>71</v>
      </c>
      <c r="G1171" s="62">
        <v>875278290</v>
      </c>
      <c r="H1171" s="61" t="s">
        <v>68</v>
      </c>
      <c r="I1171" s="63" t="str">
        <f t="shared" si="132"/>
        <v>Rest of Middle East-OTA</v>
      </c>
      <c r="J1171" s="47"/>
      <c r="K1171" s="54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  <c r="AM1171" s="35"/>
      <c r="AN1171" s="35"/>
      <c r="AO1171" s="35"/>
      <c r="AP1171" s="35"/>
    </row>
    <row r="1172" spans="1:42" ht="17.25" customHeight="1" x14ac:dyDescent="0.25">
      <c r="A1172" s="55">
        <v>2014</v>
      </c>
      <c r="B1172" s="56" t="s">
        <v>66</v>
      </c>
      <c r="C1172" s="56" t="s">
        <v>17</v>
      </c>
      <c r="D1172" s="56" t="s">
        <v>23</v>
      </c>
      <c r="E1172" s="56" t="s">
        <v>67</v>
      </c>
      <c r="F1172" s="56" t="s">
        <v>67</v>
      </c>
      <c r="G1172" s="57">
        <v>1998182074</v>
      </c>
      <c r="H1172" s="56" t="s">
        <v>68</v>
      </c>
      <c r="I1172" s="58" t="str">
        <f t="shared" si="132"/>
        <v>Romania-Offline</v>
      </c>
      <c r="J1172" s="40"/>
      <c r="K1172" s="59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  <c r="AM1172" s="35"/>
      <c r="AN1172" s="35"/>
      <c r="AO1172" s="35"/>
      <c r="AP1172" s="35"/>
    </row>
    <row r="1173" spans="1:42" ht="17.25" customHeight="1" x14ac:dyDescent="0.25">
      <c r="A1173" s="60">
        <v>2014</v>
      </c>
      <c r="B1173" s="61" t="s">
        <v>66</v>
      </c>
      <c r="C1173" s="61" t="s">
        <v>17</v>
      </c>
      <c r="D1173" s="61" t="s">
        <v>23</v>
      </c>
      <c r="E1173" s="61" t="s">
        <v>69</v>
      </c>
      <c r="F1173" s="61" t="s">
        <v>70</v>
      </c>
      <c r="G1173" s="62">
        <v>475747714</v>
      </c>
      <c r="H1173" s="61" t="s">
        <v>68</v>
      </c>
      <c r="I1173" s="63" t="str">
        <f t="shared" si="132"/>
        <v>Romania-Online Supplier-Direct</v>
      </c>
      <c r="J1173" s="47"/>
      <c r="K1173" s="54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  <c r="AM1173" s="35"/>
      <c r="AN1173" s="35"/>
      <c r="AO1173" s="35"/>
      <c r="AP1173" s="35"/>
    </row>
    <row r="1174" spans="1:42" ht="17.25" customHeight="1" x14ac:dyDescent="0.25">
      <c r="A1174" s="55">
        <v>2014</v>
      </c>
      <c r="B1174" s="56" t="s">
        <v>66</v>
      </c>
      <c r="C1174" s="56" t="s">
        <v>17</v>
      </c>
      <c r="D1174" s="56" t="s">
        <v>23</v>
      </c>
      <c r="E1174" s="56" t="s">
        <v>69</v>
      </c>
      <c r="F1174" s="56" t="s">
        <v>71</v>
      </c>
      <c r="G1174" s="57">
        <v>325563982</v>
      </c>
      <c r="H1174" s="56" t="s">
        <v>68</v>
      </c>
      <c r="I1174" s="58" t="str">
        <f t="shared" si="132"/>
        <v>Romania-OTA</v>
      </c>
      <c r="J1174" s="40"/>
      <c r="K1174" s="59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  <c r="AM1174" s="35"/>
      <c r="AN1174" s="35"/>
      <c r="AO1174" s="35"/>
      <c r="AP1174" s="35"/>
    </row>
    <row r="1175" spans="1:42" ht="17.25" customHeight="1" x14ac:dyDescent="0.25">
      <c r="A1175" s="60">
        <v>2014</v>
      </c>
      <c r="B1175" s="61" t="s">
        <v>66</v>
      </c>
      <c r="C1175" s="61" t="s">
        <v>17</v>
      </c>
      <c r="D1175" s="61" t="s">
        <v>24</v>
      </c>
      <c r="E1175" s="61" t="s">
        <v>67</v>
      </c>
      <c r="F1175" s="61" t="s">
        <v>67</v>
      </c>
      <c r="G1175" s="62">
        <v>19917300119</v>
      </c>
      <c r="H1175" s="61" t="s">
        <v>68</v>
      </c>
      <c r="I1175" s="63" t="str">
        <f t="shared" si="132"/>
        <v>Russia-Offline</v>
      </c>
      <c r="J1175" s="47"/>
      <c r="K1175" s="54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  <c r="AM1175" s="35"/>
      <c r="AN1175" s="35"/>
      <c r="AO1175" s="35"/>
      <c r="AP1175" s="35"/>
    </row>
    <row r="1176" spans="1:42" ht="17.25" customHeight="1" x14ac:dyDescent="0.25">
      <c r="A1176" s="55">
        <v>2014</v>
      </c>
      <c r="B1176" s="56" t="s">
        <v>66</v>
      </c>
      <c r="C1176" s="56" t="s">
        <v>17</v>
      </c>
      <c r="D1176" s="56" t="s">
        <v>24</v>
      </c>
      <c r="E1176" s="56" t="s">
        <v>69</v>
      </c>
      <c r="F1176" s="56" t="s">
        <v>70</v>
      </c>
      <c r="G1176" s="57">
        <v>2932206282</v>
      </c>
      <c r="H1176" s="56" t="s">
        <v>68</v>
      </c>
      <c r="I1176" s="58" t="str">
        <f t="shared" si="132"/>
        <v>Russia-Online Supplier-Direct</v>
      </c>
      <c r="J1176" s="40"/>
      <c r="K1176" s="59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  <c r="AM1176" s="35"/>
      <c r="AN1176" s="35"/>
      <c r="AO1176" s="35"/>
      <c r="AP1176" s="35"/>
    </row>
    <row r="1177" spans="1:42" ht="17.25" customHeight="1" x14ac:dyDescent="0.25">
      <c r="A1177" s="60">
        <v>2014</v>
      </c>
      <c r="B1177" s="61" t="s">
        <v>66</v>
      </c>
      <c r="C1177" s="61" t="s">
        <v>17</v>
      </c>
      <c r="D1177" s="61" t="s">
        <v>24</v>
      </c>
      <c r="E1177" s="61" t="s">
        <v>69</v>
      </c>
      <c r="F1177" s="61" t="s">
        <v>71</v>
      </c>
      <c r="G1177" s="62">
        <v>3518432767</v>
      </c>
      <c r="H1177" s="61" t="s">
        <v>68</v>
      </c>
      <c r="I1177" s="63" t="str">
        <f t="shared" si="132"/>
        <v>Russia-OTA</v>
      </c>
      <c r="J1177" s="47"/>
      <c r="K1177" s="54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  <c r="AM1177" s="35"/>
      <c r="AN1177" s="35"/>
      <c r="AO1177" s="35"/>
      <c r="AP1177" s="35"/>
    </row>
    <row r="1178" spans="1:42" ht="17.25" customHeight="1" x14ac:dyDescent="0.25">
      <c r="A1178" s="55">
        <v>2014</v>
      </c>
      <c r="B1178" s="56" t="s">
        <v>66</v>
      </c>
      <c r="C1178" s="56" t="s">
        <v>41</v>
      </c>
      <c r="D1178" s="56" t="s">
        <v>44</v>
      </c>
      <c r="E1178" s="56" t="s">
        <v>67</v>
      </c>
      <c r="F1178" s="56" t="s">
        <v>67</v>
      </c>
      <c r="G1178" s="57">
        <v>8678254699</v>
      </c>
      <c r="H1178" s="56" t="s">
        <v>68</v>
      </c>
      <c r="I1178" s="58" t="str">
        <f t="shared" si="132"/>
        <v>Saudi Arabia-Offline</v>
      </c>
      <c r="J1178" s="40"/>
      <c r="K1178" s="59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/>
      <c r="AJ1178" s="35"/>
      <c r="AK1178" s="35"/>
      <c r="AL1178" s="35"/>
      <c r="AM1178" s="35"/>
      <c r="AN1178" s="35"/>
      <c r="AO1178" s="35"/>
      <c r="AP1178" s="35"/>
    </row>
    <row r="1179" spans="1:42" ht="17.25" customHeight="1" x14ac:dyDescent="0.25">
      <c r="A1179" s="60">
        <v>2014</v>
      </c>
      <c r="B1179" s="61" t="s">
        <v>66</v>
      </c>
      <c r="C1179" s="61" t="s">
        <v>41</v>
      </c>
      <c r="D1179" s="61" t="s">
        <v>44</v>
      </c>
      <c r="E1179" s="61" t="s">
        <v>69</v>
      </c>
      <c r="F1179" s="61" t="s">
        <v>70</v>
      </c>
      <c r="G1179" s="62">
        <v>1062113955</v>
      </c>
      <c r="H1179" s="61" t="s">
        <v>68</v>
      </c>
      <c r="I1179" s="63" t="str">
        <f t="shared" si="132"/>
        <v>Saudi Arabia-Online Supplier-Direct</v>
      </c>
      <c r="J1179" s="47"/>
      <c r="K1179" s="54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  <c r="AM1179" s="35"/>
      <c r="AN1179" s="35"/>
      <c r="AO1179" s="35"/>
      <c r="AP1179" s="35"/>
    </row>
    <row r="1180" spans="1:42" ht="17.25" customHeight="1" x14ac:dyDescent="0.25">
      <c r="A1180" s="55">
        <v>2014</v>
      </c>
      <c r="B1180" s="56" t="s">
        <v>66</v>
      </c>
      <c r="C1180" s="56" t="s">
        <v>41</v>
      </c>
      <c r="D1180" s="56" t="s">
        <v>44</v>
      </c>
      <c r="E1180" s="56" t="s">
        <v>69</v>
      </c>
      <c r="F1180" s="56" t="s">
        <v>71</v>
      </c>
      <c r="G1180" s="57">
        <v>1255349113</v>
      </c>
      <c r="H1180" s="56" t="s">
        <v>68</v>
      </c>
      <c r="I1180" s="58" t="str">
        <f t="shared" si="132"/>
        <v>Saudi Arabia-OTA</v>
      </c>
      <c r="J1180" s="40"/>
      <c r="K1180" s="59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/>
      <c r="AJ1180" s="35"/>
      <c r="AK1180" s="35"/>
      <c r="AL1180" s="35"/>
      <c r="AM1180" s="35"/>
      <c r="AN1180" s="35"/>
      <c r="AO1180" s="35"/>
      <c r="AP1180" s="35"/>
    </row>
    <row r="1181" spans="1:42" ht="17.25" customHeight="1" x14ac:dyDescent="0.25">
      <c r="A1181" s="60">
        <v>2014</v>
      </c>
      <c r="B1181" s="61" t="s">
        <v>66</v>
      </c>
      <c r="C1181" s="61" t="s">
        <v>27</v>
      </c>
      <c r="D1181" s="61" t="s">
        <v>31</v>
      </c>
      <c r="E1181" s="61" t="s">
        <v>67</v>
      </c>
      <c r="F1181" s="61" t="s">
        <v>67</v>
      </c>
      <c r="G1181" s="62">
        <v>9290253564</v>
      </c>
      <c r="H1181" s="61" t="s">
        <v>68</v>
      </c>
      <c r="I1181" s="63" t="str">
        <f t="shared" si="132"/>
        <v>Scandinavia-Offline</v>
      </c>
      <c r="J1181" s="47"/>
      <c r="K1181" s="54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  <c r="AM1181" s="35"/>
      <c r="AN1181" s="35"/>
      <c r="AO1181" s="35"/>
      <c r="AP1181" s="35"/>
    </row>
    <row r="1182" spans="1:42" ht="17.25" customHeight="1" x14ac:dyDescent="0.25">
      <c r="A1182" s="55">
        <v>2014</v>
      </c>
      <c r="B1182" s="56" t="s">
        <v>66</v>
      </c>
      <c r="C1182" s="56" t="s">
        <v>27</v>
      </c>
      <c r="D1182" s="56" t="s">
        <v>31</v>
      </c>
      <c r="E1182" s="56" t="s">
        <v>69</v>
      </c>
      <c r="F1182" s="56" t="s">
        <v>70</v>
      </c>
      <c r="G1182" s="57">
        <v>7441013337</v>
      </c>
      <c r="H1182" s="56" t="s">
        <v>68</v>
      </c>
      <c r="I1182" s="58" t="str">
        <f t="shared" si="132"/>
        <v>Scandinavia-Online Supplier-Direct</v>
      </c>
      <c r="J1182" s="40"/>
      <c r="K1182" s="59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/>
      <c r="AJ1182" s="35"/>
      <c r="AK1182" s="35"/>
      <c r="AL1182" s="35"/>
      <c r="AM1182" s="35"/>
      <c r="AN1182" s="35"/>
      <c r="AO1182" s="35"/>
      <c r="AP1182" s="35"/>
    </row>
    <row r="1183" spans="1:42" ht="17.25" customHeight="1" x14ac:dyDescent="0.25">
      <c r="A1183" s="60">
        <v>2014</v>
      </c>
      <c r="B1183" s="61" t="s">
        <v>66</v>
      </c>
      <c r="C1183" s="61" t="s">
        <v>27</v>
      </c>
      <c r="D1183" s="61" t="s">
        <v>31</v>
      </c>
      <c r="E1183" s="61" t="s">
        <v>69</v>
      </c>
      <c r="F1183" s="61" t="s">
        <v>71</v>
      </c>
      <c r="G1183" s="62">
        <v>3310504694</v>
      </c>
      <c r="H1183" s="61" t="s">
        <v>68</v>
      </c>
      <c r="I1183" s="63" t="str">
        <f t="shared" si="132"/>
        <v>Scandinavia-OTA</v>
      </c>
      <c r="J1183" s="47"/>
      <c r="K1183" s="54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/>
      <c r="AJ1183" s="35"/>
      <c r="AK1183" s="35"/>
      <c r="AL1183" s="35"/>
      <c r="AM1183" s="35"/>
      <c r="AN1183" s="35"/>
      <c r="AO1183" s="35"/>
      <c r="AP1183" s="35"/>
    </row>
    <row r="1184" spans="1:42" ht="17.25" customHeight="1" x14ac:dyDescent="0.25">
      <c r="A1184" s="55">
        <v>2014</v>
      </c>
      <c r="B1184" s="56" t="s">
        <v>66</v>
      </c>
      <c r="C1184" s="56" t="s">
        <v>4</v>
      </c>
      <c r="D1184" s="56" t="s">
        <v>12</v>
      </c>
      <c r="E1184" s="56" t="s">
        <v>67</v>
      </c>
      <c r="F1184" s="56" t="s">
        <v>67</v>
      </c>
      <c r="G1184" s="57">
        <v>7413725091</v>
      </c>
      <c r="H1184" s="56" t="s">
        <v>68</v>
      </c>
      <c r="I1184" s="58" t="str">
        <f t="shared" si="132"/>
        <v>Singapore-Offline</v>
      </c>
      <c r="J1184" s="40"/>
      <c r="K1184" s="59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</row>
    <row r="1185" spans="1:42" ht="17.25" customHeight="1" x14ac:dyDescent="0.25">
      <c r="A1185" s="60">
        <v>2014</v>
      </c>
      <c r="B1185" s="61" t="s">
        <v>66</v>
      </c>
      <c r="C1185" s="61" t="s">
        <v>4</v>
      </c>
      <c r="D1185" s="61" t="s">
        <v>12</v>
      </c>
      <c r="E1185" s="61" t="s">
        <v>69</v>
      </c>
      <c r="F1185" s="61" t="s">
        <v>70</v>
      </c>
      <c r="G1185" s="62">
        <v>2476266432</v>
      </c>
      <c r="H1185" s="61" t="s">
        <v>68</v>
      </c>
      <c r="I1185" s="63" t="str">
        <f t="shared" si="132"/>
        <v>Singapore-Online Supplier-Direct</v>
      </c>
      <c r="J1185" s="47"/>
      <c r="K1185" s="54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/>
      <c r="AJ1185" s="35"/>
      <c r="AK1185" s="35"/>
      <c r="AL1185" s="35"/>
      <c r="AM1185" s="35"/>
      <c r="AN1185" s="35"/>
      <c r="AO1185" s="35"/>
      <c r="AP1185" s="35"/>
    </row>
    <row r="1186" spans="1:42" ht="17.25" customHeight="1" x14ac:dyDescent="0.25">
      <c r="A1186" s="55">
        <v>2014</v>
      </c>
      <c r="B1186" s="56" t="s">
        <v>66</v>
      </c>
      <c r="C1186" s="56" t="s">
        <v>4</v>
      </c>
      <c r="D1186" s="56" t="s">
        <v>12</v>
      </c>
      <c r="E1186" s="56" t="s">
        <v>69</v>
      </c>
      <c r="F1186" s="56" t="s">
        <v>71</v>
      </c>
      <c r="G1186" s="57">
        <v>954813817</v>
      </c>
      <c r="H1186" s="56" t="s">
        <v>68</v>
      </c>
      <c r="I1186" s="58" t="str">
        <f t="shared" si="132"/>
        <v>Singapore-OTA</v>
      </c>
      <c r="J1186" s="40"/>
      <c r="K1186" s="59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  <c r="AM1186" s="35"/>
      <c r="AN1186" s="35"/>
      <c r="AO1186" s="35"/>
      <c r="AP1186" s="35"/>
    </row>
    <row r="1187" spans="1:42" ht="17.25" customHeight="1" x14ac:dyDescent="0.25">
      <c r="A1187" s="60">
        <v>2014</v>
      </c>
      <c r="B1187" s="61" t="s">
        <v>66</v>
      </c>
      <c r="C1187" s="61" t="s">
        <v>4</v>
      </c>
      <c r="D1187" s="61" t="s">
        <v>13</v>
      </c>
      <c r="E1187" s="61" t="s">
        <v>67</v>
      </c>
      <c r="F1187" s="61" t="s">
        <v>67</v>
      </c>
      <c r="G1187" s="62">
        <v>11465539276</v>
      </c>
      <c r="H1187" s="61" t="s">
        <v>68</v>
      </c>
      <c r="I1187" s="63" t="str">
        <f t="shared" si="132"/>
        <v>South Korea-Offline</v>
      </c>
      <c r="J1187" s="47"/>
      <c r="K1187" s="54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  <c r="AB1187" s="35"/>
      <c r="AC1187" s="35"/>
      <c r="AD1187" s="35"/>
      <c r="AE1187" s="35"/>
      <c r="AF1187" s="35"/>
      <c r="AG1187" s="35"/>
      <c r="AH1187" s="35"/>
      <c r="AI1187" s="35"/>
      <c r="AJ1187" s="35"/>
      <c r="AK1187" s="35"/>
      <c r="AL1187" s="35"/>
      <c r="AM1187" s="35"/>
      <c r="AN1187" s="35"/>
      <c r="AO1187" s="35"/>
      <c r="AP1187" s="35"/>
    </row>
    <row r="1188" spans="1:42" ht="17.25" customHeight="1" x14ac:dyDescent="0.25">
      <c r="A1188" s="55">
        <v>2014</v>
      </c>
      <c r="B1188" s="56" t="s">
        <v>66</v>
      </c>
      <c r="C1188" s="56" t="s">
        <v>4</v>
      </c>
      <c r="D1188" s="56" t="s">
        <v>13</v>
      </c>
      <c r="E1188" s="56" t="s">
        <v>69</v>
      </c>
      <c r="F1188" s="56" t="s">
        <v>70</v>
      </c>
      <c r="G1188" s="57">
        <v>3120627337</v>
      </c>
      <c r="H1188" s="56" t="s">
        <v>68</v>
      </c>
      <c r="I1188" s="58" t="str">
        <f t="shared" si="132"/>
        <v>South Korea-Online Supplier-Direct</v>
      </c>
      <c r="J1188" s="40"/>
      <c r="K1188" s="59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  <c r="AA1188" s="35"/>
      <c r="AB1188" s="35"/>
      <c r="AC1188" s="35"/>
      <c r="AD1188" s="35"/>
      <c r="AE1188" s="35"/>
      <c r="AF1188" s="35"/>
      <c r="AG1188" s="35"/>
      <c r="AH1188" s="35"/>
      <c r="AI1188" s="35"/>
      <c r="AJ1188" s="35"/>
      <c r="AK1188" s="35"/>
      <c r="AL1188" s="35"/>
      <c r="AM1188" s="35"/>
      <c r="AN1188" s="35"/>
      <c r="AO1188" s="35"/>
      <c r="AP1188" s="35"/>
    </row>
    <row r="1189" spans="1:42" ht="17.25" customHeight="1" x14ac:dyDescent="0.25">
      <c r="A1189" s="60">
        <v>2014</v>
      </c>
      <c r="B1189" s="61" t="s">
        <v>66</v>
      </c>
      <c r="C1189" s="61" t="s">
        <v>4</v>
      </c>
      <c r="D1189" s="61" t="s">
        <v>13</v>
      </c>
      <c r="E1189" s="61" t="s">
        <v>69</v>
      </c>
      <c r="F1189" s="61" t="s">
        <v>71</v>
      </c>
      <c r="G1189" s="62">
        <v>986294146</v>
      </c>
      <c r="H1189" s="61" t="s">
        <v>68</v>
      </c>
      <c r="I1189" s="63" t="str">
        <f t="shared" si="132"/>
        <v>South Korea-OTA</v>
      </c>
      <c r="J1189" s="47"/>
      <c r="K1189" s="54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  <c r="AB1189" s="35"/>
      <c r="AC1189" s="35"/>
      <c r="AD1189" s="35"/>
      <c r="AE1189" s="35"/>
      <c r="AF1189" s="35"/>
      <c r="AG1189" s="35"/>
      <c r="AH1189" s="35"/>
      <c r="AI1189" s="35"/>
      <c r="AJ1189" s="35"/>
      <c r="AK1189" s="35"/>
      <c r="AL1189" s="35"/>
      <c r="AM1189" s="35"/>
      <c r="AN1189" s="35"/>
      <c r="AO1189" s="35"/>
      <c r="AP1189" s="35"/>
    </row>
    <row r="1190" spans="1:42" ht="17.25" customHeight="1" x14ac:dyDescent="0.25">
      <c r="A1190" s="55">
        <v>2014</v>
      </c>
      <c r="B1190" s="56" t="s">
        <v>66</v>
      </c>
      <c r="C1190" s="56" t="s">
        <v>27</v>
      </c>
      <c r="D1190" s="56" t="s">
        <v>32</v>
      </c>
      <c r="E1190" s="56" t="s">
        <v>67</v>
      </c>
      <c r="F1190" s="56" t="s">
        <v>67</v>
      </c>
      <c r="G1190" s="57">
        <v>16995565278</v>
      </c>
      <c r="H1190" s="56" t="s">
        <v>68</v>
      </c>
      <c r="I1190" s="58" t="str">
        <f t="shared" si="132"/>
        <v>Spain-Offline</v>
      </c>
      <c r="J1190" s="40"/>
      <c r="K1190" s="59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  <c r="AB1190" s="35"/>
      <c r="AC1190" s="35"/>
      <c r="AD1190" s="35"/>
      <c r="AE1190" s="35"/>
      <c r="AF1190" s="35"/>
      <c r="AG1190" s="35"/>
      <c r="AH1190" s="35"/>
      <c r="AI1190" s="35"/>
      <c r="AJ1190" s="35"/>
      <c r="AK1190" s="35"/>
      <c r="AL1190" s="35"/>
      <c r="AM1190" s="35"/>
      <c r="AN1190" s="35"/>
      <c r="AO1190" s="35"/>
      <c r="AP1190" s="35"/>
    </row>
    <row r="1191" spans="1:42" ht="17.25" customHeight="1" x14ac:dyDescent="0.25">
      <c r="A1191" s="60">
        <v>2014</v>
      </c>
      <c r="B1191" s="61" t="s">
        <v>66</v>
      </c>
      <c r="C1191" s="61" t="s">
        <v>27</v>
      </c>
      <c r="D1191" s="61" t="s">
        <v>32</v>
      </c>
      <c r="E1191" s="61" t="s">
        <v>69</v>
      </c>
      <c r="F1191" s="61" t="s">
        <v>70</v>
      </c>
      <c r="G1191" s="62">
        <v>5229040423</v>
      </c>
      <c r="H1191" s="61" t="s">
        <v>68</v>
      </c>
      <c r="I1191" s="63" t="str">
        <f t="shared" si="132"/>
        <v>Spain-Online Supplier-Direct</v>
      </c>
      <c r="J1191" s="47"/>
      <c r="K1191" s="54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  <c r="AC1191" s="35"/>
      <c r="AD1191" s="35"/>
      <c r="AE1191" s="35"/>
      <c r="AF1191" s="35"/>
      <c r="AG1191" s="35"/>
      <c r="AH1191" s="35"/>
      <c r="AI1191" s="35"/>
      <c r="AJ1191" s="35"/>
      <c r="AK1191" s="35"/>
      <c r="AL1191" s="35"/>
      <c r="AM1191" s="35"/>
      <c r="AN1191" s="35"/>
      <c r="AO1191" s="35"/>
      <c r="AP1191" s="35"/>
    </row>
    <row r="1192" spans="1:42" ht="17.25" customHeight="1" x14ac:dyDescent="0.25">
      <c r="A1192" s="55">
        <v>2014</v>
      </c>
      <c r="B1192" s="56" t="s">
        <v>66</v>
      </c>
      <c r="C1192" s="56" t="s">
        <v>27</v>
      </c>
      <c r="D1192" s="56" t="s">
        <v>32</v>
      </c>
      <c r="E1192" s="56" t="s">
        <v>69</v>
      </c>
      <c r="F1192" s="56" t="s">
        <v>71</v>
      </c>
      <c r="G1192" s="57">
        <v>6106252639</v>
      </c>
      <c r="H1192" s="56" t="s">
        <v>68</v>
      </c>
      <c r="I1192" s="58" t="str">
        <f t="shared" si="132"/>
        <v>Spain-OTA</v>
      </c>
      <c r="J1192" s="40"/>
      <c r="K1192" s="59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35"/>
      <c r="AN1192" s="35"/>
      <c r="AO1192" s="35"/>
      <c r="AP1192" s="35"/>
    </row>
    <row r="1193" spans="1:42" ht="17.25" customHeight="1" x14ac:dyDescent="0.25">
      <c r="A1193" s="60">
        <v>2014</v>
      </c>
      <c r="B1193" s="61" t="s">
        <v>66</v>
      </c>
      <c r="C1193" s="61" t="s">
        <v>4</v>
      </c>
      <c r="D1193" s="61" t="s">
        <v>14</v>
      </c>
      <c r="E1193" s="61" t="s">
        <v>67</v>
      </c>
      <c r="F1193" s="61" t="s">
        <v>67</v>
      </c>
      <c r="G1193" s="62">
        <v>8191778237</v>
      </c>
      <c r="H1193" s="61" t="s">
        <v>68</v>
      </c>
      <c r="I1193" s="63" t="str">
        <f t="shared" si="132"/>
        <v>Taiwan-Offline</v>
      </c>
      <c r="J1193" s="47"/>
      <c r="K1193" s="54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/>
      <c r="AJ1193" s="35"/>
      <c r="AK1193" s="35"/>
      <c r="AL1193" s="35"/>
      <c r="AM1193" s="35"/>
      <c r="AN1193" s="35"/>
      <c r="AO1193" s="35"/>
      <c r="AP1193" s="35"/>
    </row>
    <row r="1194" spans="1:42" ht="17.25" customHeight="1" x14ac:dyDescent="0.25">
      <c r="A1194" s="55">
        <v>2014</v>
      </c>
      <c r="B1194" s="56" t="s">
        <v>66</v>
      </c>
      <c r="C1194" s="56" t="s">
        <v>4</v>
      </c>
      <c r="D1194" s="56" t="s">
        <v>14</v>
      </c>
      <c r="E1194" s="56" t="s">
        <v>69</v>
      </c>
      <c r="F1194" s="56" t="s">
        <v>70</v>
      </c>
      <c r="G1194" s="57">
        <v>960967535</v>
      </c>
      <c r="H1194" s="56" t="s">
        <v>68</v>
      </c>
      <c r="I1194" s="58" t="str">
        <f t="shared" si="132"/>
        <v>Taiwan-Online Supplier-Direct</v>
      </c>
      <c r="J1194" s="40"/>
      <c r="K1194" s="59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/>
      <c r="AJ1194" s="35"/>
      <c r="AK1194" s="35"/>
      <c r="AL1194" s="35"/>
      <c r="AM1194" s="35"/>
      <c r="AN1194" s="35"/>
      <c r="AO1194" s="35"/>
      <c r="AP1194" s="35"/>
    </row>
    <row r="1195" spans="1:42" ht="17.25" customHeight="1" x14ac:dyDescent="0.25">
      <c r="A1195" s="60">
        <v>2014</v>
      </c>
      <c r="B1195" s="61" t="s">
        <v>66</v>
      </c>
      <c r="C1195" s="61" t="s">
        <v>4</v>
      </c>
      <c r="D1195" s="61" t="s">
        <v>14</v>
      </c>
      <c r="E1195" s="61" t="s">
        <v>69</v>
      </c>
      <c r="F1195" s="61" t="s">
        <v>71</v>
      </c>
      <c r="G1195" s="62">
        <v>420276624</v>
      </c>
      <c r="H1195" s="61" t="s">
        <v>68</v>
      </c>
      <c r="I1195" s="63" t="str">
        <f t="shared" si="132"/>
        <v>Taiwan-OTA</v>
      </c>
      <c r="J1195" s="47"/>
      <c r="K1195" s="54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/>
      <c r="AJ1195" s="35"/>
      <c r="AK1195" s="35"/>
      <c r="AL1195" s="35"/>
      <c r="AM1195" s="35"/>
      <c r="AN1195" s="35"/>
      <c r="AO1195" s="35"/>
      <c r="AP1195" s="35"/>
    </row>
    <row r="1196" spans="1:42" ht="17.25" customHeight="1" x14ac:dyDescent="0.25">
      <c r="A1196" s="55">
        <v>2014</v>
      </c>
      <c r="B1196" s="56" t="s">
        <v>66</v>
      </c>
      <c r="C1196" s="56" t="s">
        <v>4</v>
      </c>
      <c r="D1196" s="56" t="s">
        <v>15</v>
      </c>
      <c r="E1196" s="56" t="s">
        <v>67</v>
      </c>
      <c r="F1196" s="56" t="s">
        <v>67</v>
      </c>
      <c r="G1196" s="57">
        <v>8664425422</v>
      </c>
      <c r="H1196" s="56" t="s">
        <v>68</v>
      </c>
      <c r="I1196" s="58" t="str">
        <f t="shared" si="132"/>
        <v>Thailand-Offline</v>
      </c>
      <c r="J1196" s="40"/>
      <c r="K1196" s="59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/>
      <c r="AJ1196" s="35"/>
      <c r="AK1196" s="35"/>
      <c r="AL1196" s="35"/>
      <c r="AM1196" s="35"/>
      <c r="AN1196" s="35"/>
      <c r="AO1196" s="35"/>
      <c r="AP1196" s="35"/>
    </row>
    <row r="1197" spans="1:42" ht="17.25" customHeight="1" x14ac:dyDescent="0.25">
      <c r="A1197" s="60">
        <v>2014</v>
      </c>
      <c r="B1197" s="61" t="s">
        <v>66</v>
      </c>
      <c r="C1197" s="61" t="s">
        <v>4</v>
      </c>
      <c r="D1197" s="61" t="s">
        <v>15</v>
      </c>
      <c r="E1197" s="61" t="s">
        <v>69</v>
      </c>
      <c r="F1197" s="61" t="s">
        <v>70</v>
      </c>
      <c r="G1197" s="62">
        <v>1532532283</v>
      </c>
      <c r="H1197" s="61" t="s">
        <v>68</v>
      </c>
      <c r="I1197" s="63" t="str">
        <f t="shared" si="132"/>
        <v>Thailand-Online Supplier-Direct</v>
      </c>
      <c r="J1197" s="47"/>
      <c r="K1197" s="54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/>
      <c r="AJ1197" s="35"/>
      <c r="AK1197" s="35"/>
      <c r="AL1197" s="35"/>
      <c r="AM1197" s="35"/>
      <c r="AN1197" s="35"/>
      <c r="AO1197" s="35"/>
      <c r="AP1197" s="35"/>
    </row>
    <row r="1198" spans="1:42" ht="17.25" customHeight="1" x14ac:dyDescent="0.25">
      <c r="A1198" s="55">
        <v>2014</v>
      </c>
      <c r="B1198" s="56" t="s">
        <v>66</v>
      </c>
      <c r="C1198" s="56" t="s">
        <v>4</v>
      </c>
      <c r="D1198" s="56" t="s">
        <v>15</v>
      </c>
      <c r="E1198" s="56" t="s">
        <v>69</v>
      </c>
      <c r="F1198" s="56" t="s">
        <v>71</v>
      </c>
      <c r="G1198" s="57">
        <v>1614990782</v>
      </c>
      <c r="H1198" s="56" t="s">
        <v>68</v>
      </c>
      <c r="I1198" s="58" t="str">
        <f t="shared" si="132"/>
        <v>Thailand-OTA</v>
      </c>
      <c r="J1198" s="40"/>
      <c r="K1198" s="59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/>
      <c r="AJ1198" s="35"/>
      <c r="AK1198" s="35"/>
      <c r="AL1198" s="35"/>
      <c r="AM1198" s="35"/>
      <c r="AN1198" s="35"/>
      <c r="AO1198" s="35"/>
      <c r="AP1198" s="35"/>
    </row>
    <row r="1199" spans="1:42" ht="17.25" customHeight="1" x14ac:dyDescent="0.25">
      <c r="A1199" s="60">
        <v>2014</v>
      </c>
      <c r="B1199" s="61" t="s">
        <v>66</v>
      </c>
      <c r="C1199" s="61" t="s">
        <v>41</v>
      </c>
      <c r="D1199" s="61" t="s">
        <v>45</v>
      </c>
      <c r="E1199" s="61" t="s">
        <v>67</v>
      </c>
      <c r="F1199" s="61" t="s">
        <v>67</v>
      </c>
      <c r="G1199" s="62">
        <v>25316330137</v>
      </c>
      <c r="H1199" s="61" t="s">
        <v>68</v>
      </c>
      <c r="I1199" s="63" t="str">
        <f t="shared" si="132"/>
        <v>U.A.E.-Offline</v>
      </c>
      <c r="J1199" s="47"/>
      <c r="K1199" s="54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/>
      <c r="AJ1199" s="35"/>
      <c r="AK1199" s="35"/>
      <c r="AL1199" s="35"/>
      <c r="AM1199" s="35"/>
      <c r="AN1199" s="35"/>
      <c r="AO1199" s="35"/>
      <c r="AP1199" s="35"/>
    </row>
    <row r="1200" spans="1:42" ht="17.25" customHeight="1" x14ac:dyDescent="0.25">
      <c r="A1200" s="55">
        <v>2014</v>
      </c>
      <c r="B1200" s="56" t="s">
        <v>66</v>
      </c>
      <c r="C1200" s="56" t="s">
        <v>41</v>
      </c>
      <c r="D1200" s="56" t="s">
        <v>45</v>
      </c>
      <c r="E1200" s="56" t="s">
        <v>69</v>
      </c>
      <c r="F1200" s="56" t="s">
        <v>70</v>
      </c>
      <c r="G1200" s="57">
        <v>6161896125</v>
      </c>
      <c r="H1200" s="56" t="s">
        <v>68</v>
      </c>
      <c r="I1200" s="58" t="str">
        <f t="shared" si="132"/>
        <v>U.A.E.-Online Supplier-Direct</v>
      </c>
      <c r="J1200" s="40"/>
      <c r="K1200" s="59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  <c r="AN1200" s="35"/>
      <c r="AO1200" s="35"/>
      <c r="AP1200" s="35"/>
    </row>
    <row r="1201" spans="1:42" ht="17.25" customHeight="1" x14ac:dyDescent="0.25">
      <c r="A1201" s="60">
        <v>2014</v>
      </c>
      <c r="B1201" s="61" t="s">
        <v>66</v>
      </c>
      <c r="C1201" s="61" t="s">
        <v>41</v>
      </c>
      <c r="D1201" s="61" t="s">
        <v>45</v>
      </c>
      <c r="E1201" s="61" t="s">
        <v>69</v>
      </c>
      <c r="F1201" s="61" t="s">
        <v>71</v>
      </c>
      <c r="G1201" s="62">
        <v>3617463407</v>
      </c>
      <c r="H1201" s="61" t="s">
        <v>68</v>
      </c>
      <c r="I1201" s="63" t="str">
        <f t="shared" si="132"/>
        <v>U.A.E.-OTA</v>
      </c>
      <c r="J1201" s="47"/>
      <c r="K1201" s="54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  <c r="AN1201" s="35"/>
      <c r="AO1201" s="35"/>
      <c r="AP1201" s="35"/>
    </row>
    <row r="1202" spans="1:42" ht="17.25" customHeight="1" x14ac:dyDescent="0.25">
      <c r="A1202" s="55">
        <v>2014</v>
      </c>
      <c r="B1202" s="56" t="s">
        <v>66</v>
      </c>
      <c r="C1202" s="56" t="s">
        <v>27</v>
      </c>
      <c r="D1202" s="56" t="s">
        <v>33</v>
      </c>
      <c r="E1202" s="56" t="s">
        <v>67</v>
      </c>
      <c r="F1202" s="56" t="s">
        <v>67</v>
      </c>
      <c r="G1202" s="57">
        <v>33408446057</v>
      </c>
      <c r="H1202" s="56" t="s">
        <v>68</v>
      </c>
      <c r="I1202" s="58" t="str">
        <f t="shared" si="132"/>
        <v>U.K.-Offline</v>
      </c>
      <c r="J1202" s="40"/>
      <c r="K1202" s="59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/>
      <c r="AJ1202" s="35"/>
      <c r="AK1202" s="35"/>
      <c r="AL1202" s="35"/>
      <c r="AM1202" s="35"/>
      <c r="AN1202" s="35"/>
      <c r="AO1202" s="35"/>
      <c r="AP1202" s="35"/>
    </row>
    <row r="1203" spans="1:42" ht="17.25" customHeight="1" x14ac:dyDescent="0.25">
      <c r="A1203" s="60">
        <v>2014</v>
      </c>
      <c r="B1203" s="61" t="s">
        <v>66</v>
      </c>
      <c r="C1203" s="61" t="s">
        <v>27</v>
      </c>
      <c r="D1203" s="61" t="s">
        <v>33</v>
      </c>
      <c r="E1203" s="61" t="s">
        <v>69</v>
      </c>
      <c r="F1203" s="61" t="s">
        <v>70</v>
      </c>
      <c r="G1203" s="62">
        <v>27490232574</v>
      </c>
      <c r="H1203" s="61" t="s">
        <v>68</v>
      </c>
      <c r="I1203" s="63" t="str">
        <f t="shared" si="132"/>
        <v>U.K.-Online Supplier-Direct</v>
      </c>
      <c r="J1203" s="47"/>
      <c r="K1203" s="54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/>
      <c r="AJ1203" s="35"/>
      <c r="AK1203" s="35"/>
      <c r="AL1203" s="35"/>
      <c r="AM1203" s="35"/>
      <c r="AN1203" s="35"/>
      <c r="AO1203" s="35"/>
      <c r="AP1203" s="35"/>
    </row>
    <row r="1204" spans="1:42" ht="17.25" customHeight="1" x14ac:dyDescent="0.25">
      <c r="A1204" s="55">
        <v>2014</v>
      </c>
      <c r="B1204" s="56" t="s">
        <v>66</v>
      </c>
      <c r="C1204" s="56" t="s">
        <v>27</v>
      </c>
      <c r="D1204" s="56" t="s">
        <v>33</v>
      </c>
      <c r="E1204" s="56" t="s">
        <v>69</v>
      </c>
      <c r="F1204" s="56" t="s">
        <v>71</v>
      </c>
      <c r="G1204" s="57">
        <v>11490562881</v>
      </c>
      <c r="H1204" s="56" t="s">
        <v>68</v>
      </c>
      <c r="I1204" s="58" t="str">
        <f t="shared" si="132"/>
        <v>U.K.-OTA</v>
      </c>
      <c r="J1204" s="40"/>
      <c r="K1204" s="59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/>
      <c r="AD1204" s="35"/>
      <c r="AE1204" s="35"/>
      <c r="AF1204" s="35"/>
      <c r="AG1204" s="35"/>
      <c r="AH1204" s="35"/>
      <c r="AI1204" s="35"/>
      <c r="AJ1204" s="35"/>
      <c r="AK1204" s="35"/>
      <c r="AL1204" s="35"/>
      <c r="AM1204" s="35"/>
      <c r="AN1204" s="35"/>
      <c r="AO1204" s="35"/>
      <c r="AP1204" s="35"/>
    </row>
    <row r="1205" spans="1:42" ht="17.25" customHeight="1" x14ac:dyDescent="0.25">
      <c r="A1205" s="60">
        <v>2014</v>
      </c>
      <c r="B1205" s="61" t="s">
        <v>66</v>
      </c>
      <c r="C1205" s="61" t="s">
        <v>47</v>
      </c>
      <c r="D1205" s="61" t="s">
        <v>48</v>
      </c>
      <c r="E1205" s="61" t="s">
        <v>72</v>
      </c>
      <c r="F1205" s="61" t="s">
        <v>73</v>
      </c>
      <c r="G1205" s="62">
        <v>91026355335</v>
      </c>
      <c r="H1205" s="61" t="s">
        <v>68</v>
      </c>
      <c r="I1205" s="63" t="str">
        <f t="shared" si="132"/>
        <v>U.S.-Central Reservation</v>
      </c>
      <c r="J1205" s="47"/>
      <c r="K1205" s="54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/>
      <c r="AJ1205" s="35"/>
      <c r="AK1205" s="35"/>
      <c r="AL1205" s="35"/>
      <c r="AM1205" s="35"/>
      <c r="AN1205" s="35"/>
      <c r="AO1205" s="35"/>
      <c r="AP1205" s="35"/>
    </row>
    <row r="1206" spans="1:42" ht="17.25" customHeight="1" x14ac:dyDescent="0.25">
      <c r="A1206" s="55">
        <v>2014</v>
      </c>
      <c r="B1206" s="56" t="s">
        <v>66</v>
      </c>
      <c r="C1206" s="56" t="s">
        <v>47</v>
      </c>
      <c r="D1206" s="56" t="s">
        <v>48</v>
      </c>
      <c r="E1206" s="56" t="s">
        <v>67</v>
      </c>
      <c r="F1206" s="56" t="s">
        <v>74</v>
      </c>
      <c r="G1206" s="57">
        <v>92089086297</v>
      </c>
      <c r="H1206" s="56" t="s">
        <v>68</v>
      </c>
      <c r="I1206" s="58" t="str">
        <f t="shared" si="132"/>
        <v>U.S.-Travel Agency/TMC</v>
      </c>
      <c r="J1206" s="40"/>
      <c r="K1206" s="59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/>
      <c r="AJ1206" s="35"/>
      <c r="AK1206" s="35"/>
      <c r="AL1206" s="35"/>
      <c r="AM1206" s="35"/>
      <c r="AN1206" s="35"/>
      <c r="AO1206" s="35"/>
      <c r="AP1206" s="35"/>
    </row>
    <row r="1207" spans="1:42" ht="17.25" customHeight="1" x14ac:dyDescent="0.25">
      <c r="A1207" s="60">
        <v>2014</v>
      </c>
      <c r="B1207" s="61" t="s">
        <v>66</v>
      </c>
      <c r="C1207" s="61" t="s">
        <v>47</v>
      </c>
      <c r="D1207" s="61" t="s">
        <v>48</v>
      </c>
      <c r="E1207" s="61" t="s">
        <v>69</v>
      </c>
      <c r="F1207" s="61" t="s">
        <v>70</v>
      </c>
      <c r="G1207" s="62">
        <v>88188137272</v>
      </c>
      <c r="H1207" s="61" t="s">
        <v>68</v>
      </c>
      <c r="I1207" s="63" t="str">
        <f t="shared" si="132"/>
        <v>U.S.-Online Supplier-Direct</v>
      </c>
      <c r="J1207" s="47"/>
      <c r="K1207" s="54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  <c r="AB1207" s="35"/>
      <c r="AC1207" s="35"/>
      <c r="AD1207" s="35"/>
      <c r="AE1207" s="35"/>
      <c r="AF1207" s="35"/>
      <c r="AG1207" s="35"/>
      <c r="AH1207" s="35"/>
      <c r="AI1207" s="35"/>
      <c r="AJ1207" s="35"/>
      <c r="AK1207" s="35"/>
      <c r="AL1207" s="35"/>
      <c r="AM1207" s="35"/>
      <c r="AN1207" s="35"/>
      <c r="AO1207" s="35"/>
      <c r="AP1207" s="35"/>
    </row>
    <row r="1208" spans="1:42" ht="17.25" customHeight="1" x14ac:dyDescent="0.25">
      <c r="A1208" s="55">
        <v>2014</v>
      </c>
      <c r="B1208" s="56" t="s">
        <v>66</v>
      </c>
      <c r="C1208" s="56" t="s">
        <v>47</v>
      </c>
      <c r="D1208" s="56" t="s">
        <v>48</v>
      </c>
      <c r="E1208" s="56" t="s">
        <v>69</v>
      </c>
      <c r="F1208" s="56" t="s">
        <v>71</v>
      </c>
      <c r="G1208" s="57">
        <v>52476999998</v>
      </c>
      <c r="H1208" s="56" t="s">
        <v>68</v>
      </c>
      <c r="I1208" s="58" t="str">
        <f t="shared" si="132"/>
        <v>U.S.-OTA</v>
      </c>
      <c r="J1208" s="40"/>
      <c r="K1208" s="59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  <c r="AA1208" s="35"/>
      <c r="AB1208" s="35"/>
      <c r="AC1208" s="35"/>
      <c r="AD1208" s="35"/>
      <c r="AE1208" s="35"/>
      <c r="AF1208" s="35"/>
      <c r="AG1208" s="35"/>
      <c r="AH1208" s="35"/>
      <c r="AI1208" s="35"/>
      <c r="AJ1208" s="35"/>
      <c r="AK1208" s="35"/>
      <c r="AL1208" s="35"/>
      <c r="AM1208" s="35"/>
      <c r="AN1208" s="35"/>
      <c r="AO1208" s="35"/>
      <c r="AP1208" s="35"/>
    </row>
    <row r="1209" spans="1:42" ht="17.25" customHeight="1" x14ac:dyDescent="0.25">
      <c r="A1209" s="60">
        <v>2014</v>
      </c>
      <c r="B1209" s="61" t="s">
        <v>66</v>
      </c>
      <c r="C1209" s="61" t="s">
        <v>17</v>
      </c>
      <c r="D1209" s="61" t="s">
        <v>25</v>
      </c>
      <c r="E1209" s="61" t="s">
        <v>67</v>
      </c>
      <c r="F1209" s="61" t="s">
        <v>67</v>
      </c>
      <c r="G1209" s="62">
        <v>2829227526</v>
      </c>
      <c r="H1209" s="61" t="s">
        <v>68</v>
      </c>
      <c r="I1209" s="63" t="str">
        <f t="shared" si="132"/>
        <v>Ukraine-Offline</v>
      </c>
      <c r="J1209" s="47"/>
      <c r="K1209" s="54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  <c r="AC1209" s="35"/>
      <c r="AD1209" s="35"/>
      <c r="AE1209" s="35"/>
      <c r="AF1209" s="35"/>
      <c r="AG1209" s="35"/>
      <c r="AH1209" s="35"/>
      <c r="AI1209" s="35"/>
      <c r="AJ1209" s="35"/>
      <c r="AK1209" s="35"/>
      <c r="AL1209" s="35"/>
      <c r="AM1209" s="35"/>
      <c r="AN1209" s="35"/>
      <c r="AO1209" s="35"/>
      <c r="AP1209" s="35"/>
    </row>
    <row r="1210" spans="1:42" ht="17.25" customHeight="1" x14ac:dyDescent="0.25">
      <c r="A1210" s="55">
        <v>2014</v>
      </c>
      <c r="B1210" s="56" t="s">
        <v>66</v>
      </c>
      <c r="C1210" s="56" t="s">
        <v>17</v>
      </c>
      <c r="D1210" s="56" t="s">
        <v>25</v>
      </c>
      <c r="E1210" s="56" t="s">
        <v>69</v>
      </c>
      <c r="F1210" s="56" t="s">
        <v>70</v>
      </c>
      <c r="G1210" s="57">
        <v>268299864</v>
      </c>
      <c r="H1210" s="56" t="s">
        <v>68</v>
      </c>
      <c r="I1210" s="58" t="str">
        <f t="shared" si="132"/>
        <v>Ukraine-Online Supplier-Direct</v>
      </c>
      <c r="J1210" s="40"/>
      <c r="K1210" s="59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  <c r="AB1210" s="35"/>
      <c r="AC1210" s="35"/>
      <c r="AD1210" s="35"/>
      <c r="AE1210" s="35"/>
      <c r="AF1210" s="35"/>
      <c r="AG1210" s="35"/>
      <c r="AH1210" s="35"/>
      <c r="AI1210" s="35"/>
      <c r="AJ1210" s="35"/>
      <c r="AK1210" s="35"/>
      <c r="AL1210" s="35"/>
      <c r="AM1210" s="35"/>
      <c r="AN1210" s="35"/>
      <c r="AO1210" s="35"/>
      <c r="AP1210" s="35"/>
    </row>
    <row r="1211" spans="1:42" ht="17.25" customHeight="1" x14ac:dyDescent="0.25">
      <c r="A1211" s="60">
        <v>2014</v>
      </c>
      <c r="B1211" s="61" t="s">
        <v>66</v>
      </c>
      <c r="C1211" s="61" t="s">
        <v>17</v>
      </c>
      <c r="D1211" s="61" t="s">
        <v>25</v>
      </c>
      <c r="E1211" s="61" t="s">
        <v>69</v>
      </c>
      <c r="F1211" s="61" t="s">
        <v>71</v>
      </c>
      <c r="G1211" s="62">
        <v>326059741</v>
      </c>
      <c r="H1211" s="61" t="s">
        <v>68</v>
      </c>
      <c r="I1211" s="63" t="str">
        <f t="shared" si="132"/>
        <v>Ukraine-OTA</v>
      </c>
      <c r="J1211" s="47"/>
      <c r="K1211" s="54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  <c r="AB1211" s="35"/>
      <c r="AC1211" s="35"/>
      <c r="AD1211" s="35"/>
      <c r="AE1211" s="35"/>
      <c r="AF1211" s="35"/>
      <c r="AG1211" s="35"/>
      <c r="AH1211" s="35"/>
      <c r="AI1211" s="35"/>
      <c r="AJ1211" s="35"/>
      <c r="AK1211" s="35"/>
      <c r="AL1211" s="35"/>
      <c r="AM1211" s="35"/>
      <c r="AN1211" s="35"/>
      <c r="AO1211" s="35"/>
      <c r="AP1211" s="35"/>
    </row>
    <row r="1212" spans="1:42" ht="17.25" customHeight="1" x14ac:dyDescent="0.25">
      <c r="A1212" s="55">
        <v>2015</v>
      </c>
      <c r="B1212" s="56" t="s">
        <v>66</v>
      </c>
      <c r="C1212" s="56" t="s">
        <v>35</v>
      </c>
      <c r="D1212" s="56" t="s">
        <v>34</v>
      </c>
      <c r="E1212" s="56" t="s">
        <v>67</v>
      </c>
      <c r="F1212" s="56" t="s">
        <v>67</v>
      </c>
      <c r="G1212" s="57">
        <v>4355421814</v>
      </c>
      <c r="H1212" s="56" t="s">
        <v>68</v>
      </c>
      <c r="I1212" s="58" t="str">
        <f t="shared" si="132"/>
        <v>Argentina-Offline</v>
      </c>
      <c r="J1212" s="40"/>
      <c r="K1212" s="59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  <c r="AA1212" s="35"/>
      <c r="AB1212" s="35"/>
      <c r="AC1212" s="35"/>
      <c r="AD1212" s="35"/>
      <c r="AE1212" s="35"/>
      <c r="AF1212" s="35"/>
      <c r="AG1212" s="35"/>
      <c r="AH1212" s="35"/>
      <c r="AI1212" s="35"/>
      <c r="AJ1212" s="35"/>
      <c r="AK1212" s="35"/>
      <c r="AL1212" s="35"/>
      <c r="AM1212" s="35"/>
      <c r="AN1212" s="35"/>
      <c r="AO1212" s="35"/>
      <c r="AP1212" s="35"/>
    </row>
    <row r="1213" spans="1:42" ht="17.25" customHeight="1" x14ac:dyDescent="0.25">
      <c r="A1213" s="60">
        <v>2015</v>
      </c>
      <c r="B1213" s="61" t="s">
        <v>66</v>
      </c>
      <c r="C1213" s="61" t="s">
        <v>35</v>
      </c>
      <c r="D1213" s="61" t="s">
        <v>34</v>
      </c>
      <c r="E1213" s="61" t="s">
        <v>69</v>
      </c>
      <c r="F1213" s="61" t="s">
        <v>70</v>
      </c>
      <c r="G1213" s="62">
        <v>514875948</v>
      </c>
      <c r="H1213" s="61" t="s">
        <v>68</v>
      </c>
      <c r="I1213" s="63" t="str">
        <f t="shared" si="132"/>
        <v>Argentina-Online Supplier-Direct</v>
      </c>
      <c r="J1213" s="47"/>
      <c r="K1213" s="54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  <c r="AB1213" s="35"/>
      <c r="AC1213" s="35"/>
      <c r="AD1213" s="35"/>
      <c r="AE1213" s="35"/>
      <c r="AF1213" s="35"/>
      <c r="AG1213" s="35"/>
      <c r="AH1213" s="35"/>
      <c r="AI1213" s="35"/>
      <c r="AJ1213" s="35"/>
      <c r="AK1213" s="35"/>
      <c r="AL1213" s="35"/>
      <c r="AM1213" s="35"/>
      <c r="AN1213" s="35"/>
      <c r="AO1213" s="35"/>
      <c r="AP1213" s="35"/>
    </row>
    <row r="1214" spans="1:42" ht="17.25" customHeight="1" x14ac:dyDescent="0.25">
      <c r="A1214" s="55">
        <v>2015</v>
      </c>
      <c r="B1214" s="56" t="s">
        <v>66</v>
      </c>
      <c r="C1214" s="56" t="s">
        <v>35</v>
      </c>
      <c r="D1214" s="56" t="s">
        <v>34</v>
      </c>
      <c r="E1214" s="56" t="s">
        <v>69</v>
      </c>
      <c r="F1214" s="56" t="s">
        <v>71</v>
      </c>
      <c r="G1214" s="57">
        <v>665177502</v>
      </c>
      <c r="H1214" s="56" t="s">
        <v>68</v>
      </c>
      <c r="I1214" s="58" t="str">
        <f t="shared" si="132"/>
        <v>Argentina-OTA</v>
      </c>
      <c r="J1214" s="40"/>
      <c r="K1214" s="59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  <c r="AA1214" s="35"/>
      <c r="AB1214" s="35"/>
      <c r="AC1214" s="35"/>
      <c r="AD1214" s="35"/>
      <c r="AE1214" s="35"/>
      <c r="AF1214" s="35"/>
      <c r="AG1214" s="35"/>
      <c r="AH1214" s="35"/>
      <c r="AI1214" s="35"/>
      <c r="AJ1214" s="35"/>
      <c r="AK1214" s="35"/>
      <c r="AL1214" s="35"/>
      <c r="AM1214" s="35"/>
      <c r="AN1214" s="35"/>
      <c r="AO1214" s="35"/>
      <c r="AP1214" s="35"/>
    </row>
    <row r="1215" spans="1:42" ht="17.25" customHeight="1" x14ac:dyDescent="0.25">
      <c r="A1215" s="60">
        <v>2015</v>
      </c>
      <c r="B1215" s="61" t="s">
        <v>66</v>
      </c>
      <c r="C1215" s="61" t="s">
        <v>4</v>
      </c>
      <c r="D1215" s="61" t="s">
        <v>3</v>
      </c>
      <c r="E1215" s="61" t="s">
        <v>67</v>
      </c>
      <c r="F1215" s="61" t="s">
        <v>67</v>
      </c>
      <c r="G1215" s="62">
        <v>17183187390</v>
      </c>
      <c r="H1215" s="61" t="s">
        <v>68</v>
      </c>
      <c r="I1215" s="63" t="str">
        <f t="shared" si="132"/>
        <v>Australia-New Zealand-Offline</v>
      </c>
      <c r="J1215" s="47"/>
      <c r="K1215" s="54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  <c r="AB1215" s="35"/>
      <c r="AC1215" s="35"/>
      <c r="AD1215" s="35"/>
      <c r="AE1215" s="35"/>
      <c r="AF1215" s="35"/>
      <c r="AG1215" s="35"/>
      <c r="AH1215" s="35"/>
      <c r="AI1215" s="35"/>
      <c r="AJ1215" s="35"/>
      <c r="AK1215" s="35"/>
      <c r="AL1215" s="35"/>
      <c r="AM1215" s="35"/>
      <c r="AN1215" s="35"/>
      <c r="AO1215" s="35"/>
      <c r="AP1215" s="35"/>
    </row>
    <row r="1216" spans="1:42" ht="17.25" customHeight="1" x14ac:dyDescent="0.25">
      <c r="A1216" s="55">
        <v>2015</v>
      </c>
      <c r="B1216" s="56" t="s">
        <v>66</v>
      </c>
      <c r="C1216" s="56" t="s">
        <v>4</v>
      </c>
      <c r="D1216" s="56" t="s">
        <v>3</v>
      </c>
      <c r="E1216" s="56" t="s">
        <v>69</v>
      </c>
      <c r="F1216" s="56" t="s">
        <v>70</v>
      </c>
      <c r="G1216" s="57">
        <v>8273844823</v>
      </c>
      <c r="H1216" s="56" t="s">
        <v>68</v>
      </c>
      <c r="I1216" s="58" t="str">
        <f t="shared" si="132"/>
        <v>Australia-New Zealand-Online Supplier-Direct</v>
      </c>
      <c r="J1216" s="40"/>
      <c r="K1216" s="59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/>
      <c r="AB1216" s="35"/>
      <c r="AC1216" s="35"/>
      <c r="AD1216" s="35"/>
      <c r="AE1216" s="35"/>
      <c r="AF1216" s="35"/>
      <c r="AG1216" s="35"/>
      <c r="AH1216" s="35"/>
      <c r="AI1216" s="35"/>
      <c r="AJ1216" s="35"/>
      <c r="AK1216" s="35"/>
      <c r="AL1216" s="35"/>
      <c r="AM1216" s="35"/>
      <c r="AN1216" s="35"/>
      <c r="AO1216" s="35"/>
      <c r="AP1216" s="35"/>
    </row>
    <row r="1217" spans="1:42" ht="17.25" customHeight="1" x14ac:dyDescent="0.25">
      <c r="A1217" s="60">
        <v>2015</v>
      </c>
      <c r="B1217" s="61" t="s">
        <v>66</v>
      </c>
      <c r="C1217" s="61" t="s">
        <v>4</v>
      </c>
      <c r="D1217" s="61" t="s">
        <v>3</v>
      </c>
      <c r="E1217" s="61" t="s">
        <v>69</v>
      </c>
      <c r="F1217" s="61" t="s">
        <v>71</v>
      </c>
      <c r="G1217" s="62">
        <v>2863569611</v>
      </c>
      <c r="H1217" s="61" t="s">
        <v>68</v>
      </c>
      <c r="I1217" s="63" t="str">
        <f t="shared" si="132"/>
        <v>Australia-New Zealand-OTA</v>
      </c>
      <c r="J1217" s="47"/>
      <c r="K1217" s="54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  <c r="AB1217" s="35"/>
      <c r="AC1217" s="35"/>
      <c r="AD1217" s="35"/>
      <c r="AE1217" s="35"/>
      <c r="AF1217" s="35"/>
      <c r="AG1217" s="35"/>
      <c r="AH1217" s="35"/>
      <c r="AI1217" s="35"/>
      <c r="AJ1217" s="35"/>
      <c r="AK1217" s="35"/>
      <c r="AL1217" s="35"/>
      <c r="AM1217" s="35"/>
      <c r="AN1217" s="35"/>
      <c r="AO1217" s="35"/>
      <c r="AP1217" s="35"/>
    </row>
    <row r="1218" spans="1:42" ht="17.25" customHeight="1" x14ac:dyDescent="0.25">
      <c r="A1218" s="55">
        <v>2015</v>
      </c>
      <c r="B1218" s="56" t="s">
        <v>66</v>
      </c>
      <c r="C1218" s="56" t="s">
        <v>35</v>
      </c>
      <c r="D1218" s="56" t="s">
        <v>36</v>
      </c>
      <c r="E1218" s="56" t="s">
        <v>67</v>
      </c>
      <c r="F1218" s="56" t="s">
        <v>67</v>
      </c>
      <c r="G1218" s="57">
        <v>12869000706</v>
      </c>
      <c r="H1218" s="56" t="s">
        <v>68</v>
      </c>
      <c r="I1218" s="58" t="str">
        <f t="shared" si="132"/>
        <v>Brazil-Offline</v>
      </c>
      <c r="J1218" s="40"/>
      <c r="K1218" s="59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  <c r="AA1218" s="35"/>
      <c r="AB1218" s="35"/>
      <c r="AC1218" s="35"/>
      <c r="AD1218" s="35"/>
      <c r="AE1218" s="35"/>
      <c r="AF1218" s="35"/>
      <c r="AG1218" s="35"/>
      <c r="AH1218" s="35"/>
      <c r="AI1218" s="35"/>
      <c r="AJ1218" s="35"/>
      <c r="AK1218" s="35"/>
      <c r="AL1218" s="35"/>
      <c r="AM1218" s="35"/>
      <c r="AN1218" s="35"/>
      <c r="AO1218" s="35"/>
      <c r="AP1218" s="35"/>
    </row>
    <row r="1219" spans="1:42" ht="17.25" customHeight="1" x14ac:dyDescent="0.25">
      <c r="A1219" s="60">
        <v>2015</v>
      </c>
      <c r="B1219" s="61" t="s">
        <v>66</v>
      </c>
      <c r="C1219" s="61" t="s">
        <v>35</v>
      </c>
      <c r="D1219" s="61" t="s">
        <v>36</v>
      </c>
      <c r="E1219" s="61" t="s">
        <v>69</v>
      </c>
      <c r="F1219" s="61" t="s">
        <v>70</v>
      </c>
      <c r="G1219" s="62">
        <v>1876571917</v>
      </c>
      <c r="H1219" s="61" t="s">
        <v>68</v>
      </c>
      <c r="I1219" s="63" t="str">
        <f t="shared" si="132"/>
        <v>Brazil-Online Supplier-Direct</v>
      </c>
      <c r="J1219" s="47"/>
      <c r="K1219" s="54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  <c r="AC1219" s="35"/>
      <c r="AD1219" s="35"/>
      <c r="AE1219" s="35"/>
      <c r="AF1219" s="35"/>
      <c r="AG1219" s="35"/>
      <c r="AH1219" s="35"/>
      <c r="AI1219" s="35"/>
      <c r="AJ1219" s="35"/>
      <c r="AK1219" s="35"/>
      <c r="AL1219" s="35"/>
      <c r="AM1219" s="35"/>
      <c r="AN1219" s="35"/>
      <c r="AO1219" s="35"/>
      <c r="AP1219" s="35"/>
    </row>
    <row r="1220" spans="1:42" ht="17.25" customHeight="1" x14ac:dyDescent="0.25">
      <c r="A1220" s="55">
        <v>2015</v>
      </c>
      <c r="B1220" s="56" t="s">
        <v>66</v>
      </c>
      <c r="C1220" s="56" t="s">
        <v>35</v>
      </c>
      <c r="D1220" s="56" t="s">
        <v>36</v>
      </c>
      <c r="E1220" s="56" t="s">
        <v>69</v>
      </c>
      <c r="F1220" s="56" t="s">
        <v>71</v>
      </c>
      <c r="G1220" s="57">
        <v>3786042694</v>
      </c>
      <c r="H1220" s="56" t="s">
        <v>68</v>
      </c>
      <c r="I1220" s="58" t="str">
        <f t="shared" si="132"/>
        <v>Brazil-OTA</v>
      </c>
      <c r="J1220" s="40"/>
      <c r="K1220" s="59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  <c r="AA1220" s="35"/>
      <c r="AB1220" s="35"/>
      <c r="AC1220" s="35"/>
      <c r="AD1220" s="35"/>
      <c r="AE1220" s="35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/>
    </row>
    <row r="1221" spans="1:42" ht="17.25" customHeight="1" x14ac:dyDescent="0.25">
      <c r="A1221" s="60">
        <v>2015</v>
      </c>
      <c r="B1221" s="61" t="s">
        <v>66</v>
      </c>
      <c r="C1221" s="61" t="s">
        <v>17</v>
      </c>
      <c r="D1221" s="61" t="s">
        <v>16</v>
      </c>
      <c r="E1221" s="61" t="s">
        <v>67</v>
      </c>
      <c r="F1221" s="61" t="s">
        <v>67</v>
      </c>
      <c r="G1221" s="62">
        <v>879370853</v>
      </c>
      <c r="H1221" s="61" t="s">
        <v>68</v>
      </c>
      <c r="I1221" s="63" t="str">
        <f t="shared" si="132"/>
        <v>Bulgaria-Offline</v>
      </c>
      <c r="J1221" s="47"/>
      <c r="K1221" s="54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  <c r="AB1221" s="35"/>
      <c r="AC1221" s="35"/>
      <c r="AD1221" s="35"/>
      <c r="AE1221" s="35"/>
      <c r="AF1221" s="35"/>
      <c r="AG1221" s="35"/>
      <c r="AH1221" s="35"/>
      <c r="AI1221" s="35"/>
      <c r="AJ1221" s="35"/>
      <c r="AK1221" s="35"/>
      <c r="AL1221" s="35"/>
      <c r="AM1221" s="35"/>
      <c r="AN1221" s="35"/>
      <c r="AO1221" s="35"/>
      <c r="AP1221" s="35"/>
    </row>
    <row r="1222" spans="1:42" ht="17.25" customHeight="1" x14ac:dyDescent="0.25">
      <c r="A1222" s="55">
        <v>2015</v>
      </c>
      <c r="B1222" s="56" t="s">
        <v>66</v>
      </c>
      <c r="C1222" s="56" t="s">
        <v>17</v>
      </c>
      <c r="D1222" s="56" t="s">
        <v>16</v>
      </c>
      <c r="E1222" s="56" t="s">
        <v>69</v>
      </c>
      <c r="F1222" s="56" t="s">
        <v>70</v>
      </c>
      <c r="G1222" s="57">
        <v>169726998</v>
      </c>
      <c r="H1222" s="56" t="s">
        <v>68</v>
      </c>
      <c r="I1222" s="58" t="str">
        <f t="shared" si="132"/>
        <v>Bulgaria-Online Supplier-Direct</v>
      </c>
      <c r="J1222" s="40"/>
      <c r="K1222" s="59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  <c r="AA1222" s="35"/>
      <c r="AB1222" s="35"/>
      <c r="AC1222" s="35"/>
      <c r="AD1222" s="35"/>
      <c r="AE1222" s="35"/>
      <c r="AF1222" s="35"/>
      <c r="AG1222" s="35"/>
      <c r="AH1222" s="35"/>
      <c r="AI1222" s="35"/>
      <c r="AJ1222" s="35"/>
      <c r="AK1222" s="35"/>
      <c r="AL1222" s="35"/>
      <c r="AM1222" s="35"/>
      <c r="AN1222" s="35"/>
      <c r="AO1222" s="35"/>
      <c r="AP1222" s="35"/>
    </row>
    <row r="1223" spans="1:42" ht="17.25" customHeight="1" x14ac:dyDescent="0.25">
      <c r="A1223" s="60">
        <v>2015</v>
      </c>
      <c r="B1223" s="61" t="s">
        <v>66</v>
      </c>
      <c r="C1223" s="61" t="s">
        <v>17</v>
      </c>
      <c r="D1223" s="61" t="s">
        <v>16</v>
      </c>
      <c r="E1223" s="61" t="s">
        <v>69</v>
      </c>
      <c r="F1223" s="61" t="s">
        <v>71</v>
      </c>
      <c r="G1223" s="62">
        <v>137387414</v>
      </c>
      <c r="H1223" s="61" t="s">
        <v>68</v>
      </c>
      <c r="I1223" s="63" t="str">
        <f t="shared" si="132"/>
        <v>Bulgaria-OTA</v>
      </c>
      <c r="J1223" s="47"/>
      <c r="K1223" s="54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  <c r="AB1223" s="35"/>
      <c r="AC1223" s="35"/>
      <c r="AD1223" s="35"/>
      <c r="AE1223" s="35"/>
      <c r="AF1223" s="35"/>
      <c r="AG1223" s="35"/>
      <c r="AH1223" s="35"/>
      <c r="AI1223" s="35"/>
      <c r="AJ1223" s="35"/>
      <c r="AK1223" s="35"/>
      <c r="AL1223" s="35"/>
      <c r="AM1223" s="35"/>
      <c r="AN1223" s="35"/>
      <c r="AO1223" s="35"/>
      <c r="AP1223" s="35"/>
    </row>
    <row r="1224" spans="1:42" ht="17.25" customHeight="1" x14ac:dyDescent="0.25">
      <c r="A1224" s="55">
        <v>2015</v>
      </c>
      <c r="B1224" s="56" t="s">
        <v>66</v>
      </c>
      <c r="C1224" s="56" t="s">
        <v>47</v>
      </c>
      <c r="D1224" s="56" t="s">
        <v>46</v>
      </c>
      <c r="E1224" s="56" t="s">
        <v>67</v>
      </c>
      <c r="F1224" s="56" t="s">
        <v>67</v>
      </c>
      <c r="G1224" s="57">
        <v>18888699353</v>
      </c>
      <c r="H1224" s="56" t="s">
        <v>68</v>
      </c>
      <c r="I1224" s="58" t="str">
        <f t="shared" si="132"/>
        <v>Canada-Offline</v>
      </c>
      <c r="J1224" s="40"/>
      <c r="K1224" s="59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  <c r="AA1224" s="35"/>
      <c r="AB1224" s="35"/>
      <c r="AC1224" s="35"/>
      <c r="AD1224" s="35"/>
      <c r="AE1224" s="35"/>
      <c r="AF1224" s="35"/>
      <c r="AG1224" s="35"/>
      <c r="AH1224" s="35"/>
      <c r="AI1224" s="35"/>
      <c r="AJ1224" s="35"/>
      <c r="AK1224" s="35"/>
      <c r="AL1224" s="35"/>
      <c r="AM1224" s="35"/>
      <c r="AN1224" s="35"/>
      <c r="AO1224" s="35"/>
      <c r="AP1224" s="35"/>
    </row>
    <row r="1225" spans="1:42" ht="17.25" customHeight="1" x14ac:dyDescent="0.25">
      <c r="A1225" s="60">
        <v>2015</v>
      </c>
      <c r="B1225" s="61" t="s">
        <v>66</v>
      </c>
      <c r="C1225" s="61" t="s">
        <v>47</v>
      </c>
      <c r="D1225" s="61" t="s">
        <v>46</v>
      </c>
      <c r="E1225" s="61" t="s">
        <v>69</v>
      </c>
      <c r="F1225" s="61" t="s">
        <v>70</v>
      </c>
      <c r="G1225" s="62">
        <v>7769616240</v>
      </c>
      <c r="H1225" s="61" t="s">
        <v>68</v>
      </c>
      <c r="I1225" s="63" t="str">
        <f t="shared" si="132"/>
        <v>Canada-Online Supplier-Direct</v>
      </c>
      <c r="J1225" s="47"/>
      <c r="K1225" s="54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  <c r="AB1225" s="35"/>
      <c r="AC1225" s="35"/>
      <c r="AD1225" s="35"/>
      <c r="AE1225" s="35"/>
      <c r="AF1225" s="35"/>
      <c r="AG1225" s="35"/>
      <c r="AH1225" s="35"/>
      <c r="AI1225" s="35"/>
      <c r="AJ1225" s="35"/>
      <c r="AK1225" s="35"/>
      <c r="AL1225" s="35"/>
      <c r="AM1225" s="35"/>
      <c r="AN1225" s="35"/>
      <c r="AO1225" s="35"/>
      <c r="AP1225" s="35"/>
    </row>
    <row r="1226" spans="1:42" ht="17.25" customHeight="1" x14ac:dyDescent="0.25">
      <c r="A1226" s="55">
        <v>2015</v>
      </c>
      <c r="B1226" s="56" t="s">
        <v>66</v>
      </c>
      <c r="C1226" s="56" t="s">
        <v>47</v>
      </c>
      <c r="D1226" s="56" t="s">
        <v>46</v>
      </c>
      <c r="E1226" s="56" t="s">
        <v>69</v>
      </c>
      <c r="F1226" s="56" t="s">
        <v>71</v>
      </c>
      <c r="G1226" s="57">
        <v>3884471014</v>
      </c>
      <c r="H1226" s="56" t="s">
        <v>68</v>
      </c>
      <c r="I1226" s="58" t="str">
        <f t="shared" si="132"/>
        <v>Canada-OTA</v>
      </c>
      <c r="J1226" s="40"/>
      <c r="K1226" s="59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  <c r="AB1226" s="35"/>
      <c r="AC1226" s="35"/>
      <c r="AD1226" s="35"/>
      <c r="AE1226" s="35"/>
      <c r="AF1226" s="35"/>
      <c r="AG1226" s="35"/>
      <c r="AH1226" s="35"/>
      <c r="AI1226" s="35"/>
      <c r="AJ1226" s="35"/>
      <c r="AK1226" s="35"/>
      <c r="AL1226" s="35"/>
      <c r="AM1226" s="35"/>
      <c r="AN1226" s="35"/>
      <c r="AO1226" s="35"/>
      <c r="AP1226" s="35"/>
    </row>
    <row r="1227" spans="1:42" ht="17.25" customHeight="1" x14ac:dyDescent="0.25">
      <c r="A1227" s="60">
        <v>2015</v>
      </c>
      <c r="B1227" s="61" t="s">
        <v>66</v>
      </c>
      <c r="C1227" s="61" t="s">
        <v>35</v>
      </c>
      <c r="D1227" s="61" t="s">
        <v>37</v>
      </c>
      <c r="E1227" s="61" t="s">
        <v>67</v>
      </c>
      <c r="F1227" s="61" t="s">
        <v>67</v>
      </c>
      <c r="G1227" s="62">
        <v>3102313993</v>
      </c>
      <c r="H1227" s="61" t="s">
        <v>68</v>
      </c>
      <c r="I1227" s="63" t="str">
        <f t="shared" si="132"/>
        <v>Chile-Offline</v>
      </c>
      <c r="J1227" s="47"/>
      <c r="K1227" s="54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  <c r="AB1227" s="35"/>
      <c r="AC1227" s="35"/>
      <c r="AD1227" s="35"/>
      <c r="AE1227" s="35"/>
      <c r="AF1227" s="35"/>
      <c r="AG1227" s="35"/>
      <c r="AH1227" s="35"/>
      <c r="AI1227" s="35"/>
      <c r="AJ1227" s="35"/>
      <c r="AK1227" s="35"/>
      <c r="AL1227" s="35"/>
      <c r="AM1227" s="35"/>
      <c r="AN1227" s="35"/>
      <c r="AO1227" s="35"/>
      <c r="AP1227" s="35"/>
    </row>
    <row r="1228" spans="1:42" ht="17.25" customHeight="1" x14ac:dyDescent="0.25">
      <c r="A1228" s="55">
        <v>2015</v>
      </c>
      <c r="B1228" s="56" t="s">
        <v>66</v>
      </c>
      <c r="C1228" s="56" t="s">
        <v>35</v>
      </c>
      <c r="D1228" s="56" t="s">
        <v>37</v>
      </c>
      <c r="E1228" s="56" t="s">
        <v>69</v>
      </c>
      <c r="F1228" s="56" t="s">
        <v>70</v>
      </c>
      <c r="G1228" s="57">
        <v>724171085</v>
      </c>
      <c r="H1228" s="56" t="s">
        <v>68</v>
      </c>
      <c r="I1228" s="58" t="str">
        <f t="shared" si="132"/>
        <v>Chile-Online Supplier-Direct</v>
      </c>
      <c r="J1228" s="40"/>
      <c r="K1228" s="59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  <c r="AG1228" s="35"/>
      <c r="AH1228" s="35"/>
      <c r="AI1228" s="35"/>
      <c r="AJ1228" s="35"/>
      <c r="AK1228" s="35"/>
      <c r="AL1228" s="35"/>
      <c r="AM1228" s="35"/>
      <c r="AN1228" s="35"/>
      <c r="AO1228" s="35"/>
      <c r="AP1228" s="35"/>
    </row>
    <row r="1229" spans="1:42" ht="17.25" customHeight="1" x14ac:dyDescent="0.25">
      <c r="A1229" s="60">
        <v>2015</v>
      </c>
      <c r="B1229" s="61" t="s">
        <v>66</v>
      </c>
      <c r="C1229" s="61" t="s">
        <v>35</v>
      </c>
      <c r="D1229" s="61" t="s">
        <v>37</v>
      </c>
      <c r="E1229" s="61" t="s">
        <v>69</v>
      </c>
      <c r="F1229" s="61" t="s">
        <v>71</v>
      </c>
      <c r="G1229" s="62">
        <v>671528495</v>
      </c>
      <c r="H1229" s="61" t="s">
        <v>68</v>
      </c>
      <c r="I1229" s="63" t="str">
        <f t="shared" si="132"/>
        <v>Chile-OTA</v>
      </c>
      <c r="J1229" s="47"/>
      <c r="K1229" s="54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/>
      <c r="AC1229" s="35"/>
      <c r="AD1229" s="35"/>
      <c r="AE1229" s="35"/>
      <c r="AF1229" s="35"/>
      <c r="AG1229" s="35"/>
      <c r="AH1229" s="35"/>
      <c r="AI1229" s="35"/>
      <c r="AJ1229" s="35"/>
      <c r="AK1229" s="35"/>
      <c r="AL1229" s="35"/>
      <c r="AM1229" s="35"/>
      <c r="AN1229" s="35"/>
      <c r="AO1229" s="35"/>
      <c r="AP1229" s="35"/>
    </row>
    <row r="1230" spans="1:42" ht="17.25" customHeight="1" x14ac:dyDescent="0.25">
      <c r="A1230" s="55">
        <v>2015</v>
      </c>
      <c r="B1230" s="56" t="s">
        <v>66</v>
      </c>
      <c r="C1230" s="56" t="s">
        <v>4</v>
      </c>
      <c r="D1230" s="56" t="s">
        <v>5</v>
      </c>
      <c r="E1230" s="56" t="s">
        <v>67</v>
      </c>
      <c r="F1230" s="56" t="s">
        <v>67</v>
      </c>
      <c r="G1230" s="57">
        <v>97178238811</v>
      </c>
      <c r="H1230" s="56" t="s">
        <v>68</v>
      </c>
      <c r="I1230" s="58" t="str">
        <f t="shared" si="132"/>
        <v>China-Offline</v>
      </c>
      <c r="J1230" s="40"/>
      <c r="K1230" s="59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  <c r="AA1230" s="35"/>
      <c r="AB1230" s="35"/>
      <c r="AC1230" s="35"/>
      <c r="AD1230" s="35"/>
      <c r="AE1230" s="35"/>
      <c r="AF1230" s="35"/>
      <c r="AG1230" s="35"/>
      <c r="AH1230" s="35"/>
      <c r="AI1230" s="35"/>
      <c r="AJ1230" s="35"/>
      <c r="AK1230" s="35"/>
      <c r="AL1230" s="35"/>
      <c r="AM1230" s="35"/>
      <c r="AN1230" s="35"/>
      <c r="AO1230" s="35"/>
      <c r="AP1230" s="35"/>
    </row>
    <row r="1231" spans="1:42" ht="17.25" customHeight="1" x14ac:dyDescent="0.25">
      <c r="A1231" s="60">
        <v>2015</v>
      </c>
      <c r="B1231" s="61" t="s">
        <v>66</v>
      </c>
      <c r="C1231" s="61" t="s">
        <v>4</v>
      </c>
      <c r="D1231" s="61" t="s">
        <v>5</v>
      </c>
      <c r="E1231" s="61" t="s">
        <v>69</v>
      </c>
      <c r="F1231" s="61" t="s">
        <v>70</v>
      </c>
      <c r="G1231" s="62">
        <v>20373594370</v>
      </c>
      <c r="H1231" s="61" t="s">
        <v>68</v>
      </c>
      <c r="I1231" s="63" t="str">
        <f t="shared" si="132"/>
        <v>China-Online Supplier-Direct</v>
      </c>
      <c r="J1231" s="47"/>
      <c r="K1231" s="54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  <c r="AC1231" s="35"/>
      <c r="AD1231" s="35"/>
      <c r="AE1231" s="35"/>
      <c r="AF1231" s="35"/>
      <c r="AG1231" s="35"/>
      <c r="AH1231" s="35"/>
      <c r="AI1231" s="35"/>
      <c r="AJ1231" s="35"/>
      <c r="AK1231" s="35"/>
      <c r="AL1231" s="35"/>
      <c r="AM1231" s="35"/>
      <c r="AN1231" s="35"/>
      <c r="AO1231" s="35"/>
      <c r="AP1231" s="35"/>
    </row>
    <row r="1232" spans="1:42" ht="17.25" customHeight="1" x14ac:dyDescent="0.25">
      <c r="A1232" s="55">
        <v>2015</v>
      </c>
      <c r="B1232" s="56" t="s">
        <v>66</v>
      </c>
      <c r="C1232" s="56" t="s">
        <v>4</v>
      </c>
      <c r="D1232" s="56" t="s">
        <v>5</v>
      </c>
      <c r="E1232" s="56" t="s">
        <v>69</v>
      </c>
      <c r="F1232" s="56" t="s">
        <v>71</v>
      </c>
      <c r="G1232" s="57">
        <v>21456665657</v>
      </c>
      <c r="H1232" s="56" t="s">
        <v>68</v>
      </c>
      <c r="I1232" s="58" t="str">
        <f t="shared" si="132"/>
        <v>China-OTA</v>
      </c>
      <c r="J1232" s="40"/>
      <c r="K1232" s="59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  <c r="AA1232" s="35"/>
      <c r="AB1232" s="35"/>
      <c r="AC1232" s="35"/>
      <c r="AD1232" s="35"/>
      <c r="AE1232" s="35"/>
      <c r="AF1232" s="35"/>
      <c r="AG1232" s="35"/>
      <c r="AH1232" s="35"/>
      <c r="AI1232" s="35"/>
      <c r="AJ1232" s="35"/>
      <c r="AK1232" s="35"/>
      <c r="AL1232" s="35"/>
      <c r="AM1232" s="35"/>
      <c r="AN1232" s="35"/>
      <c r="AO1232" s="35"/>
      <c r="AP1232" s="35"/>
    </row>
    <row r="1233" spans="1:42" ht="17.25" customHeight="1" x14ac:dyDescent="0.25">
      <c r="A1233" s="60">
        <v>2015</v>
      </c>
      <c r="B1233" s="61" t="s">
        <v>66</v>
      </c>
      <c r="C1233" s="61" t="s">
        <v>35</v>
      </c>
      <c r="D1233" s="61" t="s">
        <v>38</v>
      </c>
      <c r="E1233" s="61" t="s">
        <v>67</v>
      </c>
      <c r="F1233" s="61" t="s">
        <v>67</v>
      </c>
      <c r="G1233" s="62">
        <v>5617304251</v>
      </c>
      <c r="H1233" s="61" t="s">
        <v>68</v>
      </c>
      <c r="I1233" s="63" t="str">
        <f t="shared" si="132"/>
        <v>Colombia-Offline</v>
      </c>
      <c r="J1233" s="47"/>
      <c r="K1233" s="54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  <c r="AB1233" s="35"/>
      <c r="AC1233" s="35"/>
      <c r="AD1233" s="35"/>
      <c r="AE1233" s="35"/>
      <c r="AF1233" s="35"/>
      <c r="AG1233" s="35"/>
      <c r="AH1233" s="35"/>
      <c r="AI1233" s="35"/>
      <c r="AJ1233" s="35"/>
      <c r="AK1233" s="35"/>
      <c r="AL1233" s="35"/>
      <c r="AM1233" s="35"/>
      <c r="AN1233" s="35"/>
      <c r="AO1233" s="35"/>
      <c r="AP1233" s="35"/>
    </row>
    <row r="1234" spans="1:42" ht="17.25" customHeight="1" x14ac:dyDescent="0.25">
      <c r="A1234" s="55">
        <v>2015</v>
      </c>
      <c r="B1234" s="56" t="s">
        <v>66</v>
      </c>
      <c r="C1234" s="56" t="s">
        <v>35</v>
      </c>
      <c r="D1234" s="56" t="s">
        <v>38</v>
      </c>
      <c r="E1234" s="56" t="s">
        <v>69</v>
      </c>
      <c r="F1234" s="56" t="s">
        <v>70</v>
      </c>
      <c r="G1234" s="57">
        <v>1057349620</v>
      </c>
      <c r="H1234" s="56" t="s">
        <v>68</v>
      </c>
      <c r="I1234" s="58" t="str">
        <f t="shared" si="132"/>
        <v>Colombia-Online Supplier-Direct</v>
      </c>
      <c r="J1234" s="40"/>
      <c r="K1234" s="59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</row>
    <row r="1235" spans="1:42" ht="17.25" customHeight="1" x14ac:dyDescent="0.25">
      <c r="A1235" s="60">
        <v>2015</v>
      </c>
      <c r="B1235" s="61" t="s">
        <v>66</v>
      </c>
      <c r="C1235" s="61" t="s">
        <v>35</v>
      </c>
      <c r="D1235" s="61" t="s">
        <v>38</v>
      </c>
      <c r="E1235" s="61" t="s">
        <v>69</v>
      </c>
      <c r="F1235" s="61" t="s">
        <v>71</v>
      </c>
      <c r="G1235" s="62">
        <v>1117175591</v>
      </c>
      <c r="H1235" s="61" t="s">
        <v>68</v>
      </c>
      <c r="I1235" s="63" t="str">
        <f t="shared" si="132"/>
        <v>Colombia-OTA</v>
      </c>
      <c r="J1235" s="47"/>
      <c r="K1235" s="54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  <c r="AB1235" s="35"/>
      <c r="AC1235" s="35"/>
      <c r="AD1235" s="35"/>
      <c r="AE1235" s="35"/>
      <c r="AF1235" s="35"/>
      <c r="AG1235" s="35"/>
      <c r="AH1235" s="35"/>
      <c r="AI1235" s="35"/>
      <c r="AJ1235" s="35"/>
      <c r="AK1235" s="35"/>
      <c r="AL1235" s="35"/>
      <c r="AM1235" s="35"/>
      <c r="AN1235" s="35"/>
      <c r="AO1235" s="35"/>
      <c r="AP1235" s="35"/>
    </row>
    <row r="1236" spans="1:42" ht="17.25" customHeight="1" x14ac:dyDescent="0.25">
      <c r="A1236" s="55">
        <v>2015</v>
      </c>
      <c r="B1236" s="56" t="s">
        <v>66</v>
      </c>
      <c r="C1236" s="56" t="s">
        <v>17</v>
      </c>
      <c r="D1236" s="56" t="s">
        <v>18</v>
      </c>
      <c r="E1236" s="56" t="s">
        <v>67</v>
      </c>
      <c r="F1236" s="56" t="s">
        <v>67</v>
      </c>
      <c r="G1236" s="57">
        <v>1989639225</v>
      </c>
      <c r="H1236" s="56" t="s">
        <v>68</v>
      </c>
      <c r="I1236" s="58" t="str">
        <f t="shared" si="132"/>
        <v>Czech Republic-Offline</v>
      </c>
      <c r="J1236" s="40"/>
      <c r="K1236" s="59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</row>
    <row r="1237" spans="1:42" ht="17.25" customHeight="1" x14ac:dyDescent="0.25">
      <c r="A1237" s="60">
        <v>2015</v>
      </c>
      <c r="B1237" s="61" t="s">
        <v>66</v>
      </c>
      <c r="C1237" s="61" t="s">
        <v>17</v>
      </c>
      <c r="D1237" s="61" t="s">
        <v>18</v>
      </c>
      <c r="E1237" s="61" t="s">
        <v>69</v>
      </c>
      <c r="F1237" s="61" t="s">
        <v>70</v>
      </c>
      <c r="G1237" s="62">
        <v>472146987</v>
      </c>
      <c r="H1237" s="61" t="s">
        <v>68</v>
      </c>
      <c r="I1237" s="63" t="str">
        <f t="shared" si="132"/>
        <v>Czech Republic-Online Supplier-Direct</v>
      </c>
      <c r="J1237" s="47"/>
      <c r="K1237" s="54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</row>
    <row r="1238" spans="1:42" ht="17.25" customHeight="1" x14ac:dyDescent="0.25">
      <c r="A1238" s="55">
        <v>2015</v>
      </c>
      <c r="B1238" s="56" t="s">
        <v>66</v>
      </c>
      <c r="C1238" s="56" t="s">
        <v>17</v>
      </c>
      <c r="D1238" s="56" t="s">
        <v>18</v>
      </c>
      <c r="E1238" s="56" t="s">
        <v>69</v>
      </c>
      <c r="F1238" s="56" t="s">
        <v>71</v>
      </c>
      <c r="G1238" s="57">
        <v>405636067</v>
      </c>
      <c r="H1238" s="56" t="s">
        <v>68</v>
      </c>
      <c r="I1238" s="58" t="str">
        <f t="shared" si="132"/>
        <v>Czech Republic-OTA</v>
      </c>
      <c r="J1238" s="40"/>
      <c r="K1238" s="59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  <c r="AA1238" s="35"/>
      <c r="AB1238" s="35"/>
      <c r="AC1238" s="35"/>
      <c r="AD1238" s="35"/>
      <c r="AE1238" s="35"/>
      <c r="AF1238" s="35"/>
      <c r="AG1238" s="35"/>
      <c r="AH1238" s="35"/>
      <c r="AI1238" s="35"/>
      <c r="AJ1238" s="35"/>
      <c r="AK1238" s="35"/>
      <c r="AL1238" s="35"/>
      <c r="AM1238" s="35"/>
      <c r="AN1238" s="35"/>
      <c r="AO1238" s="35"/>
      <c r="AP1238" s="35"/>
    </row>
    <row r="1239" spans="1:42" ht="17.25" customHeight="1" x14ac:dyDescent="0.25">
      <c r="A1239" s="60">
        <v>2015</v>
      </c>
      <c r="B1239" s="61" t="s">
        <v>66</v>
      </c>
      <c r="C1239" s="61" t="s">
        <v>41</v>
      </c>
      <c r="D1239" s="61" t="s">
        <v>40</v>
      </c>
      <c r="E1239" s="61" t="s">
        <v>67</v>
      </c>
      <c r="F1239" s="61" t="s">
        <v>67</v>
      </c>
      <c r="G1239" s="62">
        <v>5676706359</v>
      </c>
      <c r="H1239" s="61" t="s">
        <v>68</v>
      </c>
      <c r="I1239" s="63" t="str">
        <f t="shared" si="132"/>
        <v>Egypt-Offline</v>
      </c>
      <c r="J1239" s="47"/>
      <c r="K1239" s="54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  <c r="AB1239" s="35"/>
      <c r="AC1239" s="35"/>
      <c r="AD1239" s="35"/>
      <c r="AE1239" s="35"/>
      <c r="AF1239" s="35"/>
      <c r="AG1239" s="35"/>
      <c r="AH1239" s="35"/>
      <c r="AI1239" s="35"/>
      <c r="AJ1239" s="35"/>
      <c r="AK1239" s="35"/>
      <c r="AL1239" s="35"/>
      <c r="AM1239" s="35"/>
      <c r="AN1239" s="35"/>
      <c r="AO1239" s="35"/>
      <c r="AP1239" s="35"/>
    </row>
    <row r="1240" spans="1:42" ht="17.25" customHeight="1" x14ac:dyDescent="0.25">
      <c r="A1240" s="55">
        <v>2015</v>
      </c>
      <c r="B1240" s="56" t="s">
        <v>66</v>
      </c>
      <c r="C1240" s="56" t="s">
        <v>41</v>
      </c>
      <c r="D1240" s="56" t="s">
        <v>40</v>
      </c>
      <c r="E1240" s="56" t="s">
        <v>69</v>
      </c>
      <c r="F1240" s="56" t="s">
        <v>70</v>
      </c>
      <c r="G1240" s="57">
        <v>323733575</v>
      </c>
      <c r="H1240" s="56" t="s">
        <v>68</v>
      </c>
      <c r="I1240" s="58" t="str">
        <f t="shared" si="132"/>
        <v>Egypt-Online Supplier-Direct</v>
      </c>
      <c r="J1240" s="40"/>
      <c r="K1240" s="59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  <c r="AA1240" s="35"/>
      <c r="AB1240" s="35"/>
      <c r="AC1240" s="35"/>
      <c r="AD1240" s="35"/>
      <c r="AE1240" s="35"/>
      <c r="AF1240" s="35"/>
      <c r="AG1240" s="35"/>
      <c r="AH1240" s="35"/>
      <c r="AI1240" s="35"/>
      <c r="AJ1240" s="35"/>
      <c r="AK1240" s="35"/>
      <c r="AL1240" s="35"/>
      <c r="AM1240" s="35"/>
      <c r="AN1240" s="35"/>
      <c r="AO1240" s="35"/>
      <c r="AP1240" s="35"/>
    </row>
    <row r="1241" spans="1:42" ht="17.25" customHeight="1" x14ac:dyDescent="0.25">
      <c r="A1241" s="60">
        <v>2015</v>
      </c>
      <c r="B1241" s="61" t="s">
        <v>66</v>
      </c>
      <c r="C1241" s="61" t="s">
        <v>41</v>
      </c>
      <c r="D1241" s="61" t="s">
        <v>40</v>
      </c>
      <c r="E1241" s="61" t="s">
        <v>69</v>
      </c>
      <c r="F1241" s="61" t="s">
        <v>71</v>
      </c>
      <c r="G1241" s="62">
        <v>430892561</v>
      </c>
      <c r="H1241" s="61" t="s">
        <v>68</v>
      </c>
      <c r="I1241" s="63" t="str">
        <f t="shared" si="132"/>
        <v>Egypt-OTA</v>
      </c>
      <c r="J1241" s="47"/>
      <c r="K1241" s="54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  <c r="AB1241" s="35"/>
      <c r="AC1241" s="35"/>
      <c r="AD1241" s="35"/>
      <c r="AE1241" s="35"/>
      <c r="AF1241" s="35"/>
      <c r="AG1241" s="35"/>
      <c r="AH1241" s="35"/>
      <c r="AI1241" s="35"/>
      <c r="AJ1241" s="35"/>
      <c r="AK1241" s="35"/>
      <c r="AL1241" s="35"/>
      <c r="AM1241" s="35"/>
      <c r="AN1241" s="35"/>
      <c r="AO1241" s="35"/>
      <c r="AP1241" s="35"/>
    </row>
    <row r="1242" spans="1:42" ht="17.25" customHeight="1" x14ac:dyDescent="0.25">
      <c r="A1242" s="55">
        <v>2015</v>
      </c>
      <c r="B1242" s="56" t="s">
        <v>66</v>
      </c>
      <c r="C1242" s="56" t="s">
        <v>27</v>
      </c>
      <c r="D1242" s="56" t="s">
        <v>26</v>
      </c>
      <c r="E1242" s="56" t="s">
        <v>67</v>
      </c>
      <c r="F1242" s="56" t="s">
        <v>67</v>
      </c>
      <c r="G1242" s="57">
        <v>29331964303</v>
      </c>
      <c r="H1242" s="56" t="s">
        <v>68</v>
      </c>
      <c r="I1242" s="58" t="str">
        <f t="shared" si="132"/>
        <v>France-Offline</v>
      </c>
      <c r="J1242" s="40"/>
      <c r="K1242" s="59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  <c r="AB1242" s="35"/>
      <c r="AC1242" s="35"/>
      <c r="AD1242" s="35"/>
      <c r="AE1242" s="35"/>
      <c r="AF1242" s="35"/>
      <c r="AG1242" s="35"/>
      <c r="AH1242" s="35"/>
      <c r="AI1242" s="35"/>
      <c r="AJ1242" s="35"/>
      <c r="AK1242" s="35"/>
      <c r="AL1242" s="35"/>
      <c r="AM1242" s="35"/>
      <c r="AN1242" s="35"/>
      <c r="AO1242" s="35"/>
      <c r="AP1242" s="35"/>
    </row>
    <row r="1243" spans="1:42" ht="17.25" customHeight="1" x14ac:dyDescent="0.25">
      <c r="A1243" s="60">
        <v>2015</v>
      </c>
      <c r="B1243" s="61" t="s">
        <v>66</v>
      </c>
      <c r="C1243" s="61" t="s">
        <v>27</v>
      </c>
      <c r="D1243" s="61" t="s">
        <v>26</v>
      </c>
      <c r="E1243" s="61" t="s">
        <v>69</v>
      </c>
      <c r="F1243" s="61" t="s">
        <v>70</v>
      </c>
      <c r="G1243" s="62">
        <v>13049285727</v>
      </c>
      <c r="H1243" s="61" t="s">
        <v>68</v>
      </c>
      <c r="I1243" s="63" t="str">
        <f t="shared" si="132"/>
        <v>France-Online Supplier-Direct</v>
      </c>
      <c r="J1243" s="47"/>
      <c r="K1243" s="54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  <c r="AB1243" s="35"/>
      <c r="AC1243" s="35"/>
      <c r="AD1243" s="35"/>
      <c r="AE1243" s="35"/>
      <c r="AF1243" s="35"/>
      <c r="AG1243" s="35"/>
      <c r="AH1243" s="35"/>
      <c r="AI1243" s="35"/>
      <c r="AJ1243" s="35"/>
      <c r="AK1243" s="35"/>
      <c r="AL1243" s="35"/>
      <c r="AM1243" s="35"/>
      <c r="AN1243" s="35"/>
      <c r="AO1243" s="35"/>
      <c r="AP1243" s="35"/>
    </row>
    <row r="1244" spans="1:42" ht="17.25" customHeight="1" x14ac:dyDescent="0.25">
      <c r="A1244" s="55">
        <v>2015</v>
      </c>
      <c r="B1244" s="56" t="s">
        <v>66</v>
      </c>
      <c r="C1244" s="56" t="s">
        <v>27</v>
      </c>
      <c r="D1244" s="56" t="s">
        <v>26</v>
      </c>
      <c r="E1244" s="56" t="s">
        <v>69</v>
      </c>
      <c r="F1244" s="56" t="s">
        <v>71</v>
      </c>
      <c r="G1244" s="57">
        <v>5710000516</v>
      </c>
      <c r="H1244" s="56" t="s">
        <v>68</v>
      </c>
      <c r="I1244" s="58" t="str">
        <f t="shared" si="132"/>
        <v>France-OTA</v>
      </c>
      <c r="J1244" s="40"/>
      <c r="K1244" s="59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  <c r="AB1244" s="35"/>
      <c r="AC1244" s="35"/>
      <c r="AD1244" s="35"/>
      <c r="AE1244" s="35"/>
      <c r="AF1244" s="35"/>
      <c r="AG1244" s="35"/>
      <c r="AH1244" s="35"/>
      <c r="AI1244" s="35"/>
      <c r="AJ1244" s="35"/>
      <c r="AK1244" s="35"/>
      <c r="AL1244" s="35"/>
      <c r="AM1244" s="35"/>
      <c r="AN1244" s="35"/>
      <c r="AO1244" s="35"/>
      <c r="AP1244" s="35"/>
    </row>
    <row r="1245" spans="1:42" ht="17.25" customHeight="1" x14ac:dyDescent="0.25">
      <c r="A1245" s="60">
        <v>2015</v>
      </c>
      <c r="B1245" s="61" t="s">
        <v>66</v>
      </c>
      <c r="C1245" s="61" t="s">
        <v>27</v>
      </c>
      <c r="D1245" s="61" t="s">
        <v>28</v>
      </c>
      <c r="E1245" s="61" t="s">
        <v>67</v>
      </c>
      <c r="F1245" s="61" t="s">
        <v>67</v>
      </c>
      <c r="G1245" s="62">
        <v>41759717220</v>
      </c>
      <c r="H1245" s="61" t="s">
        <v>68</v>
      </c>
      <c r="I1245" s="63" t="str">
        <f t="shared" si="132"/>
        <v>Germany-Offline</v>
      </c>
      <c r="J1245" s="47"/>
      <c r="K1245" s="54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  <c r="AB1245" s="35"/>
      <c r="AC1245" s="35"/>
      <c r="AD1245" s="35"/>
      <c r="AE1245" s="35"/>
      <c r="AF1245" s="35"/>
      <c r="AG1245" s="35"/>
      <c r="AH1245" s="35"/>
      <c r="AI1245" s="35"/>
      <c r="AJ1245" s="35"/>
      <c r="AK1245" s="35"/>
      <c r="AL1245" s="35"/>
      <c r="AM1245" s="35"/>
      <c r="AN1245" s="35"/>
      <c r="AO1245" s="35"/>
      <c r="AP1245" s="35"/>
    </row>
    <row r="1246" spans="1:42" ht="17.25" customHeight="1" x14ac:dyDescent="0.25">
      <c r="A1246" s="55">
        <v>2015</v>
      </c>
      <c r="B1246" s="56" t="s">
        <v>66</v>
      </c>
      <c r="C1246" s="56" t="s">
        <v>27</v>
      </c>
      <c r="D1246" s="56" t="s">
        <v>28</v>
      </c>
      <c r="E1246" s="56" t="s">
        <v>69</v>
      </c>
      <c r="F1246" s="56" t="s">
        <v>70</v>
      </c>
      <c r="G1246" s="57">
        <v>15439356896</v>
      </c>
      <c r="H1246" s="56" t="s">
        <v>68</v>
      </c>
      <c r="I1246" s="58" t="str">
        <f t="shared" si="132"/>
        <v>Germany-Online Supplier-Direct</v>
      </c>
      <c r="J1246" s="40"/>
      <c r="K1246" s="59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  <c r="AA1246" s="35"/>
      <c r="AB1246" s="35"/>
      <c r="AC1246" s="35"/>
      <c r="AD1246" s="35"/>
      <c r="AE1246" s="35"/>
      <c r="AF1246" s="35"/>
      <c r="AG1246" s="35"/>
      <c r="AH1246" s="35"/>
      <c r="AI1246" s="35"/>
      <c r="AJ1246" s="35"/>
      <c r="AK1246" s="35"/>
      <c r="AL1246" s="35"/>
      <c r="AM1246" s="35"/>
      <c r="AN1246" s="35"/>
      <c r="AO1246" s="35"/>
      <c r="AP1246" s="35"/>
    </row>
    <row r="1247" spans="1:42" ht="17.25" customHeight="1" x14ac:dyDescent="0.25">
      <c r="A1247" s="60">
        <v>2015</v>
      </c>
      <c r="B1247" s="61" t="s">
        <v>66</v>
      </c>
      <c r="C1247" s="61" t="s">
        <v>27</v>
      </c>
      <c r="D1247" s="61" t="s">
        <v>28</v>
      </c>
      <c r="E1247" s="61" t="s">
        <v>69</v>
      </c>
      <c r="F1247" s="61" t="s">
        <v>71</v>
      </c>
      <c r="G1247" s="62">
        <v>10750438197</v>
      </c>
      <c r="H1247" s="61" t="s">
        <v>68</v>
      </c>
      <c r="I1247" s="63" t="str">
        <f t="shared" si="132"/>
        <v>Germany-OTA</v>
      </c>
      <c r="J1247" s="47"/>
      <c r="K1247" s="54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  <c r="AB1247" s="35"/>
      <c r="AC1247" s="35"/>
      <c r="AD1247" s="35"/>
      <c r="AE1247" s="35"/>
      <c r="AF1247" s="35"/>
      <c r="AG1247" s="35"/>
      <c r="AH1247" s="35"/>
      <c r="AI1247" s="35"/>
      <c r="AJ1247" s="35"/>
      <c r="AK1247" s="35"/>
      <c r="AL1247" s="35"/>
      <c r="AM1247" s="35"/>
      <c r="AN1247" s="35"/>
      <c r="AO1247" s="35"/>
      <c r="AP1247" s="35"/>
    </row>
    <row r="1248" spans="1:42" ht="17.25" customHeight="1" x14ac:dyDescent="0.25">
      <c r="A1248" s="55">
        <v>2015</v>
      </c>
      <c r="B1248" s="56" t="s">
        <v>66</v>
      </c>
      <c r="C1248" s="56" t="s">
        <v>17</v>
      </c>
      <c r="D1248" s="56" t="s">
        <v>19</v>
      </c>
      <c r="E1248" s="56" t="s">
        <v>67</v>
      </c>
      <c r="F1248" s="56" t="s">
        <v>67</v>
      </c>
      <c r="G1248" s="57">
        <v>5155473313</v>
      </c>
      <c r="H1248" s="56" t="s">
        <v>68</v>
      </c>
      <c r="I1248" s="58" t="str">
        <f t="shared" si="132"/>
        <v>Greece-Offline</v>
      </c>
      <c r="J1248" s="40"/>
      <c r="K1248" s="59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  <c r="AB1248" s="35"/>
      <c r="AC1248" s="35"/>
      <c r="AD1248" s="35"/>
      <c r="AE1248" s="35"/>
      <c r="AF1248" s="35"/>
      <c r="AG1248" s="35"/>
      <c r="AH1248" s="35"/>
      <c r="AI1248" s="35"/>
      <c r="AJ1248" s="35"/>
      <c r="AK1248" s="35"/>
      <c r="AL1248" s="35"/>
      <c r="AM1248" s="35"/>
      <c r="AN1248" s="35"/>
      <c r="AO1248" s="35"/>
      <c r="AP1248" s="35"/>
    </row>
    <row r="1249" spans="1:42" ht="17.25" customHeight="1" x14ac:dyDescent="0.25">
      <c r="A1249" s="60">
        <v>2015</v>
      </c>
      <c r="B1249" s="61" t="s">
        <v>66</v>
      </c>
      <c r="C1249" s="61" t="s">
        <v>17</v>
      </c>
      <c r="D1249" s="61" t="s">
        <v>19</v>
      </c>
      <c r="E1249" s="61" t="s">
        <v>69</v>
      </c>
      <c r="F1249" s="61" t="s">
        <v>70</v>
      </c>
      <c r="G1249" s="62">
        <v>403743492</v>
      </c>
      <c r="H1249" s="61" t="s">
        <v>68</v>
      </c>
      <c r="I1249" s="63" t="str">
        <f t="shared" si="132"/>
        <v>Greece-Online Supplier-Direct</v>
      </c>
      <c r="J1249" s="47"/>
      <c r="K1249" s="54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  <c r="AB1249" s="35"/>
      <c r="AC1249" s="35"/>
      <c r="AD1249" s="35"/>
      <c r="AE1249" s="35"/>
      <c r="AF1249" s="35"/>
      <c r="AG1249" s="35"/>
      <c r="AH1249" s="35"/>
      <c r="AI1249" s="35"/>
      <c r="AJ1249" s="35"/>
      <c r="AK1249" s="35"/>
      <c r="AL1249" s="35"/>
      <c r="AM1249" s="35"/>
      <c r="AN1249" s="35"/>
      <c r="AO1249" s="35"/>
      <c r="AP1249" s="35"/>
    </row>
    <row r="1250" spans="1:42" ht="17.25" customHeight="1" x14ac:dyDescent="0.25">
      <c r="A1250" s="55">
        <v>2015</v>
      </c>
      <c r="B1250" s="56" t="s">
        <v>66</v>
      </c>
      <c r="C1250" s="56" t="s">
        <v>17</v>
      </c>
      <c r="D1250" s="56" t="s">
        <v>19</v>
      </c>
      <c r="E1250" s="56" t="s">
        <v>69</v>
      </c>
      <c r="F1250" s="56" t="s">
        <v>71</v>
      </c>
      <c r="G1250" s="57">
        <v>891755709</v>
      </c>
      <c r="H1250" s="56" t="s">
        <v>68</v>
      </c>
      <c r="I1250" s="58" t="str">
        <f t="shared" si="132"/>
        <v>Greece-OTA</v>
      </c>
      <c r="J1250" s="40"/>
      <c r="K1250" s="59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  <c r="AB1250" s="35"/>
      <c r="AC1250" s="35"/>
      <c r="AD1250" s="35"/>
      <c r="AE1250" s="35"/>
      <c r="AF1250" s="35"/>
      <c r="AG1250" s="35"/>
      <c r="AH1250" s="35"/>
      <c r="AI1250" s="35"/>
      <c r="AJ1250" s="35"/>
      <c r="AK1250" s="35"/>
      <c r="AL1250" s="35"/>
      <c r="AM1250" s="35"/>
      <c r="AN1250" s="35"/>
      <c r="AO1250" s="35"/>
      <c r="AP1250" s="35"/>
    </row>
    <row r="1251" spans="1:42" ht="17.25" customHeight="1" x14ac:dyDescent="0.25">
      <c r="A1251" s="60">
        <v>2015</v>
      </c>
      <c r="B1251" s="61" t="s">
        <v>66</v>
      </c>
      <c r="C1251" s="61" t="s">
        <v>4</v>
      </c>
      <c r="D1251" s="61" t="s">
        <v>6</v>
      </c>
      <c r="E1251" s="61" t="s">
        <v>67</v>
      </c>
      <c r="F1251" s="61" t="s">
        <v>67</v>
      </c>
      <c r="G1251" s="62">
        <v>11390599937</v>
      </c>
      <c r="H1251" s="61" t="s">
        <v>68</v>
      </c>
      <c r="I1251" s="63" t="str">
        <f t="shared" si="132"/>
        <v>Hong Kong-Offline</v>
      </c>
      <c r="J1251" s="47"/>
      <c r="K1251" s="54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  <c r="AB1251" s="35"/>
      <c r="AC1251" s="35"/>
      <c r="AD1251" s="35"/>
      <c r="AE1251" s="35"/>
      <c r="AF1251" s="35"/>
      <c r="AG1251" s="35"/>
      <c r="AH1251" s="35"/>
      <c r="AI1251" s="35"/>
      <c r="AJ1251" s="35"/>
      <c r="AK1251" s="35"/>
      <c r="AL1251" s="35"/>
      <c r="AM1251" s="35"/>
      <c r="AN1251" s="35"/>
      <c r="AO1251" s="35"/>
      <c r="AP1251" s="35"/>
    </row>
    <row r="1252" spans="1:42" ht="17.25" customHeight="1" x14ac:dyDescent="0.25">
      <c r="A1252" s="55">
        <v>2015</v>
      </c>
      <c r="B1252" s="56" t="s">
        <v>66</v>
      </c>
      <c r="C1252" s="56" t="s">
        <v>4</v>
      </c>
      <c r="D1252" s="56" t="s">
        <v>6</v>
      </c>
      <c r="E1252" s="56" t="s">
        <v>69</v>
      </c>
      <c r="F1252" s="56" t="s">
        <v>70</v>
      </c>
      <c r="G1252" s="57">
        <v>1057010025</v>
      </c>
      <c r="H1252" s="56" t="s">
        <v>68</v>
      </c>
      <c r="I1252" s="58" t="str">
        <f t="shared" si="132"/>
        <v>Hong Kong-Online Supplier-Direct</v>
      </c>
      <c r="J1252" s="40"/>
      <c r="K1252" s="59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</row>
    <row r="1253" spans="1:42" ht="17.25" customHeight="1" x14ac:dyDescent="0.25">
      <c r="A1253" s="60">
        <v>2015</v>
      </c>
      <c r="B1253" s="61" t="s">
        <v>66</v>
      </c>
      <c r="C1253" s="61" t="s">
        <v>4</v>
      </c>
      <c r="D1253" s="61" t="s">
        <v>6</v>
      </c>
      <c r="E1253" s="61" t="s">
        <v>69</v>
      </c>
      <c r="F1253" s="61" t="s">
        <v>71</v>
      </c>
      <c r="G1253" s="62">
        <v>522568998</v>
      </c>
      <c r="H1253" s="61" t="s">
        <v>68</v>
      </c>
      <c r="I1253" s="63" t="str">
        <f t="shared" si="132"/>
        <v>Hong Kong-OTA</v>
      </c>
      <c r="J1253" s="47"/>
      <c r="K1253" s="54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  <c r="AB1253" s="35"/>
      <c r="AC1253" s="35"/>
      <c r="AD1253" s="35"/>
      <c r="AE1253" s="35"/>
      <c r="AF1253" s="35"/>
      <c r="AG1253" s="35"/>
      <c r="AH1253" s="35"/>
      <c r="AI1253" s="35"/>
      <c r="AJ1253" s="35"/>
      <c r="AK1253" s="35"/>
      <c r="AL1253" s="35"/>
      <c r="AM1253" s="35"/>
      <c r="AN1253" s="35"/>
      <c r="AO1253" s="35"/>
      <c r="AP1253" s="35"/>
    </row>
    <row r="1254" spans="1:42" ht="17.25" customHeight="1" x14ac:dyDescent="0.25">
      <c r="A1254" s="55">
        <v>2015</v>
      </c>
      <c r="B1254" s="56" t="s">
        <v>66</v>
      </c>
      <c r="C1254" s="56" t="s">
        <v>17</v>
      </c>
      <c r="D1254" s="56" t="s">
        <v>20</v>
      </c>
      <c r="E1254" s="56" t="s">
        <v>67</v>
      </c>
      <c r="F1254" s="56" t="s">
        <v>67</v>
      </c>
      <c r="G1254" s="57">
        <v>1305306687</v>
      </c>
      <c r="H1254" s="56" t="s">
        <v>68</v>
      </c>
      <c r="I1254" s="58" t="str">
        <f t="shared" si="132"/>
        <v>Hungary-Offline</v>
      </c>
      <c r="J1254" s="40"/>
      <c r="K1254" s="59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  <c r="AA1254" s="35"/>
      <c r="AB1254" s="35"/>
      <c r="AC1254" s="35"/>
      <c r="AD1254" s="35"/>
      <c r="AE1254" s="35"/>
      <c r="AF1254" s="35"/>
      <c r="AG1254" s="35"/>
      <c r="AH1254" s="35"/>
      <c r="AI1254" s="35"/>
      <c r="AJ1254" s="35"/>
      <c r="AK1254" s="35"/>
      <c r="AL1254" s="35"/>
      <c r="AM1254" s="35"/>
      <c r="AN1254" s="35"/>
      <c r="AO1254" s="35"/>
      <c r="AP1254" s="35"/>
    </row>
    <row r="1255" spans="1:42" ht="17.25" customHeight="1" x14ac:dyDescent="0.25">
      <c r="A1255" s="60">
        <v>2015</v>
      </c>
      <c r="B1255" s="61" t="s">
        <v>66</v>
      </c>
      <c r="C1255" s="61" t="s">
        <v>17</v>
      </c>
      <c r="D1255" s="61" t="s">
        <v>20</v>
      </c>
      <c r="E1255" s="61" t="s">
        <v>69</v>
      </c>
      <c r="F1255" s="61" t="s">
        <v>70</v>
      </c>
      <c r="G1255" s="62">
        <v>639118255</v>
      </c>
      <c r="H1255" s="61" t="s">
        <v>68</v>
      </c>
      <c r="I1255" s="63" t="str">
        <f t="shared" si="132"/>
        <v>Hungary-Online Supplier-Direct</v>
      </c>
      <c r="J1255" s="47"/>
      <c r="K1255" s="54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  <c r="AB1255" s="35"/>
      <c r="AC1255" s="35"/>
      <c r="AD1255" s="35"/>
      <c r="AE1255" s="35"/>
      <c r="AF1255" s="35"/>
      <c r="AG1255" s="35"/>
      <c r="AH1255" s="35"/>
      <c r="AI1255" s="35"/>
      <c r="AJ1255" s="35"/>
      <c r="AK1255" s="35"/>
      <c r="AL1255" s="35"/>
      <c r="AM1255" s="35"/>
      <c r="AN1255" s="35"/>
      <c r="AO1255" s="35"/>
      <c r="AP1255" s="35"/>
    </row>
    <row r="1256" spans="1:42" ht="17.25" customHeight="1" x14ac:dyDescent="0.25">
      <c r="A1256" s="55">
        <v>2015</v>
      </c>
      <c r="B1256" s="56" t="s">
        <v>66</v>
      </c>
      <c r="C1256" s="56" t="s">
        <v>17</v>
      </c>
      <c r="D1256" s="56" t="s">
        <v>20</v>
      </c>
      <c r="E1256" s="56" t="s">
        <v>69</v>
      </c>
      <c r="F1256" s="56" t="s">
        <v>71</v>
      </c>
      <c r="G1256" s="57">
        <v>193182035</v>
      </c>
      <c r="H1256" s="56" t="s">
        <v>68</v>
      </c>
      <c r="I1256" s="58" t="str">
        <f t="shared" si="132"/>
        <v>Hungary-OTA</v>
      </c>
      <c r="J1256" s="40"/>
      <c r="K1256" s="59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  <c r="AB1256" s="35"/>
      <c r="AC1256" s="35"/>
      <c r="AD1256" s="35"/>
      <c r="AE1256" s="35"/>
      <c r="AF1256" s="35"/>
      <c r="AG1256" s="35"/>
      <c r="AH1256" s="35"/>
      <c r="AI1256" s="35"/>
      <c r="AJ1256" s="35"/>
      <c r="AK1256" s="35"/>
      <c r="AL1256" s="35"/>
      <c r="AM1256" s="35"/>
      <c r="AN1256" s="35"/>
      <c r="AO1256" s="35"/>
      <c r="AP1256" s="35"/>
    </row>
    <row r="1257" spans="1:42" ht="17.25" customHeight="1" x14ac:dyDescent="0.25">
      <c r="A1257" s="60">
        <v>2015</v>
      </c>
      <c r="B1257" s="61" t="s">
        <v>66</v>
      </c>
      <c r="C1257" s="61" t="s">
        <v>4</v>
      </c>
      <c r="D1257" s="61" t="s">
        <v>7</v>
      </c>
      <c r="E1257" s="61" t="s">
        <v>67</v>
      </c>
      <c r="F1257" s="61" t="s">
        <v>67</v>
      </c>
      <c r="G1257" s="62">
        <v>16491623810</v>
      </c>
      <c r="H1257" s="61" t="s">
        <v>68</v>
      </c>
      <c r="I1257" s="63" t="str">
        <f t="shared" si="132"/>
        <v>India-Offline</v>
      </c>
      <c r="J1257" s="47"/>
      <c r="K1257" s="54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</row>
    <row r="1258" spans="1:42" ht="17.25" customHeight="1" x14ac:dyDescent="0.25">
      <c r="A1258" s="55">
        <v>2015</v>
      </c>
      <c r="B1258" s="56" t="s">
        <v>66</v>
      </c>
      <c r="C1258" s="56" t="s">
        <v>4</v>
      </c>
      <c r="D1258" s="56" t="s">
        <v>7</v>
      </c>
      <c r="E1258" s="56" t="s">
        <v>69</v>
      </c>
      <c r="F1258" s="56" t="s">
        <v>70</v>
      </c>
      <c r="G1258" s="57">
        <v>5034344485</v>
      </c>
      <c r="H1258" s="56" t="s">
        <v>68</v>
      </c>
      <c r="I1258" s="58" t="str">
        <f t="shared" si="132"/>
        <v>India-Online Supplier-Direct</v>
      </c>
      <c r="J1258" s="40"/>
      <c r="K1258" s="59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  <c r="AB1258" s="35"/>
      <c r="AC1258" s="35"/>
      <c r="AD1258" s="35"/>
      <c r="AE1258" s="35"/>
      <c r="AF1258" s="35"/>
      <c r="AG1258" s="35"/>
      <c r="AH1258" s="35"/>
      <c r="AI1258" s="35"/>
      <c r="AJ1258" s="35"/>
      <c r="AK1258" s="35"/>
      <c r="AL1258" s="35"/>
      <c r="AM1258" s="35"/>
      <c r="AN1258" s="35"/>
      <c r="AO1258" s="35"/>
      <c r="AP1258" s="35"/>
    </row>
    <row r="1259" spans="1:42" ht="17.25" customHeight="1" x14ac:dyDescent="0.25">
      <c r="A1259" s="60">
        <v>2015</v>
      </c>
      <c r="B1259" s="61" t="s">
        <v>66</v>
      </c>
      <c r="C1259" s="61" t="s">
        <v>4</v>
      </c>
      <c r="D1259" s="61" t="s">
        <v>7</v>
      </c>
      <c r="E1259" s="61" t="s">
        <v>69</v>
      </c>
      <c r="F1259" s="61" t="s">
        <v>71</v>
      </c>
      <c r="G1259" s="62">
        <v>3570559711</v>
      </c>
      <c r="H1259" s="61" t="s">
        <v>68</v>
      </c>
      <c r="I1259" s="63" t="str">
        <f t="shared" si="132"/>
        <v>India-OTA</v>
      </c>
      <c r="J1259" s="47"/>
      <c r="K1259" s="54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  <c r="AC1259" s="35"/>
      <c r="AD1259" s="35"/>
      <c r="AE1259" s="35"/>
      <c r="AF1259" s="35"/>
      <c r="AG1259" s="35"/>
      <c r="AH1259" s="35"/>
      <c r="AI1259" s="35"/>
      <c r="AJ1259" s="35"/>
      <c r="AK1259" s="35"/>
      <c r="AL1259" s="35"/>
      <c r="AM1259" s="35"/>
      <c r="AN1259" s="35"/>
      <c r="AO1259" s="35"/>
      <c r="AP1259" s="35"/>
    </row>
    <row r="1260" spans="1:42" ht="17.25" customHeight="1" x14ac:dyDescent="0.25">
      <c r="A1260" s="55">
        <v>2015</v>
      </c>
      <c r="B1260" s="56" t="s">
        <v>66</v>
      </c>
      <c r="C1260" s="56" t="s">
        <v>4</v>
      </c>
      <c r="D1260" s="56" t="s">
        <v>8</v>
      </c>
      <c r="E1260" s="56" t="s">
        <v>67</v>
      </c>
      <c r="F1260" s="56" t="s">
        <v>67</v>
      </c>
      <c r="G1260" s="57">
        <v>9562653943</v>
      </c>
      <c r="H1260" s="56" t="s">
        <v>68</v>
      </c>
      <c r="I1260" s="58" t="str">
        <f t="shared" si="132"/>
        <v>Indonesia-Offline</v>
      </c>
      <c r="J1260" s="40"/>
      <c r="K1260" s="59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  <c r="AA1260" s="35"/>
      <c r="AB1260" s="35"/>
      <c r="AC1260" s="35"/>
      <c r="AD1260" s="35"/>
      <c r="AE1260" s="35"/>
      <c r="AF1260" s="35"/>
      <c r="AG1260" s="35"/>
      <c r="AH1260" s="35"/>
      <c r="AI1260" s="35"/>
      <c r="AJ1260" s="35"/>
      <c r="AK1260" s="35"/>
      <c r="AL1260" s="35"/>
      <c r="AM1260" s="35"/>
      <c r="AN1260" s="35"/>
      <c r="AO1260" s="35"/>
      <c r="AP1260" s="35"/>
    </row>
    <row r="1261" spans="1:42" ht="17.25" customHeight="1" x14ac:dyDescent="0.25">
      <c r="A1261" s="60">
        <v>2015</v>
      </c>
      <c r="B1261" s="61" t="s">
        <v>66</v>
      </c>
      <c r="C1261" s="61" t="s">
        <v>4</v>
      </c>
      <c r="D1261" s="61" t="s">
        <v>8</v>
      </c>
      <c r="E1261" s="61" t="s">
        <v>69</v>
      </c>
      <c r="F1261" s="61" t="s">
        <v>70</v>
      </c>
      <c r="G1261" s="62">
        <v>982107281</v>
      </c>
      <c r="H1261" s="61" t="s">
        <v>68</v>
      </c>
      <c r="I1261" s="63" t="str">
        <f t="shared" si="132"/>
        <v>Indonesia-Online Supplier-Direct</v>
      </c>
      <c r="J1261" s="47"/>
      <c r="K1261" s="54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  <c r="AB1261" s="35"/>
      <c r="AC1261" s="35"/>
      <c r="AD1261" s="35"/>
      <c r="AE1261" s="35"/>
      <c r="AF1261" s="35"/>
      <c r="AG1261" s="35"/>
      <c r="AH1261" s="35"/>
      <c r="AI1261" s="35"/>
      <c r="AJ1261" s="35"/>
      <c r="AK1261" s="35"/>
      <c r="AL1261" s="35"/>
      <c r="AM1261" s="35"/>
      <c r="AN1261" s="35"/>
      <c r="AO1261" s="35"/>
      <c r="AP1261" s="35"/>
    </row>
    <row r="1262" spans="1:42" ht="17.25" customHeight="1" x14ac:dyDescent="0.25">
      <c r="A1262" s="55">
        <v>2015</v>
      </c>
      <c r="B1262" s="56" t="s">
        <v>66</v>
      </c>
      <c r="C1262" s="56" t="s">
        <v>4</v>
      </c>
      <c r="D1262" s="56" t="s">
        <v>8</v>
      </c>
      <c r="E1262" s="56" t="s">
        <v>69</v>
      </c>
      <c r="F1262" s="56" t="s">
        <v>71</v>
      </c>
      <c r="G1262" s="57">
        <v>626232373</v>
      </c>
      <c r="H1262" s="56" t="s">
        <v>68</v>
      </c>
      <c r="I1262" s="58" t="str">
        <f t="shared" si="132"/>
        <v>Indonesia-OTA</v>
      </c>
      <c r="J1262" s="40"/>
      <c r="K1262" s="59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  <c r="AB1262" s="35"/>
      <c r="AC1262" s="35"/>
      <c r="AD1262" s="35"/>
      <c r="AE1262" s="35"/>
      <c r="AF1262" s="35"/>
      <c r="AG1262" s="35"/>
      <c r="AH1262" s="35"/>
      <c r="AI1262" s="35"/>
      <c r="AJ1262" s="35"/>
      <c r="AK1262" s="35"/>
      <c r="AL1262" s="35"/>
      <c r="AM1262" s="35"/>
      <c r="AN1262" s="35"/>
      <c r="AO1262" s="35"/>
      <c r="AP1262" s="35"/>
    </row>
    <row r="1263" spans="1:42" ht="17.25" customHeight="1" x14ac:dyDescent="0.25">
      <c r="A1263" s="60">
        <v>2015</v>
      </c>
      <c r="B1263" s="61" t="s">
        <v>66</v>
      </c>
      <c r="C1263" s="61" t="s">
        <v>27</v>
      </c>
      <c r="D1263" s="61" t="s">
        <v>29</v>
      </c>
      <c r="E1263" s="61" t="s">
        <v>67</v>
      </c>
      <c r="F1263" s="61" t="s">
        <v>67</v>
      </c>
      <c r="G1263" s="62">
        <v>16012875352</v>
      </c>
      <c r="H1263" s="61" t="s">
        <v>68</v>
      </c>
      <c r="I1263" s="63" t="str">
        <f t="shared" si="132"/>
        <v>Italy-Offline</v>
      </c>
      <c r="J1263" s="47"/>
      <c r="K1263" s="54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  <c r="AB1263" s="35"/>
      <c r="AC1263" s="35"/>
      <c r="AD1263" s="35"/>
      <c r="AE1263" s="35"/>
      <c r="AF1263" s="35"/>
      <c r="AG1263" s="35"/>
      <c r="AH1263" s="35"/>
      <c r="AI1263" s="35"/>
      <c r="AJ1263" s="35"/>
      <c r="AK1263" s="35"/>
      <c r="AL1263" s="35"/>
      <c r="AM1263" s="35"/>
      <c r="AN1263" s="35"/>
      <c r="AO1263" s="35"/>
      <c r="AP1263" s="35"/>
    </row>
    <row r="1264" spans="1:42" ht="17.25" customHeight="1" x14ac:dyDescent="0.25">
      <c r="A1264" s="55">
        <v>2015</v>
      </c>
      <c r="B1264" s="56" t="s">
        <v>66</v>
      </c>
      <c r="C1264" s="56" t="s">
        <v>27</v>
      </c>
      <c r="D1264" s="56" t="s">
        <v>29</v>
      </c>
      <c r="E1264" s="56" t="s">
        <v>69</v>
      </c>
      <c r="F1264" s="56" t="s">
        <v>70</v>
      </c>
      <c r="G1264" s="57">
        <v>3676898678</v>
      </c>
      <c r="H1264" s="56" t="s">
        <v>68</v>
      </c>
      <c r="I1264" s="58" t="str">
        <f t="shared" si="132"/>
        <v>Italy-Online Supplier-Direct</v>
      </c>
      <c r="J1264" s="40"/>
      <c r="K1264" s="59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  <c r="AA1264" s="35"/>
      <c r="AB1264" s="35"/>
      <c r="AC1264" s="35"/>
      <c r="AD1264" s="35"/>
      <c r="AE1264" s="35"/>
      <c r="AF1264" s="35"/>
      <c r="AG1264" s="35"/>
      <c r="AH1264" s="35"/>
      <c r="AI1264" s="35"/>
      <c r="AJ1264" s="35"/>
      <c r="AK1264" s="35"/>
      <c r="AL1264" s="35"/>
      <c r="AM1264" s="35"/>
      <c r="AN1264" s="35"/>
      <c r="AO1264" s="35"/>
      <c r="AP1264" s="35"/>
    </row>
    <row r="1265" spans="1:42" ht="17.25" customHeight="1" x14ac:dyDescent="0.25">
      <c r="A1265" s="60">
        <v>2015</v>
      </c>
      <c r="B1265" s="61" t="s">
        <v>66</v>
      </c>
      <c r="C1265" s="61" t="s">
        <v>27</v>
      </c>
      <c r="D1265" s="61" t="s">
        <v>29</v>
      </c>
      <c r="E1265" s="61" t="s">
        <v>69</v>
      </c>
      <c r="F1265" s="61" t="s">
        <v>71</v>
      </c>
      <c r="G1265" s="62">
        <v>4579181440</v>
      </c>
      <c r="H1265" s="61" t="s">
        <v>68</v>
      </c>
      <c r="I1265" s="63" t="str">
        <f t="shared" si="132"/>
        <v>Italy-OTA</v>
      </c>
      <c r="J1265" s="47"/>
      <c r="K1265" s="54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  <c r="AB1265" s="35"/>
      <c r="AC1265" s="35"/>
      <c r="AD1265" s="35"/>
      <c r="AE1265" s="35"/>
      <c r="AF1265" s="35"/>
      <c r="AG1265" s="35"/>
      <c r="AH1265" s="35"/>
      <c r="AI1265" s="35"/>
      <c r="AJ1265" s="35"/>
      <c r="AK1265" s="35"/>
      <c r="AL1265" s="35"/>
      <c r="AM1265" s="35"/>
      <c r="AN1265" s="35"/>
      <c r="AO1265" s="35"/>
      <c r="AP1265" s="35"/>
    </row>
    <row r="1266" spans="1:42" ht="17.25" customHeight="1" x14ac:dyDescent="0.25">
      <c r="A1266" s="55">
        <v>2015</v>
      </c>
      <c r="B1266" s="56" t="s">
        <v>66</v>
      </c>
      <c r="C1266" s="56" t="s">
        <v>4</v>
      </c>
      <c r="D1266" s="56" t="s">
        <v>9</v>
      </c>
      <c r="E1266" s="56" t="s">
        <v>67</v>
      </c>
      <c r="F1266" s="56" t="s">
        <v>67</v>
      </c>
      <c r="G1266" s="57">
        <v>54393868662</v>
      </c>
      <c r="H1266" s="56" t="s">
        <v>68</v>
      </c>
      <c r="I1266" s="58" t="str">
        <f t="shared" si="132"/>
        <v>Japan-Offline</v>
      </c>
      <c r="J1266" s="40"/>
      <c r="K1266" s="59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  <c r="AB1266" s="35"/>
      <c r="AC1266" s="35"/>
      <c r="AD1266" s="35"/>
      <c r="AE1266" s="35"/>
      <c r="AF1266" s="35"/>
      <c r="AG1266" s="35"/>
      <c r="AH1266" s="35"/>
      <c r="AI1266" s="35"/>
      <c r="AJ1266" s="35"/>
      <c r="AK1266" s="35"/>
      <c r="AL1266" s="35"/>
      <c r="AM1266" s="35"/>
      <c r="AN1266" s="35"/>
      <c r="AO1266" s="35"/>
      <c r="AP1266" s="35"/>
    </row>
    <row r="1267" spans="1:42" ht="17.25" customHeight="1" x14ac:dyDescent="0.25">
      <c r="A1267" s="60">
        <v>2015</v>
      </c>
      <c r="B1267" s="61" t="s">
        <v>66</v>
      </c>
      <c r="C1267" s="61" t="s">
        <v>4</v>
      </c>
      <c r="D1267" s="61" t="s">
        <v>9</v>
      </c>
      <c r="E1267" s="61" t="s">
        <v>69</v>
      </c>
      <c r="F1267" s="61" t="s">
        <v>70</v>
      </c>
      <c r="G1267" s="62">
        <v>18481637963</v>
      </c>
      <c r="H1267" s="61" t="s">
        <v>68</v>
      </c>
      <c r="I1267" s="63" t="str">
        <f t="shared" si="132"/>
        <v>Japan-Online Supplier-Direct</v>
      </c>
      <c r="J1267" s="47"/>
      <c r="K1267" s="54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  <c r="AB1267" s="35"/>
      <c r="AC1267" s="35"/>
      <c r="AD1267" s="35"/>
      <c r="AE1267" s="35"/>
      <c r="AF1267" s="35"/>
      <c r="AG1267" s="35"/>
      <c r="AH1267" s="35"/>
      <c r="AI1267" s="35"/>
      <c r="AJ1267" s="35"/>
      <c r="AK1267" s="35"/>
      <c r="AL1267" s="35"/>
      <c r="AM1267" s="35"/>
      <c r="AN1267" s="35"/>
      <c r="AO1267" s="35"/>
      <c r="AP1267" s="35"/>
    </row>
    <row r="1268" spans="1:42" ht="17.25" customHeight="1" x14ac:dyDescent="0.25">
      <c r="A1268" s="55">
        <v>2015</v>
      </c>
      <c r="B1268" s="56" t="s">
        <v>66</v>
      </c>
      <c r="C1268" s="56" t="s">
        <v>4</v>
      </c>
      <c r="D1268" s="56" t="s">
        <v>9</v>
      </c>
      <c r="E1268" s="56" t="s">
        <v>69</v>
      </c>
      <c r="F1268" s="56" t="s">
        <v>71</v>
      </c>
      <c r="G1268" s="57">
        <v>12707850965</v>
      </c>
      <c r="H1268" s="56" t="s">
        <v>68</v>
      </c>
      <c r="I1268" s="58" t="str">
        <f t="shared" si="132"/>
        <v>Japan-OTA</v>
      </c>
      <c r="J1268" s="40"/>
      <c r="K1268" s="59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</row>
    <row r="1269" spans="1:42" ht="17.25" customHeight="1" x14ac:dyDescent="0.25">
      <c r="A1269" s="60">
        <v>2015</v>
      </c>
      <c r="B1269" s="61" t="s">
        <v>66</v>
      </c>
      <c r="C1269" s="61" t="s">
        <v>4</v>
      </c>
      <c r="D1269" s="61" t="s">
        <v>10</v>
      </c>
      <c r="E1269" s="61" t="s">
        <v>67</v>
      </c>
      <c r="F1269" s="61" t="s">
        <v>67</v>
      </c>
      <c r="G1269" s="62">
        <v>1462134167</v>
      </c>
      <c r="H1269" s="61" t="s">
        <v>68</v>
      </c>
      <c r="I1269" s="63" t="str">
        <f t="shared" si="132"/>
        <v>Macau-Offline</v>
      </c>
      <c r="J1269" s="47"/>
      <c r="K1269" s="54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  <c r="AB1269" s="35"/>
      <c r="AC1269" s="35"/>
      <c r="AD1269" s="35"/>
      <c r="AE1269" s="35"/>
      <c r="AF1269" s="35"/>
      <c r="AG1269" s="35"/>
      <c r="AH1269" s="35"/>
      <c r="AI1269" s="35"/>
      <c r="AJ1269" s="35"/>
      <c r="AK1269" s="35"/>
      <c r="AL1269" s="35"/>
      <c r="AM1269" s="35"/>
      <c r="AN1269" s="35"/>
      <c r="AO1269" s="35"/>
      <c r="AP1269" s="35"/>
    </row>
    <row r="1270" spans="1:42" ht="17.25" customHeight="1" x14ac:dyDescent="0.25">
      <c r="A1270" s="55">
        <v>2015</v>
      </c>
      <c r="B1270" s="56" t="s">
        <v>66</v>
      </c>
      <c r="C1270" s="56" t="s">
        <v>4</v>
      </c>
      <c r="D1270" s="56" t="s">
        <v>10</v>
      </c>
      <c r="E1270" s="56" t="s">
        <v>69</v>
      </c>
      <c r="F1270" s="56" t="s">
        <v>70</v>
      </c>
      <c r="G1270" s="57">
        <v>45857844</v>
      </c>
      <c r="H1270" s="56" t="s">
        <v>68</v>
      </c>
      <c r="I1270" s="58" t="str">
        <f t="shared" si="132"/>
        <v>Macau-Online Supplier-Direct</v>
      </c>
      <c r="J1270" s="40"/>
      <c r="K1270" s="59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5"/>
      <c r="AC1270" s="35"/>
      <c r="AD1270" s="35"/>
      <c r="AE1270" s="35"/>
      <c r="AF1270" s="35"/>
      <c r="AG1270" s="35"/>
      <c r="AH1270" s="35"/>
      <c r="AI1270" s="35"/>
      <c r="AJ1270" s="35"/>
      <c r="AK1270" s="35"/>
      <c r="AL1270" s="35"/>
      <c r="AM1270" s="35"/>
      <c r="AN1270" s="35"/>
      <c r="AO1270" s="35"/>
      <c r="AP1270" s="35"/>
    </row>
    <row r="1271" spans="1:42" ht="17.25" customHeight="1" x14ac:dyDescent="0.25">
      <c r="A1271" s="60">
        <v>2015</v>
      </c>
      <c r="B1271" s="61" t="s">
        <v>66</v>
      </c>
      <c r="C1271" s="61" t="s">
        <v>4</v>
      </c>
      <c r="D1271" s="61" t="s">
        <v>10</v>
      </c>
      <c r="E1271" s="61" t="s">
        <v>69</v>
      </c>
      <c r="F1271" s="61" t="s">
        <v>71</v>
      </c>
      <c r="G1271" s="62">
        <v>153524088</v>
      </c>
      <c r="H1271" s="61" t="s">
        <v>68</v>
      </c>
      <c r="I1271" s="63" t="str">
        <f t="shared" si="132"/>
        <v>Macau-OTA</v>
      </c>
      <c r="J1271" s="47"/>
      <c r="K1271" s="54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  <c r="AB1271" s="35"/>
      <c r="AC1271" s="35"/>
      <c r="AD1271" s="35"/>
      <c r="AE1271" s="35"/>
      <c r="AF1271" s="35"/>
      <c r="AG1271" s="35"/>
      <c r="AH1271" s="35"/>
      <c r="AI1271" s="35"/>
      <c r="AJ1271" s="35"/>
      <c r="AK1271" s="35"/>
      <c r="AL1271" s="35"/>
      <c r="AM1271" s="35"/>
      <c r="AN1271" s="35"/>
      <c r="AO1271" s="35"/>
      <c r="AP1271" s="35"/>
    </row>
    <row r="1272" spans="1:42" ht="17.25" customHeight="1" x14ac:dyDescent="0.25">
      <c r="A1272" s="55">
        <v>2015</v>
      </c>
      <c r="B1272" s="56" t="s">
        <v>66</v>
      </c>
      <c r="C1272" s="56" t="s">
        <v>4</v>
      </c>
      <c r="D1272" s="56" t="s">
        <v>11</v>
      </c>
      <c r="E1272" s="56" t="s">
        <v>67</v>
      </c>
      <c r="F1272" s="56" t="s">
        <v>67</v>
      </c>
      <c r="G1272" s="57">
        <v>5502878947</v>
      </c>
      <c r="H1272" s="56" t="s">
        <v>68</v>
      </c>
      <c r="I1272" s="58" t="str">
        <f t="shared" si="132"/>
        <v>Malaysia-Offline</v>
      </c>
      <c r="J1272" s="40"/>
      <c r="K1272" s="59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  <c r="AA1272" s="35"/>
      <c r="AB1272" s="35"/>
      <c r="AC1272" s="35"/>
      <c r="AD1272" s="35"/>
      <c r="AE1272" s="35"/>
      <c r="AF1272" s="35"/>
      <c r="AG1272" s="35"/>
      <c r="AH1272" s="35"/>
      <c r="AI1272" s="35"/>
      <c r="AJ1272" s="35"/>
      <c r="AK1272" s="35"/>
      <c r="AL1272" s="35"/>
      <c r="AM1272" s="35"/>
      <c r="AN1272" s="35"/>
      <c r="AO1272" s="35"/>
      <c r="AP1272" s="35"/>
    </row>
    <row r="1273" spans="1:42" ht="17.25" customHeight="1" x14ac:dyDescent="0.25">
      <c r="A1273" s="60">
        <v>2015</v>
      </c>
      <c r="B1273" s="61" t="s">
        <v>66</v>
      </c>
      <c r="C1273" s="61" t="s">
        <v>4</v>
      </c>
      <c r="D1273" s="61" t="s">
        <v>11</v>
      </c>
      <c r="E1273" s="61" t="s">
        <v>69</v>
      </c>
      <c r="F1273" s="61" t="s">
        <v>70</v>
      </c>
      <c r="G1273" s="62">
        <v>2145199550</v>
      </c>
      <c r="H1273" s="61" t="s">
        <v>68</v>
      </c>
      <c r="I1273" s="63" t="str">
        <f t="shared" si="132"/>
        <v>Malaysia-Online Supplier-Direct</v>
      </c>
      <c r="J1273" s="47"/>
      <c r="K1273" s="54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5"/>
      <c r="AG1273" s="35"/>
      <c r="AH1273" s="35"/>
      <c r="AI1273" s="35"/>
      <c r="AJ1273" s="35"/>
      <c r="AK1273" s="35"/>
      <c r="AL1273" s="35"/>
      <c r="AM1273" s="35"/>
      <c r="AN1273" s="35"/>
      <c r="AO1273" s="35"/>
      <c r="AP1273" s="35"/>
    </row>
    <row r="1274" spans="1:42" ht="17.25" customHeight="1" x14ac:dyDescent="0.25">
      <c r="A1274" s="55">
        <v>2015</v>
      </c>
      <c r="B1274" s="56" t="s">
        <v>66</v>
      </c>
      <c r="C1274" s="56" t="s">
        <v>4</v>
      </c>
      <c r="D1274" s="56" t="s">
        <v>11</v>
      </c>
      <c r="E1274" s="56" t="s">
        <v>69</v>
      </c>
      <c r="F1274" s="56" t="s">
        <v>71</v>
      </c>
      <c r="G1274" s="57">
        <v>941733654</v>
      </c>
      <c r="H1274" s="56" t="s">
        <v>68</v>
      </c>
      <c r="I1274" s="58" t="str">
        <f t="shared" si="132"/>
        <v>Malaysia-OTA</v>
      </c>
      <c r="J1274" s="40"/>
      <c r="K1274" s="59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  <c r="AB1274" s="35"/>
      <c r="AC1274" s="35"/>
      <c r="AD1274" s="35"/>
      <c r="AE1274" s="35"/>
      <c r="AF1274" s="35"/>
      <c r="AG1274" s="35"/>
      <c r="AH1274" s="35"/>
      <c r="AI1274" s="35"/>
      <c r="AJ1274" s="35"/>
      <c r="AK1274" s="35"/>
      <c r="AL1274" s="35"/>
      <c r="AM1274" s="35"/>
      <c r="AN1274" s="35"/>
      <c r="AO1274" s="35"/>
      <c r="AP1274" s="35"/>
    </row>
    <row r="1275" spans="1:42" ht="17.25" customHeight="1" x14ac:dyDescent="0.25">
      <c r="A1275" s="60">
        <v>2015</v>
      </c>
      <c r="B1275" s="61" t="s">
        <v>66</v>
      </c>
      <c r="C1275" s="61" t="s">
        <v>35</v>
      </c>
      <c r="D1275" s="61" t="s">
        <v>39</v>
      </c>
      <c r="E1275" s="61" t="s">
        <v>67</v>
      </c>
      <c r="F1275" s="61" t="s">
        <v>67</v>
      </c>
      <c r="G1275" s="62">
        <v>16857300699</v>
      </c>
      <c r="H1275" s="61" t="s">
        <v>68</v>
      </c>
      <c r="I1275" s="63" t="str">
        <f t="shared" si="132"/>
        <v>Mexico-Offline</v>
      </c>
      <c r="J1275" s="47"/>
      <c r="K1275" s="54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  <c r="AB1275" s="35"/>
      <c r="AC1275" s="35"/>
      <c r="AD1275" s="35"/>
      <c r="AE1275" s="35"/>
      <c r="AF1275" s="35"/>
      <c r="AG1275" s="35"/>
      <c r="AH1275" s="35"/>
      <c r="AI1275" s="35"/>
      <c r="AJ1275" s="35"/>
      <c r="AK1275" s="35"/>
      <c r="AL1275" s="35"/>
      <c r="AM1275" s="35"/>
      <c r="AN1275" s="35"/>
      <c r="AO1275" s="35"/>
      <c r="AP1275" s="35"/>
    </row>
    <row r="1276" spans="1:42" ht="17.25" customHeight="1" x14ac:dyDescent="0.25">
      <c r="A1276" s="55">
        <v>2015</v>
      </c>
      <c r="B1276" s="56" t="s">
        <v>66</v>
      </c>
      <c r="C1276" s="56" t="s">
        <v>35</v>
      </c>
      <c r="D1276" s="56" t="s">
        <v>39</v>
      </c>
      <c r="E1276" s="56" t="s">
        <v>69</v>
      </c>
      <c r="F1276" s="56" t="s">
        <v>70</v>
      </c>
      <c r="G1276" s="57">
        <v>2974194221</v>
      </c>
      <c r="H1276" s="56" t="s">
        <v>68</v>
      </c>
      <c r="I1276" s="58" t="str">
        <f t="shared" si="132"/>
        <v>Mexico-Online Supplier-Direct</v>
      </c>
      <c r="J1276" s="40"/>
      <c r="K1276" s="59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  <c r="AB1276" s="35"/>
      <c r="AC1276" s="35"/>
      <c r="AD1276" s="35"/>
      <c r="AE1276" s="35"/>
      <c r="AF1276" s="35"/>
      <c r="AG1276" s="35"/>
      <c r="AH1276" s="35"/>
      <c r="AI1276" s="35"/>
      <c r="AJ1276" s="35"/>
      <c r="AK1276" s="35"/>
      <c r="AL1276" s="35"/>
      <c r="AM1276" s="35"/>
      <c r="AN1276" s="35"/>
      <c r="AO1276" s="35"/>
      <c r="AP1276" s="35"/>
    </row>
    <row r="1277" spans="1:42" ht="17.25" customHeight="1" x14ac:dyDescent="0.25">
      <c r="A1277" s="60">
        <v>2015</v>
      </c>
      <c r="B1277" s="61" t="s">
        <v>66</v>
      </c>
      <c r="C1277" s="61" t="s">
        <v>35</v>
      </c>
      <c r="D1277" s="61" t="s">
        <v>39</v>
      </c>
      <c r="E1277" s="61" t="s">
        <v>69</v>
      </c>
      <c r="F1277" s="61" t="s">
        <v>71</v>
      </c>
      <c r="G1277" s="62">
        <v>4031204310</v>
      </c>
      <c r="H1277" s="61" t="s">
        <v>68</v>
      </c>
      <c r="I1277" s="63" t="str">
        <f t="shared" ref="I1277:I1531" si="133">D1277&amp;"-"&amp;F1277</f>
        <v>Mexico-OTA</v>
      </c>
      <c r="J1277" s="47"/>
      <c r="K1277" s="54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  <c r="AB1277" s="35"/>
      <c r="AC1277" s="35"/>
      <c r="AD1277" s="35"/>
      <c r="AE1277" s="35"/>
      <c r="AF1277" s="35"/>
      <c r="AG1277" s="35"/>
      <c r="AH1277" s="35"/>
      <c r="AI1277" s="35"/>
      <c r="AJ1277" s="35"/>
      <c r="AK1277" s="35"/>
      <c r="AL1277" s="35"/>
      <c r="AM1277" s="35"/>
      <c r="AN1277" s="35"/>
      <c r="AO1277" s="35"/>
      <c r="AP1277" s="35"/>
    </row>
    <row r="1278" spans="1:42" ht="17.25" customHeight="1" x14ac:dyDescent="0.25">
      <c r="A1278" s="55">
        <v>2015</v>
      </c>
      <c r="B1278" s="56" t="s">
        <v>66</v>
      </c>
      <c r="C1278" s="56" t="s">
        <v>17</v>
      </c>
      <c r="D1278" s="56" t="s">
        <v>21</v>
      </c>
      <c r="E1278" s="56" t="s">
        <v>67</v>
      </c>
      <c r="F1278" s="56" t="s">
        <v>67</v>
      </c>
      <c r="G1278" s="57">
        <v>3369478150</v>
      </c>
      <c r="H1278" s="56" t="s">
        <v>68</v>
      </c>
      <c r="I1278" s="58" t="str">
        <f t="shared" si="133"/>
        <v>Poland-Offline</v>
      </c>
      <c r="J1278" s="40"/>
      <c r="K1278" s="59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  <c r="AB1278" s="35"/>
      <c r="AC1278" s="35"/>
      <c r="AD1278" s="35"/>
      <c r="AE1278" s="35"/>
      <c r="AF1278" s="35"/>
      <c r="AG1278" s="35"/>
      <c r="AH1278" s="35"/>
      <c r="AI1278" s="35"/>
      <c r="AJ1278" s="35"/>
      <c r="AK1278" s="35"/>
      <c r="AL1278" s="35"/>
      <c r="AM1278" s="35"/>
      <c r="AN1278" s="35"/>
      <c r="AO1278" s="35"/>
      <c r="AP1278" s="35"/>
    </row>
    <row r="1279" spans="1:42" ht="17.25" customHeight="1" x14ac:dyDescent="0.25">
      <c r="A1279" s="60">
        <v>2015</v>
      </c>
      <c r="B1279" s="61" t="s">
        <v>66</v>
      </c>
      <c r="C1279" s="61" t="s">
        <v>17</v>
      </c>
      <c r="D1279" s="61" t="s">
        <v>21</v>
      </c>
      <c r="E1279" s="61" t="s">
        <v>69</v>
      </c>
      <c r="F1279" s="61" t="s">
        <v>70</v>
      </c>
      <c r="G1279" s="62">
        <v>915330464</v>
      </c>
      <c r="H1279" s="61" t="s">
        <v>68</v>
      </c>
      <c r="I1279" s="63" t="str">
        <f t="shared" si="133"/>
        <v>Poland-Online Supplier-Direct</v>
      </c>
      <c r="J1279" s="47"/>
      <c r="K1279" s="54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  <c r="AB1279" s="35"/>
      <c r="AC1279" s="35"/>
      <c r="AD1279" s="35"/>
      <c r="AE1279" s="35"/>
      <c r="AF1279" s="35"/>
      <c r="AG1279" s="35"/>
      <c r="AH1279" s="35"/>
      <c r="AI1279" s="35"/>
      <c r="AJ1279" s="35"/>
      <c r="AK1279" s="35"/>
      <c r="AL1279" s="35"/>
      <c r="AM1279" s="35"/>
      <c r="AN1279" s="35"/>
      <c r="AO1279" s="35"/>
      <c r="AP1279" s="35"/>
    </row>
    <row r="1280" spans="1:42" ht="17.25" customHeight="1" x14ac:dyDescent="0.25">
      <c r="A1280" s="55">
        <v>2015</v>
      </c>
      <c r="B1280" s="56" t="s">
        <v>66</v>
      </c>
      <c r="C1280" s="56" t="s">
        <v>17</v>
      </c>
      <c r="D1280" s="56" t="s">
        <v>21</v>
      </c>
      <c r="E1280" s="56" t="s">
        <v>69</v>
      </c>
      <c r="F1280" s="56" t="s">
        <v>71</v>
      </c>
      <c r="G1280" s="57">
        <v>797386485</v>
      </c>
      <c r="H1280" s="56" t="s">
        <v>68</v>
      </c>
      <c r="I1280" s="58" t="str">
        <f t="shared" si="133"/>
        <v>Poland-OTA</v>
      </c>
      <c r="J1280" s="40"/>
      <c r="K1280" s="59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  <c r="AB1280" s="35"/>
      <c r="AC1280" s="35"/>
      <c r="AD1280" s="35"/>
      <c r="AE1280" s="35"/>
      <c r="AF1280" s="35"/>
      <c r="AG1280" s="35"/>
      <c r="AH1280" s="35"/>
      <c r="AI1280" s="35"/>
      <c r="AJ1280" s="35"/>
      <c r="AK1280" s="35"/>
      <c r="AL1280" s="35"/>
      <c r="AM1280" s="35"/>
      <c r="AN1280" s="35"/>
      <c r="AO1280" s="35"/>
      <c r="AP1280" s="35"/>
    </row>
    <row r="1281" spans="1:42" ht="17.25" customHeight="1" x14ac:dyDescent="0.25">
      <c r="A1281" s="60">
        <v>2015</v>
      </c>
      <c r="B1281" s="61" t="s">
        <v>66</v>
      </c>
      <c r="C1281" s="61" t="s">
        <v>41</v>
      </c>
      <c r="D1281" s="61" t="s">
        <v>42</v>
      </c>
      <c r="E1281" s="61" t="s">
        <v>67</v>
      </c>
      <c r="F1281" s="61" t="s">
        <v>67</v>
      </c>
      <c r="G1281" s="62">
        <v>7239648807</v>
      </c>
      <c r="H1281" s="61" t="s">
        <v>68</v>
      </c>
      <c r="I1281" s="63" t="str">
        <f t="shared" si="133"/>
        <v>Qatar-Offline</v>
      </c>
      <c r="J1281" s="47"/>
      <c r="K1281" s="54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  <c r="AG1281" s="35"/>
      <c r="AH1281" s="35"/>
      <c r="AI1281" s="35"/>
      <c r="AJ1281" s="35"/>
      <c r="AK1281" s="35"/>
      <c r="AL1281" s="35"/>
      <c r="AM1281" s="35"/>
      <c r="AN1281" s="35"/>
      <c r="AO1281" s="35"/>
      <c r="AP1281" s="35"/>
    </row>
    <row r="1282" spans="1:42" ht="17.25" customHeight="1" x14ac:dyDescent="0.25">
      <c r="A1282" s="55">
        <v>2015</v>
      </c>
      <c r="B1282" s="56" t="s">
        <v>66</v>
      </c>
      <c r="C1282" s="56" t="s">
        <v>41</v>
      </c>
      <c r="D1282" s="56" t="s">
        <v>42</v>
      </c>
      <c r="E1282" s="56" t="s">
        <v>69</v>
      </c>
      <c r="F1282" s="56" t="s">
        <v>70</v>
      </c>
      <c r="G1282" s="57">
        <v>1421613926</v>
      </c>
      <c r="H1282" s="56" t="s">
        <v>68</v>
      </c>
      <c r="I1282" s="58" t="str">
        <f t="shared" si="133"/>
        <v>Qatar-Online Supplier-Direct</v>
      </c>
      <c r="J1282" s="40"/>
      <c r="K1282" s="59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  <c r="AB1282" s="35"/>
      <c r="AC1282" s="35"/>
      <c r="AD1282" s="35"/>
      <c r="AE1282" s="35"/>
      <c r="AF1282" s="35"/>
      <c r="AG1282" s="35"/>
      <c r="AH1282" s="35"/>
      <c r="AI1282" s="35"/>
      <c r="AJ1282" s="35"/>
      <c r="AK1282" s="35"/>
      <c r="AL1282" s="35"/>
      <c r="AM1282" s="35"/>
      <c r="AN1282" s="35"/>
      <c r="AO1282" s="35"/>
      <c r="AP1282" s="35"/>
    </row>
    <row r="1283" spans="1:42" ht="17.25" customHeight="1" x14ac:dyDescent="0.25">
      <c r="A1283" s="60">
        <v>2015</v>
      </c>
      <c r="B1283" s="61" t="s">
        <v>66</v>
      </c>
      <c r="C1283" s="61" t="s">
        <v>41</v>
      </c>
      <c r="D1283" s="61" t="s">
        <v>42</v>
      </c>
      <c r="E1283" s="61" t="s">
        <v>69</v>
      </c>
      <c r="F1283" s="61" t="s">
        <v>71</v>
      </c>
      <c r="G1283" s="62">
        <v>754954498</v>
      </c>
      <c r="H1283" s="61" t="s">
        <v>68</v>
      </c>
      <c r="I1283" s="63" t="str">
        <f t="shared" si="133"/>
        <v>Qatar-OTA</v>
      </c>
      <c r="J1283" s="47"/>
      <c r="K1283" s="54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  <c r="AB1283" s="35"/>
      <c r="AC1283" s="35"/>
      <c r="AD1283" s="35"/>
      <c r="AE1283" s="35"/>
      <c r="AF1283" s="35"/>
      <c r="AG1283" s="35"/>
      <c r="AH1283" s="35"/>
      <c r="AI1283" s="35"/>
      <c r="AJ1283" s="35"/>
      <c r="AK1283" s="35"/>
      <c r="AL1283" s="35"/>
      <c r="AM1283" s="35"/>
      <c r="AN1283" s="35"/>
      <c r="AO1283" s="35"/>
      <c r="AP1283" s="35"/>
    </row>
    <row r="1284" spans="1:42" ht="17.25" customHeight="1" x14ac:dyDescent="0.25">
      <c r="A1284" s="55">
        <v>2015</v>
      </c>
      <c r="B1284" s="56" t="s">
        <v>66</v>
      </c>
      <c r="C1284" s="56" t="s">
        <v>17</v>
      </c>
      <c r="D1284" s="56" t="s">
        <v>22</v>
      </c>
      <c r="E1284" s="56" t="s">
        <v>67</v>
      </c>
      <c r="F1284" s="56" t="s">
        <v>67</v>
      </c>
      <c r="G1284" s="57">
        <v>1143441696</v>
      </c>
      <c r="H1284" s="56" t="s">
        <v>68</v>
      </c>
      <c r="I1284" s="58" t="str">
        <f t="shared" si="133"/>
        <v>Rest of Eastern Europe-Offline</v>
      </c>
      <c r="J1284" s="40"/>
      <c r="K1284" s="59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</row>
    <row r="1285" spans="1:42" ht="17.25" customHeight="1" x14ac:dyDescent="0.25">
      <c r="A1285" s="60">
        <v>2015</v>
      </c>
      <c r="B1285" s="61" t="s">
        <v>66</v>
      </c>
      <c r="C1285" s="61" t="s">
        <v>17</v>
      </c>
      <c r="D1285" s="61" t="s">
        <v>22</v>
      </c>
      <c r="E1285" s="61" t="s">
        <v>69</v>
      </c>
      <c r="F1285" s="61" t="s">
        <v>70</v>
      </c>
      <c r="G1285" s="62">
        <v>337318159</v>
      </c>
      <c r="H1285" s="61" t="s">
        <v>68</v>
      </c>
      <c r="I1285" s="63" t="str">
        <f t="shared" si="133"/>
        <v>Rest of Eastern Europe-Online Supplier-Direct</v>
      </c>
      <c r="J1285" s="47"/>
      <c r="K1285" s="54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  <c r="AB1285" s="35"/>
      <c r="AC1285" s="35"/>
      <c r="AD1285" s="35"/>
      <c r="AE1285" s="35"/>
      <c r="AF1285" s="35"/>
      <c r="AG1285" s="35"/>
      <c r="AH1285" s="35"/>
      <c r="AI1285" s="35"/>
      <c r="AJ1285" s="35"/>
      <c r="AK1285" s="35"/>
      <c r="AL1285" s="35"/>
      <c r="AM1285" s="35"/>
      <c r="AN1285" s="35"/>
      <c r="AO1285" s="35"/>
      <c r="AP1285" s="35"/>
    </row>
    <row r="1286" spans="1:42" ht="17.25" customHeight="1" x14ac:dyDescent="0.25">
      <c r="A1286" s="55">
        <v>2015</v>
      </c>
      <c r="B1286" s="56" t="s">
        <v>66</v>
      </c>
      <c r="C1286" s="56" t="s">
        <v>17</v>
      </c>
      <c r="D1286" s="56" t="s">
        <v>22</v>
      </c>
      <c r="E1286" s="56" t="s">
        <v>69</v>
      </c>
      <c r="F1286" s="56" t="s">
        <v>71</v>
      </c>
      <c r="G1286" s="57">
        <v>284132222</v>
      </c>
      <c r="H1286" s="56" t="s">
        <v>68</v>
      </c>
      <c r="I1286" s="58" t="str">
        <f t="shared" si="133"/>
        <v>Rest of Eastern Europe-OTA</v>
      </c>
      <c r="J1286" s="40"/>
      <c r="K1286" s="59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  <c r="AB1286" s="35"/>
      <c r="AC1286" s="35"/>
      <c r="AD1286" s="35"/>
      <c r="AE1286" s="35"/>
      <c r="AF1286" s="35"/>
      <c r="AG1286" s="35"/>
      <c r="AH1286" s="35"/>
      <c r="AI1286" s="35"/>
      <c r="AJ1286" s="35"/>
      <c r="AK1286" s="35"/>
      <c r="AL1286" s="35"/>
      <c r="AM1286" s="35"/>
      <c r="AN1286" s="35"/>
      <c r="AO1286" s="35"/>
      <c r="AP1286" s="35"/>
    </row>
    <row r="1287" spans="1:42" ht="17.25" customHeight="1" x14ac:dyDescent="0.25">
      <c r="A1287" s="60">
        <v>2015</v>
      </c>
      <c r="B1287" s="61" t="s">
        <v>66</v>
      </c>
      <c r="C1287" s="61" t="s">
        <v>27</v>
      </c>
      <c r="D1287" s="61" t="s">
        <v>30</v>
      </c>
      <c r="E1287" s="61" t="s">
        <v>67</v>
      </c>
      <c r="F1287" s="61" t="s">
        <v>67</v>
      </c>
      <c r="G1287" s="62">
        <v>33152605367</v>
      </c>
      <c r="H1287" s="61" t="s">
        <v>68</v>
      </c>
      <c r="I1287" s="63" t="str">
        <f t="shared" si="133"/>
        <v>Rest of Europe-Offline</v>
      </c>
      <c r="J1287" s="47"/>
      <c r="K1287" s="54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  <c r="AB1287" s="35"/>
      <c r="AC1287" s="35"/>
      <c r="AD1287" s="35"/>
      <c r="AE1287" s="35"/>
      <c r="AF1287" s="35"/>
      <c r="AG1287" s="35"/>
      <c r="AH1287" s="35"/>
      <c r="AI1287" s="35"/>
      <c r="AJ1287" s="35"/>
      <c r="AK1287" s="35"/>
      <c r="AL1287" s="35"/>
      <c r="AM1287" s="35"/>
      <c r="AN1287" s="35"/>
      <c r="AO1287" s="35"/>
      <c r="AP1287" s="35"/>
    </row>
    <row r="1288" spans="1:42" ht="17.25" customHeight="1" x14ac:dyDescent="0.25">
      <c r="A1288" s="55">
        <v>2015</v>
      </c>
      <c r="B1288" s="56" t="s">
        <v>66</v>
      </c>
      <c r="C1288" s="56" t="s">
        <v>27</v>
      </c>
      <c r="D1288" s="56" t="s">
        <v>30</v>
      </c>
      <c r="E1288" s="56" t="s">
        <v>69</v>
      </c>
      <c r="F1288" s="56" t="s">
        <v>70</v>
      </c>
      <c r="G1288" s="57">
        <v>13746612077</v>
      </c>
      <c r="H1288" s="56" t="s">
        <v>68</v>
      </c>
      <c r="I1288" s="58" t="str">
        <f t="shared" si="133"/>
        <v>Rest of Europe-Online Supplier-Direct</v>
      </c>
      <c r="J1288" s="40"/>
      <c r="K1288" s="59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  <c r="AB1288" s="35"/>
      <c r="AC1288" s="35"/>
      <c r="AD1288" s="35"/>
      <c r="AE1288" s="35"/>
      <c r="AF1288" s="35"/>
      <c r="AG1288" s="35"/>
      <c r="AH1288" s="35"/>
      <c r="AI1288" s="35"/>
      <c r="AJ1288" s="35"/>
      <c r="AK1288" s="35"/>
      <c r="AL1288" s="35"/>
      <c r="AM1288" s="35"/>
      <c r="AN1288" s="35"/>
      <c r="AO1288" s="35"/>
      <c r="AP1288" s="35"/>
    </row>
    <row r="1289" spans="1:42" ht="17.25" customHeight="1" x14ac:dyDescent="0.25">
      <c r="A1289" s="60">
        <v>2015</v>
      </c>
      <c r="B1289" s="61" t="s">
        <v>66</v>
      </c>
      <c r="C1289" s="61" t="s">
        <v>27</v>
      </c>
      <c r="D1289" s="61" t="s">
        <v>30</v>
      </c>
      <c r="E1289" s="61" t="s">
        <v>69</v>
      </c>
      <c r="F1289" s="61" t="s">
        <v>71</v>
      </c>
      <c r="G1289" s="62">
        <v>7674948328</v>
      </c>
      <c r="H1289" s="61" t="s">
        <v>68</v>
      </c>
      <c r="I1289" s="63" t="str">
        <f t="shared" si="133"/>
        <v>Rest of Europe-OTA</v>
      </c>
      <c r="J1289" s="47"/>
      <c r="K1289" s="54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</row>
    <row r="1290" spans="1:42" ht="17.25" customHeight="1" x14ac:dyDescent="0.25">
      <c r="A1290" s="55">
        <v>2015</v>
      </c>
      <c r="B1290" s="56" t="s">
        <v>66</v>
      </c>
      <c r="C1290" s="56" t="s">
        <v>41</v>
      </c>
      <c r="D1290" s="56" t="s">
        <v>43</v>
      </c>
      <c r="E1290" s="56" t="s">
        <v>67</v>
      </c>
      <c r="F1290" s="56" t="s">
        <v>67</v>
      </c>
      <c r="G1290" s="57">
        <v>6712491526</v>
      </c>
      <c r="H1290" s="56" t="s">
        <v>68</v>
      </c>
      <c r="I1290" s="58" t="str">
        <f t="shared" si="133"/>
        <v>Rest of Middle East-Offline</v>
      </c>
      <c r="J1290" s="40"/>
      <c r="K1290" s="59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  <c r="AB1290" s="35"/>
      <c r="AC1290" s="35"/>
      <c r="AD1290" s="35"/>
      <c r="AE1290" s="35"/>
      <c r="AF1290" s="35"/>
      <c r="AG1290" s="35"/>
      <c r="AH1290" s="35"/>
      <c r="AI1290" s="35"/>
      <c r="AJ1290" s="35"/>
      <c r="AK1290" s="35"/>
      <c r="AL1290" s="35"/>
      <c r="AM1290" s="35"/>
      <c r="AN1290" s="35"/>
      <c r="AO1290" s="35"/>
      <c r="AP1290" s="35"/>
    </row>
    <row r="1291" spans="1:42" ht="17.25" customHeight="1" x14ac:dyDescent="0.25">
      <c r="A1291" s="60">
        <v>2015</v>
      </c>
      <c r="B1291" s="61" t="s">
        <v>66</v>
      </c>
      <c r="C1291" s="61" t="s">
        <v>41</v>
      </c>
      <c r="D1291" s="61" t="s">
        <v>43</v>
      </c>
      <c r="E1291" s="61" t="s">
        <v>69</v>
      </c>
      <c r="F1291" s="61" t="s">
        <v>70</v>
      </c>
      <c r="G1291" s="62">
        <v>902838322</v>
      </c>
      <c r="H1291" s="61" t="s">
        <v>68</v>
      </c>
      <c r="I1291" s="63" t="str">
        <f t="shared" si="133"/>
        <v>Rest of Middle East-Online Supplier-Direct</v>
      </c>
      <c r="J1291" s="47"/>
      <c r="K1291" s="54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  <c r="AC1291" s="35"/>
      <c r="AD1291" s="35"/>
      <c r="AE1291" s="35"/>
      <c r="AF1291" s="35"/>
      <c r="AG1291" s="35"/>
      <c r="AH1291" s="35"/>
      <c r="AI1291" s="35"/>
      <c r="AJ1291" s="35"/>
      <c r="AK1291" s="35"/>
      <c r="AL1291" s="35"/>
      <c r="AM1291" s="35"/>
      <c r="AN1291" s="35"/>
      <c r="AO1291" s="35"/>
      <c r="AP1291" s="35"/>
    </row>
    <row r="1292" spans="1:42" ht="17.25" customHeight="1" x14ac:dyDescent="0.25">
      <c r="A1292" s="55">
        <v>2015</v>
      </c>
      <c r="B1292" s="56" t="s">
        <v>66</v>
      </c>
      <c r="C1292" s="56" t="s">
        <v>41</v>
      </c>
      <c r="D1292" s="56" t="s">
        <v>43</v>
      </c>
      <c r="E1292" s="56" t="s">
        <v>69</v>
      </c>
      <c r="F1292" s="56" t="s">
        <v>71</v>
      </c>
      <c r="G1292" s="57">
        <v>1002977964</v>
      </c>
      <c r="H1292" s="56" t="s">
        <v>68</v>
      </c>
      <c r="I1292" s="58" t="str">
        <f t="shared" si="133"/>
        <v>Rest of Middle East-OTA</v>
      </c>
      <c r="J1292" s="40"/>
      <c r="K1292" s="59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  <c r="AB1292" s="35"/>
      <c r="AC1292" s="35"/>
      <c r="AD1292" s="35"/>
      <c r="AE1292" s="35"/>
      <c r="AF1292" s="35"/>
      <c r="AG1292" s="35"/>
      <c r="AH1292" s="35"/>
      <c r="AI1292" s="35"/>
      <c r="AJ1292" s="35"/>
      <c r="AK1292" s="35"/>
      <c r="AL1292" s="35"/>
      <c r="AM1292" s="35"/>
      <c r="AN1292" s="35"/>
      <c r="AO1292" s="35"/>
      <c r="AP1292" s="35"/>
    </row>
    <row r="1293" spans="1:42" ht="17.25" customHeight="1" x14ac:dyDescent="0.25">
      <c r="A1293" s="60">
        <v>2015</v>
      </c>
      <c r="B1293" s="61" t="s">
        <v>66</v>
      </c>
      <c r="C1293" s="61" t="s">
        <v>17</v>
      </c>
      <c r="D1293" s="61" t="s">
        <v>23</v>
      </c>
      <c r="E1293" s="61" t="s">
        <v>67</v>
      </c>
      <c r="F1293" s="61" t="s">
        <v>67</v>
      </c>
      <c r="G1293" s="62">
        <v>1823068664</v>
      </c>
      <c r="H1293" s="61" t="s">
        <v>68</v>
      </c>
      <c r="I1293" s="63" t="str">
        <f t="shared" si="133"/>
        <v>Romania-Offline</v>
      </c>
      <c r="J1293" s="47"/>
      <c r="K1293" s="54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  <c r="AG1293" s="35"/>
      <c r="AH1293" s="35"/>
      <c r="AI1293" s="35"/>
      <c r="AJ1293" s="35"/>
      <c r="AK1293" s="35"/>
      <c r="AL1293" s="35"/>
      <c r="AM1293" s="35"/>
      <c r="AN1293" s="35"/>
      <c r="AO1293" s="35"/>
      <c r="AP1293" s="35"/>
    </row>
    <row r="1294" spans="1:42" ht="17.25" customHeight="1" x14ac:dyDescent="0.25">
      <c r="A1294" s="55">
        <v>2015</v>
      </c>
      <c r="B1294" s="56" t="s">
        <v>66</v>
      </c>
      <c r="C1294" s="56" t="s">
        <v>17</v>
      </c>
      <c r="D1294" s="56" t="s">
        <v>23</v>
      </c>
      <c r="E1294" s="56" t="s">
        <v>69</v>
      </c>
      <c r="F1294" s="56" t="s">
        <v>70</v>
      </c>
      <c r="G1294" s="57">
        <v>488790784</v>
      </c>
      <c r="H1294" s="56" t="s">
        <v>68</v>
      </c>
      <c r="I1294" s="58" t="str">
        <f t="shared" si="133"/>
        <v>Romania-Online Supplier-Direct</v>
      </c>
      <c r="J1294" s="40"/>
      <c r="K1294" s="59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/>
      <c r="AB1294" s="35"/>
      <c r="AC1294" s="35"/>
      <c r="AD1294" s="35"/>
      <c r="AE1294" s="35"/>
      <c r="AF1294" s="35"/>
      <c r="AG1294" s="35"/>
      <c r="AH1294" s="35"/>
      <c r="AI1294" s="35"/>
      <c r="AJ1294" s="35"/>
      <c r="AK1294" s="35"/>
      <c r="AL1294" s="35"/>
      <c r="AM1294" s="35"/>
      <c r="AN1294" s="35"/>
      <c r="AO1294" s="35"/>
      <c r="AP1294" s="35"/>
    </row>
    <row r="1295" spans="1:42" ht="17.25" customHeight="1" x14ac:dyDescent="0.25">
      <c r="A1295" s="60">
        <v>2015</v>
      </c>
      <c r="B1295" s="61" t="s">
        <v>66</v>
      </c>
      <c r="C1295" s="61" t="s">
        <v>17</v>
      </c>
      <c r="D1295" s="61" t="s">
        <v>23</v>
      </c>
      <c r="E1295" s="61" t="s">
        <v>69</v>
      </c>
      <c r="F1295" s="61" t="s">
        <v>71</v>
      </c>
      <c r="G1295" s="62">
        <v>356001340</v>
      </c>
      <c r="H1295" s="61" t="s">
        <v>68</v>
      </c>
      <c r="I1295" s="63" t="str">
        <f t="shared" si="133"/>
        <v>Romania-OTA</v>
      </c>
      <c r="J1295" s="47"/>
      <c r="K1295" s="54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  <c r="AB1295" s="35"/>
      <c r="AC1295" s="35"/>
      <c r="AD1295" s="35"/>
      <c r="AE1295" s="35"/>
      <c r="AF1295" s="35"/>
      <c r="AG1295" s="35"/>
      <c r="AH1295" s="35"/>
      <c r="AI1295" s="35"/>
      <c r="AJ1295" s="35"/>
      <c r="AK1295" s="35"/>
      <c r="AL1295" s="35"/>
      <c r="AM1295" s="35"/>
      <c r="AN1295" s="35"/>
      <c r="AO1295" s="35"/>
      <c r="AP1295" s="35"/>
    </row>
    <row r="1296" spans="1:42" ht="17.25" customHeight="1" x14ac:dyDescent="0.25">
      <c r="A1296" s="55">
        <v>2015</v>
      </c>
      <c r="B1296" s="56" t="s">
        <v>66</v>
      </c>
      <c r="C1296" s="56" t="s">
        <v>17</v>
      </c>
      <c r="D1296" s="56" t="s">
        <v>24</v>
      </c>
      <c r="E1296" s="56" t="s">
        <v>67</v>
      </c>
      <c r="F1296" s="56" t="s">
        <v>67</v>
      </c>
      <c r="G1296" s="57">
        <v>17889576749</v>
      </c>
      <c r="H1296" s="56" t="s">
        <v>68</v>
      </c>
      <c r="I1296" s="58" t="str">
        <f t="shared" si="133"/>
        <v>Russia-Offline</v>
      </c>
      <c r="J1296" s="40"/>
      <c r="K1296" s="59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/>
      <c r="AB1296" s="35"/>
      <c r="AC1296" s="35"/>
      <c r="AD1296" s="35"/>
      <c r="AE1296" s="35"/>
      <c r="AF1296" s="35"/>
      <c r="AG1296" s="35"/>
      <c r="AH1296" s="35"/>
      <c r="AI1296" s="35"/>
      <c r="AJ1296" s="35"/>
      <c r="AK1296" s="35"/>
      <c r="AL1296" s="35"/>
      <c r="AM1296" s="35"/>
      <c r="AN1296" s="35"/>
      <c r="AO1296" s="35"/>
      <c r="AP1296" s="35"/>
    </row>
    <row r="1297" spans="1:42" ht="17.25" customHeight="1" x14ac:dyDescent="0.25">
      <c r="A1297" s="60">
        <v>2015</v>
      </c>
      <c r="B1297" s="61" t="s">
        <v>66</v>
      </c>
      <c r="C1297" s="61" t="s">
        <v>17</v>
      </c>
      <c r="D1297" s="61" t="s">
        <v>24</v>
      </c>
      <c r="E1297" s="61" t="s">
        <v>69</v>
      </c>
      <c r="F1297" s="61" t="s">
        <v>70</v>
      </c>
      <c r="G1297" s="62">
        <v>3622015953</v>
      </c>
      <c r="H1297" s="61" t="s">
        <v>68</v>
      </c>
      <c r="I1297" s="63" t="str">
        <f t="shared" si="133"/>
        <v>Russia-Online Supplier-Direct</v>
      </c>
      <c r="J1297" s="47"/>
      <c r="K1297" s="54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  <c r="AB1297" s="35"/>
      <c r="AC1297" s="35"/>
      <c r="AD1297" s="35"/>
      <c r="AE1297" s="35"/>
      <c r="AF1297" s="35"/>
      <c r="AG1297" s="35"/>
      <c r="AH1297" s="35"/>
      <c r="AI1297" s="35"/>
      <c r="AJ1297" s="35"/>
      <c r="AK1297" s="35"/>
      <c r="AL1297" s="35"/>
      <c r="AM1297" s="35"/>
      <c r="AN1297" s="35"/>
      <c r="AO1297" s="35"/>
      <c r="AP1297" s="35"/>
    </row>
    <row r="1298" spans="1:42" ht="17.25" customHeight="1" x14ac:dyDescent="0.25">
      <c r="A1298" s="55">
        <v>2015</v>
      </c>
      <c r="B1298" s="56" t="s">
        <v>66</v>
      </c>
      <c r="C1298" s="56" t="s">
        <v>17</v>
      </c>
      <c r="D1298" s="56" t="s">
        <v>24</v>
      </c>
      <c r="E1298" s="56" t="s">
        <v>69</v>
      </c>
      <c r="F1298" s="56" t="s">
        <v>71</v>
      </c>
      <c r="G1298" s="57">
        <v>3695940484</v>
      </c>
      <c r="H1298" s="56" t="s">
        <v>68</v>
      </c>
      <c r="I1298" s="58" t="str">
        <f t="shared" si="133"/>
        <v>Russia-OTA</v>
      </c>
      <c r="J1298" s="40"/>
      <c r="K1298" s="59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  <c r="AB1298" s="35"/>
      <c r="AC1298" s="35"/>
      <c r="AD1298" s="35"/>
      <c r="AE1298" s="35"/>
      <c r="AF1298" s="35"/>
      <c r="AG1298" s="35"/>
      <c r="AH1298" s="35"/>
      <c r="AI1298" s="35"/>
      <c r="AJ1298" s="35"/>
      <c r="AK1298" s="35"/>
      <c r="AL1298" s="35"/>
      <c r="AM1298" s="35"/>
      <c r="AN1298" s="35"/>
      <c r="AO1298" s="35"/>
      <c r="AP1298" s="35"/>
    </row>
    <row r="1299" spans="1:42" ht="17.25" customHeight="1" x14ac:dyDescent="0.25">
      <c r="A1299" s="60">
        <v>2015</v>
      </c>
      <c r="B1299" s="61" t="s">
        <v>66</v>
      </c>
      <c r="C1299" s="61" t="s">
        <v>41</v>
      </c>
      <c r="D1299" s="61" t="s">
        <v>44</v>
      </c>
      <c r="E1299" s="61" t="s">
        <v>67</v>
      </c>
      <c r="F1299" s="61" t="s">
        <v>67</v>
      </c>
      <c r="G1299" s="62">
        <v>8978612678</v>
      </c>
      <c r="H1299" s="61" t="s">
        <v>68</v>
      </c>
      <c r="I1299" s="63" t="str">
        <f t="shared" si="133"/>
        <v>Saudi Arabia-Offline</v>
      </c>
      <c r="J1299" s="47"/>
      <c r="K1299" s="54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  <c r="AB1299" s="35"/>
      <c r="AC1299" s="35"/>
      <c r="AD1299" s="35"/>
      <c r="AE1299" s="35"/>
      <c r="AF1299" s="35"/>
      <c r="AG1299" s="35"/>
      <c r="AH1299" s="35"/>
      <c r="AI1299" s="35"/>
      <c r="AJ1299" s="35"/>
      <c r="AK1299" s="35"/>
      <c r="AL1299" s="35"/>
      <c r="AM1299" s="35"/>
      <c r="AN1299" s="35"/>
      <c r="AO1299" s="35"/>
      <c r="AP1299" s="35"/>
    </row>
    <row r="1300" spans="1:42" ht="17.25" customHeight="1" x14ac:dyDescent="0.25">
      <c r="A1300" s="55">
        <v>2015</v>
      </c>
      <c r="B1300" s="56" t="s">
        <v>66</v>
      </c>
      <c r="C1300" s="56" t="s">
        <v>41</v>
      </c>
      <c r="D1300" s="56" t="s">
        <v>44</v>
      </c>
      <c r="E1300" s="56" t="s">
        <v>69</v>
      </c>
      <c r="F1300" s="56" t="s">
        <v>70</v>
      </c>
      <c r="G1300" s="57">
        <v>1310712003</v>
      </c>
      <c r="H1300" s="56" t="s">
        <v>68</v>
      </c>
      <c r="I1300" s="58" t="str">
        <f t="shared" si="133"/>
        <v>Saudi Arabia-Online Supplier-Direct</v>
      </c>
      <c r="J1300" s="40"/>
      <c r="K1300" s="59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  <c r="AA1300" s="35"/>
      <c r="AB1300" s="35"/>
      <c r="AC1300" s="35"/>
      <c r="AD1300" s="35"/>
      <c r="AE1300" s="35"/>
      <c r="AF1300" s="35"/>
      <c r="AG1300" s="35"/>
      <c r="AH1300" s="35"/>
      <c r="AI1300" s="35"/>
      <c r="AJ1300" s="35"/>
      <c r="AK1300" s="35"/>
      <c r="AL1300" s="35"/>
      <c r="AM1300" s="35"/>
      <c r="AN1300" s="35"/>
      <c r="AO1300" s="35"/>
      <c r="AP1300" s="35"/>
    </row>
    <row r="1301" spans="1:42" ht="17.25" customHeight="1" x14ac:dyDescent="0.25">
      <c r="A1301" s="60">
        <v>2015</v>
      </c>
      <c r="B1301" s="61" t="s">
        <v>66</v>
      </c>
      <c r="C1301" s="61" t="s">
        <v>41</v>
      </c>
      <c r="D1301" s="61" t="s">
        <v>44</v>
      </c>
      <c r="E1301" s="61" t="s">
        <v>69</v>
      </c>
      <c r="F1301" s="61" t="s">
        <v>71</v>
      </c>
      <c r="G1301" s="62">
        <v>1424331719</v>
      </c>
      <c r="H1301" s="61" t="s">
        <v>68</v>
      </c>
      <c r="I1301" s="63" t="str">
        <f t="shared" si="133"/>
        <v>Saudi Arabia-OTA</v>
      </c>
      <c r="J1301" s="47"/>
      <c r="K1301" s="54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  <c r="AB1301" s="35"/>
      <c r="AC1301" s="35"/>
      <c r="AD1301" s="35"/>
      <c r="AE1301" s="35"/>
      <c r="AF1301" s="35"/>
      <c r="AG1301" s="35"/>
      <c r="AH1301" s="35"/>
      <c r="AI1301" s="35"/>
      <c r="AJ1301" s="35"/>
      <c r="AK1301" s="35"/>
      <c r="AL1301" s="35"/>
      <c r="AM1301" s="35"/>
      <c r="AN1301" s="35"/>
      <c r="AO1301" s="35"/>
      <c r="AP1301" s="35"/>
    </row>
    <row r="1302" spans="1:42" ht="17.25" customHeight="1" x14ac:dyDescent="0.25">
      <c r="A1302" s="55">
        <v>2015</v>
      </c>
      <c r="B1302" s="56" t="s">
        <v>66</v>
      </c>
      <c r="C1302" s="56" t="s">
        <v>27</v>
      </c>
      <c r="D1302" s="56" t="s">
        <v>31</v>
      </c>
      <c r="E1302" s="56" t="s">
        <v>67</v>
      </c>
      <c r="F1302" s="56" t="s">
        <v>67</v>
      </c>
      <c r="G1302" s="57">
        <v>7414884941</v>
      </c>
      <c r="H1302" s="56" t="s">
        <v>68</v>
      </c>
      <c r="I1302" s="58" t="str">
        <f t="shared" si="133"/>
        <v>Scandinavia-Offline</v>
      </c>
      <c r="J1302" s="40"/>
      <c r="K1302" s="59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/>
      <c r="AB1302" s="35"/>
      <c r="AC1302" s="35"/>
      <c r="AD1302" s="35"/>
      <c r="AE1302" s="35"/>
      <c r="AF1302" s="35"/>
      <c r="AG1302" s="35"/>
      <c r="AH1302" s="35"/>
      <c r="AI1302" s="35"/>
      <c r="AJ1302" s="35"/>
      <c r="AK1302" s="35"/>
      <c r="AL1302" s="35"/>
      <c r="AM1302" s="35"/>
      <c r="AN1302" s="35"/>
      <c r="AO1302" s="35"/>
      <c r="AP1302" s="35"/>
    </row>
    <row r="1303" spans="1:42" ht="17.25" customHeight="1" x14ac:dyDescent="0.25">
      <c r="A1303" s="60">
        <v>2015</v>
      </c>
      <c r="B1303" s="61" t="s">
        <v>66</v>
      </c>
      <c r="C1303" s="61" t="s">
        <v>27</v>
      </c>
      <c r="D1303" s="61" t="s">
        <v>31</v>
      </c>
      <c r="E1303" s="61" t="s">
        <v>69</v>
      </c>
      <c r="F1303" s="61" t="s">
        <v>70</v>
      </c>
      <c r="G1303" s="62">
        <v>6764646473</v>
      </c>
      <c r="H1303" s="61" t="s">
        <v>68</v>
      </c>
      <c r="I1303" s="63" t="str">
        <f t="shared" si="133"/>
        <v>Scandinavia-Online Supplier-Direct</v>
      </c>
      <c r="J1303" s="47"/>
      <c r="K1303" s="54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35"/>
      <c r="AM1303" s="35"/>
      <c r="AN1303" s="35"/>
      <c r="AO1303" s="35"/>
      <c r="AP1303" s="35"/>
    </row>
    <row r="1304" spans="1:42" ht="17.25" customHeight="1" x14ac:dyDescent="0.25">
      <c r="A1304" s="55">
        <v>2015</v>
      </c>
      <c r="B1304" s="56" t="s">
        <v>66</v>
      </c>
      <c r="C1304" s="56" t="s">
        <v>27</v>
      </c>
      <c r="D1304" s="56" t="s">
        <v>31</v>
      </c>
      <c r="E1304" s="56" t="s">
        <v>69</v>
      </c>
      <c r="F1304" s="56" t="s">
        <v>71</v>
      </c>
      <c r="G1304" s="57">
        <v>2997091766</v>
      </c>
      <c r="H1304" s="56" t="s">
        <v>68</v>
      </c>
      <c r="I1304" s="58" t="str">
        <f t="shared" si="133"/>
        <v>Scandinavia-OTA</v>
      </c>
      <c r="J1304" s="40"/>
      <c r="K1304" s="59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  <c r="AA1304" s="35"/>
      <c r="AB1304" s="35"/>
      <c r="AC1304" s="35"/>
      <c r="AD1304" s="35"/>
      <c r="AE1304" s="35"/>
      <c r="AF1304" s="35"/>
      <c r="AG1304" s="35"/>
      <c r="AH1304" s="35"/>
      <c r="AI1304" s="35"/>
      <c r="AJ1304" s="35"/>
      <c r="AK1304" s="35"/>
      <c r="AL1304" s="35"/>
      <c r="AM1304" s="35"/>
      <c r="AN1304" s="35"/>
      <c r="AO1304" s="35"/>
      <c r="AP1304" s="35"/>
    </row>
    <row r="1305" spans="1:42" ht="17.25" customHeight="1" x14ac:dyDescent="0.25">
      <c r="A1305" s="60">
        <v>2015</v>
      </c>
      <c r="B1305" s="61" t="s">
        <v>66</v>
      </c>
      <c r="C1305" s="61" t="s">
        <v>4</v>
      </c>
      <c r="D1305" s="61" t="s">
        <v>12</v>
      </c>
      <c r="E1305" s="61" t="s">
        <v>67</v>
      </c>
      <c r="F1305" s="61" t="s">
        <v>67</v>
      </c>
      <c r="G1305" s="62">
        <v>6471000863</v>
      </c>
      <c r="H1305" s="61" t="s">
        <v>68</v>
      </c>
      <c r="I1305" s="63" t="str">
        <f t="shared" si="133"/>
        <v>Singapore-Offline</v>
      </c>
      <c r="J1305" s="47"/>
      <c r="K1305" s="54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  <c r="AC1305" s="35"/>
      <c r="AD1305" s="35"/>
      <c r="AE1305" s="35"/>
      <c r="AF1305" s="35"/>
      <c r="AG1305" s="35"/>
      <c r="AH1305" s="35"/>
      <c r="AI1305" s="35"/>
      <c r="AJ1305" s="35"/>
      <c r="AK1305" s="35"/>
      <c r="AL1305" s="35"/>
      <c r="AM1305" s="35"/>
      <c r="AN1305" s="35"/>
      <c r="AO1305" s="35"/>
      <c r="AP1305" s="35"/>
    </row>
    <row r="1306" spans="1:42" ht="17.25" customHeight="1" x14ac:dyDescent="0.25">
      <c r="A1306" s="55">
        <v>2015</v>
      </c>
      <c r="B1306" s="56" t="s">
        <v>66</v>
      </c>
      <c r="C1306" s="56" t="s">
        <v>4</v>
      </c>
      <c r="D1306" s="56" t="s">
        <v>12</v>
      </c>
      <c r="E1306" s="56" t="s">
        <v>69</v>
      </c>
      <c r="F1306" s="56" t="s">
        <v>70</v>
      </c>
      <c r="G1306" s="57">
        <v>2431704919</v>
      </c>
      <c r="H1306" s="56" t="s">
        <v>68</v>
      </c>
      <c r="I1306" s="58" t="str">
        <f t="shared" si="133"/>
        <v>Singapore-Online Supplier-Direct</v>
      </c>
      <c r="J1306" s="40"/>
      <c r="K1306" s="59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  <c r="AA1306" s="35"/>
      <c r="AB1306" s="35"/>
      <c r="AC1306" s="35"/>
      <c r="AD1306" s="35"/>
      <c r="AE1306" s="35"/>
      <c r="AF1306" s="35"/>
      <c r="AG1306" s="35"/>
      <c r="AH1306" s="35"/>
      <c r="AI1306" s="35"/>
      <c r="AJ1306" s="35"/>
      <c r="AK1306" s="35"/>
      <c r="AL1306" s="35"/>
      <c r="AM1306" s="35"/>
      <c r="AN1306" s="35"/>
      <c r="AO1306" s="35"/>
      <c r="AP1306" s="35"/>
    </row>
    <row r="1307" spans="1:42" ht="17.25" customHeight="1" x14ac:dyDescent="0.25">
      <c r="A1307" s="60">
        <v>2015</v>
      </c>
      <c r="B1307" s="61" t="s">
        <v>66</v>
      </c>
      <c r="C1307" s="61" t="s">
        <v>4</v>
      </c>
      <c r="D1307" s="61" t="s">
        <v>12</v>
      </c>
      <c r="E1307" s="61" t="s">
        <v>69</v>
      </c>
      <c r="F1307" s="61" t="s">
        <v>71</v>
      </c>
      <c r="G1307" s="62">
        <v>966460692</v>
      </c>
      <c r="H1307" s="61" t="s">
        <v>68</v>
      </c>
      <c r="I1307" s="63" t="str">
        <f t="shared" si="133"/>
        <v>Singapore-OTA</v>
      </c>
      <c r="J1307" s="47"/>
      <c r="K1307" s="54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  <c r="AA1307" s="35"/>
      <c r="AB1307" s="35"/>
      <c r="AC1307" s="35"/>
      <c r="AD1307" s="35"/>
      <c r="AE1307" s="35"/>
      <c r="AF1307" s="35"/>
      <c r="AG1307" s="35"/>
      <c r="AH1307" s="35"/>
      <c r="AI1307" s="35"/>
      <c r="AJ1307" s="35"/>
      <c r="AK1307" s="35"/>
      <c r="AL1307" s="35"/>
      <c r="AM1307" s="35"/>
      <c r="AN1307" s="35"/>
      <c r="AO1307" s="35"/>
      <c r="AP1307" s="35"/>
    </row>
    <row r="1308" spans="1:42" ht="17.25" customHeight="1" x14ac:dyDescent="0.25">
      <c r="A1308" s="55">
        <v>2015</v>
      </c>
      <c r="B1308" s="56" t="s">
        <v>66</v>
      </c>
      <c r="C1308" s="56" t="s">
        <v>4</v>
      </c>
      <c r="D1308" s="56" t="s">
        <v>13</v>
      </c>
      <c r="E1308" s="56" t="s">
        <v>67</v>
      </c>
      <c r="F1308" s="56" t="s">
        <v>67</v>
      </c>
      <c r="G1308" s="57">
        <v>9853245082</v>
      </c>
      <c r="H1308" s="56" t="s">
        <v>68</v>
      </c>
      <c r="I1308" s="58" t="str">
        <f t="shared" si="133"/>
        <v>South Korea-Offline</v>
      </c>
      <c r="J1308" s="40"/>
      <c r="K1308" s="59"/>
      <c r="L1308" s="35"/>
      <c r="M1308" s="35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  <c r="AA1308" s="35"/>
      <c r="AB1308" s="35"/>
      <c r="AC1308" s="35"/>
      <c r="AD1308" s="35"/>
      <c r="AE1308" s="35"/>
      <c r="AF1308" s="35"/>
      <c r="AG1308" s="35"/>
      <c r="AH1308" s="35"/>
      <c r="AI1308" s="35"/>
      <c r="AJ1308" s="35"/>
      <c r="AK1308" s="35"/>
      <c r="AL1308" s="35"/>
      <c r="AM1308" s="35"/>
      <c r="AN1308" s="35"/>
      <c r="AO1308" s="35"/>
      <c r="AP1308" s="35"/>
    </row>
    <row r="1309" spans="1:42" ht="17.25" customHeight="1" x14ac:dyDescent="0.25">
      <c r="A1309" s="60">
        <v>2015</v>
      </c>
      <c r="B1309" s="61" t="s">
        <v>66</v>
      </c>
      <c r="C1309" s="61" t="s">
        <v>4</v>
      </c>
      <c r="D1309" s="61" t="s">
        <v>13</v>
      </c>
      <c r="E1309" s="61" t="s">
        <v>69</v>
      </c>
      <c r="F1309" s="61" t="s">
        <v>70</v>
      </c>
      <c r="G1309" s="62">
        <v>3344233163</v>
      </c>
      <c r="H1309" s="61" t="s">
        <v>68</v>
      </c>
      <c r="I1309" s="63" t="str">
        <f t="shared" si="133"/>
        <v>South Korea-Online Supplier-Direct</v>
      </c>
      <c r="J1309" s="47"/>
      <c r="K1309" s="54"/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  <c r="AB1309" s="35"/>
      <c r="AC1309" s="35"/>
      <c r="AD1309" s="35"/>
      <c r="AE1309" s="35"/>
      <c r="AF1309" s="35"/>
      <c r="AG1309" s="35"/>
      <c r="AH1309" s="35"/>
      <c r="AI1309" s="35"/>
      <c r="AJ1309" s="35"/>
      <c r="AK1309" s="35"/>
      <c r="AL1309" s="35"/>
      <c r="AM1309" s="35"/>
      <c r="AN1309" s="35"/>
      <c r="AO1309" s="35"/>
      <c r="AP1309" s="35"/>
    </row>
    <row r="1310" spans="1:42" ht="17.25" customHeight="1" x14ac:dyDescent="0.25">
      <c r="A1310" s="55">
        <v>2015</v>
      </c>
      <c r="B1310" s="56" t="s">
        <v>66</v>
      </c>
      <c r="C1310" s="56" t="s">
        <v>4</v>
      </c>
      <c r="D1310" s="56" t="s">
        <v>13</v>
      </c>
      <c r="E1310" s="56" t="s">
        <v>69</v>
      </c>
      <c r="F1310" s="56" t="s">
        <v>71</v>
      </c>
      <c r="G1310" s="57">
        <v>1027436261</v>
      </c>
      <c r="H1310" s="56" t="s">
        <v>68</v>
      </c>
      <c r="I1310" s="58" t="str">
        <f t="shared" si="133"/>
        <v>South Korea-OTA</v>
      </c>
      <c r="J1310" s="40"/>
      <c r="K1310" s="59"/>
      <c r="L1310" s="35"/>
      <c r="M1310" s="35"/>
      <c r="N1310" s="35"/>
      <c r="O1310" s="35"/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  <c r="AA1310" s="35"/>
      <c r="AB1310" s="35"/>
      <c r="AC1310" s="35"/>
      <c r="AD1310" s="35"/>
      <c r="AE1310" s="35"/>
      <c r="AF1310" s="35"/>
      <c r="AG1310" s="35"/>
      <c r="AH1310" s="35"/>
      <c r="AI1310" s="35"/>
      <c r="AJ1310" s="35"/>
      <c r="AK1310" s="35"/>
      <c r="AL1310" s="35"/>
      <c r="AM1310" s="35"/>
      <c r="AN1310" s="35"/>
      <c r="AO1310" s="35"/>
      <c r="AP1310" s="35"/>
    </row>
    <row r="1311" spans="1:42" ht="17.25" customHeight="1" x14ac:dyDescent="0.25">
      <c r="A1311" s="60">
        <v>2015</v>
      </c>
      <c r="B1311" s="61" t="s">
        <v>66</v>
      </c>
      <c r="C1311" s="61" t="s">
        <v>27</v>
      </c>
      <c r="D1311" s="61" t="s">
        <v>32</v>
      </c>
      <c r="E1311" s="61" t="s">
        <v>67</v>
      </c>
      <c r="F1311" s="61" t="s">
        <v>67</v>
      </c>
      <c r="G1311" s="62">
        <v>14493224127</v>
      </c>
      <c r="H1311" s="61" t="s">
        <v>68</v>
      </c>
      <c r="I1311" s="63" t="str">
        <f t="shared" si="133"/>
        <v>Spain-Offline</v>
      </c>
      <c r="J1311" s="47"/>
      <c r="K1311" s="54"/>
      <c r="L1311" s="35"/>
      <c r="M1311" s="35"/>
      <c r="N1311" s="35"/>
      <c r="O1311" s="35"/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  <c r="Z1311" s="35"/>
      <c r="AA1311" s="35"/>
      <c r="AB1311" s="35"/>
      <c r="AC1311" s="35"/>
      <c r="AD1311" s="35"/>
      <c r="AE1311" s="35"/>
      <c r="AF1311" s="35"/>
      <c r="AG1311" s="35"/>
      <c r="AH1311" s="35"/>
      <c r="AI1311" s="35"/>
      <c r="AJ1311" s="35"/>
      <c r="AK1311" s="35"/>
      <c r="AL1311" s="35"/>
      <c r="AM1311" s="35"/>
      <c r="AN1311" s="35"/>
      <c r="AO1311" s="35"/>
      <c r="AP1311" s="35"/>
    </row>
    <row r="1312" spans="1:42" ht="17.25" customHeight="1" x14ac:dyDescent="0.25">
      <c r="A1312" s="55">
        <v>2015</v>
      </c>
      <c r="B1312" s="56" t="s">
        <v>66</v>
      </c>
      <c r="C1312" s="56" t="s">
        <v>27</v>
      </c>
      <c r="D1312" s="56" t="s">
        <v>32</v>
      </c>
      <c r="E1312" s="56" t="s">
        <v>69</v>
      </c>
      <c r="F1312" s="56" t="s">
        <v>70</v>
      </c>
      <c r="G1312" s="57">
        <v>4971584273</v>
      </c>
      <c r="H1312" s="56" t="s">
        <v>68</v>
      </c>
      <c r="I1312" s="58" t="str">
        <f t="shared" si="133"/>
        <v>Spain-Online Supplier-Direct</v>
      </c>
      <c r="J1312" s="40"/>
      <c r="K1312" s="59"/>
      <c r="L1312" s="35"/>
      <c r="M1312" s="35"/>
      <c r="N1312" s="35"/>
      <c r="O1312" s="35"/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  <c r="Z1312" s="35"/>
      <c r="AA1312" s="35"/>
      <c r="AB1312" s="35"/>
      <c r="AC1312" s="35"/>
      <c r="AD1312" s="35"/>
      <c r="AE1312" s="35"/>
      <c r="AF1312" s="35"/>
      <c r="AG1312" s="35"/>
      <c r="AH1312" s="35"/>
      <c r="AI1312" s="35"/>
      <c r="AJ1312" s="35"/>
      <c r="AK1312" s="35"/>
      <c r="AL1312" s="35"/>
      <c r="AM1312" s="35"/>
      <c r="AN1312" s="35"/>
      <c r="AO1312" s="35"/>
      <c r="AP1312" s="35"/>
    </row>
    <row r="1313" spans="1:42" ht="17.25" customHeight="1" x14ac:dyDescent="0.25">
      <c r="A1313" s="60">
        <v>2015</v>
      </c>
      <c r="B1313" s="61" t="s">
        <v>66</v>
      </c>
      <c r="C1313" s="61" t="s">
        <v>27</v>
      </c>
      <c r="D1313" s="61" t="s">
        <v>32</v>
      </c>
      <c r="E1313" s="61" t="s">
        <v>69</v>
      </c>
      <c r="F1313" s="61" t="s">
        <v>71</v>
      </c>
      <c r="G1313" s="62">
        <v>5402649870</v>
      </c>
      <c r="H1313" s="61" t="s">
        <v>68</v>
      </c>
      <c r="I1313" s="63" t="str">
        <f t="shared" si="133"/>
        <v>Spain-OTA</v>
      </c>
      <c r="J1313" s="47"/>
      <c r="K1313" s="54"/>
      <c r="L1313" s="35"/>
      <c r="M1313" s="35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/>
      <c r="AB1313" s="35"/>
      <c r="AC1313" s="35"/>
      <c r="AD1313" s="35"/>
      <c r="AE1313" s="35"/>
      <c r="AF1313" s="35"/>
      <c r="AG1313" s="35"/>
      <c r="AH1313" s="35"/>
      <c r="AI1313" s="35"/>
      <c r="AJ1313" s="35"/>
      <c r="AK1313" s="35"/>
      <c r="AL1313" s="35"/>
      <c r="AM1313" s="35"/>
      <c r="AN1313" s="35"/>
      <c r="AO1313" s="35"/>
      <c r="AP1313" s="35"/>
    </row>
    <row r="1314" spans="1:42" ht="17.25" customHeight="1" x14ac:dyDescent="0.25">
      <c r="A1314" s="55">
        <v>2015</v>
      </c>
      <c r="B1314" s="56" t="s">
        <v>66</v>
      </c>
      <c r="C1314" s="56" t="s">
        <v>4</v>
      </c>
      <c r="D1314" s="56" t="s">
        <v>14</v>
      </c>
      <c r="E1314" s="56" t="s">
        <v>67</v>
      </c>
      <c r="F1314" s="56" t="s">
        <v>67</v>
      </c>
      <c r="G1314" s="57">
        <v>7689330776</v>
      </c>
      <c r="H1314" s="56" t="s">
        <v>68</v>
      </c>
      <c r="I1314" s="58" t="str">
        <f t="shared" si="133"/>
        <v>Taiwan-Offline</v>
      </c>
      <c r="J1314" s="40"/>
      <c r="K1314" s="59"/>
      <c r="L1314" s="35"/>
      <c r="M1314" s="35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  <c r="AA1314" s="35"/>
      <c r="AB1314" s="35"/>
      <c r="AC1314" s="35"/>
      <c r="AD1314" s="35"/>
      <c r="AE1314" s="35"/>
      <c r="AF1314" s="35"/>
      <c r="AG1314" s="35"/>
      <c r="AH1314" s="35"/>
      <c r="AI1314" s="35"/>
      <c r="AJ1314" s="35"/>
      <c r="AK1314" s="35"/>
      <c r="AL1314" s="35"/>
      <c r="AM1314" s="35"/>
      <c r="AN1314" s="35"/>
      <c r="AO1314" s="35"/>
      <c r="AP1314" s="35"/>
    </row>
    <row r="1315" spans="1:42" ht="17.25" customHeight="1" x14ac:dyDescent="0.25">
      <c r="A1315" s="60">
        <v>2015</v>
      </c>
      <c r="B1315" s="61" t="s">
        <v>66</v>
      </c>
      <c r="C1315" s="61" t="s">
        <v>4</v>
      </c>
      <c r="D1315" s="61" t="s">
        <v>14</v>
      </c>
      <c r="E1315" s="61" t="s">
        <v>69</v>
      </c>
      <c r="F1315" s="61" t="s">
        <v>70</v>
      </c>
      <c r="G1315" s="62">
        <v>1011593056</v>
      </c>
      <c r="H1315" s="61" t="s">
        <v>68</v>
      </c>
      <c r="I1315" s="63" t="str">
        <f t="shared" si="133"/>
        <v>Taiwan-Online Supplier-Direct</v>
      </c>
      <c r="J1315" s="47"/>
      <c r="K1315" s="54"/>
      <c r="L1315" s="35"/>
      <c r="M1315" s="35"/>
      <c r="N1315" s="35"/>
      <c r="O1315" s="35"/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  <c r="Z1315" s="35"/>
      <c r="AA1315" s="35"/>
      <c r="AB1315" s="35"/>
      <c r="AC1315" s="35"/>
      <c r="AD1315" s="35"/>
      <c r="AE1315" s="35"/>
      <c r="AF1315" s="35"/>
      <c r="AG1315" s="35"/>
      <c r="AH1315" s="35"/>
      <c r="AI1315" s="35"/>
      <c r="AJ1315" s="35"/>
      <c r="AK1315" s="35"/>
      <c r="AL1315" s="35"/>
      <c r="AM1315" s="35"/>
      <c r="AN1315" s="35"/>
      <c r="AO1315" s="35"/>
      <c r="AP1315" s="35"/>
    </row>
    <row r="1316" spans="1:42" ht="17.25" customHeight="1" x14ac:dyDescent="0.25">
      <c r="A1316" s="55">
        <v>2015</v>
      </c>
      <c r="B1316" s="56" t="s">
        <v>66</v>
      </c>
      <c r="C1316" s="56" t="s">
        <v>4</v>
      </c>
      <c r="D1316" s="56" t="s">
        <v>14</v>
      </c>
      <c r="E1316" s="56" t="s">
        <v>69</v>
      </c>
      <c r="F1316" s="56" t="s">
        <v>71</v>
      </c>
      <c r="G1316" s="57">
        <v>474778966</v>
      </c>
      <c r="H1316" s="56" t="s">
        <v>68</v>
      </c>
      <c r="I1316" s="58" t="str">
        <f t="shared" si="133"/>
        <v>Taiwan-OTA</v>
      </c>
      <c r="J1316" s="40"/>
      <c r="K1316" s="59"/>
      <c r="L1316" s="35"/>
      <c r="M1316" s="35"/>
      <c r="N1316" s="35"/>
      <c r="O1316" s="35"/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  <c r="Z1316" s="35"/>
      <c r="AA1316" s="35"/>
      <c r="AB1316" s="35"/>
      <c r="AC1316" s="35"/>
      <c r="AD1316" s="35"/>
      <c r="AE1316" s="35"/>
      <c r="AF1316" s="35"/>
      <c r="AG1316" s="35"/>
      <c r="AH1316" s="35"/>
      <c r="AI1316" s="35"/>
      <c r="AJ1316" s="35"/>
      <c r="AK1316" s="35"/>
      <c r="AL1316" s="35"/>
      <c r="AM1316" s="35"/>
      <c r="AN1316" s="35"/>
      <c r="AO1316" s="35"/>
      <c r="AP1316" s="35"/>
    </row>
    <row r="1317" spans="1:42" ht="17.25" customHeight="1" x14ac:dyDescent="0.25">
      <c r="A1317" s="60">
        <v>2015</v>
      </c>
      <c r="B1317" s="61" t="s">
        <v>66</v>
      </c>
      <c r="C1317" s="61" t="s">
        <v>4</v>
      </c>
      <c r="D1317" s="61" t="s">
        <v>15</v>
      </c>
      <c r="E1317" s="61" t="s">
        <v>67</v>
      </c>
      <c r="F1317" s="61" t="s">
        <v>67</v>
      </c>
      <c r="G1317" s="62">
        <v>8705562030</v>
      </c>
      <c r="H1317" s="61" t="s">
        <v>68</v>
      </c>
      <c r="I1317" s="63" t="str">
        <f t="shared" si="133"/>
        <v>Thailand-Offline</v>
      </c>
      <c r="J1317" s="47"/>
      <c r="K1317" s="54"/>
      <c r="L1317" s="35"/>
      <c r="M1317" s="35"/>
      <c r="N1317" s="35"/>
      <c r="O1317" s="35"/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  <c r="AA1317" s="35"/>
      <c r="AB1317" s="35"/>
      <c r="AC1317" s="35"/>
      <c r="AD1317" s="35"/>
      <c r="AE1317" s="35"/>
      <c r="AF1317" s="35"/>
      <c r="AG1317" s="35"/>
      <c r="AH1317" s="35"/>
      <c r="AI1317" s="35"/>
      <c r="AJ1317" s="35"/>
      <c r="AK1317" s="35"/>
      <c r="AL1317" s="35"/>
      <c r="AM1317" s="35"/>
      <c r="AN1317" s="35"/>
      <c r="AO1317" s="35"/>
      <c r="AP1317" s="35"/>
    </row>
    <row r="1318" spans="1:42" ht="17.25" customHeight="1" x14ac:dyDescent="0.25">
      <c r="A1318" s="55">
        <v>2015</v>
      </c>
      <c r="B1318" s="56" t="s">
        <v>66</v>
      </c>
      <c r="C1318" s="56" t="s">
        <v>4</v>
      </c>
      <c r="D1318" s="56" t="s">
        <v>15</v>
      </c>
      <c r="E1318" s="56" t="s">
        <v>69</v>
      </c>
      <c r="F1318" s="56" t="s">
        <v>70</v>
      </c>
      <c r="G1318" s="57">
        <v>1637201372</v>
      </c>
      <c r="H1318" s="56" t="s">
        <v>68</v>
      </c>
      <c r="I1318" s="58" t="str">
        <f t="shared" si="133"/>
        <v>Thailand-Online Supplier-Direct</v>
      </c>
      <c r="J1318" s="40"/>
      <c r="K1318" s="59"/>
      <c r="L1318" s="35"/>
      <c r="M1318" s="35"/>
      <c r="N1318" s="35"/>
      <c r="O1318" s="35"/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  <c r="Z1318" s="35"/>
      <c r="AA1318" s="35"/>
      <c r="AB1318" s="35"/>
      <c r="AC1318" s="35"/>
      <c r="AD1318" s="35"/>
      <c r="AE1318" s="35"/>
      <c r="AF1318" s="35"/>
      <c r="AG1318" s="35"/>
      <c r="AH1318" s="35"/>
      <c r="AI1318" s="35"/>
      <c r="AJ1318" s="35"/>
      <c r="AK1318" s="35"/>
      <c r="AL1318" s="35"/>
      <c r="AM1318" s="35"/>
      <c r="AN1318" s="35"/>
      <c r="AO1318" s="35"/>
      <c r="AP1318" s="35"/>
    </row>
    <row r="1319" spans="1:42" ht="17.25" customHeight="1" x14ac:dyDescent="0.25">
      <c r="A1319" s="60">
        <v>2015</v>
      </c>
      <c r="B1319" s="61" t="s">
        <v>66</v>
      </c>
      <c r="C1319" s="61" t="s">
        <v>4</v>
      </c>
      <c r="D1319" s="61" t="s">
        <v>15</v>
      </c>
      <c r="E1319" s="61" t="s">
        <v>69</v>
      </c>
      <c r="F1319" s="61" t="s">
        <v>71</v>
      </c>
      <c r="G1319" s="62">
        <v>1971018739</v>
      </c>
      <c r="H1319" s="61" t="s">
        <v>68</v>
      </c>
      <c r="I1319" s="63" t="str">
        <f t="shared" si="133"/>
        <v>Thailand-OTA</v>
      </c>
      <c r="J1319" s="47"/>
      <c r="K1319" s="54"/>
      <c r="L1319" s="35"/>
      <c r="M1319" s="35"/>
      <c r="N1319" s="35"/>
      <c r="O1319" s="35"/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  <c r="Z1319" s="35"/>
      <c r="AA1319" s="35"/>
      <c r="AB1319" s="35"/>
      <c r="AC1319" s="35"/>
      <c r="AD1319" s="35"/>
      <c r="AE1319" s="35"/>
      <c r="AF1319" s="35"/>
      <c r="AG1319" s="35"/>
      <c r="AH1319" s="35"/>
      <c r="AI1319" s="35"/>
      <c r="AJ1319" s="35"/>
      <c r="AK1319" s="35"/>
      <c r="AL1319" s="35"/>
      <c r="AM1319" s="35"/>
      <c r="AN1319" s="35"/>
      <c r="AO1319" s="35"/>
      <c r="AP1319" s="35"/>
    </row>
    <row r="1320" spans="1:42" ht="17.25" customHeight="1" x14ac:dyDescent="0.25">
      <c r="A1320" s="55">
        <v>2015</v>
      </c>
      <c r="B1320" s="56" t="s">
        <v>66</v>
      </c>
      <c r="C1320" s="56" t="s">
        <v>41</v>
      </c>
      <c r="D1320" s="56" t="s">
        <v>45</v>
      </c>
      <c r="E1320" s="56" t="s">
        <v>67</v>
      </c>
      <c r="F1320" s="56" t="s">
        <v>67</v>
      </c>
      <c r="G1320" s="57">
        <v>24618139354</v>
      </c>
      <c r="H1320" s="56" t="s">
        <v>68</v>
      </c>
      <c r="I1320" s="58" t="str">
        <f t="shared" si="133"/>
        <v>U.A.E.-Offline</v>
      </c>
      <c r="J1320" s="40"/>
      <c r="K1320" s="59"/>
      <c r="L1320" s="35"/>
      <c r="M1320" s="35"/>
      <c r="N1320" s="35"/>
      <c r="O1320" s="35"/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  <c r="Z1320" s="35"/>
      <c r="AA1320" s="35"/>
      <c r="AB1320" s="35"/>
      <c r="AC1320" s="35"/>
      <c r="AD1320" s="35"/>
      <c r="AE1320" s="35"/>
      <c r="AF1320" s="35"/>
      <c r="AG1320" s="35"/>
      <c r="AH1320" s="35"/>
      <c r="AI1320" s="35"/>
      <c r="AJ1320" s="35"/>
      <c r="AK1320" s="35"/>
      <c r="AL1320" s="35"/>
      <c r="AM1320" s="35"/>
      <c r="AN1320" s="35"/>
      <c r="AO1320" s="35"/>
      <c r="AP1320" s="35"/>
    </row>
    <row r="1321" spans="1:42" ht="17.25" customHeight="1" x14ac:dyDescent="0.25">
      <c r="A1321" s="60">
        <v>2015</v>
      </c>
      <c r="B1321" s="61" t="s">
        <v>66</v>
      </c>
      <c r="C1321" s="61" t="s">
        <v>41</v>
      </c>
      <c r="D1321" s="61" t="s">
        <v>45</v>
      </c>
      <c r="E1321" s="61" t="s">
        <v>69</v>
      </c>
      <c r="F1321" s="61" t="s">
        <v>70</v>
      </c>
      <c r="G1321" s="62">
        <v>6612901279</v>
      </c>
      <c r="H1321" s="61" t="s">
        <v>68</v>
      </c>
      <c r="I1321" s="63" t="str">
        <f t="shared" si="133"/>
        <v>U.A.E.-Online Supplier-Direct</v>
      </c>
      <c r="J1321" s="47"/>
      <c r="K1321" s="54"/>
      <c r="L1321" s="35"/>
      <c r="M1321" s="35"/>
      <c r="N1321" s="35"/>
      <c r="O1321" s="35"/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  <c r="Z1321" s="35"/>
      <c r="AA1321" s="35"/>
      <c r="AB1321" s="35"/>
      <c r="AC1321" s="35"/>
      <c r="AD1321" s="35"/>
      <c r="AE1321" s="35"/>
      <c r="AF1321" s="35"/>
      <c r="AG1321" s="35"/>
      <c r="AH1321" s="35"/>
      <c r="AI1321" s="35"/>
      <c r="AJ1321" s="35"/>
      <c r="AK1321" s="35"/>
      <c r="AL1321" s="35"/>
      <c r="AM1321" s="35"/>
      <c r="AN1321" s="35"/>
      <c r="AO1321" s="35"/>
      <c r="AP1321" s="35"/>
    </row>
    <row r="1322" spans="1:42" ht="17.25" customHeight="1" x14ac:dyDescent="0.25">
      <c r="A1322" s="55">
        <v>2015</v>
      </c>
      <c r="B1322" s="56" t="s">
        <v>66</v>
      </c>
      <c r="C1322" s="56" t="s">
        <v>41</v>
      </c>
      <c r="D1322" s="56" t="s">
        <v>45</v>
      </c>
      <c r="E1322" s="56" t="s">
        <v>69</v>
      </c>
      <c r="F1322" s="56" t="s">
        <v>71</v>
      </c>
      <c r="G1322" s="57">
        <v>3797320382</v>
      </c>
      <c r="H1322" s="56" t="s">
        <v>68</v>
      </c>
      <c r="I1322" s="58" t="str">
        <f t="shared" si="133"/>
        <v>U.A.E.-OTA</v>
      </c>
      <c r="J1322" s="40"/>
      <c r="K1322" s="59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  <c r="AA1322" s="35"/>
      <c r="AB1322" s="35"/>
      <c r="AC1322" s="35"/>
      <c r="AD1322" s="35"/>
      <c r="AE1322" s="35"/>
      <c r="AF1322" s="35"/>
      <c r="AG1322" s="35"/>
      <c r="AH1322" s="35"/>
      <c r="AI1322" s="35"/>
      <c r="AJ1322" s="35"/>
      <c r="AK1322" s="35"/>
      <c r="AL1322" s="35"/>
      <c r="AM1322" s="35"/>
      <c r="AN1322" s="35"/>
      <c r="AO1322" s="35"/>
      <c r="AP1322" s="35"/>
    </row>
    <row r="1323" spans="1:42" ht="17.25" customHeight="1" x14ac:dyDescent="0.25">
      <c r="A1323" s="60">
        <v>2015</v>
      </c>
      <c r="B1323" s="61" t="s">
        <v>66</v>
      </c>
      <c r="C1323" s="61" t="s">
        <v>27</v>
      </c>
      <c r="D1323" s="61" t="s">
        <v>33</v>
      </c>
      <c r="E1323" s="61" t="s">
        <v>67</v>
      </c>
      <c r="F1323" s="61" t="s">
        <v>67</v>
      </c>
      <c r="G1323" s="62">
        <v>29698434280</v>
      </c>
      <c r="H1323" s="61" t="s">
        <v>68</v>
      </c>
      <c r="I1323" s="63" t="str">
        <f t="shared" si="133"/>
        <v>U.K.-Offline</v>
      </c>
      <c r="J1323" s="47"/>
      <c r="K1323" s="54"/>
      <c r="L1323" s="35"/>
      <c r="M1323" s="35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  <c r="AA1323" s="35"/>
      <c r="AB1323" s="35"/>
      <c r="AC1323" s="35"/>
      <c r="AD1323" s="35"/>
      <c r="AE1323" s="35"/>
      <c r="AF1323" s="35"/>
      <c r="AG1323" s="35"/>
      <c r="AH1323" s="35"/>
      <c r="AI1323" s="35"/>
      <c r="AJ1323" s="35"/>
      <c r="AK1323" s="35"/>
      <c r="AL1323" s="35"/>
      <c r="AM1323" s="35"/>
      <c r="AN1323" s="35"/>
      <c r="AO1323" s="35"/>
      <c r="AP1323" s="35"/>
    </row>
    <row r="1324" spans="1:42" ht="17.25" customHeight="1" x14ac:dyDescent="0.25">
      <c r="A1324" s="55">
        <v>2015</v>
      </c>
      <c r="B1324" s="56" t="s">
        <v>66</v>
      </c>
      <c r="C1324" s="56" t="s">
        <v>27</v>
      </c>
      <c r="D1324" s="56" t="s">
        <v>33</v>
      </c>
      <c r="E1324" s="56" t="s">
        <v>69</v>
      </c>
      <c r="F1324" s="56" t="s">
        <v>70</v>
      </c>
      <c r="G1324" s="57">
        <v>27219441815</v>
      </c>
      <c r="H1324" s="56" t="s">
        <v>68</v>
      </c>
      <c r="I1324" s="58" t="str">
        <f t="shared" si="133"/>
        <v>U.K.-Online Supplier-Direct</v>
      </c>
      <c r="J1324" s="40"/>
      <c r="K1324" s="59"/>
      <c r="L1324" s="35"/>
      <c r="M1324" s="35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  <c r="AA1324" s="35"/>
      <c r="AB1324" s="35"/>
      <c r="AC1324" s="35"/>
      <c r="AD1324" s="35"/>
      <c r="AE1324" s="35"/>
      <c r="AF1324" s="35"/>
      <c r="AG1324" s="35"/>
      <c r="AH1324" s="35"/>
      <c r="AI1324" s="35"/>
      <c r="AJ1324" s="35"/>
      <c r="AK1324" s="35"/>
      <c r="AL1324" s="35"/>
      <c r="AM1324" s="35"/>
      <c r="AN1324" s="35"/>
      <c r="AO1324" s="35"/>
      <c r="AP1324" s="35"/>
    </row>
    <row r="1325" spans="1:42" ht="17.25" customHeight="1" x14ac:dyDescent="0.25">
      <c r="A1325" s="60">
        <v>2015</v>
      </c>
      <c r="B1325" s="61" t="s">
        <v>66</v>
      </c>
      <c r="C1325" s="61" t="s">
        <v>27</v>
      </c>
      <c r="D1325" s="61" t="s">
        <v>33</v>
      </c>
      <c r="E1325" s="61" t="s">
        <v>69</v>
      </c>
      <c r="F1325" s="61" t="s">
        <v>71</v>
      </c>
      <c r="G1325" s="62">
        <v>11108885307</v>
      </c>
      <c r="H1325" s="61" t="s">
        <v>68</v>
      </c>
      <c r="I1325" s="63" t="str">
        <f t="shared" si="133"/>
        <v>U.K.-OTA</v>
      </c>
      <c r="J1325" s="47"/>
      <c r="K1325" s="54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  <c r="AG1325" s="35"/>
      <c r="AH1325" s="35"/>
      <c r="AI1325" s="35"/>
      <c r="AJ1325" s="35"/>
      <c r="AK1325" s="35"/>
      <c r="AL1325" s="35"/>
      <c r="AM1325" s="35"/>
      <c r="AN1325" s="35"/>
      <c r="AO1325" s="35"/>
      <c r="AP1325" s="35"/>
    </row>
    <row r="1326" spans="1:42" ht="17.25" customHeight="1" x14ac:dyDescent="0.25">
      <c r="A1326" s="55">
        <v>2015</v>
      </c>
      <c r="B1326" s="56" t="s">
        <v>66</v>
      </c>
      <c r="C1326" s="56" t="s">
        <v>47</v>
      </c>
      <c r="D1326" s="56" t="s">
        <v>48</v>
      </c>
      <c r="E1326" s="56" t="s">
        <v>72</v>
      </c>
      <c r="F1326" s="56" t="s">
        <v>73</v>
      </c>
      <c r="G1326" s="57">
        <v>92528058299</v>
      </c>
      <c r="H1326" s="56" t="s">
        <v>68</v>
      </c>
      <c r="I1326" s="58" t="str">
        <f t="shared" si="133"/>
        <v>U.S.-Central Reservation</v>
      </c>
      <c r="J1326" s="40"/>
      <c r="K1326" s="59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  <c r="AG1326" s="35"/>
      <c r="AH1326" s="35"/>
      <c r="AI1326" s="35"/>
      <c r="AJ1326" s="35"/>
      <c r="AK1326" s="35"/>
      <c r="AL1326" s="35"/>
      <c r="AM1326" s="35"/>
      <c r="AN1326" s="35"/>
      <c r="AO1326" s="35"/>
      <c r="AP1326" s="35"/>
    </row>
    <row r="1327" spans="1:42" ht="17.25" customHeight="1" x14ac:dyDescent="0.25">
      <c r="A1327" s="60">
        <v>2015</v>
      </c>
      <c r="B1327" s="61" t="s">
        <v>66</v>
      </c>
      <c r="C1327" s="61" t="s">
        <v>47</v>
      </c>
      <c r="D1327" s="61" t="s">
        <v>48</v>
      </c>
      <c r="E1327" s="61" t="s">
        <v>67</v>
      </c>
      <c r="F1327" s="61" t="s">
        <v>74</v>
      </c>
      <c r="G1327" s="62">
        <v>92638916093</v>
      </c>
      <c r="H1327" s="61" t="s">
        <v>68</v>
      </c>
      <c r="I1327" s="63" t="str">
        <f t="shared" si="133"/>
        <v>U.S.-Travel Agency/TMC</v>
      </c>
      <c r="J1327" s="47"/>
      <c r="K1327" s="54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  <c r="AG1327" s="35"/>
      <c r="AH1327" s="35"/>
      <c r="AI1327" s="35"/>
      <c r="AJ1327" s="35"/>
      <c r="AK1327" s="35"/>
      <c r="AL1327" s="35"/>
      <c r="AM1327" s="35"/>
      <c r="AN1327" s="35"/>
      <c r="AO1327" s="35"/>
      <c r="AP1327" s="35"/>
    </row>
    <row r="1328" spans="1:42" ht="17.25" customHeight="1" x14ac:dyDescent="0.25">
      <c r="A1328" s="55">
        <v>2015</v>
      </c>
      <c r="B1328" s="56" t="s">
        <v>66</v>
      </c>
      <c r="C1328" s="56" t="s">
        <v>47</v>
      </c>
      <c r="D1328" s="56" t="s">
        <v>48</v>
      </c>
      <c r="E1328" s="56" t="s">
        <v>69</v>
      </c>
      <c r="F1328" s="56" t="s">
        <v>70</v>
      </c>
      <c r="G1328" s="57">
        <v>93362948881</v>
      </c>
      <c r="H1328" s="56" t="s">
        <v>68</v>
      </c>
      <c r="I1328" s="58" t="str">
        <f t="shared" si="133"/>
        <v>U.S.-Online Supplier-Direct</v>
      </c>
      <c r="J1328" s="40"/>
      <c r="K1328" s="59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  <c r="AG1328" s="35"/>
      <c r="AH1328" s="35"/>
      <c r="AI1328" s="35"/>
      <c r="AJ1328" s="35"/>
      <c r="AK1328" s="35"/>
      <c r="AL1328" s="35"/>
      <c r="AM1328" s="35"/>
      <c r="AN1328" s="35"/>
      <c r="AO1328" s="35"/>
      <c r="AP1328" s="35"/>
    </row>
    <row r="1329" spans="1:42" ht="17.25" customHeight="1" x14ac:dyDescent="0.25">
      <c r="A1329" s="60">
        <v>2015</v>
      </c>
      <c r="B1329" s="61" t="s">
        <v>66</v>
      </c>
      <c r="C1329" s="61" t="s">
        <v>47</v>
      </c>
      <c r="D1329" s="61" t="s">
        <v>48</v>
      </c>
      <c r="E1329" s="61" t="s">
        <v>69</v>
      </c>
      <c r="F1329" s="61" t="s">
        <v>71</v>
      </c>
      <c r="G1329" s="62">
        <v>56899999998</v>
      </c>
      <c r="H1329" s="61" t="s">
        <v>68</v>
      </c>
      <c r="I1329" s="63" t="str">
        <f t="shared" si="133"/>
        <v>U.S.-OTA</v>
      </c>
      <c r="J1329" s="47"/>
      <c r="K1329" s="54"/>
      <c r="L1329" s="35"/>
      <c r="M1329" s="35"/>
      <c r="N1329" s="35"/>
      <c r="O1329" s="35"/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  <c r="AA1329" s="35"/>
      <c r="AB1329" s="35"/>
      <c r="AC1329" s="35"/>
      <c r="AD1329" s="35"/>
      <c r="AE1329" s="35"/>
      <c r="AF1329" s="35"/>
      <c r="AG1329" s="35"/>
      <c r="AH1329" s="35"/>
      <c r="AI1329" s="35"/>
      <c r="AJ1329" s="35"/>
      <c r="AK1329" s="35"/>
      <c r="AL1329" s="35"/>
      <c r="AM1329" s="35"/>
      <c r="AN1329" s="35"/>
      <c r="AO1329" s="35"/>
      <c r="AP1329" s="35"/>
    </row>
    <row r="1330" spans="1:42" ht="17.25" customHeight="1" x14ac:dyDescent="0.25">
      <c r="A1330" s="55">
        <v>2015</v>
      </c>
      <c r="B1330" s="56" t="s">
        <v>66</v>
      </c>
      <c r="C1330" s="56" t="s">
        <v>17</v>
      </c>
      <c r="D1330" s="56" t="s">
        <v>25</v>
      </c>
      <c r="E1330" s="56" t="s">
        <v>67</v>
      </c>
      <c r="F1330" s="56" t="s">
        <v>67</v>
      </c>
      <c r="G1330" s="57">
        <v>1799455755</v>
      </c>
      <c r="H1330" s="56" t="s">
        <v>68</v>
      </c>
      <c r="I1330" s="58" t="str">
        <f t="shared" si="133"/>
        <v>Ukraine-Offline</v>
      </c>
      <c r="J1330" s="40"/>
      <c r="K1330" s="59"/>
      <c r="L1330" s="35"/>
      <c r="M1330" s="35"/>
      <c r="N1330" s="35"/>
      <c r="O1330" s="35"/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  <c r="Z1330" s="35"/>
      <c r="AA1330" s="35"/>
      <c r="AB1330" s="35"/>
      <c r="AC1330" s="35"/>
      <c r="AD1330" s="35"/>
      <c r="AE1330" s="35"/>
      <c r="AF1330" s="35"/>
      <c r="AG1330" s="35"/>
      <c r="AH1330" s="35"/>
      <c r="AI1330" s="35"/>
      <c r="AJ1330" s="35"/>
      <c r="AK1330" s="35"/>
      <c r="AL1330" s="35"/>
      <c r="AM1330" s="35"/>
      <c r="AN1330" s="35"/>
      <c r="AO1330" s="35"/>
      <c r="AP1330" s="35"/>
    </row>
    <row r="1331" spans="1:42" ht="17.25" customHeight="1" x14ac:dyDescent="0.25">
      <c r="A1331" s="60">
        <v>2015</v>
      </c>
      <c r="B1331" s="61" t="s">
        <v>66</v>
      </c>
      <c r="C1331" s="61" t="s">
        <v>17</v>
      </c>
      <c r="D1331" s="61" t="s">
        <v>25</v>
      </c>
      <c r="E1331" s="61" t="s">
        <v>69</v>
      </c>
      <c r="F1331" s="61" t="s">
        <v>70</v>
      </c>
      <c r="G1331" s="62">
        <v>215010658</v>
      </c>
      <c r="H1331" s="61" t="s">
        <v>68</v>
      </c>
      <c r="I1331" s="63" t="str">
        <f t="shared" si="133"/>
        <v>Ukraine-Online Supplier-Direct</v>
      </c>
      <c r="J1331" s="47"/>
      <c r="K1331" s="54"/>
      <c r="L1331" s="35"/>
      <c r="M1331" s="35"/>
      <c r="N1331" s="35"/>
      <c r="O1331" s="35"/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  <c r="Z1331" s="35"/>
      <c r="AA1331" s="35"/>
      <c r="AB1331" s="35"/>
      <c r="AC1331" s="35"/>
      <c r="AD1331" s="35"/>
      <c r="AE1331" s="35"/>
      <c r="AF1331" s="35"/>
      <c r="AG1331" s="35"/>
      <c r="AH1331" s="35"/>
      <c r="AI1331" s="35"/>
      <c r="AJ1331" s="35"/>
      <c r="AK1331" s="35"/>
      <c r="AL1331" s="35"/>
      <c r="AM1331" s="35"/>
      <c r="AN1331" s="35"/>
      <c r="AO1331" s="35"/>
      <c r="AP1331" s="35"/>
    </row>
    <row r="1332" spans="1:42" ht="17.25" customHeight="1" x14ac:dyDescent="0.25">
      <c r="A1332" s="55">
        <v>2015</v>
      </c>
      <c r="B1332" s="56" t="s">
        <v>66</v>
      </c>
      <c r="C1332" s="56" t="s">
        <v>17</v>
      </c>
      <c r="D1332" s="56" t="s">
        <v>25</v>
      </c>
      <c r="E1332" s="56" t="s">
        <v>69</v>
      </c>
      <c r="F1332" s="56" t="s">
        <v>71</v>
      </c>
      <c r="G1332" s="57">
        <v>256182500</v>
      </c>
      <c r="H1332" s="56" t="s">
        <v>68</v>
      </c>
      <c r="I1332" s="58" t="str">
        <f t="shared" si="133"/>
        <v>Ukraine-OTA</v>
      </c>
      <c r="J1332" s="40"/>
      <c r="K1332" s="59"/>
      <c r="L1332" s="35"/>
      <c r="M1332" s="35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  <c r="AA1332" s="35"/>
      <c r="AB1332" s="35"/>
      <c r="AC1332" s="35"/>
      <c r="AD1332" s="35"/>
      <c r="AE1332" s="35"/>
      <c r="AF1332" s="35"/>
      <c r="AG1332" s="35"/>
      <c r="AH1332" s="35"/>
      <c r="AI1332" s="35"/>
      <c r="AJ1332" s="35"/>
      <c r="AK1332" s="35"/>
      <c r="AL1332" s="35"/>
      <c r="AM1332" s="35"/>
      <c r="AN1332" s="35"/>
      <c r="AO1332" s="35"/>
      <c r="AP1332" s="35"/>
    </row>
    <row r="1333" spans="1:42" ht="17.25" customHeight="1" x14ac:dyDescent="0.25">
      <c r="A1333" s="60">
        <v>2016</v>
      </c>
      <c r="B1333" s="61" t="s">
        <v>66</v>
      </c>
      <c r="C1333" s="61" t="s">
        <v>35</v>
      </c>
      <c r="D1333" s="61" t="s">
        <v>34</v>
      </c>
      <c r="E1333" s="61" t="s">
        <v>67</v>
      </c>
      <c r="F1333" s="61" t="s">
        <v>67</v>
      </c>
      <c r="G1333" s="62">
        <v>3105416673</v>
      </c>
      <c r="H1333" s="61" t="s">
        <v>68</v>
      </c>
      <c r="I1333" s="63" t="str">
        <f t="shared" si="133"/>
        <v>Argentina-Offline</v>
      </c>
      <c r="J1333" s="47"/>
      <c r="K1333" s="54"/>
      <c r="L1333" s="35"/>
      <c r="M1333" s="35"/>
      <c r="N1333" s="35"/>
      <c r="O1333" s="35"/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  <c r="Z1333" s="35"/>
      <c r="AA1333" s="35"/>
      <c r="AB1333" s="35"/>
      <c r="AC1333" s="35"/>
      <c r="AD1333" s="35"/>
      <c r="AE1333" s="35"/>
      <c r="AF1333" s="35"/>
      <c r="AG1333" s="35"/>
      <c r="AH1333" s="35"/>
      <c r="AI1333" s="35"/>
      <c r="AJ1333" s="35"/>
      <c r="AK1333" s="35"/>
      <c r="AL1333" s="35"/>
      <c r="AM1333" s="35"/>
      <c r="AN1333" s="35"/>
      <c r="AO1333" s="35"/>
      <c r="AP1333" s="35"/>
    </row>
    <row r="1334" spans="1:42" ht="17.25" customHeight="1" x14ac:dyDescent="0.25">
      <c r="A1334" s="55">
        <v>2016</v>
      </c>
      <c r="B1334" s="56" t="s">
        <v>66</v>
      </c>
      <c r="C1334" s="56" t="s">
        <v>35</v>
      </c>
      <c r="D1334" s="56" t="s">
        <v>34</v>
      </c>
      <c r="E1334" s="56" t="s">
        <v>69</v>
      </c>
      <c r="F1334" s="56" t="s">
        <v>70</v>
      </c>
      <c r="G1334" s="57">
        <v>435736190</v>
      </c>
      <c r="H1334" s="56" t="s">
        <v>68</v>
      </c>
      <c r="I1334" s="58" t="str">
        <f t="shared" si="133"/>
        <v>Argentina-Online Supplier-Direct</v>
      </c>
      <c r="J1334" s="40"/>
      <c r="K1334" s="59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  <c r="AB1334" s="35"/>
      <c r="AC1334" s="35"/>
      <c r="AD1334" s="35"/>
      <c r="AE1334" s="35"/>
      <c r="AF1334" s="35"/>
      <c r="AG1334" s="35"/>
      <c r="AH1334" s="35"/>
      <c r="AI1334" s="35"/>
      <c r="AJ1334" s="35"/>
      <c r="AK1334" s="35"/>
      <c r="AL1334" s="35"/>
      <c r="AM1334" s="35"/>
      <c r="AN1334" s="35"/>
      <c r="AO1334" s="35"/>
      <c r="AP1334" s="35"/>
    </row>
    <row r="1335" spans="1:42" ht="17.25" customHeight="1" x14ac:dyDescent="0.25">
      <c r="A1335" s="60">
        <v>2016</v>
      </c>
      <c r="B1335" s="61" t="s">
        <v>66</v>
      </c>
      <c r="C1335" s="61" t="s">
        <v>35</v>
      </c>
      <c r="D1335" s="61" t="s">
        <v>34</v>
      </c>
      <c r="E1335" s="61" t="s">
        <v>69</v>
      </c>
      <c r="F1335" s="61" t="s">
        <v>71</v>
      </c>
      <c r="G1335" s="62">
        <v>575617134</v>
      </c>
      <c r="H1335" s="61" t="s">
        <v>68</v>
      </c>
      <c r="I1335" s="63" t="str">
        <f t="shared" si="133"/>
        <v>Argentina-OTA</v>
      </c>
      <c r="J1335" s="47"/>
      <c r="K1335" s="54"/>
      <c r="L1335" s="35"/>
      <c r="M1335" s="35"/>
      <c r="N1335" s="35"/>
      <c r="O1335" s="35"/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  <c r="Z1335" s="35"/>
      <c r="AA1335" s="35"/>
      <c r="AB1335" s="35"/>
      <c r="AC1335" s="35"/>
      <c r="AD1335" s="35"/>
      <c r="AE1335" s="35"/>
      <c r="AF1335" s="35"/>
      <c r="AG1335" s="35"/>
      <c r="AH1335" s="35"/>
      <c r="AI1335" s="35"/>
      <c r="AJ1335" s="35"/>
      <c r="AK1335" s="35"/>
      <c r="AL1335" s="35"/>
      <c r="AM1335" s="35"/>
      <c r="AN1335" s="35"/>
      <c r="AO1335" s="35"/>
      <c r="AP1335" s="35"/>
    </row>
    <row r="1336" spans="1:42" ht="17.25" customHeight="1" x14ac:dyDescent="0.25">
      <c r="A1336" s="55">
        <v>2016</v>
      </c>
      <c r="B1336" s="56" t="s">
        <v>66</v>
      </c>
      <c r="C1336" s="56" t="s">
        <v>4</v>
      </c>
      <c r="D1336" s="56" t="s">
        <v>3</v>
      </c>
      <c r="E1336" s="56" t="s">
        <v>67</v>
      </c>
      <c r="F1336" s="56" t="s">
        <v>67</v>
      </c>
      <c r="G1336" s="57">
        <v>21862282389</v>
      </c>
      <c r="H1336" s="56" t="s">
        <v>68</v>
      </c>
      <c r="I1336" s="58" t="str">
        <f t="shared" si="133"/>
        <v>Australia-New Zealand-Offline</v>
      </c>
      <c r="J1336" s="40"/>
      <c r="K1336" s="59"/>
      <c r="L1336" s="35"/>
      <c r="M1336" s="35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  <c r="AB1336" s="35"/>
      <c r="AC1336" s="35"/>
      <c r="AD1336" s="35"/>
      <c r="AE1336" s="35"/>
      <c r="AF1336" s="35"/>
      <c r="AG1336" s="35"/>
      <c r="AH1336" s="35"/>
      <c r="AI1336" s="35"/>
      <c r="AJ1336" s="35"/>
      <c r="AK1336" s="35"/>
      <c r="AL1336" s="35"/>
      <c r="AM1336" s="35"/>
      <c r="AN1336" s="35"/>
      <c r="AO1336" s="35"/>
      <c r="AP1336" s="35"/>
    </row>
    <row r="1337" spans="1:42" ht="17.25" customHeight="1" x14ac:dyDescent="0.25">
      <c r="A1337" s="60">
        <v>2016</v>
      </c>
      <c r="B1337" s="61" t="s">
        <v>66</v>
      </c>
      <c r="C1337" s="61" t="s">
        <v>4</v>
      </c>
      <c r="D1337" s="61" t="s">
        <v>3</v>
      </c>
      <c r="E1337" s="61" t="s">
        <v>69</v>
      </c>
      <c r="F1337" s="61" t="s">
        <v>70</v>
      </c>
      <c r="G1337" s="62">
        <v>10447170939</v>
      </c>
      <c r="H1337" s="61" t="s">
        <v>68</v>
      </c>
      <c r="I1337" s="63" t="str">
        <f t="shared" si="133"/>
        <v>Australia-New Zealand-Online Supplier-Direct</v>
      </c>
      <c r="J1337" s="47"/>
      <c r="K1337" s="54"/>
      <c r="L1337" s="35"/>
      <c r="M1337" s="35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  <c r="AA1337" s="35"/>
      <c r="AB1337" s="35"/>
      <c r="AC1337" s="35"/>
      <c r="AD1337" s="35"/>
      <c r="AE1337" s="35"/>
      <c r="AF1337" s="35"/>
      <c r="AG1337" s="35"/>
      <c r="AH1337" s="35"/>
      <c r="AI1337" s="35"/>
      <c r="AJ1337" s="35"/>
      <c r="AK1337" s="35"/>
      <c r="AL1337" s="35"/>
      <c r="AM1337" s="35"/>
      <c r="AN1337" s="35"/>
      <c r="AO1337" s="35"/>
      <c r="AP1337" s="35"/>
    </row>
    <row r="1338" spans="1:42" ht="17.25" customHeight="1" x14ac:dyDescent="0.25">
      <c r="A1338" s="55">
        <v>2016</v>
      </c>
      <c r="B1338" s="56" t="s">
        <v>66</v>
      </c>
      <c r="C1338" s="56" t="s">
        <v>4</v>
      </c>
      <c r="D1338" s="56" t="s">
        <v>3</v>
      </c>
      <c r="E1338" s="56" t="s">
        <v>69</v>
      </c>
      <c r="F1338" s="56" t="s">
        <v>71</v>
      </c>
      <c r="G1338" s="57">
        <v>4499547688</v>
      </c>
      <c r="H1338" s="56" t="s">
        <v>68</v>
      </c>
      <c r="I1338" s="58" t="str">
        <f t="shared" si="133"/>
        <v>Australia-New Zealand-OTA</v>
      </c>
      <c r="J1338" s="40"/>
      <c r="K1338" s="59"/>
      <c r="L1338" s="35"/>
      <c r="M1338" s="35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  <c r="AA1338" s="35"/>
      <c r="AB1338" s="35"/>
      <c r="AC1338" s="35"/>
      <c r="AD1338" s="35"/>
      <c r="AE1338" s="35"/>
      <c r="AF1338" s="35"/>
      <c r="AG1338" s="35"/>
      <c r="AH1338" s="35"/>
      <c r="AI1338" s="35"/>
      <c r="AJ1338" s="35"/>
      <c r="AK1338" s="35"/>
      <c r="AL1338" s="35"/>
      <c r="AM1338" s="35"/>
      <c r="AN1338" s="35"/>
      <c r="AO1338" s="35"/>
      <c r="AP1338" s="35"/>
    </row>
    <row r="1339" spans="1:42" ht="17.25" customHeight="1" x14ac:dyDescent="0.25">
      <c r="A1339" s="60">
        <v>2016</v>
      </c>
      <c r="B1339" s="61" t="s">
        <v>66</v>
      </c>
      <c r="C1339" s="61" t="s">
        <v>35</v>
      </c>
      <c r="D1339" s="61" t="s">
        <v>36</v>
      </c>
      <c r="E1339" s="61" t="s">
        <v>67</v>
      </c>
      <c r="F1339" s="61" t="s">
        <v>67</v>
      </c>
      <c r="G1339" s="62">
        <v>11383405061</v>
      </c>
      <c r="H1339" s="61" t="s">
        <v>68</v>
      </c>
      <c r="I1339" s="63" t="str">
        <f t="shared" si="133"/>
        <v>Brazil-Offline</v>
      </c>
      <c r="J1339" s="47"/>
      <c r="K1339" s="54"/>
      <c r="L1339" s="35"/>
      <c r="M1339" s="35"/>
      <c r="N1339" s="35"/>
      <c r="O1339" s="35"/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  <c r="Z1339" s="35"/>
      <c r="AA1339" s="35"/>
      <c r="AB1339" s="35"/>
      <c r="AC1339" s="35"/>
      <c r="AD1339" s="35"/>
      <c r="AE1339" s="35"/>
      <c r="AF1339" s="35"/>
      <c r="AG1339" s="35"/>
      <c r="AH1339" s="35"/>
      <c r="AI1339" s="35"/>
      <c r="AJ1339" s="35"/>
      <c r="AK1339" s="35"/>
      <c r="AL1339" s="35"/>
      <c r="AM1339" s="35"/>
      <c r="AN1339" s="35"/>
      <c r="AO1339" s="35"/>
      <c r="AP1339" s="35"/>
    </row>
    <row r="1340" spans="1:42" ht="17.25" customHeight="1" x14ac:dyDescent="0.25">
      <c r="A1340" s="55">
        <v>2016</v>
      </c>
      <c r="B1340" s="56" t="s">
        <v>66</v>
      </c>
      <c r="C1340" s="56" t="s">
        <v>35</v>
      </c>
      <c r="D1340" s="56" t="s">
        <v>36</v>
      </c>
      <c r="E1340" s="56" t="s">
        <v>69</v>
      </c>
      <c r="F1340" s="56" t="s">
        <v>70</v>
      </c>
      <c r="G1340" s="57">
        <v>2117480390</v>
      </c>
      <c r="H1340" s="56" t="s">
        <v>68</v>
      </c>
      <c r="I1340" s="58" t="str">
        <f t="shared" si="133"/>
        <v>Brazil-Online Supplier-Direct</v>
      </c>
      <c r="J1340" s="40"/>
      <c r="K1340" s="59"/>
      <c r="L1340" s="35"/>
      <c r="M1340" s="35"/>
      <c r="N1340" s="35"/>
      <c r="O1340" s="35"/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  <c r="Z1340" s="35"/>
      <c r="AA1340" s="35"/>
      <c r="AB1340" s="35"/>
      <c r="AC1340" s="35"/>
      <c r="AD1340" s="35"/>
      <c r="AE1340" s="35"/>
      <c r="AF1340" s="35"/>
      <c r="AG1340" s="35"/>
      <c r="AH1340" s="35"/>
      <c r="AI1340" s="35"/>
      <c r="AJ1340" s="35"/>
      <c r="AK1340" s="35"/>
      <c r="AL1340" s="35"/>
      <c r="AM1340" s="35"/>
      <c r="AN1340" s="35"/>
      <c r="AO1340" s="35"/>
      <c r="AP1340" s="35"/>
    </row>
    <row r="1341" spans="1:42" ht="17.25" customHeight="1" x14ac:dyDescent="0.25">
      <c r="A1341" s="60">
        <v>2016</v>
      </c>
      <c r="B1341" s="61" t="s">
        <v>66</v>
      </c>
      <c r="C1341" s="61" t="s">
        <v>35</v>
      </c>
      <c r="D1341" s="61" t="s">
        <v>36</v>
      </c>
      <c r="E1341" s="61" t="s">
        <v>69</v>
      </c>
      <c r="F1341" s="61" t="s">
        <v>71</v>
      </c>
      <c r="G1341" s="62">
        <v>3967964739</v>
      </c>
      <c r="H1341" s="61" t="s">
        <v>68</v>
      </c>
      <c r="I1341" s="63" t="str">
        <f t="shared" si="133"/>
        <v>Brazil-OTA</v>
      </c>
      <c r="J1341" s="47"/>
      <c r="K1341" s="54"/>
      <c r="L1341" s="35"/>
      <c r="M1341" s="35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/>
      <c r="AB1341" s="35"/>
      <c r="AC1341" s="35"/>
      <c r="AD1341" s="35"/>
      <c r="AE1341" s="35"/>
      <c r="AF1341" s="35"/>
      <c r="AG1341" s="35"/>
      <c r="AH1341" s="35"/>
      <c r="AI1341" s="35"/>
      <c r="AJ1341" s="35"/>
      <c r="AK1341" s="35"/>
      <c r="AL1341" s="35"/>
      <c r="AM1341" s="35"/>
      <c r="AN1341" s="35"/>
      <c r="AO1341" s="35"/>
      <c r="AP1341" s="35"/>
    </row>
    <row r="1342" spans="1:42" ht="17.25" customHeight="1" x14ac:dyDescent="0.25">
      <c r="A1342" s="55">
        <v>2016</v>
      </c>
      <c r="B1342" s="56" t="s">
        <v>66</v>
      </c>
      <c r="C1342" s="56" t="s">
        <v>17</v>
      </c>
      <c r="D1342" s="56" t="s">
        <v>16</v>
      </c>
      <c r="E1342" s="56" t="s">
        <v>67</v>
      </c>
      <c r="F1342" s="56" t="s">
        <v>67</v>
      </c>
      <c r="G1342" s="57">
        <v>950530310</v>
      </c>
      <c r="H1342" s="56" t="s">
        <v>68</v>
      </c>
      <c r="I1342" s="58" t="str">
        <f t="shared" si="133"/>
        <v>Bulgaria-Offline</v>
      </c>
      <c r="J1342" s="40"/>
      <c r="K1342" s="59"/>
      <c r="L1342" s="35"/>
      <c r="M1342" s="35"/>
      <c r="N1342" s="35"/>
      <c r="O1342" s="35"/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  <c r="AA1342" s="35"/>
      <c r="AB1342" s="35"/>
      <c r="AC1342" s="35"/>
      <c r="AD1342" s="35"/>
      <c r="AE1342" s="35"/>
      <c r="AF1342" s="35"/>
      <c r="AG1342" s="35"/>
      <c r="AH1342" s="35"/>
      <c r="AI1342" s="35"/>
      <c r="AJ1342" s="35"/>
      <c r="AK1342" s="35"/>
      <c r="AL1342" s="35"/>
      <c r="AM1342" s="35"/>
      <c r="AN1342" s="35"/>
      <c r="AO1342" s="35"/>
      <c r="AP1342" s="35"/>
    </row>
    <row r="1343" spans="1:42" ht="17.25" customHeight="1" x14ac:dyDescent="0.25">
      <c r="A1343" s="60">
        <v>2016</v>
      </c>
      <c r="B1343" s="61" t="s">
        <v>66</v>
      </c>
      <c r="C1343" s="61" t="s">
        <v>17</v>
      </c>
      <c r="D1343" s="61" t="s">
        <v>16</v>
      </c>
      <c r="E1343" s="61" t="s">
        <v>69</v>
      </c>
      <c r="F1343" s="61" t="s">
        <v>70</v>
      </c>
      <c r="G1343" s="62">
        <v>203972087</v>
      </c>
      <c r="H1343" s="61" t="s">
        <v>68</v>
      </c>
      <c r="I1343" s="63" t="str">
        <f t="shared" si="133"/>
        <v>Bulgaria-Online Supplier-Direct</v>
      </c>
      <c r="J1343" s="47"/>
      <c r="K1343" s="54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  <c r="AB1343" s="35"/>
      <c r="AC1343" s="35"/>
      <c r="AD1343" s="35"/>
      <c r="AE1343" s="35"/>
      <c r="AF1343" s="35"/>
      <c r="AG1343" s="35"/>
      <c r="AH1343" s="35"/>
      <c r="AI1343" s="35"/>
      <c r="AJ1343" s="35"/>
      <c r="AK1343" s="35"/>
      <c r="AL1343" s="35"/>
      <c r="AM1343" s="35"/>
      <c r="AN1343" s="35"/>
      <c r="AO1343" s="35"/>
      <c r="AP1343" s="35"/>
    </row>
    <row r="1344" spans="1:42" ht="17.25" customHeight="1" x14ac:dyDescent="0.25">
      <c r="A1344" s="55">
        <v>2016</v>
      </c>
      <c r="B1344" s="56" t="s">
        <v>66</v>
      </c>
      <c r="C1344" s="56" t="s">
        <v>17</v>
      </c>
      <c r="D1344" s="56" t="s">
        <v>16</v>
      </c>
      <c r="E1344" s="56" t="s">
        <v>69</v>
      </c>
      <c r="F1344" s="56" t="s">
        <v>71</v>
      </c>
      <c r="G1344" s="57">
        <v>164875931</v>
      </c>
      <c r="H1344" s="56" t="s">
        <v>68</v>
      </c>
      <c r="I1344" s="58" t="str">
        <f t="shared" si="133"/>
        <v>Bulgaria-OTA</v>
      </c>
      <c r="J1344" s="40"/>
      <c r="K1344" s="59"/>
      <c r="L1344" s="35"/>
      <c r="M1344" s="35"/>
      <c r="N1344" s="35"/>
      <c r="O1344" s="35"/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  <c r="Z1344" s="35"/>
      <c r="AA1344" s="35"/>
      <c r="AB1344" s="35"/>
      <c r="AC1344" s="35"/>
      <c r="AD1344" s="35"/>
      <c r="AE1344" s="35"/>
      <c r="AF1344" s="35"/>
      <c r="AG1344" s="35"/>
      <c r="AH1344" s="35"/>
      <c r="AI1344" s="35"/>
      <c r="AJ1344" s="35"/>
      <c r="AK1344" s="35"/>
      <c r="AL1344" s="35"/>
      <c r="AM1344" s="35"/>
      <c r="AN1344" s="35"/>
      <c r="AO1344" s="35"/>
      <c r="AP1344" s="35"/>
    </row>
    <row r="1345" spans="1:42" ht="17.25" customHeight="1" x14ac:dyDescent="0.25">
      <c r="A1345" s="60">
        <v>2016</v>
      </c>
      <c r="B1345" s="61" t="s">
        <v>66</v>
      </c>
      <c r="C1345" s="61" t="s">
        <v>47</v>
      </c>
      <c r="D1345" s="61" t="s">
        <v>46</v>
      </c>
      <c r="E1345" s="61" t="s">
        <v>67</v>
      </c>
      <c r="F1345" s="61" t="s">
        <v>67</v>
      </c>
      <c r="G1345" s="62">
        <v>19010857022</v>
      </c>
      <c r="H1345" s="61" t="s">
        <v>68</v>
      </c>
      <c r="I1345" s="63" t="str">
        <f t="shared" si="133"/>
        <v>Canada-Offline</v>
      </c>
      <c r="J1345" s="47"/>
      <c r="K1345" s="54"/>
      <c r="L1345" s="35"/>
      <c r="M1345" s="35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  <c r="AA1345" s="35"/>
      <c r="AB1345" s="35"/>
      <c r="AC1345" s="35"/>
      <c r="AD1345" s="35"/>
      <c r="AE1345" s="35"/>
      <c r="AF1345" s="35"/>
      <c r="AG1345" s="35"/>
      <c r="AH1345" s="35"/>
      <c r="AI1345" s="35"/>
      <c r="AJ1345" s="35"/>
      <c r="AK1345" s="35"/>
      <c r="AL1345" s="35"/>
      <c r="AM1345" s="35"/>
      <c r="AN1345" s="35"/>
      <c r="AO1345" s="35"/>
      <c r="AP1345" s="35"/>
    </row>
    <row r="1346" spans="1:42" ht="17.25" customHeight="1" x14ac:dyDescent="0.25">
      <c r="A1346" s="55">
        <v>2016</v>
      </c>
      <c r="B1346" s="56" t="s">
        <v>66</v>
      </c>
      <c r="C1346" s="56" t="s">
        <v>47</v>
      </c>
      <c r="D1346" s="56" t="s">
        <v>46</v>
      </c>
      <c r="E1346" s="56" t="s">
        <v>69</v>
      </c>
      <c r="F1346" s="56" t="s">
        <v>70</v>
      </c>
      <c r="G1346" s="57">
        <v>8060224822</v>
      </c>
      <c r="H1346" s="56" t="s">
        <v>68</v>
      </c>
      <c r="I1346" s="58" t="str">
        <f t="shared" si="133"/>
        <v>Canada-Online Supplier-Direct</v>
      </c>
      <c r="J1346" s="40"/>
      <c r="K1346" s="59"/>
      <c r="L1346" s="35"/>
      <c r="M1346" s="35"/>
      <c r="N1346" s="35"/>
      <c r="O1346" s="35"/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  <c r="AA1346" s="35"/>
      <c r="AB1346" s="35"/>
      <c r="AC1346" s="35"/>
      <c r="AD1346" s="35"/>
      <c r="AE1346" s="35"/>
      <c r="AF1346" s="35"/>
      <c r="AG1346" s="35"/>
      <c r="AH1346" s="35"/>
      <c r="AI1346" s="35"/>
      <c r="AJ1346" s="35"/>
      <c r="AK1346" s="35"/>
      <c r="AL1346" s="35"/>
      <c r="AM1346" s="35"/>
      <c r="AN1346" s="35"/>
      <c r="AO1346" s="35"/>
      <c r="AP1346" s="35"/>
    </row>
    <row r="1347" spans="1:42" ht="17.25" customHeight="1" x14ac:dyDescent="0.25">
      <c r="A1347" s="60">
        <v>2016</v>
      </c>
      <c r="B1347" s="61" t="s">
        <v>66</v>
      </c>
      <c r="C1347" s="61" t="s">
        <v>47</v>
      </c>
      <c r="D1347" s="61" t="s">
        <v>46</v>
      </c>
      <c r="E1347" s="61" t="s">
        <v>69</v>
      </c>
      <c r="F1347" s="61" t="s">
        <v>71</v>
      </c>
      <c r="G1347" s="62">
        <v>4430286912</v>
      </c>
      <c r="H1347" s="61" t="s">
        <v>68</v>
      </c>
      <c r="I1347" s="63" t="str">
        <f t="shared" si="133"/>
        <v>Canada-OTA</v>
      </c>
      <c r="J1347" s="47"/>
      <c r="K1347" s="54"/>
      <c r="L1347" s="35"/>
      <c r="M1347" s="35"/>
      <c r="N1347" s="35"/>
      <c r="O1347" s="35"/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  <c r="AA1347" s="35"/>
      <c r="AB1347" s="35"/>
      <c r="AC1347" s="35"/>
      <c r="AD1347" s="35"/>
      <c r="AE1347" s="35"/>
      <c r="AF1347" s="35"/>
      <c r="AG1347" s="35"/>
      <c r="AH1347" s="35"/>
      <c r="AI1347" s="35"/>
      <c r="AJ1347" s="35"/>
      <c r="AK1347" s="35"/>
      <c r="AL1347" s="35"/>
      <c r="AM1347" s="35"/>
      <c r="AN1347" s="35"/>
      <c r="AO1347" s="35"/>
      <c r="AP1347" s="35"/>
    </row>
    <row r="1348" spans="1:42" ht="17.25" customHeight="1" x14ac:dyDescent="0.25">
      <c r="A1348" s="55">
        <v>2016</v>
      </c>
      <c r="B1348" s="56" t="s">
        <v>66</v>
      </c>
      <c r="C1348" s="56" t="s">
        <v>35</v>
      </c>
      <c r="D1348" s="56" t="s">
        <v>37</v>
      </c>
      <c r="E1348" s="56" t="s">
        <v>67</v>
      </c>
      <c r="F1348" s="56" t="s">
        <v>67</v>
      </c>
      <c r="G1348" s="57">
        <v>3114316678</v>
      </c>
      <c r="H1348" s="56" t="s">
        <v>68</v>
      </c>
      <c r="I1348" s="58" t="str">
        <f t="shared" si="133"/>
        <v>Chile-Offline</v>
      </c>
      <c r="J1348" s="40"/>
      <c r="K1348" s="59"/>
      <c r="L1348" s="35"/>
      <c r="M1348" s="35"/>
      <c r="N1348" s="35"/>
      <c r="O1348" s="35"/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  <c r="Z1348" s="35"/>
      <c r="AA1348" s="35"/>
      <c r="AB1348" s="35"/>
      <c r="AC1348" s="35"/>
      <c r="AD1348" s="35"/>
      <c r="AE1348" s="35"/>
      <c r="AF1348" s="35"/>
      <c r="AG1348" s="35"/>
      <c r="AH1348" s="35"/>
      <c r="AI1348" s="35"/>
      <c r="AJ1348" s="35"/>
      <c r="AK1348" s="35"/>
      <c r="AL1348" s="35"/>
      <c r="AM1348" s="35"/>
      <c r="AN1348" s="35"/>
      <c r="AO1348" s="35"/>
      <c r="AP1348" s="35"/>
    </row>
    <row r="1349" spans="1:42" ht="17.25" customHeight="1" x14ac:dyDescent="0.25">
      <c r="A1349" s="60">
        <v>2016</v>
      </c>
      <c r="B1349" s="61" t="s">
        <v>66</v>
      </c>
      <c r="C1349" s="61" t="s">
        <v>35</v>
      </c>
      <c r="D1349" s="61" t="s">
        <v>37</v>
      </c>
      <c r="E1349" s="61" t="s">
        <v>69</v>
      </c>
      <c r="F1349" s="61" t="s">
        <v>70</v>
      </c>
      <c r="G1349" s="62">
        <v>796114677</v>
      </c>
      <c r="H1349" s="61" t="s">
        <v>68</v>
      </c>
      <c r="I1349" s="63" t="str">
        <f t="shared" si="133"/>
        <v>Chile-Online Supplier-Direct</v>
      </c>
      <c r="J1349" s="47"/>
      <c r="K1349" s="54"/>
      <c r="L1349" s="35"/>
      <c r="M1349" s="35"/>
      <c r="N1349" s="35"/>
      <c r="O1349" s="35"/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  <c r="AA1349" s="35"/>
      <c r="AB1349" s="35"/>
      <c r="AC1349" s="35"/>
      <c r="AD1349" s="35"/>
      <c r="AE1349" s="35"/>
      <c r="AF1349" s="35"/>
      <c r="AG1349" s="35"/>
      <c r="AH1349" s="35"/>
      <c r="AI1349" s="35"/>
      <c r="AJ1349" s="35"/>
      <c r="AK1349" s="35"/>
      <c r="AL1349" s="35"/>
      <c r="AM1349" s="35"/>
      <c r="AN1349" s="35"/>
      <c r="AO1349" s="35"/>
      <c r="AP1349" s="35"/>
    </row>
    <row r="1350" spans="1:42" ht="17.25" customHeight="1" x14ac:dyDescent="0.25">
      <c r="A1350" s="55">
        <v>2016</v>
      </c>
      <c r="B1350" s="56" t="s">
        <v>66</v>
      </c>
      <c r="C1350" s="56" t="s">
        <v>35</v>
      </c>
      <c r="D1350" s="56" t="s">
        <v>37</v>
      </c>
      <c r="E1350" s="56" t="s">
        <v>69</v>
      </c>
      <c r="F1350" s="56" t="s">
        <v>71</v>
      </c>
      <c r="G1350" s="57">
        <v>748510693</v>
      </c>
      <c r="H1350" s="56" t="s">
        <v>68</v>
      </c>
      <c r="I1350" s="58" t="str">
        <f t="shared" si="133"/>
        <v>Chile-OTA</v>
      </c>
      <c r="J1350" s="40"/>
      <c r="K1350" s="59"/>
      <c r="L1350" s="35"/>
      <c r="M1350" s="35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  <c r="AA1350" s="35"/>
      <c r="AB1350" s="35"/>
      <c r="AC1350" s="35"/>
      <c r="AD1350" s="35"/>
      <c r="AE1350" s="35"/>
      <c r="AF1350" s="35"/>
      <c r="AG1350" s="35"/>
      <c r="AH1350" s="35"/>
      <c r="AI1350" s="35"/>
      <c r="AJ1350" s="35"/>
      <c r="AK1350" s="35"/>
      <c r="AL1350" s="35"/>
      <c r="AM1350" s="35"/>
      <c r="AN1350" s="35"/>
      <c r="AO1350" s="35"/>
      <c r="AP1350" s="35"/>
    </row>
    <row r="1351" spans="1:42" ht="17.25" customHeight="1" x14ac:dyDescent="0.25">
      <c r="A1351" s="60">
        <v>2016</v>
      </c>
      <c r="B1351" s="61" t="s">
        <v>66</v>
      </c>
      <c r="C1351" s="61" t="s">
        <v>4</v>
      </c>
      <c r="D1351" s="61" t="s">
        <v>5</v>
      </c>
      <c r="E1351" s="61" t="s">
        <v>67</v>
      </c>
      <c r="F1351" s="61" t="s">
        <v>67</v>
      </c>
      <c r="G1351" s="62">
        <v>87227100777</v>
      </c>
      <c r="H1351" s="61" t="s">
        <v>68</v>
      </c>
      <c r="I1351" s="63" t="str">
        <f t="shared" si="133"/>
        <v>China-Offline</v>
      </c>
      <c r="J1351" s="47"/>
      <c r="K1351" s="54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  <c r="AB1351" s="35"/>
      <c r="AC1351" s="35"/>
      <c r="AD1351" s="35"/>
      <c r="AE1351" s="35"/>
      <c r="AF1351" s="35"/>
      <c r="AG1351" s="35"/>
      <c r="AH1351" s="35"/>
      <c r="AI1351" s="35"/>
      <c r="AJ1351" s="35"/>
      <c r="AK1351" s="35"/>
      <c r="AL1351" s="35"/>
      <c r="AM1351" s="35"/>
      <c r="AN1351" s="35"/>
      <c r="AO1351" s="35"/>
      <c r="AP1351" s="35"/>
    </row>
    <row r="1352" spans="1:42" ht="17.25" customHeight="1" x14ac:dyDescent="0.25">
      <c r="A1352" s="55">
        <v>2016</v>
      </c>
      <c r="B1352" s="56" t="s">
        <v>66</v>
      </c>
      <c r="C1352" s="56" t="s">
        <v>4</v>
      </c>
      <c r="D1352" s="56" t="s">
        <v>5</v>
      </c>
      <c r="E1352" s="56" t="s">
        <v>69</v>
      </c>
      <c r="F1352" s="56" t="s">
        <v>70</v>
      </c>
      <c r="G1352" s="57">
        <v>24731018481</v>
      </c>
      <c r="H1352" s="56" t="s">
        <v>68</v>
      </c>
      <c r="I1352" s="58" t="str">
        <f t="shared" si="133"/>
        <v>China-Online Supplier-Direct</v>
      </c>
      <c r="J1352" s="40"/>
      <c r="K1352" s="59"/>
      <c r="L1352" s="35"/>
      <c r="M1352" s="35"/>
      <c r="N1352" s="35"/>
      <c r="O1352" s="35"/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  <c r="AA1352" s="35"/>
      <c r="AB1352" s="35"/>
      <c r="AC1352" s="35"/>
      <c r="AD1352" s="35"/>
      <c r="AE1352" s="35"/>
      <c r="AF1352" s="35"/>
      <c r="AG1352" s="35"/>
      <c r="AH1352" s="35"/>
      <c r="AI1352" s="35"/>
      <c r="AJ1352" s="35"/>
      <c r="AK1352" s="35"/>
      <c r="AL1352" s="35"/>
      <c r="AM1352" s="35"/>
      <c r="AN1352" s="35"/>
      <c r="AO1352" s="35"/>
      <c r="AP1352" s="35"/>
    </row>
    <row r="1353" spans="1:42" ht="17.25" customHeight="1" x14ac:dyDescent="0.25">
      <c r="A1353" s="60">
        <v>2016</v>
      </c>
      <c r="B1353" s="61" t="s">
        <v>66</v>
      </c>
      <c r="C1353" s="61" t="s">
        <v>4</v>
      </c>
      <c r="D1353" s="61" t="s">
        <v>5</v>
      </c>
      <c r="E1353" s="61" t="s">
        <v>69</v>
      </c>
      <c r="F1353" s="61" t="s">
        <v>71</v>
      </c>
      <c r="G1353" s="62">
        <v>26497337429</v>
      </c>
      <c r="H1353" s="61" t="s">
        <v>68</v>
      </c>
      <c r="I1353" s="63" t="str">
        <f t="shared" si="133"/>
        <v>China-OTA</v>
      </c>
      <c r="J1353" s="47"/>
      <c r="K1353" s="54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  <c r="AB1353" s="35"/>
      <c r="AC1353" s="35"/>
      <c r="AD1353" s="35"/>
      <c r="AE1353" s="35"/>
      <c r="AF1353" s="35"/>
      <c r="AG1353" s="35"/>
      <c r="AH1353" s="35"/>
      <c r="AI1353" s="35"/>
      <c r="AJ1353" s="35"/>
      <c r="AK1353" s="35"/>
      <c r="AL1353" s="35"/>
      <c r="AM1353" s="35"/>
      <c r="AN1353" s="35"/>
      <c r="AO1353" s="35"/>
      <c r="AP1353" s="35"/>
    </row>
    <row r="1354" spans="1:42" ht="17.25" customHeight="1" x14ac:dyDescent="0.25">
      <c r="A1354" s="55">
        <v>2016</v>
      </c>
      <c r="B1354" s="56" t="s">
        <v>66</v>
      </c>
      <c r="C1354" s="56" t="s">
        <v>35</v>
      </c>
      <c r="D1354" s="56" t="s">
        <v>38</v>
      </c>
      <c r="E1354" s="56" t="s">
        <v>67</v>
      </c>
      <c r="F1354" s="56" t="s">
        <v>67</v>
      </c>
      <c r="G1354" s="57">
        <v>5148422182</v>
      </c>
      <c r="H1354" s="56" t="s">
        <v>68</v>
      </c>
      <c r="I1354" s="58" t="str">
        <f t="shared" si="133"/>
        <v>Colombia-Offline</v>
      </c>
      <c r="J1354" s="40"/>
      <c r="K1354" s="59"/>
      <c r="L1354" s="35"/>
      <c r="M1354" s="35"/>
      <c r="N1354" s="35"/>
      <c r="O1354" s="35"/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  <c r="AA1354" s="35"/>
      <c r="AB1354" s="35"/>
      <c r="AC1354" s="35"/>
      <c r="AD1354" s="35"/>
      <c r="AE1354" s="35"/>
      <c r="AF1354" s="35"/>
      <c r="AG1354" s="35"/>
      <c r="AH1354" s="35"/>
      <c r="AI1354" s="35"/>
      <c r="AJ1354" s="35"/>
      <c r="AK1354" s="35"/>
      <c r="AL1354" s="35"/>
      <c r="AM1354" s="35"/>
      <c r="AN1354" s="35"/>
      <c r="AO1354" s="35"/>
      <c r="AP1354" s="35"/>
    </row>
    <row r="1355" spans="1:42" ht="17.25" customHeight="1" x14ac:dyDescent="0.25">
      <c r="A1355" s="60">
        <v>2016</v>
      </c>
      <c r="B1355" s="61" t="s">
        <v>66</v>
      </c>
      <c r="C1355" s="61" t="s">
        <v>35</v>
      </c>
      <c r="D1355" s="61" t="s">
        <v>38</v>
      </c>
      <c r="E1355" s="61" t="s">
        <v>69</v>
      </c>
      <c r="F1355" s="61" t="s">
        <v>70</v>
      </c>
      <c r="G1355" s="62">
        <v>1145833748</v>
      </c>
      <c r="H1355" s="61" t="s">
        <v>68</v>
      </c>
      <c r="I1355" s="63" t="str">
        <f t="shared" si="133"/>
        <v>Colombia-Online Supplier-Direct</v>
      </c>
      <c r="J1355" s="47"/>
      <c r="K1355" s="54"/>
      <c r="L1355" s="35"/>
      <c r="M1355" s="35"/>
      <c r="N1355" s="35"/>
      <c r="O1355" s="35"/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  <c r="Z1355" s="35"/>
      <c r="AA1355" s="35"/>
      <c r="AB1355" s="35"/>
      <c r="AC1355" s="35"/>
      <c r="AD1355" s="35"/>
      <c r="AE1355" s="35"/>
      <c r="AF1355" s="35"/>
      <c r="AG1355" s="35"/>
      <c r="AH1355" s="35"/>
      <c r="AI1355" s="35"/>
      <c r="AJ1355" s="35"/>
      <c r="AK1355" s="35"/>
      <c r="AL1355" s="35"/>
      <c r="AM1355" s="35"/>
      <c r="AN1355" s="35"/>
      <c r="AO1355" s="35"/>
      <c r="AP1355" s="35"/>
    </row>
    <row r="1356" spans="1:42" ht="17.25" customHeight="1" x14ac:dyDescent="0.25">
      <c r="A1356" s="55">
        <v>2016</v>
      </c>
      <c r="B1356" s="56" t="s">
        <v>66</v>
      </c>
      <c r="C1356" s="56" t="s">
        <v>35</v>
      </c>
      <c r="D1356" s="56" t="s">
        <v>38</v>
      </c>
      <c r="E1356" s="56" t="s">
        <v>69</v>
      </c>
      <c r="F1356" s="56" t="s">
        <v>71</v>
      </c>
      <c r="G1356" s="57">
        <v>1166455616</v>
      </c>
      <c r="H1356" s="56" t="s">
        <v>68</v>
      </c>
      <c r="I1356" s="58" t="str">
        <f t="shared" si="133"/>
        <v>Colombia-OTA</v>
      </c>
      <c r="J1356" s="40"/>
      <c r="K1356" s="59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  <c r="AA1356" s="35"/>
      <c r="AB1356" s="35"/>
      <c r="AC1356" s="35"/>
      <c r="AD1356" s="35"/>
      <c r="AE1356" s="35"/>
      <c r="AF1356" s="35"/>
      <c r="AG1356" s="35"/>
      <c r="AH1356" s="35"/>
      <c r="AI1356" s="35"/>
      <c r="AJ1356" s="35"/>
      <c r="AK1356" s="35"/>
      <c r="AL1356" s="35"/>
      <c r="AM1356" s="35"/>
      <c r="AN1356" s="35"/>
      <c r="AO1356" s="35"/>
      <c r="AP1356" s="35"/>
    </row>
    <row r="1357" spans="1:42" ht="17.25" customHeight="1" x14ac:dyDescent="0.25">
      <c r="A1357" s="60">
        <v>2016</v>
      </c>
      <c r="B1357" s="61" t="s">
        <v>66</v>
      </c>
      <c r="C1357" s="61" t="s">
        <v>17</v>
      </c>
      <c r="D1357" s="61" t="s">
        <v>18</v>
      </c>
      <c r="E1357" s="61" t="s">
        <v>67</v>
      </c>
      <c r="F1357" s="61" t="s">
        <v>67</v>
      </c>
      <c r="G1357" s="62">
        <v>2045064715</v>
      </c>
      <c r="H1357" s="61" t="s">
        <v>68</v>
      </c>
      <c r="I1357" s="63" t="str">
        <f t="shared" si="133"/>
        <v>Czech Republic-Offline</v>
      </c>
      <c r="J1357" s="47"/>
      <c r="K1357" s="54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  <c r="AB1357" s="35"/>
      <c r="AC1357" s="35"/>
      <c r="AD1357" s="35"/>
      <c r="AE1357" s="35"/>
      <c r="AF1357" s="35"/>
      <c r="AG1357" s="35"/>
      <c r="AH1357" s="35"/>
      <c r="AI1357" s="35"/>
      <c r="AJ1357" s="35"/>
      <c r="AK1357" s="35"/>
      <c r="AL1357" s="35"/>
      <c r="AM1357" s="35"/>
      <c r="AN1357" s="35"/>
      <c r="AO1357" s="35"/>
      <c r="AP1357" s="35"/>
    </row>
    <row r="1358" spans="1:42" ht="17.25" customHeight="1" x14ac:dyDescent="0.25">
      <c r="A1358" s="55">
        <v>2016</v>
      </c>
      <c r="B1358" s="56" t="s">
        <v>66</v>
      </c>
      <c r="C1358" s="56" t="s">
        <v>17</v>
      </c>
      <c r="D1358" s="56" t="s">
        <v>18</v>
      </c>
      <c r="E1358" s="56" t="s">
        <v>69</v>
      </c>
      <c r="F1358" s="56" t="s">
        <v>70</v>
      </c>
      <c r="G1358" s="57">
        <v>570957311</v>
      </c>
      <c r="H1358" s="56" t="s">
        <v>68</v>
      </c>
      <c r="I1358" s="58" t="str">
        <f t="shared" si="133"/>
        <v>Czech Republic-Online Supplier-Direct</v>
      </c>
      <c r="J1358" s="40"/>
      <c r="K1358" s="59"/>
      <c r="L1358" s="35"/>
      <c r="M1358" s="35"/>
      <c r="N1358" s="35"/>
      <c r="O1358" s="35"/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  <c r="AA1358" s="35"/>
      <c r="AB1358" s="35"/>
      <c r="AC1358" s="35"/>
      <c r="AD1358" s="35"/>
      <c r="AE1358" s="35"/>
      <c r="AF1358" s="35"/>
      <c r="AG1358" s="35"/>
      <c r="AH1358" s="35"/>
      <c r="AI1358" s="35"/>
      <c r="AJ1358" s="35"/>
      <c r="AK1358" s="35"/>
      <c r="AL1358" s="35"/>
      <c r="AM1358" s="35"/>
      <c r="AN1358" s="35"/>
      <c r="AO1358" s="35"/>
      <c r="AP1358" s="35"/>
    </row>
    <row r="1359" spans="1:42" ht="17.25" customHeight="1" x14ac:dyDescent="0.25">
      <c r="A1359" s="60">
        <v>2016</v>
      </c>
      <c r="B1359" s="61" t="s">
        <v>66</v>
      </c>
      <c r="C1359" s="61" t="s">
        <v>17</v>
      </c>
      <c r="D1359" s="61" t="s">
        <v>18</v>
      </c>
      <c r="E1359" s="61" t="s">
        <v>69</v>
      </c>
      <c r="F1359" s="61" t="s">
        <v>71</v>
      </c>
      <c r="G1359" s="62">
        <v>478044658</v>
      </c>
      <c r="H1359" s="61" t="s">
        <v>68</v>
      </c>
      <c r="I1359" s="63" t="str">
        <f t="shared" si="133"/>
        <v>Czech Republic-OTA</v>
      </c>
      <c r="J1359" s="47"/>
      <c r="K1359" s="54"/>
      <c r="L1359" s="35"/>
      <c r="M1359" s="35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  <c r="AB1359" s="35"/>
      <c r="AC1359" s="35"/>
      <c r="AD1359" s="35"/>
      <c r="AE1359" s="35"/>
      <c r="AF1359" s="35"/>
      <c r="AG1359" s="35"/>
      <c r="AH1359" s="35"/>
      <c r="AI1359" s="35"/>
      <c r="AJ1359" s="35"/>
      <c r="AK1359" s="35"/>
      <c r="AL1359" s="35"/>
      <c r="AM1359" s="35"/>
      <c r="AN1359" s="35"/>
      <c r="AO1359" s="35"/>
      <c r="AP1359" s="35"/>
    </row>
    <row r="1360" spans="1:42" ht="17.25" customHeight="1" x14ac:dyDescent="0.25">
      <c r="A1360" s="55">
        <v>2016</v>
      </c>
      <c r="B1360" s="56" t="s">
        <v>66</v>
      </c>
      <c r="C1360" s="56" t="s">
        <v>41</v>
      </c>
      <c r="D1360" s="56" t="s">
        <v>40</v>
      </c>
      <c r="E1360" s="56" t="s">
        <v>67</v>
      </c>
      <c r="F1360" s="56" t="s">
        <v>67</v>
      </c>
      <c r="G1360" s="57">
        <v>4184077856</v>
      </c>
      <c r="H1360" s="56" t="s">
        <v>68</v>
      </c>
      <c r="I1360" s="58" t="str">
        <f t="shared" si="133"/>
        <v>Egypt-Offline</v>
      </c>
      <c r="J1360" s="40"/>
      <c r="K1360" s="59"/>
      <c r="L1360" s="35"/>
      <c r="M1360" s="35"/>
      <c r="N1360" s="35"/>
      <c r="O1360" s="35"/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  <c r="Z1360" s="35"/>
      <c r="AA1360" s="35"/>
      <c r="AB1360" s="35"/>
      <c r="AC1360" s="35"/>
      <c r="AD1360" s="35"/>
      <c r="AE1360" s="35"/>
      <c r="AF1360" s="35"/>
      <c r="AG1360" s="35"/>
      <c r="AH1360" s="35"/>
      <c r="AI1360" s="35"/>
      <c r="AJ1360" s="35"/>
      <c r="AK1360" s="35"/>
      <c r="AL1360" s="35"/>
      <c r="AM1360" s="35"/>
      <c r="AN1360" s="35"/>
      <c r="AO1360" s="35"/>
      <c r="AP1360" s="35"/>
    </row>
    <row r="1361" spans="1:42" ht="17.25" customHeight="1" x14ac:dyDescent="0.25">
      <c r="A1361" s="60">
        <v>2016</v>
      </c>
      <c r="B1361" s="61" t="s">
        <v>66</v>
      </c>
      <c r="C1361" s="61" t="s">
        <v>41</v>
      </c>
      <c r="D1361" s="61" t="s">
        <v>40</v>
      </c>
      <c r="E1361" s="61" t="s">
        <v>69</v>
      </c>
      <c r="F1361" s="61" t="s">
        <v>70</v>
      </c>
      <c r="G1361" s="62">
        <v>233300352</v>
      </c>
      <c r="H1361" s="61" t="s">
        <v>68</v>
      </c>
      <c r="I1361" s="63" t="str">
        <f t="shared" si="133"/>
        <v>Egypt-Online Supplier-Direct</v>
      </c>
      <c r="J1361" s="47"/>
      <c r="K1361" s="54"/>
      <c r="L1361" s="35"/>
      <c r="M1361" s="35"/>
      <c r="N1361" s="35"/>
      <c r="O1361" s="35"/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  <c r="Z1361" s="35"/>
      <c r="AA1361" s="35"/>
      <c r="AB1361" s="35"/>
      <c r="AC1361" s="35"/>
      <c r="AD1361" s="35"/>
      <c r="AE1361" s="35"/>
      <c r="AF1361" s="35"/>
      <c r="AG1361" s="35"/>
      <c r="AH1361" s="35"/>
      <c r="AI1361" s="35"/>
      <c r="AJ1361" s="35"/>
      <c r="AK1361" s="35"/>
      <c r="AL1361" s="35"/>
      <c r="AM1361" s="35"/>
      <c r="AN1361" s="35"/>
      <c r="AO1361" s="35"/>
      <c r="AP1361" s="35"/>
    </row>
    <row r="1362" spans="1:42" ht="17.25" customHeight="1" x14ac:dyDescent="0.25">
      <c r="A1362" s="55">
        <v>2016</v>
      </c>
      <c r="B1362" s="56" t="s">
        <v>66</v>
      </c>
      <c r="C1362" s="56" t="s">
        <v>41</v>
      </c>
      <c r="D1362" s="56" t="s">
        <v>40</v>
      </c>
      <c r="E1362" s="56" t="s">
        <v>69</v>
      </c>
      <c r="F1362" s="56" t="s">
        <v>71</v>
      </c>
      <c r="G1362" s="57">
        <v>335481343</v>
      </c>
      <c r="H1362" s="56" t="s">
        <v>68</v>
      </c>
      <c r="I1362" s="58" t="str">
        <f t="shared" si="133"/>
        <v>Egypt-OTA</v>
      </c>
      <c r="J1362" s="40"/>
      <c r="K1362" s="59"/>
      <c r="L1362" s="35"/>
      <c r="M1362" s="35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  <c r="AA1362" s="35"/>
      <c r="AB1362" s="35"/>
      <c r="AC1362" s="35"/>
      <c r="AD1362" s="35"/>
      <c r="AE1362" s="35"/>
      <c r="AF1362" s="35"/>
      <c r="AG1362" s="35"/>
      <c r="AH1362" s="35"/>
      <c r="AI1362" s="35"/>
      <c r="AJ1362" s="35"/>
      <c r="AK1362" s="35"/>
      <c r="AL1362" s="35"/>
      <c r="AM1362" s="35"/>
      <c r="AN1362" s="35"/>
      <c r="AO1362" s="35"/>
      <c r="AP1362" s="35"/>
    </row>
    <row r="1363" spans="1:42" ht="17.25" customHeight="1" x14ac:dyDescent="0.25">
      <c r="A1363" s="60">
        <v>2016</v>
      </c>
      <c r="B1363" s="61" t="s">
        <v>66</v>
      </c>
      <c r="C1363" s="61" t="s">
        <v>27</v>
      </c>
      <c r="D1363" s="61" t="s">
        <v>26</v>
      </c>
      <c r="E1363" s="61" t="s">
        <v>67</v>
      </c>
      <c r="F1363" s="61" t="s">
        <v>67</v>
      </c>
      <c r="G1363" s="62">
        <v>28213121105</v>
      </c>
      <c r="H1363" s="61" t="s">
        <v>68</v>
      </c>
      <c r="I1363" s="63" t="str">
        <f t="shared" si="133"/>
        <v>France-Offline</v>
      </c>
      <c r="J1363" s="47"/>
      <c r="K1363" s="54"/>
      <c r="L1363" s="35"/>
      <c r="M1363" s="35"/>
      <c r="N1363" s="35"/>
      <c r="O1363" s="35"/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  <c r="AA1363" s="35"/>
      <c r="AB1363" s="35"/>
      <c r="AC1363" s="35"/>
      <c r="AD1363" s="35"/>
      <c r="AE1363" s="35"/>
      <c r="AF1363" s="35"/>
      <c r="AG1363" s="35"/>
      <c r="AH1363" s="35"/>
      <c r="AI1363" s="35"/>
      <c r="AJ1363" s="35"/>
      <c r="AK1363" s="35"/>
      <c r="AL1363" s="35"/>
      <c r="AM1363" s="35"/>
      <c r="AN1363" s="35"/>
      <c r="AO1363" s="35"/>
      <c r="AP1363" s="35"/>
    </row>
    <row r="1364" spans="1:42" ht="17.25" customHeight="1" x14ac:dyDescent="0.25">
      <c r="A1364" s="55">
        <v>2016</v>
      </c>
      <c r="B1364" s="56" t="s">
        <v>66</v>
      </c>
      <c r="C1364" s="56" t="s">
        <v>27</v>
      </c>
      <c r="D1364" s="56" t="s">
        <v>26</v>
      </c>
      <c r="E1364" s="56" t="s">
        <v>69</v>
      </c>
      <c r="F1364" s="56" t="s">
        <v>70</v>
      </c>
      <c r="G1364" s="57">
        <v>13834495537</v>
      </c>
      <c r="H1364" s="56" t="s">
        <v>68</v>
      </c>
      <c r="I1364" s="58" t="str">
        <f t="shared" si="133"/>
        <v>France-Online Supplier-Direct</v>
      </c>
      <c r="J1364" s="40"/>
      <c r="K1364" s="59"/>
      <c r="L1364" s="35"/>
      <c r="M1364" s="35"/>
      <c r="N1364" s="35"/>
      <c r="O1364" s="35"/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  <c r="AA1364" s="35"/>
      <c r="AB1364" s="35"/>
      <c r="AC1364" s="35"/>
      <c r="AD1364" s="35"/>
      <c r="AE1364" s="35"/>
      <c r="AF1364" s="35"/>
      <c r="AG1364" s="35"/>
      <c r="AH1364" s="35"/>
      <c r="AI1364" s="35"/>
      <c r="AJ1364" s="35"/>
      <c r="AK1364" s="35"/>
      <c r="AL1364" s="35"/>
      <c r="AM1364" s="35"/>
      <c r="AN1364" s="35"/>
      <c r="AO1364" s="35"/>
      <c r="AP1364" s="35"/>
    </row>
    <row r="1365" spans="1:42" ht="17.25" customHeight="1" x14ac:dyDescent="0.25">
      <c r="A1365" s="60">
        <v>2016</v>
      </c>
      <c r="B1365" s="61" t="s">
        <v>66</v>
      </c>
      <c r="C1365" s="61" t="s">
        <v>27</v>
      </c>
      <c r="D1365" s="61" t="s">
        <v>26</v>
      </c>
      <c r="E1365" s="61" t="s">
        <v>69</v>
      </c>
      <c r="F1365" s="61" t="s">
        <v>71</v>
      </c>
      <c r="G1365" s="62">
        <v>5865542410</v>
      </c>
      <c r="H1365" s="61" t="s">
        <v>68</v>
      </c>
      <c r="I1365" s="63" t="str">
        <f t="shared" si="133"/>
        <v>France-OTA</v>
      </c>
      <c r="J1365" s="47"/>
      <c r="K1365" s="54"/>
      <c r="L1365" s="35"/>
      <c r="M1365" s="35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/>
      <c r="AB1365" s="35"/>
      <c r="AC1365" s="35"/>
      <c r="AD1365" s="35"/>
      <c r="AE1365" s="35"/>
      <c r="AF1365" s="35"/>
      <c r="AG1365" s="35"/>
      <c r="AH1365" s="35"/>
      <c r="AI1365" s="35"/>
      <c r="AJ1365" s="35"/>
      <c r="AK1365" s="35"/>
      <c r="AL1365" s="35"/>
      <c r="AM1365" s="35"/>
      <c r="AN1365" s="35"/>
      <c r="AO1365" s="35"/>
      <c r="AP1365" s="35"/>
    </row>
    <row r="1366" spans="1:42" ht="17.25" customHeight="1" x14ac:dyDescent="0.25">
      <c r="A1366" s="55">
        <v>2016</v>
      </c>
      <c r="B1366" s="56" t="s">
        <v>66</v>
      </c>
      <c r="C1366" s="56" t="s">
        <v>27</v>
      </c>
      <c r="D1366" s="56" t="s">
        <v>28</v>
      </c>
      <c r="E1366" s="56" t="s">
        <v>67</v>
      </c>
      <c r="F1366" s="56" t="s">
        <v>67</v>
      </c>
      <c r="G1366" s="57">
        <v>40650152327</v>
      </c>
      <c r="H1366" s="56" t="s">
        <v>68</v>
      </c>
      <c r="I1366" s="58" t="str">
        <f t="shared" si="133"/>
        <v>Germany-Offline</v>
      </c>
      <c r="J1366" s="40"/>
      <c r="K1366" s="59"/>
      <c r="L1366" s="35"/>
      <c r="M1366" s="35"/>
      <c r="N1366" s="35"/>
      <c r="O1366" s="35"/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  <c r="AA1366" s="35"/>
      <c r="AB1366" s="35"/>
      <c r="AC1366" s="35"/>
      <c r="AD1366" s="35"/>
      <c r="AE1366" s="35"/>
      <c r="AF1366" s="35"/>
      <c r="AG1366" s="35"/>
      <c r="AH1366" s="35"/>
      <c r="AI1366" s="35"/>
      <c r="AJ1366" s="35"/>
      <c r="AK1366" s="35"/>
      <c r="AL1366" s="35"/>
      <c r="AM1366" s="35"/>
      <c r="AN1366" s="35"/>
      <c r="AO1366" s="35"/>
      <c r="AP1366" s="35"/>
    </row>
    <row r="1367" spans="1:42" ht="17.25" customHeight="1" x14ac:dyDescent="0.25">
      <c r="A1367" s="60">
        <v>2016</v>
      </c>
      <c r="B1367" s="61" t="s">
        <v>66</v>
      </c>
      <c r="C1367" s="61" t="s">
        <v>27</v>
      </c>
      <c r="D1367" s="61" t="s">
        <v>28</v>
      </c>
      <c r="E1367" s="61" t="s">
        <v>69</v>
      </c>
      <c r="F1367" s="61" t="s">
        <v>70</v>
      </c>
      <c r="G1367" s="62">
        <v>16299522296</v>
      </c>
      <c r="H1367" s="61" t="s">
        <v>68</v>
      </c>
      <c r="I1367" s="63" t="str">
        <f t="shared" si="133"/>
        <v>Germany-Online Supplier-Direct</v>
      </c>
      <c r="J1367" s="47"/>
      <c r="K1367" s="54"/>
      <c r="L1367" s="35"/>
      <c r="M1367" s="35"/>
      <c r="N1367" s="35"/>
      <c r="O1367" s="35"/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  <c r="AA1367" s="35"/>
      <c r="AB1367" s="35"/>
      <c r="AC1367" s="35"/>
      <c r="AD1367" s="35"/>
      <c r="AE1367" s="35"/>
      <c r="AF1367" s="35"/>
      <c r="AG1367" s="35"/>
      <c r="AH1367" s="35"/>
      <c r="AI1367" s="35"/>
      <c r="AJ1367" s="35"/>
      <c r="AK1367" s="35"/>
      <c r="AL1367" s="35"/>
      <c r="AM1367" s="35"/>
      <c r="AN1367" s="35"/>
      <c r="AO1367" s="35"/>
      <c r="AP1367" s="35"/>
    </row>
    <row r="1368" spans="1:42" ht="17.25" customHeight="1" x14ac:dyDescent="0.25">
      <c r="A1368" s="55">
        <v>2016</v>
      </c>
      <c r="B1368" s="56" t="s">
        <v>66</v>
      </c>
      <c r="C1368" s="56" t="s">
        <v>27</v>
      </c>
      <c r="D1368" s="56" t="s">
        <v>28</v>
      </c>
      <c r="E1368" s="56" t="s">
        <v>69</v>
      </c>
      <c r="F1368" s="56" t="s">
        <v>71</v>
      </c>
      <c r="G1368" s="57">
        <v>10840911101</v>
      </c>
      <c r="H1368" s="56" t="s">
        <v>68</v>
      </c>
      <c r="I1368" s="58" t="str">
        <f t="shared" si="133"/>
        <v>Germany-OTA</v>
      </c>
      <c r="J1368" s="40"/>
      <c r="K1368" s="59"/>
      <c r="L1368" s="35"/>
      <c r="M1368" s="35"/>
      <c r="N1368" s="35"/>
      <c r="O1368" s="35"/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  <c r="Z1368" s="35"/>
      <c r="AA1368" s="35"/>
      <c r="AB1368" s="35"/>
      <c r="AC1368" s="35"/>
      <c r="AD1368" s="35"/>
      <c r="AE1368" s="35"/>
      <c r="AF1368" s="35"/>
      <c r="AG1368" s="35"/>
      <c r="AH1368" s="35"/>
      <c r="AI1368" s="35"/>
      <c r="AJ1368" s="35"/>
      <c r="AK1368" s="35"/>
      <c r="AL1368" s="35"/>
      <c r="AM1368" s="35"/>
      <c r="AN1368" s="35"/>
      <c r="AO1368" s="35"/>
      <c r="AP1368" s="35"/>
    </row>
    <row r="1369" spans="1:42" ht="17.25" customHeight="1" x14ac:dyDescent="0.25">
      <c r="A1369" s="60">
        <v>2016</v>
      </c>
      <c r="B1369" s="61" t="s">
        <v>66</v>
      </c>
      <c r="C1369" s="61" t="s">
        <v>17</v>
      </c>
      <c r="D1369" s="61" t="s">
        <v>19</v>
      </c>
      <c r="E1369" s="61" t="s">
        <v>67</v>
      </c>
      <c r="F1369" s="61" t="s">
        <v>67</v>
      </c>
      <c r="G1369" s="62">
        <v>5400596004</v>
      </c>
      <c r="H1369" s="61" t="s">
        <v>68</v>
      </c>
      <c r="I1369" s="63" t="str">
        <f t="shared" si="133"/>
        <v>Greece-Offline</v>
      </c>
      <c r="J1369" s="47"/>
      <c r="K1369" s="54"/>
      <c r="L1369" s="35"/>
      <c r="M1369" s="35"/>
      <c r="N1369" s="35"/>
      <c r="O1369" s="35"/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  <c r="Z1369" s="35"/>
      <c r="AA1369" s="35"/>
      <c r="AB1369" s="35"/>
      <c r="AC1369" s="35"/>
      <c r="AD1369" s="35"/>
      <c r="AE1369" s="35"/>
      <c r="AF1369" s="35"/>
      <c r="AG1369" s="35"/>
      <c r="AH1369" s="35"/>
      <c r="AI1369" s="35"/>
      <c r="AJ1369" s="35"/>
      <c r="AK1369" s="35"/>
      <c r="AL1369" s="35"/>
      <c r="AM1369" s="35"/>
      <c r="AN1369" s="35"/>
      <c r="AO1369" s="35"/>
      <c r="AP1369" s="35"/>
    </row>
    <row r="1370" spans="1:42" ht="17.25" customHeight="1" x14ac:dyDescent="0.25">
      <c r="A1370" s="55">
        <v>2016</v>
      </c>
      <c r="B1370" s="56" t="s">
        <v>66</v>
      </c>
      <c r="C1370" s="56" t="s">
        <v>17</v>
      </c>
      <c r="D1370" s="56" t="s">
        <v>19</v>
      </c>
      <c r="E1370" s="56" t="s">
        <v>69</v>
      </c>
      <c r="F1370" s="56" t="s">
        <v>70</v>
      </c>
      <c r="G1370" s="57">
        <v>527475999</v>
      </c>
      <c r="H1370" s="56" t="s">
        <v>68</v>
      </c>
      <c r="I1370" s="58" t="str">
        <f t="shared" si="133"/>
        <v>Greece-Online Supplier-Direct</v>
      </c>
      <c r="J1370" s="40"/>
      <c r="K1370" s="59"/>
      <c r="L1370" s="35"/>
      <c r="M1370" s="35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  <c r="AA1370" s="35"/>
      <c r="AB1370" s="35"/>
      <c r="AC1370" s="35"/>
      <c r="AD1370" s="35"/>
      <c r="AE1370" s="35"/>
      <c r="AF1370" s="35"/>
      <c r="AG1370" s="35"/>
      <c r="AH1370" s="35"/>
      <c r="AI1370" s="35"/>
      <c r="AJ1370" s="35"/>
      <c r="AK1370" s="35"/>
      <c r="AL1370" s="35"/>
      <c r="AM1370" s="35"/>
      <c r="AN1370" s="35"/>
      <c r="AO1370" s="35"/>
      <c r="AP1370" s="35"/>
    </row>
    <row r="1371" spans="1:42" ht="17.25" customHeight="1" x14ac:dyDescent="0.25">
      <c r="A1371" s="60">
        <v>2016</v>
      </c>
      <c r="B1371" s="61" t="s">
        <v>66</v>
      </c>
      <c r="C1371" s="61" t="s">
        <v>17</v>
      </c>
      <c r="D1371" s="61" t="s">
        <v>19</v>
      </c>
      <c r="E1371" s="61" t="s">
        <v>69</v>
      </c>
      <c r="F1371" s="61" t="s">
        <v>71</v>
      </c>
      <c r="G1371" s="62">
        <v>998405834</v>
      </c>
      <c r="H1371" s="61" t="s">
        <v>68</v>
      </c>
      <c r="I1371" s="63" t="str">
        <f t="shared" si="133"/>
        <v>Greece-OTA</v>
      </c>
      <c r="J1371" s="47"/>
      <c r="K1371" s="54"/>
      <c r="L1371" s="35"/>
      <c r="M1371" s="35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/>
      <c r="AB1371" s="35"/>
      <c r="AC1371" s="35"/>
      <c r="AD1371" s="35"/>
      <c r="AE1371" s="35"/>
      <c r="AF1371" s="35"/>
      <c r="AG1371" s="35"/>
      <c r="AH1371" s="35"/>
      <c r="AI1371" s="35"/>
      <c r="AJ1371" s="35"/>
      <c r="AK1371" s="35"/>
      <c r="AL1371" s="35"/>
      <c r="AM1371" s="35"/>
      <c r="AN1371" s="35"/>
      <c r="AO1371" s="35"/>
      <c r="AP1371" s="35"/>
    </row>
    <row r="1372" spans="1:42" ht="17.25" customHeight="1" x14ac:dyDescent="0.25">
      <c r="A1372" s="55">
        <v>2016</v>
      </c>
      <c r="B1372" s="56" t="s">
        <v>66</v>
      </c>
      <c r="C1372" s="56" t="s">
        <v>4</v>
      </c>
      <c r="D1372" s="56" t="s">
        <v>6</v>
      </c>
      <c r="E1372" s="56" t="s">
        <v>67</v>
      </c>
      <c r="F1372" s="56" t="s">
        <v>67</v>
      </c>
      <c r="G1372" s="57">
        <v>10366190520</v>
      </c>
      <c r="H1372" s="56" t="s">
        <v>68</v>
      </c>
      <c r="I1372" s="58" t="str">
        <f t="shared" si="133"/>
        <v>Hong Kong-Offline</v>
      </c>
      <c r="J1372" s="40"/>
      <c r="K1372" s="59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  <c r="AA1372" s="35"/>
      <c r="AB1372" s="35"/>
      <c r="AC1372" s="35"/>
      <c r="AD1372" s="35"/>
      <c r="AE1372" s="35"/>
      <c r="AF1372" s="35"/>
      <c r="AG1372" s="35"/>
      <c r="AH1372" s="35"/>
      <c r="AI1372" s="35"/>
      <c r="AJ1372" s="35"/>
      <c r="AK1372" s="35"/>
      <c r="AL1372" s="35"/>
      <c r="AM1372" s="35"/>
      <c r="AN1372" s="35"/>
      <c r="AO1372" s="35"/>
      <c r="AP1372" s="35"/>
    </row>
    <row r="1373" spans="1:42" ht="17.25" customHeight="1" x14ac:dyDescent="0.25">
      <c r="A1373" s="60">
        <v>2016</v>
      </c>
      <c r="B1373" s="61" t="s">
        <v>66</v>
      </c>
      <c r="C1373" s="61" t="s">
        <v>4</v>
      </c>
      <c r="D1373" s="61" t="s">
        <v>6</v>
      </c>
      <c r="E1373" s="61" t="s">
        <v>69</v>
      </c>
      <c r="F1373" s="61" t="s">
        <v>70</v>
      </c>
      <c r="G1373" s="62">
        <v>1070545273</v>
      </c>
      <c r="H1373" s="61" t="s">
        <v>68</v>
      </c>
      <c r="I1373" s="63" t="str">
        <f t="shared" si="133"/>
        <v>Hong Kong-Online Supplier-Direct</v>
      </c>
      <c r="J1373" s="47"/>
      <c r="K1373" s="54"/>
      <c r="L1373" s="35"/>
      <c r="M1373" s="35"/>
      <c r="N1373" s="35"/>
      <c r="O1373" s="35"/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  <c r="Z1373" s="35"/>
      <c r="AA1373" s="35"/>
      <c r="AB1373" s="35"/>
      <c r="AC1373" s="35"/>
      <c r="AD1373" s="35"/>
      <c r="AE1373" s="35"/>
      <c r="AF1373" s="35"/>
      <c r="AG1373" s="35"/>
      <c r="AH1373" s="35"/>
      <c r="AI1373" s="35"/>
      <c r="AJ1373" s="35"/>
      <c r="AK1373" s="35"/>
      <c r="AL1373" s="35"/>
      <c r="AM1373" s="35"/>
      <c r="AN1373" s="35"/>
      <c r="AO1373" s="35"/>
      <c r="AP1373" s="35"/>
    </row>
    <row r="1374" spans="1:42" ht="17.25" customHeight="1" x14ac:dyDescent="0.25">
      <c r="A1374" s="55">
        <v>2016</v>
      </c>
      <c r="B1374" s="56" t="s">
        <v>66</v>
      </c>
      <c r="C1374" s="56" t="s">
        <v>4</v>
      </c>
      <c r="D1374" s="56" t="s">
        <v>6</v>
      </c>
      <c r="E1374" s="56" t="s">
        <v>69</v>
      </c>
      <c r="F1374" s="56" t="s">
        <v>71</v>
      </c>
      <c r="G1374" s="57">
        <v>651448530</v>
      </c>
      <c r="H1374" s="56" t="s">
        <v>68</v>
      </c>
      <c r="I1374" s="58" t="str">
        <f t="shared" si="133"/>
        <v>Hong Kong-OTA</v>
      </c>
      <c r="J1374" s="40"/>
      <c r="K1374" s="59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  <c r="AA1374" s="35"/>
      <c r="AB1374" s="35"/>
      <c r="AC1374" s="35"/>
      <c r="AD1374" s="35"/>
      <c r="AE1374" s="35"/>
      <c r="AF1374" s="35"/>
      <c r="AG1374" s="35"/>
      <c r="AH1374" s="35"/>
      <c r="AI1374" s="35"/>
      <c r="AJ1374" s="35"/>
      <c r="AK1374" s="35"/>
      <c r="AL1374" s="35"/>
      <c r="AM1374" s="35"/>
      <c r="AN1374" s="35"/>
      <c r="AO1374" s="35"/>
      <c r="AP1374" s="35"/>
    </row>
    <row r="1375" spans="1:42" ht="17.25" customHeight="1" x14ac:dyDescent="0.25">
      <c r="A1375" s="60">
        <v>2016</v>
      </c>
      <c r="B1375" s="61" t="s">
        <v>66</v>
      </c>
      <c r="C1375" s="61" t="s">
        <v>17</v>
      </c>
      <c r="D1375" s="61" t="s">
        <v>20</v>
      </c>
      <c r="E1375" s="61" t="s">
        <v>67</v>
      </c>
      <c r="F1375" s="61" t="s">
        <v>67</v>
      </c>
      <c r="G1375" s="62">
        <v>1321195212</v>
      </c>
      <c r="H1375" s="61" t="s">
        <v>68</v>
      </c>
      <c r="I1375" s="63" t="str">
        <f t="shared" si="133"/>
        <v>Hungary-Offline</v>
      </c>
      <c r="J1375" s="47"/>
      <c r="K1375" s="54"/>
      <c r="L1375" s="35"/>
      <c r="M1375" s="35"/>
      <c r="N1375" s="35"/>
      <c r="O1375" s="35"/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  <c r="Z1375" s="35"/>
      <c r="AA1375" s="35"/>
      <c r="AB1375" s="35"/>
      <c r="AC1375" s="35"/>
      <c r="AD1375" s="35"/>
      <c r="AE1375" s="35"/>
      <c r="AF1375" s="35"/>
      <c r="AG1375" s="35"/>
      <c r="AH1375" s="35"/>
      <c r="AI1375" s="35"/>
      <c r="AJ1375" s="35"/>
      <c r="AK1375" s="35"/>
      <c r="AL1375" s="35"/>
      <c r="AM1375" s="35"/>
      <c r="AN1375" s="35"/>
      <c r="AO1375" s="35"/>
      <c r="AP1375" s="35"/>
    </row>
    <row r="1376" spans="1:42" ht="17.25" customHeight="1" x14ac:dyDescent="0.25">
      <c r="A1376" s="55">
        <v>2016</v>
      </c>
      <c r="B1376" s="56" t="s">
        <v>66</v>
      </c>
      <c r="C1376" s="56" t="s">
        <v>17</v>
      </c>
      <c r="D1376" s="56" t="s">
        <v>20</v>
      </c>
      <c r="E1376" s="56" t="s">
        <v>69</v>
      </c>
      <c r="F1376" s="56" t="s">
        <v>70</v>
      </c>
      <c r="G1376" s="57">
        <v>765516919</v>
      </c>
      <c r="H1376" s="56" t="s">
        <v>68</v>
      </c>
      <c r="I1376" s="58" t="str">
        <f t="shared" si="133"/>
        <v>Hungary-Online Supplier-Direct</v>
      </c>
      <c r="J1376" s="40"/>
      <c r="K1376" s="59"/>
      <c r="L1376" s="35"/>
      <c r="M1376" s="35"/>
      <c r="N1376" s="35"/>
      <c r="O1376" s="35"/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  <c r="Z1376" s="35"/>
      <c r="AA1376" s="35"/>
      <c r="AB1376" s="35"/>
      <c r="AC1376" s="35"/>
      <c r="AD1376" s="35"/>
      <c r="AE1376" s="35"/>
      <c r="AF1376" s="35"/>
      <c r="AG1376" s="35"/>
      <c r="AH1376" s="35"/>
      <c r="AI1376" s="35"/>
      <c r="AJ1376" s="35"/>
      <c r="AK1376" s="35"/>
      <c r="AL1376" s="35"/>
      <c r="AM1376" s="35"/>
      <c r="AN1376" s="35"/>
      <c r="AO1376" s="35"/>
      <c r="AP1376" s="35"/>
    </row>
    <row r="1377" spans="1:42" ht="17.25" customHeight="1" x14ac:dyDescent="0.25">
      <c r="A1377" s="60">
        <v>2016</v>
      </c>
      <c r="B1377" s="61" t="s">
        <v>66</v>
      </c>
      <c r="C1377" s="61" t="s">
        <v>17</v>
      </c>
      <c r="D1377" s="61" t="s">
        <v>20</v>
      </c>
      <c r="E1377" s="61" t="s">
        <v>69</v>
      </c>
      <c r="F1377" s="61" t="s">
        <v>71</v>
      </c>
      <c r="G1377" s="62">
        <v>239512317</v>
      </c>
      <c r="H1377" s="61" t="s">
        <v>68</v>
      </c>
      <c r="I1377" s="63" t="str">
        <f t="shared" si="133"/>
        <v>Hungary-OTA</v>
      </c>
      <c r="J1377" s="47"/>
      <c r="K1377" s="54"/>
      <c r="L1377" s="35"/>
      <c r="M1377" s="35"/>
      <c r="N1377" s="35"/>
      <c r="O1377" s="35"/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  <c r="Z1377" s="35"/>
      <c r="AA1377" s="35"/>
      <c r="AB1377" s="35"/>
      <c r="AC1377" s="35"/>
      <c r="AD1377" s="35"/>
      <c r="AE1377" s="35"/>
      <c r="AF1377" s="35"/>
      <c r="AG1377" s="35"/>
      <c r="AH1377" s="35"/>
      <c r="AI1377" s="35"/>
      <c r="AJ1377" s="35"/>
      <c r="AK1377" s="35"/>
      <c r="AL1377" s="35"/>
      <c r="AM1377" s="35"/>
      <c r="AN1377" s="35"/>
      <c r="AO1377" s="35"/>
      <c r="AP1377" s="35"/>
    </row>
    <row r="1378" spans="1:42" ht="17.25" customHeight="1" x14ac:dyDescent="0.25">
      <c r="A1378" s="55">
        <v>2016</v>
      </c>
      <c r="B1378" s="56" t="s">
        <v>66</v>
      </c>
      <c r="C1378" s="56" t="s">
        <v>4</v>
      </c>
      <c r="D1378" s="56" t="s">
        <v>7</v>
      </c>
      <c r="E1378" s="56" t="s">
        <v>67</v>
      </c>
      <c r="F1378" s="56" t="s">
        <v>67</v>
      </c>
      <c r="G1378" s="57">
        <v>17742879438</v>
      </c>
      <c r="H1378" s="56" t="s">
        <v>68</v>
      </c>
      <c r="I1378" s="58" t="str">
        <f t="shared" si="133"/>
        <v>India-Offline</v>
      </c>
      <c r="J1378" s="40"/>
      <c r="K1378" s="59"/>
      <c r="L1378" s="35"/>
      <c r="M1378" s="35"/>
      <c r="N1378" s="35"/>
      <c r="O1378" s="35"/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  <c r="Z1378" s="35"/>
      <c r="AA1378" s="35"/>
      <c r="AB1378" s="35"/>
      <c r="AC1378" s="35"/>
      <c r="AD1378" s="35"/>
      <c r="AE1378" s="35"/>
      <c r="AF1378" s="35"/>
      <c r="AG1378" s="35"/>
      <c r="AH1378" s="35"/>
      <c r="AI1378" s="35"/>
      <c r="AJ1378" s="35"/>
      <c r="AK1378" s="35"/>
      <c r="AL1378" s="35"/>
      <c r="AM1378" s="35"/>
      <c r="AN1378" s="35"/>
      <c r="AO1378" s="35"/>
      <c r="AP1378" s="35"/>
    </row>
    <row r="1379" spans="1:42" ht="17.25" customHeight="1" x14ac:dyDescent="0.25">
      <c r="A1379" s="60">
        <v>2016</v>
      </c>
      <c r="B1379" s="61" t="s">
        <v>66</v>
      </c>
      <c r="C1379" s="61" t="s">
        <v>4</v>
      </c>
      <c r="D1379" s="61" t="s">
        <v>7</v>
      </c>
      <c r="E1379" s="61" t="s">
        <v>69</v>
      </c>
      <c r="F1379" s="61" t="s">
        <v>70</v>
      </c>
      <c r="G1379" s="62">
        <v>5634293098</v>
      </c>
      <c r="H1379" s="61" t="s">
        <v>68</v>
      </c>
      <c r="I1379" s="63" t="str">
        <f t="shared" si="133"/>
        <v>India-Online Supplier-Direct</v>
      </c>
      <c r="J1379" s="47"/>
      <c r="K1379" s="54"/>
      <c r="L1379" s="35"/>
      <c r="M1379" s="35"/>
      <c r="N1379" s="35"/>
      <c r="O1379" s="35"/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  <c r="AA1379" s="35"/>
      <c r="AB1379" s="35"/>
      <c r="AC1379" s="35"/>
      <c r="AD1379" s="35"/>
      <c r="AE1379" s="35"/>
      <c r="AF1379" s="35"/>
      <c r="AG1379" s="35"/>
      <c r="AH1379" s="35"/>
      <c r="AI1379" s="35"/>
      <c r="AJ1379" s="35"/>
      <c r="AK1379" s="35"/>
      <c r="AL1379" s="35"/>
      <c r="AM1379" s="35"/>
      <c r="AN1379" s="35"/>
      <c r="AO1379" s="35"/>
      <c r="AP1379" s="35"/>
    </row>
    <row r="1380" spans="1:42" ht="17.25" customHeight="1" x14ac:dyDescent="0.25">
      <c r="A1380" s="55">
        <v>2016</v>
      </c>
      <c r="B1380" s="56" t="s">
        <v>66</v>
      </c>
      <c r="C1380" s="56" t="s">
        <v>4</v>
      </c>
      <c r="D1380" s="56" t="s">
        <v>7</v>
      </c>
      <c r="E1380" s="56" t="s">
        <v>69</v>
      </c>
      <c r="F1380" s="56" t="s">
        <v>71</v>
      </c>
      <c r="G1380" s="57">
        <v>4642652844</v>
      </c>
      <c r="H1380" s="56" t="s">
        <v>68</v>
      </c>
      <c r="I1380" s="58" t="str">
        <f t="shared" si="133"/>
        <v>India-OTA</v>
      </c>
      <c r="J1380" s="40"/>
      <c r="K1380" s="59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  <c r="Z1380" s="35"/>
      <c r="AA1380" s="35"/>
      <c r="AB1380" s="35"/>
      <c r="AC1380" s="35"/>
      <c r="AD1380" s="35"/>
      <c r="AE1380" s="35"/>
      <c r="AF1380" s="35"/>
      <c r="AG1380" s="35"/>
      <c r="AH1380" s="35"/>
      <c r="AI1380" s="35"/>
      <c r="AJ1380" s="35"/>
      <c r="AK1380" s="35"/>
      <c r="AL1380" s="35"/>
      <c r="AM1380" s="35"/>
      <c r="AN1380" s="35"/>
      <c r="AO1380" s="35"/>
      <c r="AP1380" s="35"/>
    </row>
    <row r="1381" spans="1:42" ht="17.25" customHeight="1" x14ac:dyDescent="0.25">
      <c r="A1381" s="60">
        <v>2016</v>
      </c>
      <c r="B1381" s="61" t="s">
        <v>66</v>
      </c>
      <c r="C1381" s="61" t="s">
        <v>4</v>
      </c>
      <c r="D1381" s="61" t="s">
        <v>8</v>
      </c>
      <c r="E1381" s="61" t="s">
        <v>67</v>
      </c>
      <c r="F1381" s="61" t="s">
        <v>67</v>
      </c>
      <c r="G1381" s="62">
        <v>9372223652</v>
      </c>
      <c r="H1381" s="61" t="s">
        <v>68</v>
      </c>
      <c r="I1381" s="63" t="str">
        <f t="shared" si="133"/>
        <v>Indonesia-Offline</v>
      </c>
      <c r="J1381" s="47"/>
      <c r="K1381" s="54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  <c r="AA1381" s="35"/>
      <c r="AB1381" s="35"/>
      <c r="AC1381" s="35"/>
      <c r="AD1381" s="35"/>
      <c r="AE1381" s="35"/>
      <c r="AF1381" s="35"/>
      <c r="AG1381" s="35"/>
      <c r="AH1381" s="35"/>
      <c r="AI1381" s="35"/>
      <c r="AJ1381" s="35"/>
      <c r="AK1381" s="35"/>
      <c r="AL1381" s="35"/>
      <c r="AM1381" s="35"/>
      <c r="AN1381" s="35"/>
      <c r="AO1381" s="35"/>
      <c r="AP1381" s="35"/>
    </row>
    <row r="1382" spans="1:42" ht="17.25" customHeight="1" x14ac:dyDescent="0.25">
      <c r="A1382" s="55">
        <v>2016</v>
      </c>
      <c r="B1382" s="56" t="s">
        <v>66</v>
      </c>
      <c r="C1382" s="56" t="s">
        <v>4</v>
      </c>
      <c r="D1382" s="56" t="s">
        <v>8</v>
      </c>
      <c r="E1382" s="56" t="s">
        <v>69</v>
      </c>
      <c r="F1382" s="56" t="s">
        <v>70</v>
      </c>
      <c r="G1382" s="57">
        <v>1161146278</v>
      </c>
      <c r="H1382" s="56" t="s">
        <v>68</v>
      </c>
      <c r="I1382" s="58" t="str">
        <f t="shared" si="133"/>
        <v>Indonesia-Online Supplier-Direct</v>
      </c>
      <c r="J1382" s="40"/>
      <c r="K1382" s="59"/>
      <c r="L1382" s="35"/>
      <c r="M1382" s="35"/>
      <c r="N1382" s="35"/>
      <c r="O1382" s="35"/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  <c r="Z1382" s="35"/>
      <c r="AA1382" s="35"/>
      <c r="AB1382" s="35"/>
      <c r="AC1382" s="35"/>
      <c r="AD1382" s="35"/>
      <c r="AE1382" s="35"/>
      <c r="AF1382" s="35"/>
      <c r="AG1382" s="35"/>
      <c r="AH1382" s="35"/>
      <c r="AI1382" s="35"/>
      <c r="AJ1382" s="35"/>
      <c r="AK1382" s="35"/>
      <c r="AL1382" s="35"/>
      <c r="AM1382" s="35"/>
      <c r="AN1382" s="35"/>
      <c r="AO1382" s="35"/>
      <c r="AP1382" s="35"/>
    </row>
    <row r="1383" spans="1:42" ht="17.25" customHeight="1" x14ac:dyDescent="0.25">
      <c r="A1383" s="60">
        <v>2016</v>
      </c>
      <c r="B1383" s="61" t="s">
        <v>66</v>
      </c>
      <c r="C1383" s="61" t="s">
        <v>4</v>
      </c>
      <c r="D1383" s="61" t="s">
        <v>8</v>
      </c>
      <c r="E1383" s="61" t="s">
        <v>69</v>
      </c>
      <c r="F1383" s="61" t="s">
        <v>71</v>
      </c>
      <c r="G1383" s="62">
        <v>1144392883</v>
      </c>
      <c r="H1383" s="61" t="s">
        <v>68</v>
      </c>
      <c r="I1383" s="63" t="str">
        <f t="shared" si="133"/>
        <v>Indonesia-OTA</v>
      </c>
      <c r="J1383" s="47"/>
      <c r="K1383" s="54"/>
      <c r="L1383" s="35"/>
      <c r="M1383" s="35"/>
      <c r="N1383" s="35"/>
      <c r="O1383" s="35"/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  <c r="Z1383" s="35"/>
      <c r="AA1383" s="35"/>
      <c r="AB1383" s="35"/>
      <c r="AC1383" s="35"/>
      <c r="AD1383" s="35"/>
      <c r="AE1383" s="35"/>
      <c r="AF1383" s="35"/>
      <c r="AG1383" s="35"/>
      <c r="AH1383" s="35"/>
      <c r="AI1383" s="35"/>
      <c r="AJ1383" s="35"/>
      <c r="AK1383" s="35"/>
      <c r="AL1383" s="35"/>
      <c r="AM1383" s="35"/>
      <c r="AN1383" s="35"/>
      <c r="AO1383" s="35"/>
      <c r="AP1383" s="35"/>
    </row>
    <row r="1384" spans="1:42" ht="17.25" customHeight="1" x14ac:dyDescent="0.25">
      <c r="A1384" s="55">
        <v>2016</v>
      </c>
      <c r="B1384" s="56" t="s">
        <v>66</v>
      </c>
      <c r="C1384" s="56" t="s">
        <v>27</v>
      </c>
      <c r="D1384" s="56" t="s">
        <v>29</v>
      </c>
      <c r="E1384" s="56" t="s">
        <v>67</v>
      </c>
      <c r="F1384" s="56" t="s">
        <v>67</v>
      </c>
      <c r="G1384" s="57">
        <v>15282170188</v>
      </c>
      <c r="H1384" s="56" t="s">
        <v>68</v>
      </c>
      <c r="I1384" s="58" t="str">
        <f t="shared" si="133"/>
        <v>Italy-Offline</v>
      </c>
      <c r="J1384" s="40"/>
      <c r="K1384" s="59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  <c r="AG1384" s="35"/>
      <c r="AH1384" s="35"/>
      <c r="AI1384" s="35"/>
      <c r="AJ1384" s="35"/>
      <c r="AK1384" s="35"/>
      <c r="AL1384" s="35"/>
      <c r="AM1384" s="35"/>
      <c r="AN1384" s="35"/>
      <c r="AO1384" s="35"/>
      <c r="AP1384" s="35"/>
    </row>
    <row r="1385" spans="1:42" ht="17.25" customHeight="1" x14ac:dyDescent="0.25">
      <c r="A1385" s="60">
        <v>2016</v>
      </c>
      <c r="B1385" s="61" t="s">
        <v>66</v>
      </c>
      <c r="C1385" s="61" t="s">
        <v>27</v>
      </c>
      <c r="D1385" s="61" t="s">
        <v>29</v>
      </c>
      <c r="E1385" s="61" t="s">
        <v>69</v>
      </c>
      <c r="F1385" s="61" t="s">
        <v>70</v>
      </c>
      <c r="G1385" s="62">
        <v>3904790138</v>
      </c>
      <c r="H1385" s="61" t="s">
        <v>68</v>
      </c>
      <c r="I1385" s="63" t="str">
        <f t="shared" si="133"/>
        <v>Italy-Online Supplier-Direct</v>
      </c>
      <c r="J1385" s="47"/>
      <c r="K1385" s="54"/>
      <c r="L1385" s="35"/>
      <c r="M1385" s="35"/>
      <c r="N1385" s="35"/>
      <c r="O1385" s="35"/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  <c r="AA1385" s="35"/>
      <c r="AB1385" s="35"/>
      <c r="AC1385" s="35"/>
      <c r="AD1385" s="35"/>
      <c r="AE1385" s="35"/>
      <c r="AF1385" s="35"/>
      <c r="AG1385" s="35"/>
      <c r="AH1385" s="35"/>
      <c r="AI1385" s="35"/>
      <c r="AJ1385" s="35"/>
      <c r="AK1385" s="35"/>
      <c r="AL1385" s="35"/>
      <c r="AM1385" s="35"/>
      <c r="AN1385" s="35"/>
      <c r="AO1385" s="35"/>
      <c r="AP1385" s="35"/>
    </row>
    <row r="1386" spans="1:42" ht="17.25" customHeight="1" x14ac:dyDescent="0.25">
      <c r="A1386" s="55">
        <v>2016</v>
      </c>
      <c r="B1386" s="56" t="s">
        <v>66</v>
      </c>
      <c r="C1386" s="56" t="s">
        <v>27</v>
      </c>
      <c r="D1386" s="56" t="s">
        <v>29</v>
      </c>
      <c r="E1386" s="56" t="s">
        <v>69</v>
      </c>
      <c r="F1386" s="56" t="s">
        <v>71</v>
      </c>
      <c r="G1386" s="57">
        <v>4682928867</v>
      </c>
      <c r="H1386" s="56" t="s">
        <v>68</v>
      </c>
      <c r="I1386" s="58" t="str">
        <f t="shared" si="133"/>
        <v>Italy-OTA</v>
      </c>
      <c r="J1386" s="40"/>
      <c r="K1386" s="59"/>
      <c r="L1386" s="35"/>
      <c r="M1386" s="35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  <c r="Z1386" s="35"/>
      <c r="AA1386" s="35"/>
      <c r="AB1386" s="35"/>
      <c r="AC1386" s="35"/>
      <c r="AD1386" s="35"/>
      <c r="AE1386" s="35"/>
      <c r="AF1386" s="35"/>
      <c r="AG1386" s="35"/>
      <c r="AH1386" s="35"/>
      <c r="AI1386" s="35"/>
      <c r="AJ1386" s="35"/>
      <c r="AK1386" s="35"/>
      <c r="AL1386" s="35"/>
      <c r="AM1386" s="35"/>
      <c r="AN1386" s="35"/>
      <c r="AO1386" s="35"/>
      <c r="AP1386" s="35"/>
    </row>
    <row r="1387" spans="1:42" ht="17.25" customHeight="1" x14ac:dyDescent="0.25">
      <c r="A1387" s="60">
        <v>2016</v>
      </c>
      <c r="B1387" s="61" t="s">
        <v>66</v>
      </c>
      <c r="C1387" s="61" t="s">
        <v>4</v>
      </c>
      <c r="D1387" s="61" t="s">
        <v>9</v>
      </c>
      <c r="E1387" s="61" t="s">
        <v>67</v>
      </c>
      <c r="F1387" s="61" t="s">
        <v>67</v>
      </c>
      <c r="G1387" s="62">
        <v>59188556625</v>
      </c>
      <c r="H1387" s="61" t="s">
        <v>68</v>
      </c>
      <c r="I1387" s="63" t="str">
        <f t="shared" si="133"/>
        <v>Japan-Offline</v>
      </c>
      <c r="J1387" s="47"/>
      <c r="K1387" s="54"/>
      <c r="L1387" s="35"/>
      <c r="M1387" s="35"/>
      <c r="N1387" s="35"/>
      <c r="O1387" s="35"/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  <c r="AA1387" s="35"/>
      <c r="AB1387" s="35"/>
      <c r="AC1387" s="35"/>
      <c r="AD1387" s="35"/>
      <c r="AE1387" s="35"/>
      <c r="AF1387" s="35"/>
      <c r="AG1387" s="35"/>
      <c r="AH1387" s="35"/>
      <c r="AI1387" s="35"/>
      <c r="AJ1387" s="35"/>
      <c r="AK1387" s="35"/>
      <c r="AL1387" s="35"/>
      <c r="AM1387" s="35"/>
      <c r="AN1387" s="35"/>
      <c r="AO1387" s="35"/>
      <c r="AP1387" s="35"/>
    </row>
    <row r="1388" spans="1:42" ht="17.25" customHeight="1" x14ac:dyDescent="0.25">
      <c r="A1388" s="55">
        <v>2016</v>
      </c>
      <c r="B1388" s="56" t="s">
        <v>66</v>
      </c>
      <c r="C1388" s="56" t="s">
        <v>4</v>
      </c>
      <c r="D1388" s="56" t="s">
        <v>9</v>
      </c>
      <c r="E1388" s="56" t="s">
        <v>69</v>
      </c>
      <c r="F1388" s="56" t="s">
        <v>70</v>
      </c>
      <c r="G1388" s="57">
        <v>21853814111</v>
      </c>
      <c r="H1388" s="56" t="s">
        <v>68</v>
      </c>
      <c r="I1388" s="58" t="str">
        <f t="shared" si="133"/>
        <v>Japan-Online Supplier-Direct</v>
      </c>
      <c r="J1388" s="40"/>
      <c r="K1388" s="59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  <c r="AA1388" s="35"/>
      <c r="AB1388" s="35"/>
      <c r="AC1388" s="35"/>
      <c r="AD1388" s="35"/>
      <c r="AE1388" s="35"/>
      <c r="AF1388" s="35"/>
      <c r="AG1388" s="35"/>
      <c r="AH1388" s="35"/>
      <c r="AI1388" s="35"/>
      <c r="AJ1388" s="35"/>
      <c r="AK1388" s="35"/>
      <c r="AL1388" s="35"/>
      <c r="AM1388" s="35"/>
      <c r="AN1388" s="35"/>
      <c r="AO1388" s="35"/>
      <c r="AP1388" s="35"/>
    </row>
    <row r="1389" spans="1:42" ht="17.25" customHeight="1" x14ac:dyDescent="0.25">
      <c r="A1389" s="60">
        <v>2016</v>
      </c>
      <c r="B1389" s="61" t="s">
        <v>66</v>
      </c>
      <c r="C1389" s="61" t="s">
        <v>4</v>
      </c>
      <c r="D1389" s="61" t="s">
        <v>9</v>
      </c>
      <c r="E1389" s="61" t="s">
        <v>69</v>
      </c>
      <c r="F1389" s="61" t="s">
        <v>71</v>
      </c>
      <c r="G1389" s="62">
        <v>14540121612</v>
      </c>
      <c r="H1389" s="61" t="s">
        <v>68</v>
      </c>
      <c r="I1389" s="63" t="str">
        <f t="shared" si="133"/>
        <v>Japan-OTA</v>
      </c>
      <c r="J1389" s="47"/>
      <c r="K1389" s="54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  <c r="AG1389" s="35"/>
      <c r="AH1389" s="35"/>
      <c r="AI1389" s="35"/>
      <c r="AJ1389" s="35"/>
      <c r="AK1389" s="35"/>
      <c r="AL1389" s="35"/>
      <c r="AM1389" s="35"/>
      <c r="AN1389" s="35"/>
      <c r="AO1389" s="35"/>
      <c r="AP1389" s="35"/>
    </row>
    <row r="1390" spans="1:42" ht="17.25" customHeight="1" x14ac:dyDescent="0.25">
      <c r="A1390" s="55">
        <v>2016</v>
      </c>
      <c r="B1390" s="56" t="s">
        <v>66</v>
      </c>
      <c r="C1390" s="56" t="s">
        <v>4</v>
      </c>
      <c r="D1390" s="56" t="s">
        <v>10</v>
      </c>
      <c r="E1390" s="56" t="s">
        <v>67</v>
      </c>
      <c r="F1390" s="56" t="s">
        <v>67</v>
      </c>
      <c r="G1390" s="57">
        <v>1394996852</v>
      </c>
      <c r="H1390" s="56" t="s">
        <v>68</v>
      </c>
      <c r="I1390" s="58" t="str">
        <f t="shared" si="133"/>
        <v>Macau-Offline</v>
      </c>
      <c r="J1390" s="40"/>
      <c r="K1390" s="59"/>
      <c r="L1390" s="35"/>
      <c r="M1390" s="35"/>
      <c r="N1390" s="35"/>
      <c r="O1390" s="35"/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  <c r="AA1390" s="35"/>
      <c r="AB1390" s="35"/>
      <c r="AC1390" s="35"/>
      <c r="AD1390" s="35"/>
      <c r="AE1390" s="35"/>
      <c r="AF1390" s="35"/>
      <c r="AG1390" s="35"/>
      <c r="AH1390" s="35"/>
      <c r="AI1390" s="35"/>
      <c r="AJ1390" s="35"/>
      <c r="AK1390" s="35"/>
      <c r="AL1390" s="35"/>
      <c r="AM1390" s="35"/>
      <c r="AN1390" s="35"/>
      <c r="AO1390" s="35"/>
      <c r="AP1390" s="35"/>
    </row>
    <row r="1391" spans="1:42" ht="17.25" customHeight="1" x14ac:dyDescent="0.25">
      <c r="A1391" s="60">
        <v>2016</v>
      </c>
      <c r="B1391" s="61" t="s">
        <v>66</v>
      </c>
      <c r="C1391" s="61" t="s">
        <v>4</v>
      </c>
      <c r="D1391" s="61" t="s">
        <v>10</v>
      </c>
      <c r="E1391" s="61" t="s">
        <v>69</v>
      </c>
      <c r="F1391" s="61" t="s">
        <v>70</v>
      </c>
      <c r="G1391" s="62">
        <v>51696942</v>
      </c>
      <c r="H1391" s="61" t="s">
        <v>68</v>
      </c>
      <c r="I1391" s="63" t="str">
        <f t="shared" si="133"/>
        <v>Macau-Online Supplier-Direct</v>
      </c>
      <c r="J1391" s="47"/>
      <c r="K1391" s="54"/>
      <c r="L1391" s="35"/>
      <c r="M1391" s="35"/>
      <c r="N1391" s="35"/>
      <c r="O1391" s="35"/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  <c r="AA1391" s="35"/>
      <c r="AB1391" s="35"/>
      <c r="AC1391" s="35"/>
      <c r="AD1391" s="35"/>
      <c r="AE1391" s="35"/>
      <c r="AF1391" s="35"/>
      <c r="AG1391" s="35"/>
      <c r="AH1391" s="35"/>
      <c r="AI1391" s="35"/>
      <c r="AJ1391" s="35"/>
      <c r="AK1391" s="35"/>
      <c r="AL1391" s="35"/>
      <c r="AM1391" s="35"/>
      <c r="AN1391" s="35"/>
      <c r="AO1391" s="35"/>
      <c r="AP1391" s="35"/>
    </row>
    <row r="1392" spans="1:42" ht="17.25" customHeight="1" x14ac:dyDescent="0.25">
      <c r="A1392" s="55">
        <v>2016</v>
      </c>
      <c r="B1392" s="56" t="s">
        <v>66</v>
      </c>
      <c r="C1392" s="56" t="s">
        <v>4</v>
      </c>
      <c r="D1392" s="56" t="s">
        <v>10</v>
      </c>
      <c r="E1392" s="56" t="s">
        <v>69</v>
      </c>
      <c r="F1392" s="56" t="s">
        <v>71</v>
      </c>
      <c r="G1392" s="57">
        <v>194478973</v>
      </c>
      <c r="H1392" s="56" t="s">
        <v>68</v>
      </c>
      <c r="I1392" s="58" t="str">
        <f t="shared" si="133"/>
        <v>Macau-OTA</v>
      </c>
      <c r="J1392" s="40"/>
      <c r="K1392" s="59"/>
      <c r="L1392" s="35"/>
      <c r="M1392" s="35"/>
      <c r="N1392" s="35"/>
      <c r="O1392" s="35"/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  <c r="Z1392" s="35"/>
      <c r="AA1392" s="35"/>
      <c r="AB1392" s="35"/>
      <c r="AC1392" s="35"/>
      <c r="AD1392" s="35"/>
      <c r="AE1392" s="35"/>
      <c r="AF1392" s="35"/>
      <c r="AG1392" s="35"/>
      <c r="AH1392" s="35"/>
      <c r="AI1392" s="35"/>
      <c r="AJ1392" s="35"/>
      <c r="AK1392" s="35"/>
      <c r="AL1392" s="35"/>
      <c r="AM1392" s="35"/>
      <c r="AN1392" s="35"/>
      <c r="AO1392" s="35"/>
      <c r="AP1392" s="35"/>
    </row>
    <row r="1393" spans="1:42" ht="17.25" customHeight="1" x14ac:dyDescent="0.25">
      <c r="A1393" s="60">
        <v>2016</v>
      </c>
      <c r="B1393" s="61" t="s">
        <v>66</v>
      </c>
      <c r="C1393" s="61" t="s">
        <v>4</v>
      </c>
      <c r="D1393" s="61" t="s">
        <v>11</v>
      </c>
      <c r="E1393" s="61" t="s">
        <v>67</v>
      </c>
      <c r="F1393" s="61" t="s">
        <v>67</v>
      </c>
      <c r="G1393" s="62">
        <v>5043268800</v>
      </c>
      <c r="H1393" s="61" t="s">
        <v>68</v>
      </c>
      <c r="I1393" s="63" t="str">
        <f t="shared" si="133"/>
        <v>Malaysia-Offline</v>
      </c>
      <c r="J1393" s="47"/>
      <c r="K1393" s="54"/>
      <c r="L1393" s="35"/>
      <c r="M1393" s="35"/>
      <c r="N1393" s="35"/>
      <c r="O1393" s="35"/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  <c r="Z1393" s="35"/>
      <c r="AA1393" s="35"/>
      <c r="AB1393" s="35"/>
      <c r="AC1393" s="35"/>
      <c r="AD1393" s="35"/>
      <c r="AE1393" s="35"/>
      <c r="AF1393" s="35"/>
      <c r="AG1393" s="35"/>
      <c r="AH1393" s="35"/>
      <c r="AI1393" s="35"/>
      <c r="AJ1393" s="35"/>
      <c r="AK1393" s="35"/>
      <c r="AL1393" s="35"/>
      <c r="AM1393" s="35"/>
      <c r="AN1393" s="35"/>
      <c r="AO1393" s="35"/>
      <c r="AP1393" s="35"/>
    </row>
    <row r="1394" spans="1:42" ht="17.25" customHeight="1" x14ac:dyDescent="0.25">
      <c r="A1394" s="55">
        <v>2016</v>
      </c>
      <c r="B1394" s="56" t="s">
        <v>66</v>
      </c>
      <c r="C1394" s="56" t="s">
        <v>4</v>
      </c>
      <c r="D1394" s="56" t="s">
        <v>11</v>
      </c>
      <c r="E1394" s="56" t="s">
        <v>69</v>
      </c>
      <c r="F1394" s="56" t="s">
        <v>70</v>
      </c>
      <c r="G1394" s="57">
        <v>2302230662</v>
      </c>
      <c r="H1394" s="56" t="s">
        <v>68</v>
      </c>
      <c r="I1394" s="58" t="str">
        <f t="shared" si="133"/>
        <v>Malaysia-Online Supplier-Direct</v>
      </c>
      <c r="J1394" s="40"/>
      <c r="K1394" s="59"/>
      <c r="L1394" s="35"/>
      <c r="M1394" s="35"/>
      <c r="N1394" s="35"/>
      <c r="O1394" s="35"/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  <c r="Z1394" s="35"/>
      <c r="AA1394" s="35"/>
      <c r="AB1394" s="35"/>
      <c r="AC1394" s="35"/>
      <c r="AD1394" s="35"/>
      <c r="AE1394" s="35"/>
      <c r="AF1394" s="35"/>
      <c r="AG1394" s="35"/>
      <c r="AH1394" s="35"/>
      <c r="AI1394" s="35"/>
      <c r="AJ1394" s="35"/>
      <c r="AK1394" s="35"/>
      <c r="AL1394" s="35"/>
      <c r="AM1394" s="35"/>
      <c r="AN1394" s="35"/>
      <c r="AO1394" s="35"/>
      <c r="AP1394" s="35"/>
    </row>
    <row r="1395" spans="1:42" ht="17.25" customHeight="1" x14ac:dyDescent="0.25">
      <c r="A1395" s="60">
        <v>2016</v>
      </c>
      <c r="B1395" s="61" t="s">
        <v>66</v>
      </c>
      <c r="C1395" s="61" t="s">
        <v>4</v>
      </c>
      <c r="D1395" s="61" t="s">
        <v>11</v>
      </c>
      <c r="E1395" s="61" t="s">
        <v>69</v>
      </c>
      <c r="F1395" s="61" t="s">
        <v>71</v>
      </c>
      <c r="G1395" s="62">
        <v>1068780713</v>
      </c>
      <c r="H1395" s="61" t="s">
        <v>68</v>
      </c>
      <c r="I1395" s="63" t="str">
        <f t="shared" si="133"/>
        <v>Malaysia-OTA</v>
      </c>
      <c r="J1395" s="47"/>
      <c r="K1395" s="54"/>
      <c r="L1395" s="35"/>
      <c r="M1395" s="35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  <c r="AA1395" s="35"/>
      <c r="AB1395" s="35"/>
      <c r="AC1395" s="35"/>
      <c r="AD1395" s="35"/>
      <c r="AE1395" s="35"/>
      <c r="AF1395" s="35"/>
      <c r="AG1395" s="35"/>
      <c r="AH1395" s="35"/>
      <c r="AI1395" s="35"/>
      <c r="AJ1395" s="35"/>
      <c r="AK1395" s="35"/>
      <c r="AL1395" s="35"/>
      <c r="AM1395" s="35"/>
      <c r="AN1395" s="35"/>
      <c r="AO1395" s="35"/>
      <c r="AP1395" s="35"/>
    </row>
    <row r="1396" spans="1:42" ht="17.25" customHeight="1" x14ac:dyDescent="0.25">
      <c r="A1396" s="55">
        <v>2016</v>
      </c>
      <c r="B1396" s="56" t="s">
        <v>66</v>
      </c>
      <c r="C1396" s="56" t="s">
        <v>35</v>
      </c>
      <c r="D1396" s="56" t="s">
        <v>39</v>
      </c>
      <c r="E1396" s="56" t="s">
        <v>67</v>
      </c>
      <c r="F1396" s="56" t="s">
        <v>67</v>
      </c>
      <c r="G1396" s="57">
        <v>15045476412</v>
      </c>
      <c r="H1396" s="56" t="s">
        <v>68</v>
      </c>
      <c r="I1396" s="58" t="str">
        <f t="shared" si="133"/>
        <v>Mexico-Offline</v>
      </c>
      <c r="J1396" s="40"/>
      <c r="K1396" s="59"/>
      <c r="L1396" s="35"/>
      <c r="M1396" s="35"/>
      <c r="N1396" s="35"/>
      <c r="O1396" s="35"/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  <c r="Z1396" s="35"/>
      <c r="AA1396" s="35"/>
      <c r="AB1396" s="35"/>
      <c r="AC1396" s="35"/>
      <c r="AD1396" s="35"/>
      <c r="AE1396" s="35"/>
      <c r="AF1396" s="35"/>
      <c r="AG1396" s="35"/>
      <c r="AH1396" s="35"/>
      <c r="AI1396" s="35"/>
      <c r="AJ1396" s="35"/>
      <c r="AK1396" s="35"/>
      <c r="AL1396" s="35"/>
      <c r="AM1396" s="35"/>
      <c r="AN1396" s="35"/>
      <c r="AO1396" s="35"/>
      <c r="AP1396" s="35"/>
    </row>
    <row r="1397" spans="1:42" ht="17.25" customHeight="1" x14ac:dyDescent="0.25">
      <c r="A1397" s="60">
        <v>2016</v>
      </c>
      <c r="B1397" s="61" t="s">
        <v>66</v>
      </c>
      <c r="C1397" s="61" t="s">
        <v>35</v>
      </c>
      <c r="D1397" s="61" t="s">
        <v>39</v>
      </c>
      <c r="E1397" s="61" t="s">
        <v>69</v>
      </c>
      <c r="F1397" s="61" t="s">
        <v>70</v>
      </c>
      <c r="G1397" s="62">
        <v>2957675857</v>
      </c>
      <c r="H1397" s="61" t="s">
        <v>68</v>
      </c>
      <c r="I1397" s="63" t="str">
        <f t="shared" si="133"/>
        <v>Mexico-Online Supplier-Direct</v>
      </c>
      <c r="J1397" s="47"/>
      <c r="K1397" s="54"/>
      <c r="L1397" s="35"/>
      <c r="M1397" s="35"/>
      <c r="N1397" s="35"/>
      <c r="O1397" s="35"/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  <c r="Z1397" s="35"/>
      <c r="AA1397" s="35"/>
      <c r="AB1397" s="35"/>
      <c r="AC1397" s="35"/>
      <c r="AD1397" s="35"/>
      <c r="AE1397" s="35"/>
      <c r="AF1397" s="35"/>
      <c r="AG1397" s="35"/>
      <c r="AH1397" s="35"/>
      <c r="AI1397" s="35"/>
      <c r="AJ1397" s="35"/>
      <c r="AK1397" s="35"/>
      <c r="AL1397" s="35"/>
      <c r="AM1397" s="35"/>
      <c r="AN1397" s="35"/>
      <c r="AO1397" s="35"/>
      <c r="AP1397" s="35"/>
    </row>
    <row r="1398" spans="1:42" ht="17.25" customHeight="1" x14ac:dyDescent="0.25">
      <c r="A1398" s="55">
        <v>2016</v>
      </c>
      <c r="B1398" s="56" t="s">
        <v>66</v>
      </c>
      <c r="C1398" s="56" t="s">
        <v>35</v>
      </c>
      <c r="D1398" s="56" t="s">
        <v>39</v>
      </c>
      <c r="E1398" s="56" t="s">
        <v>69</v>
      </c>
      <c r="F1398" s="56" t="s">
        <v>71</v>
      </c>
      <c r="G1398" s="57">
        <v>3870514184</v>
      </c>
      <c r="H1398" s="56" t="s">
        <v>68</v>
      </c>
      <c r="I1398" s="58" t="str">
        <f t="shared" si="133"/>
        <v>Mexico-OTA</v>
      </c>
      <c r="J1398" s="40"/>
      <c r="K1398" s="59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  <c r="AA1398" s="35"/>
      <c r="AB1398" s="35"/>
      <c r="AC1398" s="35"/>
      <c r="AD1398" s="35"/>
      <c r="AE1398" s="35"/>
      <c r="AF1398" s="35"/>
      <c r="AG1398" s="35"/>
      <c r="AH1398" s="35"/>
      <c r="AI1398" s="35"/>
      <c r="AJ1398" s="35"/>
      <c r="AK1398" s="35"/>
      <c r="AL1398" s="35"/>
      <c r="AM1398" s="35"/>
      <c r="AN1398" s="35"/>
      <c r="AO1398" s="35"/>
      <c r="AP1398" s="35"/>
    </row>
    <row r="1399" spans="1:42" ht="17.25" customHeight="1" x14ac:dyDescent="0.25">
      <c r="A1399" s="60">
        <v>2016</v>
      </c>
      <c r="B1399" s="61" t="s">
        <v>66</v>
      </c>
      <c r="C1399" s="61" t="s">
        <v>17</v>
      </c>
      <c r="D1399" s="61" t="s">
        <v>21</v>
      </c>
      <c r="E1399" s="61" t="s">
        <v>67</v>
      </c>
      <c r="F1399" s="61" t="s">
        <v>67</v>
      </c>
      <c r="G1399" s="62">
        <v>3332663633</v>
      </c>
      <c r="H1399" s="61" t="s">
        <v>68</v>
      </c>
      <c r="I1399" s="63" t="str">
        <f t="shared" si="133"/>
        <v>Poland-Offline</v>
      </c>
      <c r="J1399" s="47"/>
      <c r="K1399" s="54"/>
      <c r="L1399" s="35"/>
      <c r="M1399" s="35"/>
      <c r="N1399" s="35"/>
      <c r="O1399" s="35"/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  <c r="Z1399" s="35"/>
      <c r="AA1399" s="35"/>
      <c r="AB1399" s="35"/>
      <c r="AC1399" s="35"/>
      <c r="AD1399" s="35"/>
      <c r="AE1399" s="35"/>
      <c r="AF1399" s="35"/>
      <c r="AG1399" s="35"/>
      <c r="AH1399" s="35"/>
      <c r="AI1399" s="35"/>
      <c r="AJ1399" s="35"/>
      <c r="AK1399" s="35"/>
      <c r="AL1399" s="35"/>
      <c r="AM1399" s="35"/>
      <c r="AN1399" s="35"/>
      <c r="AO1399" s="35"/>
      <c r="AP1399" s="35"/>
    </row>
    <row r="1400" spans="1:42" ht="17.25" customHeight="1" x14ac:dyDescent="0.25">
      <c r="A1400" s="55">
        <v>2016</v>
      </c>
      <c r="B1400" s="56" t="s">
        <v>66</v>
      </c>
      <c r="C1400" s="56" t="s">
        <v>17</v>
      </c>
      <c r="D1400" s="56" t="s">
        <v>21</v>
      </c>
      <c r="E1400" s="56" t="s">
        <v>69</v>
      </c>
      <c r="F1400" s="56" t="s">
        <v>70</v>
      </c>
      <c r="G1400" s="57">
        <v>878706278</v>
      </c>
      <c r="H1400" s="56" t="s">
        <v>68</v>
      </c>
      <c r="I1400" s="58" t="str">
        <f t="shared" si="133"/>
        <v>Poland-Online Supplier-Direct</v>
      </c>
      <c r="J1400" s="40"/>
      <c r="K1400" s="59"/>
      <c r="L1400" s="35"/>
      <c r="M1400" s="35"/>
      <c r="N1400" s="35"/>
      <c r="O1400" s="35"/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  <c r="Z1400" s="35"/>
      <c r="AA1400" s="35"/>
      <c r="AB1400" s="35"/>
      <c r="AC1400" s="35"/>
      <c r="AD1400" s="35"/>
      <c r="AE1400" s="35"/>
      <c r="AF1400" s="35"/>
      <c r="AG1400" s="35"/>
      <c r="AH1400" s="35"/>
      <c r="AI1400" s="35"/>
      <c r="AJ1400" s="35"/>
      <c r="AK1400" s="35"/>
      <c r="AL1400" s="35"/>
      <c r="AM1400" s="35"/>
      <c r="AN1400" s="35"/>
      <c r="AO1400" s="35"/>
      <c r="AP1400" s="35"/>
    </row>
    <row r="1401" spans="1:42" ht="17.25" customHeight="1" x14ac:dyDescent="0.25">
      <c r="A1401" s="60">
        <v>2016</v>
      </c>
      <c r="B1401" s="61" t="s">
        <v>66</v>
      </c>
      <c r="C1401" s="61" t="s">
        <v>17</v>
      </c>
      <c r="D1401" s="61" t="s">
        <v>21</v>
      </c>
      <c r="E1401" s="61" t="s">
        <v>69</v>
      </c>
      <c r="F1401" s="61" t="s">
        <v>71</v>
      </c>
      <c r="G1401" s="62">
        <v>949653922</v>
      </c>
      <c r="H1401" s="61" t="s">
        <v>68</v>
      </c>
      <c r="I1401" s="63" t="str">
        <f t="shared" si="133"/>
        <v>Poland-OTA</v>
      </c>
      <c r="J1401" s="47"/>
      <c r="K1401" s="54"/>
      <c r="L1401" s="35"/>
      <c r="M1401" s="35"/>
      <c r="N1401" s="35"/>
      <c r="O1401" s="35"/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  <c r="AA1401" s="35"/>
      <c r="AB1401" s="35"/>
      <c r="AC1401" s="35"/>
      <c r="AD1401" s="35"/>
      <c r="AE1401" s="35"/>
      <c r="AF1401" s="35"/>
      <c r="AG1401" s="35"/>
      <c r="AH1401" s="35"/>
      <c r="AI1401" s="35"/>
      <c r="AJ1401" s="35"/>
      <c r="AK1401" s="35"/>
      <c r="AL1401" s="35"/>
      <c r="AM1401" s="35"/>
      <c r="AN1401" s="35"/>
      <c r="AO1401" s="35"/>
      <c r="AP1401" s="35"/>
    </row>
    <row r="1402" spans="1:42" ht="17.25" customHeight="1" x14ac:dyDescent="0.25">
      <c r="A1402" s="55">
        <v>2016</v>
      </c>
      <c r="B1402" s="56" t="s">
        <v>66</v>
      </c>
      <c r="C1402" s="56" t="s">
        <v>41</v>
      </c>
      <c r="D1402" s="56" t="s">
        <v>42</v>
      </c>
      <c r="E1402" s="56" t="s">
        <v>67</v>
      </c>
      <c r="F1402" s="56" t="s">
        <v>67</v>
      </c>
      <c r="G1402" s="57">
        <v>7752760431</v>
      </c>
      <c r="H1402" s="56" t="s">
        <v>68</v>
      </c>
      <c r="I1402" s="58" t="str">
        <f t="shared" si="133"/>
        <v>Qatar-Offline</v>
      </c>
      <c r="J1402" s="40"/>
      <c r="K1402" s="59"/>
      <c r="L1402" s="35"/>
      <c r="M1402" s="35"/>
      <c r="N1402" s="35"/>
      <c r="O1402" s="35"/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  <c r="Z1402" s="35"/>
      <c r="AA1402" s="35"/>
      <c r="AB1402" s="35"/>
      <c r="AC1402" s="35"/>
      <c r="AD1402" s="35"/>
      <c r="AE1402" s="35"/>
      <c r="AF1402" s="35"/>
      <c r="AG1402" s="35"/>
      <c r="AH1402" s="35"/>
      <c r="AI1402" s="35"/>
      <c r="AJ1402" s="35"/>
      <c r="AK1402" s="35"/>
      <c r="AL1402" s="35"/>
      <c r="AM1402" s="35"/>
      <c r="AN1402" s="35"/>
      <c r="AO1402" s="35"/>
      <c r="AP1402" s="35"/>
    </row>
    <row r="1403" spans="1:42" ht="17.25" customHeight="1" x14ac:dyDescent="0.25">
      <c r="A1403" s="60">
        <v>2016</v>
      </c>
      <c r="B1403" s="61" t="s">
        <v>66</v>
      </c>
      <c r="C1403" s="61" t="s">
        <v>41</v>
      </c>
      <c r="D1403" s="61" t="s">
        <v>42</v>
      </c>
      <c r="E1403" s="61" t="s">
        <v>69</v>
      </c>
      <c r="F1403" s="61" t="s">
        <v>70</v>
      </c>
      <c r="G1403" s="62">
        <v>1695405537</v>
      </c>
      <c r="H1403" s="61" t="s">
        <v>68</v>
      </c>
      <c r="I1403" s="63" t="str">
        <f t="shared" si="133"/>
        <v>Qatar-Online Supplier-Direct</v>
      </c>
      <c r="J1403" s="47"/>
      <c r="K1403" s="54"/>
      <c r="L1403" s="35"/>
      <c r="M1403" s="35"/>
      <c r="N1403" s="35"/>
      <c r="O1403" s="35"/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  <c r="Z1403" s="35"/>
      <c r="AA1403" s="35"/>
      <c r="AB1403" s="35"/>
      <c r="AC1403" s="35"/>
      <c r="AD1403" s="35"/>
      <c r="AE1403" s="35"/>
      <c r="AF1403" s="35"/>
      <c r="AG1403" s="35"/>
      <c r="AH1403" s="35"/>
      <c r="AI1403" s="35"/>
      <c r="AJ1403" s="35"/>
      <c r="AK1403" s="35"/>
      <c r="AL1403" s="35"/>
      <c r="AM1403" s="35"/>
      <c r="AN1403" s="35"/>
      <c r="AO1403" s="35"/>
      <c r="AP1403" s="35"/>
    </row>
    <row r="1404" spans="1:42" ht="17.25" customHeight="1" x14ac:dyDescent="0.25">
      <c r="A1404" s="55">
        <v>2016</v>
      </c>
      <c r="B1404" s="56" t="s">
        <v>66</v>
      </c>
      <c r="C1404" s="56" t="s">
        <v>41</v>
      </c>
      <c r="D1404" s="56" t="s">
        <v>42</v>
      </c>
      <c r="E1404" s="56" t="s">
        <v>69</v>
      </c>
      <c r="F1404" s="56" t="s">
        <v>71</v>
      </c>
      <c r="G1404" s="57">
        <v>844589703</v>
      </c>
      <c r="H1404" s="56" t="s">
        <v>68</v>
      </c>
      <c r="I1404" s="58" t="str">
        <f t="shared" si="133"/>
        <v>Qatar-OTA</v>
      </c>
      <c r="J1404" s="40"/>
      <c r="K1404" s="59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  <c r="AA1404" s="35"/>
      <c r="AB1404" s="35"/>
      <c r="AC1404" s="35"/>
      <c r="AD1404" s="35"/>
      <c r="AE1404" s="35"/>
      <c r="AF1404" s="35"/>
      <c r="AG1404" s="35"/>
      <c r="AH1404" s="35"/>
      <c r="AI1404" s="35"/>
      <c r="AJ1404" s="35"/>
      <c r="AK1404" s="35"/>
      <c r="AL1404" s="35"/>
      <c r="AM1404" s="35"/>
      <c r="AN1404" s="35"/>
      <c r="AO1404" s="35"/>
      <c r="AP1404" s="35"/>
    </row>
    <row r="1405" spans="1:42" ht="17.25" customHeight="1" x14ac:dyDescent="0.25">
      <c r="A1405" s="60">
        <v>2016</v>
      </c>
      <c r="B1405" s="61" t="s">
        <v>66</v>
      </c>
      <c r="C1405" s="61" t="s">
        <v>17</v>
      </c>
      <c r="D1405" s="61" t="s">
        <v>22</v>
      </c>
      <c r="E1405" s="61" t="s">
        <v>67</v>
      </c>
      <c r="F1405" s="61" t="s">
        <v>67</v>
      </c>
      <c r="G1405" s="62">
        <v>1128857912</v>
      </c>
      <c r="H1405" s="61" t="s">
        <v>68</v>
      </c>
      <c r="I1405" s="63" t="str">
        <f t="shared" si="133"/>
        <v>Rest of Eastern Europe-Offline</v>
      </c>
      <c r="J1405" s="47"/>
      <c r="K1405" s="54"/>
      <c r="L1405" s="35"/>
      <c r="M1405" s="35"/>
      <c r="N1405" s="35"/>
      <c r="O1405" s="35"/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  <c r="Z1405" s="35"/>
      <c r="AA1405" s="35"/>
      <c r="AB1405" s="35"/>
      <c r="AC1405" s="35"/>
      <c r="AD1405" s="35"/>
      <c r="AE1405" s="35"/>
      <c r="AF1405" s="35"/>
      <c r="AG1405" s="35"/>
      <c r="AH1405" s="35"/>
      <c r="AI1405" s="35"/>
      <c r="AJ1405" s="35"/>
      <c r="AK1405" s="35"/>
      <c r="AL1405" s="35"/>
      <c r="AM1405" s="35"/>
      <c r="AN1405" s="35"/>
      <c r="AO1405" s="35"/>
      <c r="AP1405" s="35"/>
    </row>
    <row r="1406" spans="1:42" ht="17.25" customHeight="1" x14ac:dyDescent="0.25">
      <c r="A1406" s="55">
        <v>2016</v>
      </c>
      <c r="B1406" s="56" t="s">
        <v>66</v>
      </c>
      <c r="C1406" s="56" t="s">
        <v>17</v>
      </c>
      <c r="D1406" s="56" t="s">
        <v>22</v>
      </c>
      <c r="E1406" s="56" t="s">
        <v>69</v>
      </c>
      <c r="F1406" s="56" t="s">
        <v>70</v>
      </c>
      <c r="G1406" s="57">
        <v>410001824</v>
      </c>
      <c r="H1406" s="56" t="s">
        <v>68</v>
      </c>
      <c r="I1406" s="58" t="str">
        <f t="shared" si="133"/>
        <v>Rest of Eastern Europe-Online Supplier-Direct</v>
      </c>
      <c r="J1406" s="40"/>
      <c r="K1406" s="59"/>
      <c r="L1406" s="35"/>
      <c r="M1406" s="35"/>
      <c r="N1406" s="35"/>
      <c r="O1406" s="35"/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  <c r="Z1406" s="35"/>
      <c r="AA1406" s="35"/>
      <c r="AB1406" s="35"/>
      <c r="AC1406" s="35"/>
      <c r="AD1406" s="35"/>
      <c r="AE1406" s="35"/>
      <c r="AF1406" s="35"/>
      <c r="AG1406" s="35"/>
      <c r="AH1406" s="35"/>
      <c r="AI1406" s="35"/>
      <c r="AJ1406" s="35"/>
      <c r="AK1406" s="35"/>
      <c r="AL1406" s="35"/>
      <c r="AM1406" s="35"/>
      <c r="AN1406" s="35"/>
      <c r="AO1406" s="35"/>
      <c r="AP1406" s="35"/>
    </row>
    <row r="1407" spans="1:42" ht="17.25" customHeight="1" x14ac:dyDescent="0.25">
      <c r="A1407" s="60">
        <v>2016</v>
      </c>
      <c r="B1407" s="61" t="s">
        <v>66</v>
      </c>
      <c r="C1407" s="61" t="s">
        <v>17</v>
      </c>
      <c r="D1407" s="61" t="s">
        <v>22</v>
      </c>
      <c r="E1407" s="61" t="s">
        <v>69</v>
      </c>
      <c r="F1407" s="61" t="s">
        <v>71</v>
      </c>
      <c r="G1407" s="62">
        <v>332407444</v>
      </c>
      <c r="H1407" s="61" t="s">
        <v>68</v>
      </c>
      <c r="I1407" s="63" t="str">
        <f t="shared" si="133"/>
        <v>Rest of Eastern Europe-OTA</v>
      </c>
      <c r="J1407" s="47"/>
      <c r="K1407" s="54"/>
      <c r="L1407" s="35"/>
      <c r="M1407" s="35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  <c r="AA1407" s="35"/>
      <c r="AB1407" s="35"/>
      <c r="AC1407" s="35"/>
      <c r="AD1407" s="35"/>
      <c r="AE1407" s="35"/>
      <c r="AF1407" s="35"/>
      <c r="AG1407" s="35"/>
      <c r="AH1407" s="35"/>
      <c r="AI1407" s="35"/>
      <c r="AJ1407" s="35"/>
      <c r="AK1407" s="35"/>
      <c r="AL1407" s="35"/>
      <c r="AM1407" s="35"/>
      <c r="AN1407" s="35"/>
      <c r="AO1407" s="35"/>
      <c r="AP1407" s="35"/>
    </row>
    <row r="1408" spans="1:42" ht="17.25" customHeight="1" x14ac:dyDescent="0.25">
      <c r="A1408" s="55">
        <v>2016</v>
      </c>
      <c r="B1408" s="56" t="s">
        <v>66</v>
      </c>
      <c r="C1408" s="56" t="s">
        <v>27</v>
      </c>
      <c r="D1408" s="56" t="s">
        <v>30</v>
      </c>
      <c r="E1408" s="56" t="s">
        <v>67</v>
      </c>
      <c r="F1408" s="56" t="s">
        <v>67</v>
      </c>
      <c r="G1408" s="57">
        <v>32874882640</v>
      </c>
      <c r="H1408" s="56" t="s">
        <v>68</v>
      </c>
      <c r="I1408" s="58" t="str">
        <f t="shared" si="133"/>
        <v>Rest of Europe-Offline</v>
      </c>
      <c r="J1408" s="40"/>
      <c r="K1408" s="59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  <c r="AA1408" s="35"/>
      <c r="AB1408" s="35"/>
      <c r="AC1408" s="35"/>
      <c r="AD1408" s="35"/>
      <c r="AE1408" s="35"/>
      <c r="AF1408" s="35"/>
      <c r="AG1408" s="35"/>
      <c r="AH1408" s="35"/>
      <c r="AI1408" s="35"/>
      <c r="AJ1408" s="35"/>
      <c r="AK1408" s="35"/>
      <c r="AL1408" s="35"/>
      <c r="AM1408" s="35"/>
      <c r="AN1408" s="35"/>
      <c r="AO1408" s="35"/>
      <c r="AP1408" s="35"/>
    </row>
    <row r="1409" spans="1:42" ht="17.25" customHeight="1" x14ac:dyDescent="0.25">
      <c r="A1409" s="60">
        <v>2016</v>
      </c>
      <c r="B1409" s="61" t="s">
        <v>66</v>
      </c>
      <c r="C1409" s="61" t="s">
        <v>27</v>
      </c>
      <c r="D1409" s="61" t="s">
        <v>30</v>
      </c>
      <c r="E1409" s="61" t="s">
        <v>69</v>
      </c>
      <c r="F1409" s="61" t="s">
        <v>70</v>
      </c>
      <c r="G1409" s="62">
        <v>15674977907</v>
      </c>
      <c r="H1409" s="61" t="s">
        <v>68</v>
      </c>
      <c r="I1409" s="63" t="str">
        <f t="shared" si="133"/>
        <v>Rest of Europe-Online Supplier-Direct</v>
      </c>
      <c r="J1409" s="47"/>
      <c r="K1409" s="54"/>
      <c r="L1409" s="35"/>
      <c r="M1409" s="35"/>
      <c r="N1409" s="35"/>
      <c r="O1409" s="35"/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  <c r="AA1409" s="35"/>
      <c r="AB1409" s="35"/>
      <c r="AC1409" s="35"/>
      <c r="AD1409" s="35"/>
      <c r="AE1409" s="35"/>
      <c r="AF1409" s="35"/>
      <c r="AG1409" s="35"/>
      <c r="AH1409" s="35"/>
      <c r="AI1409" s="35"/>
      <c r="AJ1409" s="35"/>
      <c r="AK1409" s="35"/>
      <c r="AL1409" s="35"/>
      <c r="AM1409" s="35"/>
      <c r="AN1409" s="35"/>
      <c r="AO1409" s="35"/>
      <c r="AP1409" s="35"/>
    </row>
    <row r="1410" spans="1:42" ht="17.25" customHeight="1" x14ac:dyDescent="0.25">
      <c r="A1410" s="55">
        <v>2016</v>
      </c>
      <c r="B1410" s="56" t="s">
        <v>66</v>
      </c>
      <c r="C1410" s="56" t="s">
        <v>27</v>
      </c>
      <c r="D1410" s="56" t="s">
        <v>30</v>
      </c>
      <c r="E1410" s="56" t="s">
        <v>69</v>
      </c>
      <c r="F1410" s="56" t="s">
        <v>71</v>
      </c>
      <c r="G1410" s="57">
        <v>8335959271</v>
      </c>
      <c r="H1410" s="56" t="s">
        <v>68</v>
      </c>
      <c r="I1410" s="58" t="str">
        <f t="shared" si="133"/>
        <v>Rest of Europe-OTA</v>
      </c>
      <c r="J1410" s="40"/>
      <c r="K1410" s="59"/>
      <c r="L1410" s="35"/>
      <c r="M1410" s="35"/>
      <c r="N1410" s="35"/>
      <c r="O1410" s="35"/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  <c r="Z1410" s="35"/>
      <c r="AA1410" s="35"/>
      <c r="AB1410" s="35"/>
      <c r="AC1410" s="35"/>
      <c r="AD1410" s="35"/>
      <c r="AE1410" s="35"/>
      <c r="AF1410" s="35"/>
      <c r="AG1410" s="35"/>
      <c r="AH1410" s="35"/>
      <c r="AI1410" s="35"/>
      <c r="AJ1410" s="35"/>
      <c r="AK1410" s="35"/>
      <c r="AL1410" s="35"/>
      <c r="AM1410" s="35"/>
      <c r="AN1410" s="35"/>
      <c r="AO1410" s="35"/>
      <c r="AP1410" s="35"/>
    </row>
    <row r="1411" spans="1:42" ht="17.25" customHeight="1" x14ac:dyDescent="0.25">
      <c r="A1411" s="60">
        <v>2016</v>
      </c>
      <c r="B1411" s="61" t="s">
        <v>66</v>
      </c>
      <c r="C1411" s="61" t="s">
        <v>41</v>
      </c>
      <c r="D1411" s="61" t="s">
        <v>43</v>
      </c>
      <c r="E1411" s="61" t="s">
        <v>67</v>
      </c>
      <c r="F1411" s="61" t="s">
        <v>67</v>
      </c>
      <c r="G1411" s="62">
        <v>7827497763</v>
      </c>
      <c r="H1411" s="61" t="s">
        <v>68</v>
      </c>
      <c r="I1411" s="63" t="str">
        <f t="shared" si="133"/>
        <v>Rest of Middle East-Offline</v>
      </c>
      <c r="J1411" s="47"/>
      <c r="K1411" s="54"/>
      <c r="L1411" s="35"/>
      <c r="M1411" s="35"/>
      <c r="N1411" s="35"/>
      <c r="O1411" s="35"/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  <c r="Z1411" s="35"/>
      <c r="AA1411" s="35"/>
      <c r="AB1411" s="35"/>
      <c r="AC1411" s="35"/>
      <c r="AD1411" s="35"/>
      <c r="AE1411" s="35"/>
      <c r="AF1411" s="35"/>
      <c r="AG1411" s="35"/>
      <c r="AH1411" s="35"/>
      <c r="AI1411" s="35"/>
      <c r="AJ1411" s="35"/>
      <c r="AK1411" s="35"/>
      <c r="AL1411" s="35"/>
      <c r="AM1411" s="35"/>
      <c r="AN1411" s="35"/>
      <c r="AO1411" s="35"/>
      <c r="AP1411" s="35"/>
    </row>
    <row r="1412" spans="1:42" ht="17.25" customHeight="1" x14ac:dyDescent="0.25">
      <c r="A1412" s="55">
        <v>2016</v>
      </c>
      <c r="B1412" s="56" t="s">
        <v>66</v>
      </c>
      <c r="C1412" s="56" t="s">
        <v>41</v>
      </c>
      <c r="D1412" s="56" t="s">
        <v>43</v>
      </c>
      <c r="E1412" s="56" t="s">
        <v>69</v>
      </c>
      <c r="F1412" s="56" t="s">
        <v>70</v>
      </c>
      <c r="G1412" s="57">
        <v>1070948023</v>
      </c>
      <c r="H1412" s="56" t="s">
        <v>68</v>
      </c>
      <c r="I1412" s="58" t="str">
        <f t="shared" si="133"/>
        <v>Rest of Middle East-Online Supplier-Direct</v>
      </c>
      <c r="J1412" s="40"/>
      <c r="K1412" s="59"/>
      <c r="L1412" s="35"/>
      <c r="M1412" s="35"/>
      <c r="N1412" s="35"/>
      <c r="O1412" s="35"/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  <c r="Z1412" s="35"/>
      <c r="AA1412" s="35"/>
      <c r="AB1412" s="35"/>
      <c r="AC1412" s="35"/>
      <c r="AD1412" s="35"/>
      <c r="AE1412" s="35"/>
      <c r="AF1412" s="35"/>
      <c r="AG1412" s="35"/>
      <c r="AH1412" s="35"/>
      <c r="AI1412" s="35"/>
      <c r="AJ1412" s="35"/>
      <c r="AK1412" s="35"/>
      <c r="AL1412" s="35"/>
      <c r="AM1412" s="35"/>
      <c r="AN1412" s="35"/>
      <c r="AO1412" s="35"/>
      <c r="AP1412" s="35"/>
    </row>
    <row r="1413" spans="1:42" ht="17.25" customHeight="1" x14ac:dyDescent="0.25">
      <c r="A1413" s="60">
        <v>2016</v>
      </c>
      <c r="B1413" s="61" t="s">
        <v>66</v>
      </c>
      <c r="C1413" s="61" t="s">
        <v>41</v>
      </c>
      <c r="D1413" s="61" t="s">
        <v>43</v>
      </c>
      <c r="E1413" s="61" t="s">
        <v>69</v>
      </c>
      <c r="F1413" s="61" t="s">
        <v>71</v>
      </c>
      <c r="G1413" s="62">
        <v>1313722783</v>
      </c>
      <c r="H1413" s="61" t="s">
        <v>68</v>
      </c>
      <c r="I1413" s="63" t="str">
        <f t="shared" si="133"/>
        <v>Rest of Middle East-OTA</v>
      </c>
      <c r="J1413" s="47"/>
      <c r="K1413" s="54"/>
      <c r="L1413" s="35"/>
      <c r="M1413" s="35"/>
      <c r="N1413" s="35"/>
      <c r="O1413" s="35"/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  <c r="Z1413" s="35"/>
      <c r="AA1413" s="35"/>
      <c r="AB1413" s="35"/>
      <c r="AC1413" s="35"/>
      <c r="AD1413" s="35"/>
      <c r="AE1413" s="35"/>
      <c r="AF1413" s="35"/>
      <c r="AG1413" s="35"/>
      <c r="AH1413" s="35"/>
      <c r="AI1413" s="35"/>
      <c r="AJ1413" s="35"/>
      <c r="AK1413" s="35"/>
      <c r="AL1413" s="35"/>
      <c r="AM1413" s="35"/>
      <c r="AN1413" s="35"/>
      <c r="AO1413" s="35"/>
      <c r="AP1413" s="35"/>
    </row>
    <row r="1414" spans="1:42" ht="17.25" customHeight="1" x14ac:dyDescent="0.25">
      <c r="A1414" s="55">
        <v>2016</v>
      </c>
      <c r="B1414" s="56" t="s">
        <v>66</v>
      </c>
      <c r="C1414" s="56" t="s">
        <v>17</v>
      </c>
      <c r="D1414" s="56" t="s">
        <v>23</v>
      </c>
      <c r="E1414" s="56" t="s">
        <v>67</v>
      </c>
      <c r="F1414" s="56" t="s">
        <v>67</v>
      </c>
      <c r="G1414" s="57">
        <v>1861060634</v>
      </c>
      <c r="H1414" s="56" t="s">
        <v>68</v>
      </c>
      <c r="I1414" s="58" t="str">
        <f t="shared" si="133"/>
        <v>Romania-Offline</v>
      </c>
      <c r="J1414" s="40"/>
      <c r="K1414" s="59"/>
      <c r="L1414" s="35"/>
      <c r="M1414" s="35"/>
      <c r="N1414" s="35"/>
      <c r="O1414" s="35"/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  <c r="AA1414" s="35"/>
      <c r="AB1414" s="35"/>
      <c r="AC1414" s="35"/>
      <c r="AD1414" s="35"/>
      <c r="AE1414" s="35"/>
      <c r="AF1414" s="35"/>
      <c r="AG1414" s="35"/>
      <c r="AH1414" s="35"/>
      <c r="AI1414" s="35"/>
      <c r="AJ1414" s="35"/>
      <c r="AK1414" s="35"/>
      <c r="AL1414" s="35"/>
      <c r="AM1414" s="35"/>
      <c r="AN1414" s="35"/>
      <c r="AO1414" s="35"/>
      <c r="AP1414" s="35"/>
    </row>
    <row r="1415" spans="1:42" ht="17.25" customHeight="1" x14ac:dyDescent="0.25">
      <c r="A1415" s="60">
        <v>2016</v>
      </c>
      <c r="B1415" s="61" t="s">
        <v>66</v>
      </c>
      <c r="C1415" s="61" t="s">
        <v>17</v>
      </c>
      <c r="D1415" s="61" t="s">
        <v>23</v>
      </c>
      <c r="E1415" s="61" t="s">
        <v>69</v>
      </c>
      <c r="F1415" s="61" t="s">
        <v>70</v>
      </c>
      <c r="G1415" s="62">
        <v>569087818</v>
      </c>
      <c r="H1415" s="61" t="s">
        <v>68</v>
      </c>
      <c r="I1415" s="63" t="str">
        <f t="shared" si="133"/>
        <v>Romania-Online Supplier-Direct</v>
      </c>
      <c r="J1415" s="47"/>
      <c r="K1415" s="54"/>
      <c r="L1415" s="35"/>
      <c r="M1415" s="35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  <c r="Z1415" s="35"/>
      <c r="AA1415" s="35"/>
      <c r="AB1415" s="35"/>
      <c r="AC1415" s="35"/>
      <c r="AD1415" s="35"/>
      <c r="AE1415" s="35"/>
      <c r="AF1415" s="35"/>
      <c r="AG1415" s="35"/>
      <c r="AH1415" s="35"/>
      <c r="AI1415" s="35"/>
      <c r="AJ1415" s="35"/>
      <c r="AK1415" s="35"/>
      <c r="AL1415" s="35"/>
      <c r="AM1415" s="35"/>
      <c r="AN1415" s="35"/>
      <c r="AO1415" s="35"/>
      <c r="AP1415" s="35"/>
    </row>
    <row r="1416" spans="1:42" ht="17.25" customHeight="1" x14ac:dyDescent="0.25">
      <c r="A1416" s="55">
        <v>2016</v>
      </c>
      <c r="B1416" s="56" t="s">
        <v>66</v>
      </c>
      <c r="C1416" s="56" t="s">
        <v>17</v>
      </c>
      <c r="D1416" s="56" t="s">
        <v>23</v>
      </c>
      <c r="E1416" s="56" t="s">
        <v>69</v>
      </c>
      <c r="F1416" s="56" t="s">
        <v>71</v>
      </c>
      <c r="G1416" s="57">
        <v>424767712</v>
      </c>
      <c r="H1416" s="56" t="s">
        <v>68</v>
      </c>
      <c r="I1416" s="58" t="str">
        <f t="shared" si="133"/>
        <v>Romania-OTA</v>
      </c>
      <c r="J1416" s="40"/>
      <c r="K1416" s="59"/>
      <c r="L1416" s="35"/>
      <c r="M1416" s="35"/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  <c r="Z1416" s="35"/>
      <c r="AA1416" s="35"/>
      <c r="AB1416" s="35"/>
      <c r="AC1416" s="35"/>
      <c r="AD1416" s="35"/>
      <c r="AE1416" s="35"/>
      <c r="AF1416" s="35"/>
      <c r="AG1416" s="35"/>
      <c r="AH1416" s="35"/>
      <c r="AI1416" s="35"/>
      <c r="AJ1416" s="35"/>
      <c r="AK1416" s="35"/>
      <c r="AL1416" s="35"/>
      <c r="AM1416" s="35"/>
      <c r="AN1416" s="35"/>
      <c r="AO1416" s="35"/>
      <c r="AP1416" s="35"/>
    </row>
    <row r="1417" spans="1:42" ht="17.25" customHeight="1" x14ac:dyDescent="0.25">
      <c r="A1417" s="60">
        <v>2016</v>
      </c>
      <c r="B1417" s="61" t="s">
        <v>66</v>
      </c>
      <c r="C1417" s="61" t="s">
        <v>17</v>
      </c>
      <c r="D1417" s="61" t="s">
        <v>24</v>
      </c>
      <c r="E1417" s="61" t="s">
        <v>67</v>
      </c>
      <c r="F1417" s="61" t="s">
        <v>67</v>
      </c>
      <c r="G1417" s="62">
        <v>17261896915</v>
      </c>
      <c r="H1417" s="61" t="s">
        <v>68</v>
      </c>
      <c r="I1417" s="63" t="str">
        <f t="shared" si="133"/>
        <v>Russia-Offline</v>
      </c>
      <c r="J1417" s="47"/>
      <c r="K1417" s="54"/>
      <c r="L1417" s="35"/>
      <c r="M1417" s="35"/>
      <c r="N1417" s="35"/>
      <c r="O1417" s="35"/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  <c r="AA1417" s="35"/>
      <c r="AB1417" s="35"/>
      <c r="AC1417" s="35"/>
      <c r="AD1417" s="35"/>
      <c r="AE1417" s="35"/>
      <c r="AF1417" s="35"/>
      <c r="AG1417" s="35"/>
      <c r="AH1417" s="35"/>
      <c r="AI1417" s="35"/>
      <c r="AJ1417" s="35"/>
      <c r="AK1417" s="35"/>
      <c r="AL1417" s="35"/>
      <c r="AM1417" s="35"/>
      <c r="AN1417" s="35"/>
      <c r="AO1417" s="35"/>
      <c r="AP1417" s="35"/>
    </row>
    <row r="1418" spans="1:42" ht="17.25" customHeight="1" x14ac:dyDescent="0.25">
      <c r="A1418" s="55">
        <v>2016</v>
      </c>
      <c r="B1418" s="56" t="s">
        <v>66</v>
      </c>
      <c r="C1418" s="56" t="s">
        <v>17</v>
      </c>
      <c r="D1418" s="56" t="s">
        <v>24</v>
      </c>
      <c r="E1418" s="56" t="s">
        <v>69</v>
      </c>
      <c r="F1418" s="56" t="s">
        <v>70</v>
      </c>
      <c r="G1418" s="57">
        <v>5116443014</v>
      </c>
      <c r="H1418" s="56" t="s">
        <v>68</v>
      </c>
      <c r="I1418" s="58" t="str">
        <f t="shared" si="133"/>
        <v>Russia-Online Supplier-Direct</v>
      </c>
      <c r="J1418" s="40"/>
      <c r="K1418" s="59"/>
      <c r="L1418" s="35"/>
      <c r="M1418" s="35"/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  <c r="AA1418" s="35"/>
      <c r="AB1418" s="35"/>
      <c r="AC1418" s="35"/>
      <c r="AD1418" s="35"/>
      <c r="AE1418" s="35"/>
      <c r="AF1418" s="35"/>
      <c r="AG1418" s="35"/>
      <c r="AH1418" s="35"/>
      <c r="AI1418" s="35"/>
      <c r="AJ1418" s="35"/>
      <c r="AK1418" s="35"/>
      <c r="AL1418" s="35"/>
      <c r="AM1418" s="35"/>
      <c r="AN1418" s="35"/>
      <c r="AO1418" s="35"/>
      <c r="AP1418" s="35"/>
    </row>
    <row r="1419" spans="1:42" ht="17.25" customHeight="1" x14ac:dyDescent="0.25">
      <c r="A1419" s="60">
        <v>2016</v>
      </c>
      <c r="B1419" s="61" t="s">
        <v>66</v>
      </c>
      <c r="C1419" s="61" t="s">
        <v>17</v>
      </c>
      <c r="D1419" s="61" t="s">
        <v>24</v>
      </c>
      <c r="E1419" s="61" t="s">
        <v>69</v>
      </c>
      <c r="F1419" s="61" t="s">
        <v>71</v>
      </c>
      <c r="G1419" s="62">
        <v>4094949814</v>
      </c>
      <c r="H1419" s="61" t="s">
        <v>68</v>
      </c>
      <c r="I1419" s="63" t="str">
        <f t="shared" si="133"/>
        <v>Russia-OTA</v>
      </c>
      <c r="J1419" s="47"/>
      <c r="K1419" s="54"/>
      <c r="L1419" s="35"/>
      <c r="M1419" s="35"/>
      <c r="N1419" s="35"/>
      <c r="O1419" s="35"/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  <c r="Z1419" s="35"/>
      <c r="AA1419" s="35"/>
      <c r="AB1419" s="35"/>
      <c r="AC1419" s="35"/>
      <c r="AD1419" s="35"/>
      <c r="AE1419" s="35"/>
      <c r="AF1419" s="35"/>
      <c r="AG1419" s="35"/>
      <c r="AH1419" s="35"/>
      <c r="AI1419" s="35"/>
      <c r="AJ1419" s="35"/>
      <c r="AK1419" s="35"/>
      <c r="AL1419" s="35"/>
      <c r="AM1419" s="35"/>
      <c r="AN1419" s="35"/>
      <c r="AO1419" s="35"/>
      <c r="AP1419" s="35"/>
    </row>
    <row r="1420" spans="1:42" ht="17.25" customHeight="1" x14ac:dyDescent="0.25">
      <c r="A1420" s="55">
        <v>2016</v>
      </c>
      <c r="B1420" s="56" t="s">
        <v>66</v>
      </c>
      <c r="C1420" s="56" t="s">
        <v>41</v>
      </c>
      <c r="D1420" s="56" t="s">
        <v>44</v>
      </c>
      <c r="E1420" s="56" t="s">
        <v>67</v>
      </c>
      <c r="F1420" s="56" t="s">
        <v>67</v>
      </c>
      <c r="G1420" s="57">
        <v>9214405800</v>
      </c>
      <c r="H1420" s="56" t="s">
        <v>68</v>
      </c>
      <c r="I1420" s="58" t="str">
        <f t="shared" si="133"/>
        <v>Saudi Arabia-Offline</v>
      </c>
      <c r="J1420" s="40"/>
      <c r="K1420" s="59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  <c r="AA1420" s="35"/>
      <c r="AB1420" s="35"/>
      <c r="AC1420" s="35"/>
      <c r="AD1420" s="35"/>
      <c r="AE1420" s="35"/>
      <c r="AF1420" s="35"/>
      <c r="AG1420" s="35"/>
      <c r="AH1420" s="35"/>
      <c r="AI1420" s="35"/>
      <c r="AJ1420" s="35"/>
      <c r="AK1420" s="35"/>
      <c r="AL1420" s="35"/>
      <c r="AM1420" s="35"/>
      <c r="AN1420" s="35"/>
      <c r="AO1420" s="35"/>
      <c r="AP1420" s="35"/>
    </row>
    <row r="1421" spans="1:42" ht="17.25" customHeight="1" x14ac:dyDescent="0.25">
      <c r="A1421" s="60">
        <v>2016</v>
      </c>
      <c r="B1421" s="61" t="s">
        <v>66</v>
      </c>
      <c r="C1421" s="61" t="s">
        <v>41</v>
      </c>
      <c r="D1421" s="61" t="s">
        <v>44</v>
      </c>
      <c r="E1421" s="61" t="s">
        <v>69</v>
      </c>
      <c r="F1421" s="61" t="s">
        <v>70</v>
      </c>
      <c r="G1421" s="62">
        <v>1591041691</v>
      </c>
      <c r="H1421" s="61" t="s">
        <v>68</v>
      </c>
      <c r="I1421" s="63" t="str">
        <f t="shared" si="133"/>
        <v>Saudi Arabia-Online Supplier-Direct</v>
      </c>
      <c r="J1421" s="47"/>
      <c r="K1421" s="54"/>
      <c r="L1421" s="35"/>
      <c r="M1421" s="35"/>
      <c r="N1421" s="35"/>
      <c r="O1421" s="35"/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  <c r="AA1421" s="35"/>
      <c r="AB1421" s="35"/>
      <c r="AC1421" s="35"/>
      <c r="AD1421" s="35"/>
      <c r="AE1421" s="35"/>
      <c r="AF1421" s="35"/>
      <c r="AG1421" s="35"/>
      <c r="AH1421" s="35"/>
      <c r="AI1421" s="35"/>
      <c r="AJ1421" s="35"/>
      <c r="AK1421" s="35"/>
      <c r="AL1421" s="35"/>
      <c r="AM1421" s="35"/>
      <c r="AN1421" s="35"/>
      <c r="AO1421" s="35"/>
      <c r="AP1421" s="35"/>
    </row>
    <row r="1422" spans="1:42" ht="17.25" customHeight="1" x14ac:dyDescent="0.25">
      <c r="A1422" s="55">
        <v>2016</v>
      </c>
      <c r="B1422" s="56" t="s">
        <v>66</v>
      </c>
      <c r="C1422" s="56" t="s">
        <v>41</v>
      </c>
      <c r="D1422" s="56" t="s">
        <v>44</v>
      </c>
      <c r="E1422" s="56" t="s">
        <v>69</v>
      </c>
      <c r="F1422" s="56" t="s">
        <v>71</v>
      </c>
      <c r="G1422" s="57">
        <v>1597613340</v>
      </c>
      <c r="H1422" s="56" t="s">
        <v>68</v>
      </c>
      <c r="I1422" s="58" t="str">
        <f t="shared" si="133"/>
        <v>Saudi Arabia-OTA</v>
      </c>
      <c r="J1422" s="40"/>
      <c r="K1422" s="59"/>
      <c r="L1422" s="35"/>
      <c r="M1422" s="35"/>
      <c r="N1422" s="35"/>
      <c r="O1422" s="35"/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  <c r="Z1422" s="35"/>
      <c r="AA1422" s="35"/>
      <c r="AB1422" s="35"/>
      <c r="AC1422" s="35"/>
      <c r="AD1422" s="35"/>
      <c r="AE1422" s="35"/>
      <c r="AF1422" s="35"/>
      <c r="AG1422" s="35"/>
      <c r="AH1422" s="35"/>
      <c r="AI1422" s="35"/>
      <c r="AJ1422" s="35"/>
      <c r="AK1422" s="35"/>
      <c r="AL1422" s="35"/>
      <c r="AM1422" s="35"/>
      <c r="AN1422" s="35"/>
      <c r="AO1422" s="35"/>
      <c r="AP1422" s="35"/>
    </row>
    <row r="1423" spans="1:42" ht="17.25" customHeight="1" x14ac:dyDescent="0.25">
      <c r="A1423" s="60">
        <v>2016</v>
      </c>
      <c r="B1423" s="61" t="s">
        <v>66</v>
      </c>
      <c r="C1423" s="61" t="s">
        <v>27</v>
      </c>
      <c r="D1423" s="61" t="s">
        <v>31</v>
      </c>
      <c r="E1423" s="61" t="s">
        <v>67</v>
      </c>
      <c r="F1423" s="61" t="s">
        <v>67</v>
      </c>
      <c r="G1423" s="62">
        <v>10098312379</v>
      </c>
      <c r="H1423" s="61" t="s">
        <v>68</v>
      </c>
      <c r="I1423" s="63" t="str">
        <f t="shared" si="133"/>
        <v>Scandinavia-Offline</v>
      </c>
      <c r="J1423" s="47"/>
      <c r="K1423" s="54"/>
      <c r="L1423" s="35"/>
      <c r="M1423" s="35"/>
      <c r="N1423" s="35"/>
      <c r="O1423" s="35"/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  <c r="Z1423" s="35"/>
      <c r="AA1423" s="35"/>
      <c r="AB1423" s="35"/>
      <c r="AC1423" s="35"/>
      <c r="AD1423" s="35"/>
      <c r="AE1423" s="35"/>
      <c r="AF1423" s="35"/>
      <c r="AG1423" s="35"/>
      <c r="AH1423" s="35"/>
      <c r="AI1423" s="35"/>
      <c r="AJ1423" s="35"/>
      <c r="AK1423" s="35"/>
      <c r="AL1423" s="35"/>
      <c r="AM1423" s="35"/>
      <c r="AN1423" s="35"/>
      <c r="AO1423" s="35"/>
      <c r="AP1423" s="35"/>
    </row>
    <row r="1424" spans="1:42" ht="17.25" customHeight="1" x14ac:dyDescent="0.25">
      <c r="A1424" s="55">
        <v>2016</v>
      </c>
      <c r="B1424" s="56" t="s">
        <v>66</v>
      </c>
      <c r="C1424" s="56" t="s">
        <v>27</v>
      </c>
      <c r="D1424" s="56" t="s">
        <v>31</v>
      </c>
      <c r="E1424" s="56" t="s">
        <v>69</v>
      </c>
      <c r="F1424" s="56" t="s">
        <v>70</v>
      </c>
      <c r="G1424" s="57">
        <v>7162766781</v>
      </c>
      <c r="H1424" s="56" t="s">
        <v>68</v>
      </c>
      <c r="I1424" s="58" t="str">
        <f t="shared" si="133"/>
        <v>Scandinavia-Online Supplier-Direct</v>
      </c>
      <c r="J1424" s="40"/>
      <c r="K1424" s="59"/>
      <c r="L1424" s="35"/>
      <c r="M1424" s="35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  <c r="Z1424" s="35"/>
      <c r="AA1424" s="35"/>
      <c r="AB1424" s="35"/>
      <c r="AC1424" s="35"/>
      <c r="AD1424" s="35"/>
      <c r="AE1424" s="35"/>
      <c r="AF1424" s="35"/>
      <c r="AG1424" s="35"/>
      <c r="AH1424" s="35"/>
      <c r="AI1424" s="35"/>
      <c r="AJ1424" s="35"/>
      <c r="AK1424" s="35"/>
      <c r="AL1424" s="35"/>
      <c r="AM1424" s="35"/>
      <c r="AN1424" s="35"/>
      <c r="AO1424" s="35"/>
      <c r="AP1424" s="35"/>
    </row>
    <row r="1425" spans="1:42" ht="17.25" customHeight="1" x14ac:dyDescent="0.25">
      <c r="A1425" s="60">
        <v>2016</v>
      </c>
      <c r="B1425" s="61" t="s">
        <v>66</v>
      </c>
      <c r="C1425" s="61" t="s">
        <v>27</v>
      </c>
      <c r="D1425" s="61" t="s">
        <v>31</v>
      </c>
      <c r="E1425" s="61" t="s">
        <v>69</v>
      </c>
      <c r="F1425" s="61" t="s">
        <v>71</v>
      </c>
      <c r="G1425" s="62">
        <v>4031554292</v>
      </c>
      <c r="H1425" s="61" t="s">
        <v>68</v>
      </c>
      <c r="I1425" s="63" t="str">
        <f t="shared" si="133"/>
        <v>Scandinavia-OTA</v>
      </c>
      <c r="J1425" s="47"/>
      <c r="K1425" s="54"/>
      <c r="L1425" s="35"/>
      <c r="M1425" s="35"/>
      <c r="N1425" s="35"/>
      <c r="O1425" s="35"/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  <c r="AB1425" s="35"/>
      <c r="AC1425" s="35"/>
      <c r="AD1425" s="35"/>
      <c r="AE1425" s="35"/>
      <c r="AF1425" s="35"/>
      <c r="AG1425" s="35"/>
      <c r="AH1425" s="35"/>
      <c r="AI1425" s="35"/>
      <c r="AJ1425" s="35"/>
      <c r="AK1425" s="35"/>
      <c r="AL1425" s="35"/>
      <c r="AM1425" s="35"/>
      <c r="AN1425" s="35"/>
      <c r="AO1425" s="35"/>
      <c r="AP1425" s="35"/>
    </row>
    <row r="1426" spans="1:42" ht="17.25" customHeight="1" x14ac:dyDescent="0.25">
      <c r="A1426" s="55">
        <v>2016</v>
      </c>
      <c r="B1426" s="56" t="s">
        <v>66</v>
      </c>
      <c r="C1426" s="56" t="s">
        <v>4</v>
      </c>
      <c r="D1426" s="56" t="s">
        <v>12</v>
      </c>
      <c r="E1426" s="56" t="s">
        <v>67</v>
      </c>
      <c r="F1426" s="56" t="s">
        <v>67</v>
      </c>
      <c r="G1426" s="57">
        <v>7064411050</v>
      </c>
      <c r="H1426" s="56" t="s">
        <v>68</v>
      </c>
      <c r="I1426" s="58" t="str">
        <f t="shared" si="133"/>
        <v>Singapore-Offline</v>
      </c>
      <c r="J1426" s="40"/>
      <c r="K1426" s="59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  <c r="AA1426" s="35"/>
      <c r="AB1426" s="35"/>
      <c r="AC1426" s="35"/>
      <c r="AD1426" s="35"/>
      <c r="AE1426" s="35"/>
      <c r="AF1426" s="35"/>
      <c r="AG1426" s="35"/>
      <c r="AH1426" s="35"/>
      <c r="AI1426" s="35"/>
      <c r="AJ1426" s="35"/>
      <c r="AK1426" s="35"/>
      <c r="AL1426" s="35"/>
      <c r="AM1426" s="35"/>
      <c r="AN1426" s="35"/>
      <c r="AO1426" s="35"/>
      <c r="AP1426" s="35"/>
    </row>
    <row r="1427" spans="1:42" ht="17.25" customHeight="1" x14ac:dyDescent="0.25">
      <c r="A1427" s="60">
        <v>2016</v>
      </c>
      <c r="B1427" s="61" t="s">
        <v>66</v>
      </c>
      <c r="C1427" s="61" t="s">
        <v>4</v>
      </c>
      <c r="D1427" s="61" t="s">
        <v>12</v>
      </c>
      <c r="E1427" s="61" t="s">
        <v>69</v>
      </c>
      <c r="F1427" s="61" t="s">
        <v>70</v>
      </c>
      <c r="G1427" s="62">
        <v>3028301587</v>
      </c>
      <c r="H1427" s="61" t="s">
        <v>68</v>
      </c>
      <c r="I1427" s="63" t="str">
        <f t="shared" si="133"/>
        <v>Singapore-Online Supplier-Direct</v>
      </c>
      <c r="J1427" s="47"/>
      <c r="K1427" s="54"/>
      <c r="L1427" s="35"/>
      <c r="M1427" s="35"/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  <c r="AB1427" s="35"/>
      <c r="AC1427" s="35"/>
      <c r="AD1427" s="35"/>
      <c r="AE1427" s="35"/>
      <c r="AF1427" s="35"/>
      <c r="AG1427" s="35"/>
      <c r="AH1427" s="35"/>
      <c r="AI1427" s="35"/>
      <c r="AJ1427" s="35"/>
      <c r="AK1427" s="35"/>
      <c r="AL1427" s="35"/>
      <c r="AM1427" s="35"/>
      <c r="AN1427" s="35"/>
      <c r="AO1427" s="35"/>
      <c r="AP1427" s="35"/>
    </row>
    <row r="1428" spans="1:42" ht="17.25" customHeight="1" x14ac:dyDescent="0.25">
      <c r="A1428" s="55">
        <v>2016</v>
      </c>
      <c r="B1428" s="56" t="s">
        <v>66</v>
      </c>
      <c r="C1428" s="56" t="s">
        <v>4</v>
      </c>
      <c r="D1428" s="56" t="s">
        <v>12</v>
      </c>
      <c r="E1428" s="56" t="s">
        <v>69</v>
      </c>
      <c r="F1428" s="56" t="s">
        <v>71</v>
      </c>
      <c r="G1428" s="57">
        <v>1161651187</v>
      </c>
      <c r="H1428" s="56" t="s">
        <v>68</v>
      </c>
      <c r="I1428" s="58" t="str">
        <f t="shared" si="133"/>
        <v>Singapore-OTA</v>
      </c>
      <c r="J1428" s="40"/>
      <c r="K1428" s="59"/>
      <c r="L1428" s="35"/>
      <c r="M1428" s="35"/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  <c r="Z1428" s="35"/>
      <c r="AA1428" s="35"/>
      <c r="AB1428" s="35"/>
      <c r="AC1428" s="35"/>
      <c r="AD1428" s="35"/>
      <c r="AE1428" s="35"/>
      <c r="AF1428" s="35"/>
      <c r="AG1428" s="35"/>
      <c r="AH1428" s="35"/>
      <c r="AI1428" s="35"/>
      <c r="AJ1428" s="35"/>
      <c r="AK1428" s="35"/>
      <c r="AL1428" s="35"/>
      <c r="AM1428" s="35"/>
      <c r="AN1428" s="35"/>
      <c r="AO1428" s="35"/>
      <c r="AP1428" s="35"/>
    </row>
    <row r="1429" spans="1:42" ht="17.25" customHeight="1" x14ac:dyDescent="0.25">
      <c r="A1429" s="60">
        <v>2016</v>
      </c>
      <c r="B1429" s="61" t="s">
        <v>66</v>
      </c>
      <c r="C1429" s="61" t="s">
        <v>4</v>
      </c>
      <c r="D1429" s="61" t="s">
        <v>13</v>
      </c>
      <c r="E1429" s="61" t="s">
        <v>67</v>
      </c>
      <c r="F1429" s="61" t="s">
        <v>67</v>
      </c>
      <c r="G1429" s="62">
        <v>9766619137</v>
      </c>
      <c r="H1429" s="61" t="s">
        <v>68</v>
      </c>
      <c r="I1429" s="63" t="str">
        <f t="shared" si="133"/>
        <v>South Korea-Offline</v>
      </c>
      <c r="J1429" s="47"/>
      <c r="K1429" s="54"/>
      <c r="L1429" s="35"/>
      <c r="M1429" s="35"/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  <c r="Z1429" s="35"/>
      <c r="AA1429" s="35"/>
      <c r="AB1429" s="35"/>
      <c r="AC1429" s="35"/>
      <c r="AD1429" s="35"/>
      <c r="AE1429" s="35"/>
      <c r="AF1429" s="35"/>
      <c r="AG1429" s="35"/>
      <c r="AH1429" s="35"/>
      <c r="AI1429" s="35"/>
      <c r="AJ1429" s="35"/>
      <c r="AK1429" s="35"/>
      <c r="AL1429" s="35"/>
      <c r="AM1429" s="35"/>
      <c r="AN1429" s="35"/>
      <c r="AO1429" s="35"/>
      <c r="AP1429" s="35"/>
    </row>
    <row r="1430" spans="1:42" ht="17.25" customHeight="1" x14ac:dyDescent="0.25">
      <c r="A1430" s="55">
        <v>2016</v>
      </c>
      <c r="B1430" s="56" t="s">
        <v>66</v>
      </c>
      <c r="C1430" s="56" t="s">
        <v>4</v>
      </c>
      <c r="D1430" s="56" t="s">
        <v>13</v>
      </c>
      <c r="E1430" s="56" t="s">
        <v>69</v>
      </c>
      <c r="F1430" s="56" t="s">
        <v>70</v>
      </c>
      <c r="G1430" s="57">
        <v>3800338302</v>
      </c>
      <c r="H1430" s="56" t="s">
        <v>68</v>
      </c>
      <c r="I1430" s="58" t="str">
        <f t="shared" si="133"/>
        <v>South Korea-Online Supplier-Direct</v>
      </c>
      <c r="J1430" s="40"/>
      <c r="K1430" s="59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  <c r="AG1430" s="35"/>
      <c r="AH1430" s="35"/>
      <c r="AI1430" s="35"/>
      <c r="AJ1430" s="35"/>
      <c r="AK1430" s="35"/>
      <c r="AL1430" s="35"/>
      <c r="AM1430" s="35"/>
      <c r="AN1430" s="35"/>
      <c r="AO1430" s="35"/>
      <c r="AP1430" s="35"/>
    </row>
    <row r="1431" spans="1:42" ht="17.25" customHeight="1" x14ac:dyDescent="0.25">
      <c r="A1431" s="60">
        <v>2016</v>
      </c>
      <c r="B1431" s="61" t="s">
        <v>66</v>
      </c>
      <c r="C1431" s="61" t="s">
        <v>4</v>
      </c>
      <c r="D1431" s="61" t="s">
        <v>13</v>
      </c>
      <c r="E1431" s="61" t="s">
        <v>69</v>
      </c>
      <c r="F1431" s="61" t="s">
        <v>71</v>
      </c>
      <c r="G1431" s="62">
        <v>1233932535</v>
      </c>
      <c r="H1431" s="61" t="s">
        <v>68</v>
      </c>
      <c r="I1431" s="63" t="str">
        <f t="shared" si="133"/>
        <v>South Korea-OTA</v>
      </c>
      <c r="J1431" s="47"/>
      <c r="K1431" s="54"/>
      <c r="L1431" s="35"/>
      <c r="M1431" s="35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  <c r="Z1431" s="35"/>
      <c r="AA1431" s="35"/>
      <c r="AB1431" s="35"/>
      <c r="AC1431" s="35"/>
      <c r="AD1431" s="35"/>
      <c r="AE1431" s="35"/>
      <c r="AF1431" s="35"/>
      <c r="AG1431" s="35"/>
      <c r="AH1431" s="35"/>
      <c r="AI1431" s="35"/>
      <c r="AJ1431" s="35"/>
      <c r="AK1431" s="35"/>
      <c r="AL1431" s="35"/>
      <c r="AM1431" s="35"/>
      <c r="AN1431" s="35"/>
      <c r="AO1431" s="35"/>
      <c r="AP1431" s="35"/>
    </row>
    <row r="1432" spans="1:42" ht="17.25" customHeight="1" x14ac:dyDescent="0.25">
      <c r="A1432" s="55">
        <v>2016</v>
      </c>
      <c r="B1432" s="56" t="s">
        <v>66</v>
      </c>
      <c r="C1432" s="56" t="s">
        <v>27</v>
      </c>
      <c r="D1432" s="56" t="s">
        <v>32</v>
      </c>
      <c r="E1432" s="56" t="s">
        <v>67</v>
      </c>
      <c r="F1432" s="56" t="s">
        <v>67</v>
      </c>
      <c r="G1432" s="57">
        <v>15470461443</v>
      </c>
      <c r="H1432" s="56" t="s">
        <v>68</v>
      </c>
      <c r="I1432" s="58" t="str">
        <f t="shared" si="133"/>
        <v>Spain-Offline</v>
      </c>
      <c r="J1432" s="40"/>
      <c r="K1432" s="59"/>
      <c r="L1432" s="35"/>
      <c r="M1432" s="35"/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  <c r="Z1432" s="35"/>
      <c r="AA1432" s="35"/>
      <c r="AB1432" s="35"/>
      <c r="AC1432" s="35"/>
      <c r="AD1432" s="35"/>
      <c r="AE1432" s="35"/>
      <c r="AF1432" s="35"/>
      <c r="AG1432" s="35"/>
      <c r="AH1432" s="35"/>
      <c r="AI1432" s="35"/>
      <c r="AJ1432" s="35"/>
      <c r="AK1432" s="35"/>
      <c r="AL1432" s="35"/>
      <c r="AM1432" s="35"/>
      <c r="AN1432" s="35"/>
      <c r="AO1432" s="35"/>
      <c r="AP1432" s="35"/>
    </row>
    <row r="1433" spans="1:42" ht="17.25" customHeight="1" x14ac:dyDescent="0.25">
      <c r="A1433" s="60">
        <v>2016</v>
      </c>
      <c r="B1433" s="61" t="s">
        <v>66</v>
      </c>
      <c r="C1433" s="61" t="s">
        <v>27</v>
      </c>
      <c r="D1433" s="61" t="s">
        <v>32</v>
      </c>
      <c r="E1433" s="61" t="s">
        <v>69</v>
      </c>
      <c r="F1433" s="61" t="s">
        <v>70</v>
      </c>
      <c r="G1433" s="62">
        <v>5431643496</v>
      </c>
      <c r="H1433" s="61" t="s">
        <v>68</v>
      </c>
      <c r="I1433" s="63" t="str">
        <f t="shared" si="133"/>
        <v>Spain-Online Supplier-Direct</v>
      </c>
      <c r="J1433" s="47"/>
      <c r="K1433" s="54"/>
      <c r="L1433" s="35"/>
      <c r="M1433" s="35"/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  <c r="Z1433" s="35"/>
      <c r="AA1433" s="35"/>
      <c r="AB1433" s="35"/>
      <c r="AC1433" s="35"/>
      <c r="AD1433" s="35"/>
      <c r="AE1433" s="35"/>
      <c r="AF1433" s="35"/>
      <c r="AG1433" s="35"/>
      <c r="AH1433" s="35"/>
      <c r="AI1433" s="35"/>
      <c r="AJ1433" s="35"/>
      <c r="AK1433" s="35"/>
      <c r="AL1433" s="35"/>
      <c r="AM1433" s="35"/>
      <c r="AN1433" s="35"/>
      <c r="AO1433" s="35"/>
      <c r="AP1433" s="35"/>
    </row>
    <row r="1434" spans="1:42" ht="17.25" customHeight="1" x14ac:dyDescent="0.25">
      <c r="A1434" s="55">
        <v>2016</v>
      </c>
      <c r="B1434" s="56" t="s">
        <v>66</v>
      </c>
      <c r="C1434" s="56" t="s">
        <v>27</v>
      </c>
      <c r="D1434" s="56" t="s">
        <v>32</v>
      </c>
      <c r="E1434" s="56" t="s">
        <v>69</v>
      </c>
      <c r="F1434" s="56" t="s">
        <v>71</v>
      </c>
      <c r="G1434" s="57">
        <v>5944197468</v>
      </c>
      <c r="H1434" s="56" t="s">
        <v>68</v>
      </c>
      <c r="I1434" s="58" t="str">
        <f t="shared" si="133"/>
        <v>Spain-OTA</v>
      </c>
      <c r="J1434" s="40"/>
      <c r="K1434" s="59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  <c r="AA1434" s="35"/>
      <c r="AB1434" s="35"/>
      <c r="AC1434" s="35"/>
      <c r="AD1434" s="35"/>
      <c r="AE1434" s="35"/>
      <c r="AF1434" s="35"/>
      <c r="AG1434" s="35"/>
      <c r="AH1434" s="35"/>
      <c r="AI1434" s="35"/>
      <c r="AJ1434" s="35"/>
      <c r="AK1434" s="35"/>
      <c r="AL1434" s="35"/>
      <c r="AM1434" s="35"/>
      <c r="AN1434" s="35"/>
      <c r="AO1434" s="35"/>
      <c r="AP1434" s="35"/>
    </row>
    <row r="1435" spans="1:42" ht="17.25" customHeight="1" x14ac:dyDescent="0.25">
      <c r="A1435" s="60">
        <v>2016</v>
      </c>
      <c r="B1435" s="61" t="s">
        <v>66</v>
      </c>
      <c r="C1435" s="61" t="s">
        <v>4</v>
      </c>
      <c r="D1435" s="61" t="s">
        <v>14</v>
      </c>
      <c r="E1435" s="61" t="s">
        <v>67</v>
      </c>
      <c r="F1435" s="61" t="s">
        <v>67</v>
      </c>
      <c r="G1435" s="62">
        <v>7405957430</v>
      </c>
      <c r="H1435" s="61" t="s">
        <v>68</v>
      </c>
      <c r="I1435" s="63" t="str">
        <f t="shared" si="133"/>
        <v>Taiwan-Offline</v>
      </c>
      <c r="J1435" s="47"/>
      <c r="K1435" s="54"/>
      <c r="L1435" s="35"/>
      <c r="M1435" s="35"/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  <c r="Z1435" s="35"/>
      <c r="AA1435" s="35"/>
      <c r="AB1435" s="35"/>
      <c r="AC1435" s="35"/>
      <c r="AD1435" s="35"/>
      <c r="AE1435" s="35"/>
      <c r="AF1435" s="35"/>
      <c r="AG1435" s="35"/>
      <c r="AH1435" s="35"/>
      <c r="AI1435" s="35"/>
      <c r="AJ1435" s="35"/>
      <c r="AK1435" s="35"/>
      <c r="AL1435" s="35"/>
      <c r="AM1435" s="35"/>
      <c r="AN1435" s="35"/>
      <c r="AO1435" s="35"/>
      <c r="AP1435" s="35"/>
    </row>
    <row r="1436" spans="1:42" ht="17.25" customHeight="1" x14ac:dyDescent="0.25">
      <c r="A1436" s="55">
        <v>2016</v>
      </c>
      <c r="B1436" s="56" t="s">
        <v>66</v>
      </c>
      <c r="C1436" s="56" t="s">
        <v>4</v>
      </c>
      <c r="D1436" s="56" t="s">
        <v>14</v>
      </c>
      <c r="E1436" s="56" t="s">
        <v>69</v>
      </c>
      <c r="F1436" s="56" t="s">
        <v>70</v>
      </c>
      <c r="G1436" s="57">
        <v>1131823548</v>
      </c>
      <c r="H1436" s="56" t="s">
        <v>68</v>
      </c>
      <c r="I1436" s="58" t="str">
        <f t="shared" si="133"/>
        <v>Taiwan-Online Supplier-Direct</v>
      </c>
      <c r="J1436" s="40"/>
      <c r="K1436" s="59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/>
      <c r="AB1436" s="35"/>
      <c r="AC1436" s="35"/>
      <c r="AD1436" s="35"/>
      <c r="AE1436" s="35"/>
      <c r="AF1436" s="35"/>
      <c r="AG1436" s="35"/>
      <c r="AH1436" s="35"/>
      <c r="AI1436" s="35"/>
      <c r="AJ1436" s="35"/>
      <c r="AK1436" s="35"/>
      <c r="AL1436" s="35"/>
      <c r="AM1436" s="35"/>
      <c r="AN1436" s="35"/>
      <c r="AO1436" s="35"/>
      <c r="AP1436" s="35"/>
    </row>
    <row r="1437" spans="1:42" ht="17.25" customHeight="1" x14ac:dyDescent="0.25">
      <c r="A1437" s="60">
        <v>2016</v>
      </c>
      <c r="B1437" s="61" t="s">
        <v>66</v>
      </c>
      <c r="C1437" s="61" t="s">
        <v>4</v>
      </c>
      <c r="D1437" s="61" t="s">
        <v>14</v>
      </c>
      <c r="E1437" s="61" t="s">
        <v>69</v>
      </c>
      <c r="F1437" s="61" t="s">
        <v>71</v>
      </c>
      <c r="G1437" s="62">
        <v>555286040</v>
      </c>
      <c r="H1437" s="61" t="s">
        <v>68</v>
      </c>
      <c r="I1437" s="63" t="str">
        <f t="shared" si="133"/>
        <v>Taiwan-OTA</v>
      </c>
      <c r="J1437" s="47"/>
      <c r="K1437" s="54"/>
      <c r="L1437" s="35"/>
      <c r="M1437" s="35"/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  <c r="Z1437" s="35"/>
      <c r="AA1437" s="35"/>
      <c r="AB1437" s="35"/>
      <c r="AC1437" s="35"/>
      <c r="AD1437" s="35"/>
      <c r="AE1437" s="35"/>
      <c r="AF1437" s="35"/>
      <c r="AG1437" s="35"/>
      <c r="AH1437" s="35"/>
      <c r="AI1437" s="35"/>
      <c r="AJ1437" s="35"/>
      <c r="AK1437" s="35"/>
      <c r="AL1437" s="35"/>
      <c r="AM1437" s="35"/>
      <c r="AN1437" s="35"/>
      <c r="AO1437" s="35"/>
      <c r="AP1437" s="35"/>
    </row>
    <row r="1438" spans="1:42" ht="17.25" customHeight="1" x14ac:dyDescent="0.25">
      <c r="A1438" s="55">
        <v>2016</v>
      </c>
      <c r="B1438" s="56" t="s">
        <v>66</v>
      </c>
      <c r="C1438" s="56" t="s">
        <v>4</v>
      </c>
      <c r="D1438" s="56" t="s">
        <v>15</v>
      </c>
      <c r="E1438" s="56" t="s">
        <v>67</v>
      </c>
      <c r="F1438" s="56" t="s">
        <v>67</v>
      </c>
      <c r="G1438" s="57">
        <v>8498553210</v>
      </c>
      <c r="H1438" s="56" t="s">
        <v>68</v>
      </c>
      <c r="I1438" s="58" t="str">
        <f t="shared" si="133"/>
        <v>Thailand-Offline</v>
      </c>
      <c r="J1438" s="40"/>
      <c r="K1438" s="59"/>
      <c r="L1438" s="35"/>
      <c r="M1438" s="35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  <c r="AA1438" s="35"/>
      <c r="AB1438" s="35"/>
      <c r="AC1438" s="35"/>
      <c r="AD1438" s="35"/>
      <c r="AE1438" s="35"/>
      <c r="AF1438" s="35"/>
      <c r="AG1438" s="35"/>
      <c r="AH1438" s="35"/>
      <c r="AI1438" s="35"/>
      <c r="AJ1438" s="35"/>
      <c r="AK1438" s="35"/>
      <c r="AL1438" s="35"/>
      <c r="AM1438" s="35"/>
      <c r="AN1438" s="35"/>
      <c r="AO1438" s="35"/>
      <c r="AP1438" s="35"/>
    </row>
    <row r="1439" spans="1:42" ht="17.25" customHeight="1" x14ac:dyDescent="0.25">
      <c r="A1439" s="60">
        <v>2016</v>
      </c>
      <c r="B1439" s="61" t="s">
        <v>66</v>
      </c>
      <c r="C1439" s="61" t="s">
        <v>4</v>
      </c>
      <c r="D1439" s="61" t="s">
        <v>15</v>
      </c>
      <c r="E1439" s="61" t="s">
        <v>69</v>
      </c>
      <c r="F1439" s="61" t="s">
        <v>70</v>
      </c>
      <c r="G1439" s="62">
        <v>1694214602</v>
      </c>
      <c r="H1439" s="61" t="s">
        <v>68</v>
      </c>
      <c r="I1439" s="63" t="str">
        <f t="shared" si="133"/>
        <v>Thailand-Online Supplier-Direct</v>
      </c>
      <c r="J1439" s="47"/>
      <c r="K1439" s="54"/>
      <c r="L1439" s="35"/>
      <c r="M1439" s="35"/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  <c r="AA1439" s="35"/>
      <c r="AB1439" s="35"/>
      <c r="AC1439" s="35"/>
      <c r="AD1439" s="35"/>
      <c r="AE1439" s="35"/>
      <c r="AF1439" s="35"/>
      <c r="AG1439" s="35"/>
      <c r="AH1439" s="35"/>
      <c r="AI1439" s="35"/>
      <c r="AJ1439" s="35"/>
      <c r="AK1439" s="35"/>
      <c r="AL1439" s="35"/>
      <c r="AM1439" s="35"/>
      <c r="AN1439" s="35"/>
      <c r="AO1439" s="35"/>
      <c r="AP1439" s="35"/>
    </row>
    <row r="1440" spans="1:42" ht="17.25" customHeight="1" x14ac:dyDescent="0.25">
      <c r="A1440" s="55">
        <v>2016</v>
      </c>
      <c r="B1440" s="56" t="s">
        <v>66</v>
      </c>
      <c r="C1440" s="56" t="s">
        <v>4</v>
      </c>
      <c r="D1440" s="56" t="s">
        <v>15</v>
      </c>
      <c r="E1440" s="56" t="s">
        <v>69</v>
      </c>
      <c r="F1440" s="56" t="s">
        <v>71</v>
      </c>
      <c r="G1440" s="57">
        <v>2241936017</v>
      </c>
      <c r="H1440" s="56" t="s">
        <v>68</v>
      </c>
      <c r="I1440" s="58" t="str">
        <f t="shared" si="133"/>
        <v>Thailand-OTA</v>
      </c>
      <c r="J1440" s="40"/>
      <c r="K1440" s="59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  <c r="AA1440" s="35"/>
      <c r="AB1440" s="35"/>
      <c r="AC1440" s="35"/>
      <c r="AD1440" s="35"/>
      <c r="AE1440" s="35"/>
      <c r="AF1440" s="35"/>
      <c r="AG1440" s="35"/>
      <c r="AH1440" s="35"/>
      <c r="AI1440" s="35"/>
      <c r="AJ1440" s="35"/>
      <c r="AK1440" s="35"/>
      <c r="AL1440" s="35"/>
      <c r="AM1440" s="35"/>
      <c r="AN1440" s="35"/>
      <c r="AO1440" s="35"/>
      <c r="AP1440" s="35"/>
    </row>
    <row r="1441" spans="1:42" ht="17.25" customHeight="1" x14ac:dyDescent="0.25">
      <c r="A1441" s="60">
        <v>2016</v>
      </c>
      <c r="B1441" s="61" t="s">
        <v>66</v>
      </c>
      <c r="C1441" s="61" t="s">
        <v>41</v>
      </c>
      <c r="D1441" s="61" t="s">
        <v>45</v>
      </c>
      <c r="E1441" s="61" t="s">
        <v>67</v>
      </c>
      <c r="F1441" s="61" t="s">
        <v>67</v>
      </c>
      <c r="G1441" s="62">
        <v>23959668915</v>
      </c>
      <c r="H1441" s="61" t="s">
        <v>68</v>
      </c>
      <c r="I1441" s="63" t="str">
        <f t="shared" si="133"/>
        <v>U.A.E.-Offline</v>
      </c>
      <c r="J1441" s="47"/>
      <c r="K1441" s="54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/>
      <c r="AB1441" s="35"/>
      <c r="AC1441" s="35"/>
      <c r="AD1441" s="35"/>
      <c r="AE1441" s="35"/>
      <c r="AF1441" s="35"/>
      <c r="AG1441" s="35"/>
      <c r="AH1441" s="35"/>
      <c r="AI1441" s="35"/>
      <c r="AJ1441" s="35"/>
      <c r="AK1441" s="35"/>
      <c r="AL1441" s="35"/>
      <c r="AM1441" s="35"/>
      <c r="AN1441" s="35"/>
      <c r="AO1441" s="35"/>
      <c r="AP1441" s="35"/>
    </row>
    <row r="1442" spans="1:42" ht="17.25" customHeight="1" x14ac:dyDescent="0.25">
      <c r="A1442" s="55">
        <v>2016</v>
      </c>
      <c r="B1442" s="56" t="s">
        <v>66</v>
      </c>
      <c r="C1442" s="56" t="s">
        <v>41</v>
      </c>
      <c r="D1442" s="56" t="s">
        <v>45</v>
      </c>
      <c r="E1442" s="56" t="s">
        <v>69</v>
      </c>
      <c r="F1442" s="56" t="s">
        <v>70</v>
      </c>
      <c r="G1442" s="57">
        <v>6987621574</v>
      </c>
      <c r="H1442" s="56" t="s">
        <v>68</v>
      </c>
      <c r="I1442" s="58" t="str">
        <f t="shared" si="133"/>
        <v>U.A.E.-Online Supplier-Direct</v>
      </c>
      <c r="J1442" s="40"/>
      <c r="K1442" s="59"/>
      <c r="L1442" s="35"/>
      <c r="M1442" s="35"/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  <c r="Z1442" s="35"/>
      <c r="AA1442" s="35"/>
      <c r="AB1442" s="35"/>
      <c r="AC1442" s="35"/>
      <c r="AD1442" s="35"/>
      <c r="AE1442" s="35"/>
      <c r="AF1442" s="35"/>
      <c r="AG1442" s="35"/>
      <c r="AH1442" s="35"/>
      <c r="AI1442" s="35"/>
      <c r="AJ1442" s="35"/>
      <c r="AK1442" s="35"/>
      <c r="AL1442" s="35"/>
      <c r="AM1442" s="35"/>
      <c r="AN1442" s="35"/>
      <c r="AO1442" s="35"/>
      <c r="AP1442" s="35"/>
    </row>
    <row r="1443" spans="1:42" ht="17.25" customHeight="1" x14ac:dyDescent="0.25">
      <c r="A1443" s="60">
        <v>2016</v>
      </c>
      <c r="B1443" s="61" t="s">
        <v>66</v>
      </c>
      <c r="C1443" s="61" t="s">
        <v>41</v>
      </c>
      <c r="D1443" s="61" t="s">
        <v>45</v>
      </c>
      <c r="E1443" s="61" t="s">
        <v>69</v>
      </c>
      <c r="F1443" s="61" t="s">
        <v>71</v>
      </c>
      <c r="G1443" s="62">
        <v>3884646352</v>
      </c>
      <c r="H1443" s="61" t="s">
        <v>68</v>
      </c>
      <c r="I1443" s="63" t="str">
        <f t="shared" si="133"/>
        <v>U.A.E.-OTA</v>
      </c>
      <c r="J1443" s="47"/>
      <c r="K1443" s="54"/>
      <c r="L1443" s="35"/>
      <c r="M1443" s="35"/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  <c r="AA1443" s="35"/>
      <c r="AB1443" s="35"/>
      <c r="AC1443" s="35"/>
      <c r="AD1443" s="35"/>
      <c r="AE1443" s="35"/>
      <c r="AF1443" s="35"/>
      <c r="AG1443" s="35"/>
      <c r="AH1443" s="35"/>
      <c r="AI1443" s="35"/>
      <c r="AJ1443" s="35"/>
      <c r="AK1443" s="35"/>
      <c r="AL1443" s="35"/>
      <c r="AM1443" s="35"/>
      <c r="AN1443" s="35"/>
      <c r="AO1443" s="35"/>
      <c r="AP1443" s="35"/>
    </row>
    <row r="1444" spans="1:42" ht="17.25" customHeight="1" x14ac:dyDescent="0.25">
      <c r="A1444" s="55">
        <v>2016</v>
      </c>
      <c r="B1444" s="56" t="s">
        <v>66</v>
      </c>
      <c r="C1444" s="56" t="s">
        <v>27</v>
      </c>
      <c r="D1444" s="56" t="s">
        <v>33</v>
      </c>
      <c r="E1444" s="56" t="s">
        <v>67</v>
      </c>
      <c r="F1444" s="56" t="s">
        <v>67</v>
      </c>
      <c r="G1444" s="57">
        <v>25753688863</v>
      </c>
      <c r="H1444" s="56" t="s">
        <v>68</v>
      </c>
      <c r="I1444" s="58" t="str">
        <f t="shared" si="133"/>
        <v>U.K.-Offline</v>
      </c>
      <c r="J1444" s="40"/>
      <c r="K1444" s="59"/>
      <c r="L1444" s="35"/>
      <c r="M1444" s="35"/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  <c r="AA1444" s="35"/>
      <c r="AB1444" s="35"/>
      <c r="AC1444" s="35"/>
      <c r="AD1444" s="35"/>
      <c r="AE1444" s="35"/>
      <c r="AF1444" s="35"/>
      <c r="AG1444" s="35"/>
      <c r="AH1444" s="35"/>
      <c r="AI1444" s="35"/>
      <c r="AJ1444" s="35"/>
      <c r="AK1444" s="35"/>
      <c r="AL1444" s="35"/>
      <c r="AM1444" s="35"/>
      <c r="AN1444" s="35"/>
      <c r="AO1444" s="35"/>
      <c r="AP1444" s="35"/>
    </row>
    <row r="1445" spans="1:42" ht="17.25" customHeight="1" x14ac:dyDescent="0.25">
      <c r="A1445" s="60">
        <v>2016</v>
      </c>
      <c r="B1445" s="61" t="s">
        <v>66</v>
      </c>
      <c r="C1445" s="61" t="s">
        <v>27</v>
      </c>
      <c r="D1445" s="61" t="s">
        <v>33</v>
      </c>
      <c r="E1445" s="61" t="s">
        <v>69</v>
      </c>
      <c r="F1445" s="61" t="s">
        <v>70</v>
      </c>
      <c r="G1445" s="62">
        <v>25332061660</v>
      </c>
      <c r="H1445" s="61" t="s">
        <v>68</v>
      </c>
      <c r="I1445" s="63" t="str">
        <f t="shared" si="133"/>
        <v>U.K.-Online Supplier-Direct</v>
      </c>
      <c r="J1445" s="47"/>
      <c r="K1445" s="54"/>
      <c r="L1445" s="35"/>
      <c r="M1445" s="35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  <c r="AB1445" s="35"/>
      <c r="AC1445" s="35"/>
      <c r="AD1445" s="35"/>
      <c r="AE1445" s="35"/>
      <c r="AF1445" s="35"/>
      <c r="AG1445" s="35"/>
      <c r="AH1445" s="35"/>
      <c r="AI1445" s="35"/>
      <c r="AJ1445" s="35"/>
      <c r="AK1445" s="35"/>
      <c r="AL1445" s="35"/>
      <c r="AM1445" s="35"/>
      <c r="AN1445" s="35"/>
      <c r="AO1445" s="35"/>
      <c r="AP1445" s="35"/>
    </row>
    <row r="1446" spans="1:42" ht="17.25" customHeight="1" x14ac:dyDescent="0.25">
      <c r="A1446" s="55">
        <v>2016</v>
      </c>
      <c r="B1446" s="56" t="s">
        <v>66</v>
      </c>
      <c r="C1446" s="56" t="s">
        <v>27</v>
      </c>
      <c r="D1446" s="56" t="s">
        <v>33</v>
      </c>
      <c r="E1446" s="56" t="s">
        <v>69</v>
      </c>
      <c r="F1446" s="56" t="s">
        <v>71</v>
      </c>
      <c r="G1446" s="57">
        <v>10340858824</v>
      </c>
      <c r="H1446" s="56" t="s">
        <v>68</v>
      </c>
      <c r="I1446" s="58" t="str">
        <f t="shared" si="133"/>
        <v>U.K.-OTA</v>
      </c>
      <c r="J1446" s="40"/>
      <c r="K1446" s="59"/>
      <c r="L1446" s="35"/>
      <c r="M1446" s="35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  <c r="AA1446" s="35"/>
      <c r="AB1446" s="35"/>
      <c r="AC1446" s="35"/>
      <c r="AD1446" s="35"/>
      <c r="AE1446" s="35"/>
      <c r="AF1446" s="35"/>
      <c r="AG1446" s="35"/>
      <c r="AH1446" s="35"/>
      <c r="AI1446" s="35"/>
      <c r="AJ1446" s="35"/>
      <c r="AK1446" s="35"/>
      <c r="AL1446" s="35"/>
      <c r="AM1446" s="35"/>
      <c r="AN1446" s="35"/>
      <c r="AO1446" s="35"/>
      <c r="AP1446" s="35"/>
    </row>
    <row r="1447" spans="1:42" ht="17.25" customHeight="1" x14ac:dyDescent="0.25">
      <c r="A1447" s="60">
        <v>2016</v>
      </c>
      <c r="B1447" s="61" t="s">
        <v>66</v>
      </c>
      <c r="C1447" s="61" t="s">
        <v>47</v>
      </c>
      <c r="D1447" s="61" t="s">
        <v>48</v>
      </c>
      <c r="E1447" s="61" t="s">
        <v>72</v>
      </c>
      <c r="F1447" s="61" t="s">
        <v>73</v>
      </c>
      <c r="G1447" s="62">
        <v>88475235918</v>
      </c>
      <c r="H1447" s="61" t="s">
        <v>68</v>
      </c>
      <c r="I1447" s="63" t="str">
        <f t="shared" si="133"/>
        <v>U.S.-Central Reservation</v>
      </c>
      <c r="J1447" s="47"/>
      <c r="K1447" s="54"/>
      <c r="L1447" s="35"/>
      <c r="M1447" s="35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  <c r="Z1447" s="35"/>
      <c r="AA1447" s="35"/>
      <c r="AB1447" s="35"/>
      <c r="AC1447" s="35"/>
      <c r="AD1447" s="35"/>
      <c r="AE1447" s="35"/>
      <c r="AF1447" s="35"/>
      <c r="AG1447" s="35"/>
      <c r="AH1447" s="35"/>
      <c r="AI1447" s="35"/>
      <c r="AJ1447" s="35"/>
      <c r="AK1447" s="35"/>
      <c r="AL1447" s="35"/>
      <c r="AM1447" s="35"/>
      <c r="AN1447" s="35"/>
      <c r="AO1447" s="35"/>
      <c r="AP1447" s="35"/>
    </row>
    <row r="1448" spans="1:42" ht="17.25" customHeight="1" x14ac:dyDescent="0.25">
      <c r="A1448" s="55">
        <v>2016</v>
      </c>
      <c r="B1448" s="56" t="s">
        <v>66</v>
      </c>
      <c r="C1448" s="56" t="s">
        <v>47</v>
      </c>
      <c r="D1448" s="56" t="s">
        <v>48</v>
      </c>
      <c r="E1448" s="56" t="s">
        <v>67</v>
      </c>
      <c r="F1448" s="56" t="s">
        <v>74</v>
      </c>
      <c r="G1448" s="57">
        <v>95801091220</v>
      </c>
      <c r="H1448" s="56" t="s">
        <v>68</v>
      </c>
      <c r="I1448" s="58" t="str">
        <f t="shared" si="133"/>
        <v>U.S.-Travel Agency/TMC</v>
      </c>
      <c r="J1448" s="40"/>
      <c r="K1448" s="59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  <c r="AA1448" s="35"/>
      <c r="AB1448" s="35"/>
      <c r="AC1448" s="35"/>
      <c r="AD1448" s="35"/>
      <c r="AE1448" s="35"/>
      <c r="AF1448" s="35"/>
      <c r="AG1448" s="35"/>
      <c r="AH1448" s="35"/>
      <c r="AI1448" s="35"/>
      <c r="AJ1448" s="35"/>
      <c r="AK1448" s="35"/>
      <c r="AL1448" s="35"/>
      <c r="AM1448" s="35"/>
      <c r="AN1448" s="35"/>
      <c r="AO1448" s="35"/>
      <c r="AP1448" s="35"/>
    </row>
    <row r="1449" spans="1:42" ht="17.25" customHeight="1" x14ac:dyDescent="0.25">
      <c r="A1449" s="60">
        <v>2016</v>
      </c>
      <c r="B1449" s="61" t="s">
        <v>66</v>
      </c>
      <c r="C1449" s="61" t="s">
        <v>47</v>
      </c>
      <c r="D1449" s="61" t="s">
        <v>48</v>
      </c>
      <c r="E1449" s="61" t="s">
        <v>69</v>
      </c>
      <c r="F1449" s="61" t="s">
        <v>70</v>
      </c>
      <c r="G1449" s="62">
        <v>102438760777</v>
      </c>
      <c r="H1449" s="61" t="s">
        <v>68</v>
      </c>
      <c r="I1449" s="63" t="str">
        <f t="shared" si="133"/>
        <v>U.S.-Online Supplier-Direct</v>
      </c>
      <c r="J1449" s="47"/>
      <c r="K1449" s="54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  <c r="AA1449" s="35"/>
      <c r="AB1449" s="35"/>
      <c r="AC1449" s="35"/>
      <c r="AD1449" s="35"/>
      <c r="AE1449" s="35"/>
      <c r="AF1449" s="35"/>
      <c r="AG1449" s="35"/>
      <c r="AH1449" s="35"/>
      <c r="AI1449" s="35"/>
      <c r="AJ1449" s="35"/>
      <c r="AK1449" s="35"/>
      <c r="AL1449" s="35"/>
      <c r="AM1449" s="35"/>
      <c r="AN1449" s="35"/>
      <c r="AO1449" s="35"/>
      <c r="AP1449" s="35"/>
    </row>
    <row r="1450" spans="1:42" ht="17.25" customHeight="1" x14ac:dyDescent="0.25">
      <c r="A1450" s="55">
        <v>2016</v>
      </c>
      <c r="B1450" s="56" t="s">
        <v>66</v>
      </c>
      <c r="C1450" s="56" t="s">
        <v>47</v>
      </c>
      <c r="D1450" s="56" t="s">
        <v>48</v>
      </c>
      <c r="E1450" s="56" t="s">
        <v>69</v>
      </c>
      <c r="F1450" s="56" t="s">
        <v>71</v>
      </c>
      <c r="G1450" s="57">
        <v>62833999999</v>
      </c>
      <c r="H1450" s="56" t="s">
        <v>68</v>
      </c>
      <c r="I1450" s="58" t="str">
        <f t="shared" si="133"/>
        <v>U.S.-OTA</v>
      </c>
      <c r="J1450" s="40"/>
      <c r="K1450" s="59"/>
      <c r="L1450" s="35"/>
      <c r="M1450" s="35"/>
      <c r="N1450" s="35"/>
      <c r="O1450" s="35"/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  <c r="Z1450" s="35"/>
      <c r="AA1450" s="35"/>
      <c r="AB1450" s="35"/>
      <c r="AC1450" s="35"/>
      <c r="AD1450" s="35"/>
      <c r="AE1450" s="35"/>
      <c r="AF1450" s="35"/>
      <c r="AG1450" s="35"/>
      <c r="AH1450" s="35"/>
      <c r="AI1450" s="35"/>
      <c r="AJ1450" s="35"/>
      <c r="AK1450" s="35"/>
      <c r="AL1450" s="35"/>
      <c r="AM1450" s="35"/>
      <c r="AN1450" s="35"/>
      <c r="AO1450" s="35"/>
      <c r="AP1450" s="35"/>
    </row>
    <row r="1451" spans="1:42" ht="17.25" customHeight="1" x14ac:dyDescent="0.25">
      <c r="A1451" s="60">
        <v>2016</v>
      </c>
      <c r="B1451" s="61" t="s">
        <v>66</v>
      </c>
      <c r="C1451" s="61" t="s">
        <v>17</v>
      </c>
      <c r="D1451" s="61" t="s">
        <v>25</v>
      </c>
      <c r="E1451" s="61" t="s">
        <v>67</v>
      </c>
      <c r="F1451" s="61" t="s">
        <v>67</v>
      </c>
      <c r="G1451" s="62">
        <v>1738137447</v>
      </c>
      <c r="H1451" s="61" t="s">
        <v>68</v>
      </c>
      <c r="I1451" s="63" t="str">
        <f t="shared" si="133"/>
        <v>Ukraine-Offline</v>
      </c>
      <c r="J1451" s="47"/>
      <c r="K1451" s="54"/>
      <c r="L1451" s="35"/>
      <c r="M1451" s="35"/>
      <c r="N1451" s="35"/>
      <c r="O1451" s="35"/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  <c r="Z1451" s="35"/>
      <c r="AA1451" s="35"/>
      <c r="AB1451" s="35"/>
      <c r="AC1451" s="35"/>
      <c r="AD1451" s="35"/>
      <c r="AE1451" s="35"/>
      <c r="AF1451" s="35"/>
      <c r="AG1451" s="35"/>
      <c r="AH1451" s="35"/>
      <c r="AI1451" s="35"/>
      <c r="AJ1451" s="35"/>
      <c r="AK1451" s="35"/>
      <c r="AL1451" s="35"/>
      <c r="AM1451" s="35"/>
      <c r="AN1451" s="35"/>
      <c r="AO1451" s="35"/>
      <c r="AP1451" s="35"/>
    </row>
    <row r="1452" spans="1:42" ht="17.25" customHeight="1" x14ac:dyDescent="0.25">
      <c r="A1452" s="55">
        <v>2016</v>
      </c>
      <c r="B1452" s="56" t="s">
        <v>66</v>
      </c>
      <c r="C1452" s="56" t="s">
        <v>17</v>
      </c>
      <c r="D1452" s="56" t="s">
        <v>25</v>
      </c>
      <c r="E1452" s="56" t="s">
        <v>69</v>
      </c>
      <c r="F1452" s="56" t="s">
        <v>70</v>
      </c>
      <c r="G1452" s="57">
        <v>243509374</v>
      </c>
      <c r="H1452" s="56" t="s">
        <v>68</v>
      </c>
      <c r="I1452" s="58" t="str">
        <f t="shared" si="133"/>
        <v>Ukraine-Online Supplier-Direct</v>
      </c>
      <c r="J1452" s="40"/>
      <c r="K1452" s="59"/>
      <c r="L1452" s="35"/>
      <c r="M1452" s="35"/>
      <c r="N1452" s="35"/>
      <c r="O1452" s="35"/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  <c r="Z1452" s="35"/>
      <c r="AA1452" s="35"/>
      <c r="AB1452" s="35"/>
      <c r="AC1452" s="35"/>
      <c r="AD1452" s="35"/>
      <c r="AE1452" s="35"/>
      <c r="AF1452" s="35"/>
      <c r="AG1452" s="35"/>
      <c r="AH1452" s="35"/>
      <c r="AI1452" s="35"/>
      <c r="AJ1452" s="35"/>
      <c r="AK1452" s="35"/>
      <c r="AL1452" s="35"/>
      <c r="AM1452" s="35"/>
      <c r="AN1452" s="35"/>
      <c r="AO1452" s="35"/>
      <c r="AP1452" s="35"/>
    </row>
    <row r="1453" spans="1:42" ht="17.25" customHeight="1" x14ac:dyDescent="0.25">
      <c r="A1453" s="60">
        <v>2016</v>
      </c>
      <c r="B1453" s="61" t="s">
        <v>66</v>
      </c>
      <c r="C1453" s="61" t="s">
        <v>17</v>
      </c>
      <c r="D1453" s="61" t="s">
        <v>25</v>
      </c>
      <c r="E1453" s="61" t="s">
        <v>69</v>
      </c>
      <c r="F1453" s="61" t="s">
        <v>71</v>
      </c>
      <c r="G1453" s="62">
        <v>279018426</v>
      </c>
      <c r="H1453" s="61" t="s">
        <v>68</v>
      </c>
      <c r="I1453" s="63" t="str">
        <f t="shared" si="133"/>
        <v>Ukraine-OTA</v>
      </c>
      <c r="J1453" s="47"/>
      <c r="K1453" s="54"/>
      <c r="L1453" s="35"/>
      <c r="M1453" s="35"/>
      <c r="N1453" s="35"/>
      <c r="O1453" s="35"/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  <c r="Z1453" s="35"/>
      <c r="AA1453" s="35"/>
      <c r="AB1453" s="35"/>
      <c r="AC1453" s="35"/>
      <c r="AD1453" s="35"/>
      <c r="AE1453" s="35"/>
      <c r="AF1453" s="35"/>
      <c r="AG1453" s="35"/>
      <c r="AH1453" s="35"/>
      <c r="AI1453" s="35"/>
      <c r="AJ1453" s="35"/>
      <c r="AK1453" s="35"/>
      <c r="AL1453" s="35"/>
      <c r="AM1453" s="35"/>
      <c r="AN1453" s="35"/>
      <c r="AO1453" s="35"/>
      <c r="AP1453" s="35"/>
    </row>
    <row r="1454" spans="1:42" ht="17.25" customHeight="1" x14ac:dyDescent="0.25">
      <c r="A1454" s="55">
        <v>2017</v>
      </c>
      <c r="B1454" s="56" t="s">
        <v>66</v>
      </c>
      <c r="C1454" s="56" t="s">
        <v>35</v>
      </c>
      <c r="D1454" s="56" t="s">
        <v>34</v>
      </c>
      <c r="E1454" s="56" t="s">
        <v>67</v>
      </c>
      <c r="F1454" s="56" t="s">
        <v>67</v>
      </c>
      <c r="G1454" s="57">
        <v>2620578170</v>
      </c>
      <c r="H1454" s="56" t="s">
        <v>68</v>
      </c>
      <c r="I1454" s="58" t="str">
        <f t="shared" si="133"/>
        <v>Argentina-Offline</v>
      </c>
      <c r="J1454" s="40"/>
      <c r="K1454" s="59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/>
      <c r="AB1454" s="35"/>
      <c r="AC1454" s="35"/>
      <c r="AD1454" s="35"/>
      <c r="AE1454" s="35"/>
      <c r="AF1454" s="35"/>
      <c r="AG1454" s="35"/>
      <c r="AH1454" s="35"/>
      <c r="AI1454" s="35"/>
      <c r="AJ1454" s="35"/>
      <c r="AK1454" s="35"/>
      <c r="AL1454" s="35"/>
      <c r="AM1454" s="35"/>
      <c r="AN1454" s="35"/>
      <c r="AO1454" s="35"/>
      <c r="AP1454" s="35"/>
    </row>
    <row r="1455" spans="1:42" ht="17.25" customHeight="1" x14ac:dyDescent="0.25">
      <c r="A1455" s="60">
        <v>2017</v>
      </c>
      <c r="B1455" s="61" t="s">
        <v>66</v>
      </c>
      <c r="C1455" s="61" t="s">
        <v>35</v>
      </c>
      <c r="D1455" s="61" t="s">
        <v>34</v>
      </c>
      <c r="E1455" s="61" t="s">
        <v>69</v>
      </c>
      <c r="F1455" s="61" t="s">
        <v>70</v>
      </c>
      <c r="G1455" s="62">
        <v>415059844</v>
      </c>
      <c r="H1455" s="61" t="s">
        <v>68</v>
      </c>
      <c r="I1455" s="63" t="str">
        <f t="shared" si="133"/>
        <v>Argentina-Online Supplier-Direct</v>
      </c>
      <c r="J1455" s="47"/>
      <c r="K1455" s="54"/>
      <c r="L1455" s="35"/>
      <c r="M1455" s="35"/>
      <c r="N1455" s="35"/>
      <c r="O1455" s="35"/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  <c r="Z1455" s="35"/>
      <c r="AA1455" s="35"/>
      <c r="AB1455" s="35"/>
      <c r="AC1455" s="35"/>
      <c r="AD1455" s="35"/>
      <c r="AE1455" s="35"/>
      <c r="AF1455" s="35"/>
      <c r="AG1455" s="35"/>
      <c r="AH1455" s="35"/>
      <c r="AI1455" s="35"/>
      <c r="AJ1455" s="35"/>
      <c r="AK1455" s="35"/>
      <c r="AL1455" s="35"/>
      <c r="AM1455" s="35"/>
      <c r="AN1455" s="35"/>
      <c r="AO1455" s="35"/>
      <c r="AP1455" s="35"/>
    </row>
    <row r="1456" spans="1:42" ht="17.25" customHeight="1" x14ac:dyDescent="0.25">
      <c r="A1456" s="55">
        <v>2017</v>
      </c>
      <c r="B1456" s="56" t="s">
        <v>66</v>
      </c>
      <c r="C1456" s="56" t="s">
        <v>35</v>
      </c>
      <c r="D1456" s="56" t="s">
        <v>34</v>
      </c>
      <c r="E1456" s="56" t="s">
        <v>69</v>
      </c>
      <c r="F1456" s="56" t="s">
        <v>71</v>
      </c>
      <c r="G1456" s="57">
        <v>555648356</v>
      </c>
      <c r="H1456" s="56" t="s">
        <v>68</v>
      </c>
      <c r="I1456" s="58" t="str">
        <f t="shared" si="133"/>
        <v>Argentina-OTA</v>
      </c>
      <c r="J1456" s="40"/>
      <c r="K1456" s="59"/>
      <c r="L1456" s="35"/>
      <c r="M1456" s="35"/>
      <c r="N1456" s="35"/>
      <c r="O1456" s="35"/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  <c r="AA1456" s="35"/>
      <c r="AB1456" s="35"/>
      <c r="AC1456" s="35"/>
      <c r="AD1456" s="35"/>
      <c r="AE1456" s="35"/>
      <c r="AF1456" s="35"/>
      <c r="AG1456" s="35"/>
      <c r="AH1456" s="35"/>
      <c r="AI1456" s="35"/>
      <c r="AJ1456" s="35"/>
      <c r="AK1456" s="35"/>
      <c r="AL1456" s="35"/>
      <c r="AM1456" s="35"/>
      <c r="AN1456" s="35"/>
      <c r="AO1456" s="35"/>
      <c r="AP1456" s="35"/>
    </row>
    <row r="1457" spans="1:42" ht="17.25" customHeight="1" x14ac:dyDescent="0.25">
      <c r="A1457" s="60">
        <v>2017</v>
      </c>
      <c r="B1457" s="61" t="s">
        <v>66</v>
      </c>
      <c r="C1457" s="61" t="s">
        <v>4</v>
      </c>
      <c r="D1457" s="61" t="s">
        <v>3</v>
      </c>
      <c r="E1457" s="61" t="s">
        <v>67</v>
      </c>
      <c r="F1457" s="61" t="s">
        <v>67</v>
      </c>
      <c r="G1457" s="62">
        <v>19088813719</v>
      </c>
      <c r="H1457" s="61" t="s">
        <v>68</v>
      </c>
      <c r="I1457" s="63" t="str">
        <f t="shared" si="133"/>
        <v>Australia-New Zealand-Offline</v>
      </c>
      <c r="J1457" s="47"/>
      <c r="K1457" s="54"/>
      <c r="L1457" s="35"/>
      <c r="M1457" s="35"/>
      <c r="N1457" s="35"/>
      <c r="O1457" s="35"/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  <c r="Z1457" s="35"/>
      <c r="AA1457" s="35"/>
      <c r="AB1457" s="35"/>
      <c r="AC1457" s="35"/>
      <c r="AD1457" s="35"/>
      <c r="AE1457" s="35"/>
      <c r="AF1457" s="35"/>
      <c r="AG1457" s="35"/>
      <c r="AH1457" s="35"/>
      <c r="AI1457" s="35"/>
      <c r="AJ1457" s="35"/>
      <c r="AK1457" s="35"/>
      <c r="AL1457" s="35"/>
      <c r="AM1457" s="35"/>
      <c r="AN1457" s="35"/>
      <c r="AO1457" s="35"/>
      <c r="AP1457" s="35"/>
    </row>
    <row r="1458" spans="1:42" ht="17.25" customHeight="1" x14ac:dyDescent="0.25">
      <c r="A1458" s="55">
        <v>2017</v>
      </c>
      <c r="B1458" s="56" t="s">
        <v>66</v>
      </c>
      <c r="C1458" s="56" t="s">
        <v>4</v>
      </c>
      <c r="D1458" s="56" t="s">
        <v>3</v>
      </c>
      <c r="E1458" s="56" t="s">
        <v>69</v>
      </c>
      <c r="F1458" s="56" t="s">
        <v>70</v>
      </c>
      <c r="G1458" s="57">
        <v>9294957547</v>
      </c>
      <c r="H1458" s="56" t="s">
        <v>68</v>
      </c>
      <c r="I1458" s="58" t="str">
        <f t="shared" si="133"/>
        <v>Australia-New Zealand-Online Supplier-Direct</v>
      </c>
      <c r="J1458" s="40"/>
      <c r="K1458" s="59"/>
      <c r="L1458" s="35"/>
      <c r="M1458" s="35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  <c r="Z1458" s="35"/>
      <c r="AA1458" s="35"/>
      <c r="AB1458" s="35"/>
      <c r="AC1458" s="35"/>
      <c r="AD1458" s="35"/>
      <c r="AE1458" s="35"/>
      <c r="AF1458" s="35"/>
      <c r="AG1458" s="35"/>
      <c r="AH1458" s="35"/>
      <c r="AI1458" s="35"/>
      <c r="AJ1458" s="35"/>
      <c r="AK1458" s="35"/>
      <c r="AL1458" s="35"/>
      <c r="AM1458" s="35"/>
      <c r="AN1458" s="35"/>
      <c r="AO1458" s="35"/>
      <c r="AP1458" s="35"/>
    </row>
    <row r="1459" spans="1:42" ht="17.25" customHeight="1" x14ac:dyDescent="0.25">
      <c r="A1459" s="60">
        <v>2017</v>
      </c>
      <c r="B1459" s="61" t="s">
        <v>66</v>
      </c>
      <c r="C1459" s="61" t="s">
        <v>4</v>
      </c>
      <c r="D1459" s="61" t="s">
        <v>3</v>
      </c>
      <c r="E1459" s="61" t="s">
        <v>69</v>
      </c>
      <c r="F1459" s="61" t="s">
        <v>71</v>
      </c>
      <c r="G1459" s="62">
        <v>4378754250</v>
      </c>
      <c r="H1459" s="61" t="s">
        <v>68</v>
      </c>
      <c r="I1459" s="63" t="str">
        <f t="shared" si="133"/>
        <v>Australia-New Zealand-OTA</v>
      </c>
      <c r="J1459" s="47"/>
      <c r="K1459" s="54"/>
      <c r="L1459" s="35"/>
      <c r="M1459" s="35"/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  <c r="Z1459" s="35"/>
      <c r="AA1459" s="35"/>
      <c r="AB1459" s="35"/>
      <c r="AC1459" s="35"/>
      <c r="AD1459" s="35"/>
      <c r="AE1459" s="35"/>
      <c r="AF1459" s="35"/>
      <c r="AG1459" s="35"/>
      <c r="AH1459" s="35"/>
      <c r="AI1459" s="35"/>
      <c r="AJ1459" s="35"/>
      <c r="AK1459" s="35"/>
      <c r="AL1459" s="35"/>
      <c r="AM1459" s="35"/>
      <c r="AN1459" s="35"/>
      <c r="AO1459" s="35"/>
      <c r="AP1459" s="35"/>
    </row>
    <row r="1460" spans="1:42" ht="17.25" customHeight="1" x14ac:dyDescent="0.25">
      <c r="A1460" s="55">
        <v>2017</v>
      </c>
      <c r="B1460" s="56" t="s">
        <v>66</v>
      </c>
      <c r="C1460" s="56" t="s">
        <v>35</v>
      </c>
      <c r="D1460" s="56" t="s">
        <v>36</v>
      </c>
      <c r="E1460" s="56" t="s">
        <v>67</v>
      </c>
      <c r="F1460" s="56" t="s">
        <v>67</v>
      </c>
      <c r="G1460" s="57">
        <v>11824962165</v>
      </c>
      <c r="H1460" s="56" t="s">
        <v>68</v>
      </c>
      <c r="I1460" s="58" t="str">
        <f t="shared" si="133"/>
        <v>Brazil-Offline</v>
      </c>
      <c r="J1460" s="40"/>
      <c r="K1460" s="59"/>
      <c r="L1460" s="35"/>
      <c r="M1460" s="35"/>
      <c r="N1460" s="35"/>
      <c r="O1460" s="35"/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  <c r="AA1460" s="35"/>
      <c r="AB1460" s="35"/>
      <c r="AC1460" s="35"/>
      <c r="AD1460" s="35"/>
      <c r="AE1460" s="35"/>
      <c r="AF1460" s="35"/>
      <c r="AG1460" s="35"/>
      <c r="AH1460" s="35"/>
      <c r="AI1460" s="35"/>
      <c r="AJ1460" s="35"/>
      <c r="AK1460" s="35"/>
      <c r="AL1460" s="35"/>
      <c r="AM1460" s="35"/>
      <c r="AN1460" s="35"/>
      <c r="AO1460" s="35"/>
      <c r="AP1460" s="35"/>
    </row>
    <row r="1461" spans="1:42" ht="17.25" customHeight="1" x14ac:dyDescent="0.25">
      <c r="A1461" s="60">
        <v>2017</v>
      </c>
      <c r="B1461" s="61" t="s">
        <v>66</v>
      </c>
      <c r="C1461" s="61" t="s">
        <v>35</v>
      </c>
      <c r="D1461" s="61" t="s">
        <v>36</v>
      </c>
      <c r="E1461" s="61" t="s">
        <v>69</v>
      </c>
      <c r="F1461" s="61" t="s">
        <v>70</v>
      </c>
      <c r="G1461" s="62">
        <v>2737406425</v>
      </c>
      <c r="H1461" s="61" t="s">
        <v>68</v>
      </c>
      <c r="I1461" s="63" t="str">
        <f t="shared" si="133"/>
        <v>Brazil-Online Supplier-Direct</v>
      </c>
      <c r="J1461" s="47"/>
      <c r="K1461" s="54"/>
      <c r="L1461" s="35"/>
      <c r="M1461" s="35"/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  <c r="Z1461" s="35"/>
      <c r="AA1461" s="35"/>
      <c r="AB1461" s="35"/>
      <c r="AC1461" s="35"/>
      <c r="AD1461" s="35"/>
      <c r="AE1461" s="35"/>
      <c r="AF1461" s="35"/>
      <c r="AG1461" s="35"/>
      <c r="AH1461" s="35"/>
      <c r="AI1461" s="35"/>
      <c r="AJ1461" s="35"/>
      <c r="AK1461" s="35"/>
      <c r="AL1461" s="35"/>
      <c r="AM1461" s="35"/>
      <c r="AN1461" s="35"/>
      <c r="AO1461" s="35"/>
      <c r="AP1461" s="35"/>
    </row>
    <row r="1462" spans="1:42" ht="17.25" customHeight="1" x14ac:dyDescent="0.25">
      <c r="A1462" s="55">
        <v>2017</v>
      </c>
      <c r="B1462" s="56" t="s">
        <v>66</v>
      </c>
      <c r="C1462" s="56" t="s">
        <v>35</v>
      </c>
      <c r="D1462" s="56" t="s">
        <v>36</v>
      </c>
      <c r="E1462" s="56" t="s">
        <v>69</v>
      </c>
      <c r="F1462" s="56" t="s">
        <v>71</v>
      </c>
      <c r="G1462" s="57">
        <v>4789639890</v>
      </c>
      <c r="H1462" s="56" t="s">
        <v>68</v>
      </c>
      <c r="I1462" s="58" t="str">
        <f t="shared" si="133"/>
        <v>Brazil-OTA</v>
      </c>
      <c r="J1462" s="40"/>
      <c r="K1462" s="59"/>
      <c r="L1462" s="35"/>
      <c r="M1462" s="35"/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  <c r="AA1462" s="35"/>
      <c r="AB1462" s="35"/>
      <c r="AC1462" s="35"/>
      <c r="AD1462" s="35"/>
      <c r="AE1462" s="35"/>
      <c r="AF1462" s="35"/>
      <c r="AG1462" s="35"/>
      <c r="AH1462" s="35"/>
      <c r="AI1462" s="35"/>
      <c r="AJ1462" s="35"/>
      <c r="AK1462" s="35"/>
      <c r="AL1462" s="35"/>
      <c r="AM1462" s="35"/>
      <c r="AN1462" s="35"/>
      <c r="AO1462" s="35"/>
      <c r="AP1462" s="35"/>
    </row>
    <row r="1463" spans="1:42" ht="17.25" customHeight="1" x14ac:dyDescent="0.25">
      <c r="A1463" s="60">
        <v>2017</v>
      </c>
      <c r="B1463" s="61" t="s">
        <v>66</v>
      </c>
      <c r="C1463" s="61" t="s">
        <v>17</v>
      </c>
      <c r="D1463" s="61" t="s">
        <v>16</v>
      </c>
      <c r="E1463" s="61" t="s">
        <v>67</v>
      </c>
      <c r="F1463" s="61" t="s">
        <v>67</v>
      </c>
      <c r="G1463" s="62">
        <v>1037178995</v>
      </c>
      <c r="H1463" s="61" t="s">
        <v>68</v>
      </c>
      <c r="I1463" s="63" t="str">
        <f t="shared" si="133"/>
        <v>Bulgaria-Offline</v>
      </c>
      <c r="J1463" s="47"/>
      <c r="K1463" s="54"/>
      <c r="L1463" s="35"/>
      <c r="M1463" s="35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/>
      <c r="AB1463" s="35"/>
      <c r="AC1463" s="35"/>
      <c r="AD1463" s="35"/>
      <c r="AE1463" s="35"/>
      <c r="AF1463" s="35"/>
      <c r="AG1463" s="35"/>
      <c r="AH1463" s="35"/>
      <c r="AI1463" s="35"/>
      <c r="AJ1463" s="35"/>
      <c r="AK1463" s="35"/>
      <c r="AL1463" s="35"/>
      <c r="AM1463" s="35"/>
      <c r="AN1463" s="35"/>
      <c r="AO1463" s="35"/>
      <c r="AP1463" s="35"/>
    </row>
    <row r="1464" spans="1:42" ht="17.25" customHeight="1" x14ac:dyDescent="0.25">
      <c r="A1464" s="55">
        <v>2017</v>
      </c>
      <c r="B1464" s="56" t="s">
        <v>66</v>
      </c>
      <c r="C1464" s="56" t="s">
        <v>17</v>
      </c>
      <c r="D1464" s="56" t="s">
        <v>16</v>
      </c>
      <c r="E1464" s="56" t="s">
        <v>69</v>
      </c>
      <c r="F1464" s="56" t="s">
        <v>70</v>
      </c>
      <c r="G1464" s="57">
        <v>243203831</v>
      </c>
      <c r="H1464" s="56" t="s">
        <v>68</v>
      </c>
      <c r="I1464" s="58" t="str">
        <f t="shared" si="133"/>
        <v>Bulgaria-Online Supplier-Direct</v>
      </c>
      <c r="J1464" s="40"/>
      <c r="K1464" s="59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  <c r="AA1464" s="35"/>
      <c r="AB1464" s="35"/>
      <c r="AC1464" s="35"/>
      <c r="AD1464" s="35"/>
      <c r="AE1464" s="35"/>
      <c r="AF1464" s="35"/>
      <c r="AG1464" s="35"/>
      <c r="AH1464" s="35"/>
      <c r="AI1464" s="35"/>
      <c r="AJ1464" s="35"/>
      <c r="AK1464" s="35"/>
      <c r="AL1464" s="35"/>
      <c r="AM1464" s="35"/>
      <c r="AN1464" s="35"/>
      <c r="AO1464" s="35"/>
      <c r="AP1464" s="35"/>
    </row>
    <row r="1465" spans="1:42" ht="17.25" customHeight="1" x14ac:dyDescent="0.25">
      <c r="A1465" s="60">
        <v>2017</v>
      </c>
      <c r="B1465" s="61" t="s">
        <v>66</v>
      </c>
      <c r="C1465" s="61" t="s">
        <v>17</v>
      </c>
      <c r="D1465" s="61" t="s">
        <v>16</v>
      </c>
      <c r="E1465" s="61" t="s">
        <v>69</v>
      </c>
      <c r="F1465" s="61" t="s">
        <v>71</v>
      </c>
      <c r="G1465" s="62">
        <v>226759497</v>
      </c>
      <c r="H1465" s="61" t="s">
        <v>68</v>
      </c>
      <c r="I1465" s="63" t="str">
        <f t="shared" si="133"/>
        <v>Bulgaria-OTA</v>
      </c>
      <c r="J1465" s="47"/>
      <c r="K1465" s="54"/>
      <c r="L1465" s="35"/>
      <c r="M1465" s="35"/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  <c r="Z1465" s="35"/>
      <c r="AA1465" s="35"/>
      <c r="AB1465" s="35"/>
      <c r="AC1465" s="35"/>
      <c r="AD1465" s="35"/>
      <c r="AE1465" s="35"/>
      <c r="AF1465" s="35"/>
      <c r="AG1465" s="35"/>
      <c r="AH1465" s="35"/>
      <c r="AI1465" s="35"/>
      <c r="AJ1465" s="35"/>
      <c r="AK1465" s="35"/>
      <c r="AL1465" s="35"/>
      <c r="AM1465" s="35"/>
      <c r="AN1465" s="35"/>
      <c r="AO1465" s="35"/>
      <c r="AP1465" s="35"/>
    </row>
    <row r="1466" spans="1:42" ht="17.25" customHeight="1" x14ac:dyDescent="0.25">
      <c r="A1466" s="55">
        <v>2017</v>
      </c>
      <c r="B1466" s="56" t="s">
        <v>66</v>
      </c>
      <c r="C1466" s="56" t="s">
        <v>47</v>
      </c>
      <c r="D1466" s="56" t="s">
        <v>46</v>
      </c>
      <c r="E1466" s="56" t="s">
        <v>67</v>
      </c>
      <c r="F1466" s="56" t="s">
        <v>67</v>
      </c>
      <c r="G1466" s="57">
        <v>20088599037</v>
      </c>
      <c r="H1466" s="56" t="s">
        <v>68</v>
      </c>
      <c r="I1466" s="58" t="str">
        <f t="shared" si="133"/>
        <v>Canada-Offline</v>
      </c>
      <c r="J1466" s="40"/>
      <c r="K1466" s="59"/>
      <c r="L1466" s="35"/>
      <c r="M1466" s="35"/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  <c r="AA1466" s="35"/>
      <c r="AB1466" s="35"/>
      <c r="AC1466" s="35"/>
      <c r="AD1466" s="35"/>
      <c r="AE1466" s="35"/>
      <c r="AF1466" s="35"/>
      <c r="AG1466" s="35"/>
      <c r="AH1466" s="35"/>
      <c r="AI1466" s="35"/>
      <c r="AJ1466" s="35"/>
      <c r="AK1466" s="35"/>
      <c r="AL1466" s="35"/>
      <c r="AM1466" s="35"/>
      <c r="AN1466" s="35"/>
      <c r="AO1466" s="35"/>
      <c r="AP1466" s="35"/>
    </row>
    <row r="1467" spans="1:42" ht="17.25" customHeight="1" x14ac:dyDescent="0.25">
      <c r="A1467" s="60">
        <v>2017</v>
      </c>
      <c r="B1467" s="61" t="s">
        <v>66</v>
      </c>
      <c r="C1467" s="61" t="s">
        <v>47</v>
      </c>
      <c r="D1467" s="61" t="s">
        <v>46</v>
      </c>
      <c r="E1467" s="61" t="s">
        <v>69</v>
      </c>
      <c r="F1467" s="61" t="s">
        <v>70</v>
      </c>
      <c r="G1467" s="62">
        <v>8992939053</v>
      </c>
      <c r="H1467" s="61" t="s">
        <v>68</v>
      </c>
      <c r="I1467" s="63" t="str">
        <f t="shared" si="133"/>
        <v>Canada-Online Supplier-Direct</v>
      </c>
      <c r="J1467" s="47"/>
      <c r="K1467" s="54"/>
      <c r="L1467" s="35"/>
      <c r="M1467" s="35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  <c r="AA1467" s="35"/>
      <c r="AB1467" s="35"/>
      <c r="AC1467" s="35"/>
      <c r="AD1467" s="35"/>
      <c r="AE1467" s="35"/>
      <c r="AF1467" s="35"/>
      <c r="AG1467" s="35"/>
      <c r="AH1467" s="35"/>
      <c r="AI1467" s="35"/>
      <c r="AJ1467" s="35"/>
      <c r="AK1467" s="35"/>
      <c r="AL1467" s="35"/>
      <c r="AM1467" s="35"/>
      <c r="AN1467" s="35"/>
      <c r="AO1467" s="35"/>
      <c r="AP1467" s="35"/>
    </row>
    <row r="1468" spans="1:42" ht="17.25" customHeight="1" x14ac:dyDescent="0.25">
      <c r="A1468" s="55">
        <v>2017</v>
      </c>
      <c r="B1468" s="56" t="s">
        <v>66</v>
      </c>
      <c r="C1468" s="56" t="s">
        <v>47</v>
      </c>
      <c r="D1468" s="56" t="s">
        <v>46</v>
      </c>
      <c r="E1468" s="56" t="s">
        <v>69</v>
      </c>
      <c r="F1468" s="56" t="s">
        <v>71</v>
      </c>
      <c r="G1468" s="57">
        <v>5240606469</v>
      </c>
      <c r="H1468" s="56" t="s">
        <v>68</v>
      </c>
      <c r="I1468" s="58" t="str">
        <f t="shared" si="133"/>
        <v>Canada-OTA</v>
      </c>
      <c r="J1468" s="40"/>
      <c r="K1468" s="59"/>
      <c r="L1468" s="35"/>
      <c r="M1468" s="35"/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  <c r="Z1468" s="35"/>
      <c r="AA1468" s="35"/>
      <c r="AB1468" s="35"/>
      <c r="AC1468" s="35"/>
      <c r="AD1468" s="35"/>
      <c r="AE1468" s="35"/>
      <c r="AF1468" s="35"/>
      <c r="AG1468" s="35"/>
      <c r="AH1468" s="35"/>
      <c r="AI1468" s="35"/>
      <c r="AJ1468" s="35"/>
      <c r="AK1468" s="35"/>
      <c r="AL1468" s="35"/>
      <c r="AM1468" s="35"/>
      <c r="AN1468" s="35"/>
      <c r="AO1468" s="35"/>
      <c r="AP1468" s="35"/>
    </row>
    <row r="1469" spans="1:42" ht="17.25" customHeight="1" x14ac:dyDescent="0.25">
      <c r="A1469" s="60">
        <v>2017</v>
      </c>
      <c r="B1469" s="61" t="s">
        <v>66</v>
      </c>
      <c r="C1469" s="61" t="s">
        <v>35</v>
      </c>
      <c r="D1469" s="61" t="s">
        <v>37</v>
      </c>
      <c r="E1469" s="61" t="s">
        <v>67</v>
      </c>
      <c r="F1469" s="61" t="s">
        <v>67</v>
      </c>
      <c r="G1469" s="62">
        <v>3425132976</v>
      </c>
      <c r="H1469" s="61" t="s">
        <v>68</v>
      </c>
      <c r="I1469" s="63" t="str">
        <f t="shared" si="133"/>
        <v>Chile-Offline</v>
      </c>
      <c r="J1469" s="47"/>
      <c r="K1469" s="54"/>
      <c r="L1469" s="35"/>
      <c r="M1469" s="35"/>
      <c r="N1469" s="35"/>
      <c r="O1469" s="35"/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  <c r="Z1469" s="35"/>
      <c r="AA1469" s="35"/>
      <c r="AB1469" s="35"/>
      <c r="AC1469" s="35"/>
      <c r="AD1469" s="35"/>
      <c r="AE1469" s="35"/>
      <c r="AF1469" s="35"/>
      <c r="AG1469" s="35"/>
      <c r="AH1469" s="35"/>
      <c r="AI1469" s="35"/>
      <c r="AJ1469" s="35"/>
      <c r="AK1469" s="35"/>
      <c r="AL1469" s="35"/>
      <c r="AM1469" s="35"/>
      <c r="AN1469" s="35"/>
      <c r="AO1469" s="35"/>
      <c r="AP1469" s="35"/>
    </row>
    <row r="1470" spans="1:42" ht="17.25" customHeight="1" x14ac:dyDescent="0.25">
      <c r="A1470" s="55">
        <v>2017</v>
      </c>
      <c r="B1470" s="56" t="s">
        <v>66</v>
      </c>
      <c r="C1470" s="56" t="s">
        <v>35</v>
      </c>
      <c r="D1470" s="56" t="s">
        <v>37</v>
      </c>
      <c r="E1470" s="56" t="s">
        <v>69</v>
      </c>
      <c r="F1470" s="56" t="s">
        <v>70</v>
      </c>
      <c r="G1470" s="57">
        <v>962953509</v>
      </c>
      <c r="H1470" s="56" t="s">
        <v>68</v>
      </c>
      <c r="I1470" s="58" t="str">
        <f t="shared" si="133"/>
        <v>Chile-Online Supplier-Direct</v>
      </c>
      <c r="J1470" s="40"/>
      <c r="K1470" s="59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  <c r="AA1470" s="35"/>
      <c r="AB1470" s="35"/>
      <c r="AC1470" s="35"/>
      <c r="AD1470" s="35"/>
      <c r="AE1470" s="35"/>
      <c r="AF1470" s="35"/>
      <c r="AG1470" s="35"/>
      <c r="AH1470" s="35"/>
      <c r="AI1470" s="35"/>
      <c r="AJ1470" s="35"/>
      <c r="AK1470" s="35"/>
      <c r="AL1470" s="35"/>
      <c r="AM1470" s="35"/>
      <c r="AN1470" s="35"/>
      <c r="AO1470" s="35"/>
      <c r="AP1470" s="35"/>
    </row>
    <row r="1471" spans="1:42" ht="17.25" customHeight="1" x14ac:dyDescent="0.25">
      <c r="A1471" s="60">
        <v>2017</v>
      </c>
      <c r="B1471" s="61" t="s">
        <v>66</v>
      </c>
      <c r="C1471" s="61" t="s">
        <v>35</v>
      </c>
      <c r="D1471" s="61" t="s">
        <v>37</v>
      </c>
      <c r="E1471" s="61" t="s">
        <v>69</v>
      </c>
      <c r="F1471" s="61" t="s">
        <v>71</v>
      </c>
      <c r="G1471" s="62">
        <v>955877855</v>
      </c>
      <c r="H1471" s="61" t="s">
        <v>68</v>
      </c>
      <c r="I1471" s="63" t="str">
        <f t="shared" si="133"/>
        <v>Chile-OTA</v>
      </c>
      <c r="J1471" s="47"/>
      <c r="K1471" s="54"/>
      <c r="L1471" s="35"/>
      <c r="M1471" s="35"/>
      <c r="N1471" s="35"/>
      <c r="O1471" s="35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  <c r="AA1471" s="35"/>
      <c r="AB1471" s="35"/>
      <c r="AC1471" s="35"/>
      <c r="AD1471" s="35"/>
      <c r="AE1471" s="35"/>
      <c r="AF1471" s="35"/>
      <c r="AG1471" s="35"/>
      <c r="AH1471" s="35"/>
      <c r="AI1471" s="35"/>
      <c r="AJ1471" s="35"/>
      <c r="AK1471" s="35"/>
      <c r="AL1471" s="35"/>
      <c r="AM1471" s="35"/>
      <c r="AN1471" s="35"/>
      <c r="AO1471" s="35"/>
      <c r="AP1471" s="35"/>
    </row>
    <row r="1472" spans="1:42" ht="17.25" customHeight="1" x14ac:dyDescent="0.25">
      <c r="A1472" s="55">
        <v>2017</v>
      </c>
      <c r="B1472" s="56" t="s">
        <v>66</v>
      </c>
      <c r="C1472" s="56" t="s">
        <v>4</v>
      </c>
      <c r="D1472" s="56" t="s">
        <v>5</v>
      </c>
      <c r="E1472" s="56" t="s">
        <v>67</v>
      </c>
      <c r="F1472" s="56" t="s">
        <v>67</v>
      </c>
      <c r="G1472" s="57">
        <v>83845995775</v>
      </c>
      <c r="H1472" s="56" t="s">
        <v>68</v>
      </c>
      <c r="I1472" s="58" t="str">
        <f t="shared" si="133"/>
        <v>China-Offline</v>
      </c>
      <c r="J1472" s="40"/>
      <c r="K1472" s="59"/>
      <c r="L1472" s="35"/>
      <c r="M1472" s="35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  <c r="AA1472" s="35"/>
      <c r="AB1472" s="35"/>
      <c r="AC1472" s="35"/>
      <c r="AD1472" s="35"/>
      <c r="AE1472" s="35"/>
      <c r="AF1472" s="35"/>
      <c r="AG1472" s="35"/>
      <c r="AH1472" s="35"/>
      <c r="AI1472" s="35"/>
      <c r="AJ1472" s="35"/>
      <c r="AK1472" s="35"/>
      <c r="AL1472" s="35"/>
      <c r="AM1472" s="35"/>
      <c r="AN1472" s="35"/>
      <c r="AO1472" s="35"/>
      <c r="AP1472" s="35"/>
    </row>
    <row r="1473" spans="1:42" ht="17.25" customHeight="1" x14ac:dyDescent="0.25">
      <c r="A1473" s="60">
        <v>2017</v>
      </c>
      <c r="B1473" s="61" t="s">
        <v>66</v>
      </c>
      <c r="C1473" s="61" t="s">
        <v>4</v>
      </c>
      <c r="D1473" s="61" t="s">
        <v>5</v>
      </c>
      <c r="E1473" s="61" t="s">
        <v>69</v>
      </c>
      <c r="F1473" s="61" t="s">
        <v>70</v>
      </c>
      <c r="G1473" s="62">
        <v>32009994253</v>
      </c>
      <c r="H1473" s="61" t="s">
        <v>68</v>
      </c>
      <c r="I1473" s="63" t="str">
        <f t="shared" si="133"/>
        <v>China-Online Supplier-Direct</v>
      </c>
      <c r="J1473" s="47"/>
      <c r="K1473" s="54"/>
      <c r="L1473" s="35"/>
      <c r="M1473" s="35"/>
      <c r="N1473" s="35"/>
      <c r="O1473" s="35"/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  <c r="Z1473" s="35"/>
      <c r="AA1473" s="35"/>
      <c r="AB1473" s="35"/>
      <c r="AC1473" s="35"/>
      <c r="AD1473" s="35"/>
      <c r="AE1473" s="35"/>
      <c r="AF1473" s="35"/>
      <c r="AG1473" s="35"/>
      <c r="AH1473" s="35"/>
      <c r="AI1473" s="35"/>
      <c r="AJ1473" s="35"/>
      <c r="AK1473" s="35"/>
      <c r="AL1473" s="35"/>
      <c r="AM1473" s="35"/>
      <c r="AN1473" s="35"/>
      <c r="AO1473" s="35"/>
      <c r="AP1473" s="35"/>
    </row>
    <row r="1474" spans="1:42" ht="17.25" customHeight="1" x14ac:dyDescent="0.25">
      <c r="A1474" s="55">
        <v>2017</v>
      </c>
      <c r="B1474" s="56" t="s">
        <v>66</v>
      </c>
      <c r="C1474" s="56" t="s">
        <v>4</v>
      </c>
      <c r="D1474" s="56" t="s">
        <v>5</v>
      </c>
      <c r="E1474" s="56" t="s">
        <v>69</v>
      </c>
      <c r="F1474" s="56" t="s">
        <v>71</v>
      </c>
      <c r="G1474" s="57">
        <v>35280328436</v>
      </c>
      <c r="H1474" s="56" t="s">
        <v>68</v>
      </c>
      <c r="I1474" s="58" t="str">
        <f t="shared" si="133"/>
        <v>China-OTA</v>
      </c>
      <c r="J1474" s="40"/>
      <c r="K1474" s="59"/>
      <c r="L1474" s="35"/>
      <c r="M1474" s="35"/>
      <c r="N1474" s="35"/>
      <c r="O1474" s="35"/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  <c r="Z1474" s="35"/>
      <c r="AA1474" s="35"/>
      <c r="AB1474" s="35"/>
      <c r="AC1474" s="35"/>
      <c r="AD1474" s="35"/>
      <c r="AE1474" s="35"/>
      <c r="AF1474" s="35"/>
      <c r="AG1474" s="35"/>
      <c r="AH1474" s="35"/>
      <c r="AI1474" s="35"/>
      <c r="AJ1474" s="35"/>
      <c r="AK1474" s="35"/>
      <c r="AL1474" s="35"/>
      <c r="AM1474" s="35"/>
      <c r="AN1474" s="35"/>
      <c r="AO1474" s="35"/>
      <c r="AP1474" s="35"/>
    </row>
    <row r="1475" spans="1:42" ht="17.25" customHeight="1" x14ac:dyDescent="0.25">
      <c r="A1475" s="60">
        <v>2017</v>
      </c>
      <c r="B1475" s="61" t="s">
        <v>66</v>
      </c>
      <c r="C1475" s="61" t="s">
        <v>35</v>
      </c>
      <c r="D1475" s="61" t="s">
        <v>38</v>
      </c>
      <c r="E1475" s="61" t="s">
        <v>67</v>
      </c>
      <c r="F1475" s="61" t="s">
        <v>67</v>
      </c>
      <c r="G1475" s="62">
        <v>5371850317</v>
      </c>
      <c r="H1475" s="61" t="s">
        <v>68</v>
      </c>
      <c r="I1475" s="63" t="str">
        <f t="shared" si="133"/>
        <v>Colombia-Offline</v>
      </c>
      <c r="J1475" s="47"/>
      <c r="K1475" s="54"/>
      <c r="L1475" s="35"/>
      <c r="M1475" s="35"/>
      <c r="N1475" s="35"/>
      <c r="O1475" s="35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  <c r="AA1475" s="35"/>
      <c r="AB1475" s="35"/>
      <c r="AC1475" s="35"/>
      <c r="AD1475" s="35"/>
      <c r="AE1475" s="35"/>
      <c r="AF1475" s="35"/>
      <c r="AG1475" s="35"/>
      <c r="AH1475" s="35"/>
      <c r="AI1475" s="35"/>
      <c r="AJ1475" s="35"/>
      <c r="AK1475" s="35"/>
      <c r="AL1475" s="35"/>
      <c r="AM1475" s="35"/>
      <c r="AN1475" s="35"/>
      <c r="AO1475" s="35"/>
      <c r="AP1475" s="35"/>
    </row>
    <row r="1476" spans="1:42" ht="17.25" customHeight="1" x14ac:dyDescent="0.25">
      <c r="A1476" s="55">
        <v>2017</v>
      </c>
      <c r="B1476" s="56" t="s">
        <v>66</v>
      </c>
      <c r="C1476" s="56" t="s">
        <v>35</v>
      </c>
      <c r="D1476" s="56" t="s">
        <v>38</v>
      </c>
      <c r="E1476" s="56" t="s">
        <v>69</v>
      </c>
      <c r="F1476" s="56" t="s">
        <v>70</v>
      </c>
      <c r="G1476" s="57">
        <v>1322809702</v>
      </c>
      <c r="H1476" s="56" t="s">
        <v>68</v>
      </c>
      <c r="I1476" s="58" t="str">
        <f t="shared" si="133"/>
        <v>Colombia-Online Supplier-Direct</v>
      </c>
      <c r="J1476" s="40"/>
      <c r="K1476" s="59"/>
      <c r="L1476" s="35"/>
      <c r="M1476" s="35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  <c r="Z1476" s="35"/>
      <c r="AA1476" s="35"/>
      <c r="AB1476" s="35"/>
      <c r="AC1476" s="35"/>
      <c r="AD1476" s="35"/>
      <c r="AE1476" s="35"/>
      <c r="AF1476" s="35"/>
      <c r="AG1476" s="35"/>
      <c r="AH1476" s="35"/>
      <c r="AI1476" s="35"/>
      <c r="AJ1476" s="35"/>
      <c r="AK1476" s="35"/>
      <c r="AL1476" s="35"/>
      <c r="AM1476" s="35"/>
      <c r="AN1476" s="35"/>
      <c r="AO1476" s="35"/>
      <c r="AP1476" s="35"/>
    </row>
    <row r="1477" spans="1:42" ht="17.25" customHeight="1" x14ac:dyDescent="0.25">
      <c r="A1477" s="60">
        <v>2017</v>
      </c>
      <c r="B1477" s="61" t="s">
        <v>66</v>
      </c>
      <c r="C1477" s="61" t="s">
        <v>35</v>
      </c>
      <c r="D1477" s="61" t="s">
        <v>38</v>
      </c>
      <c r="E1477" s="61" t="s">
        <v>69</v>
      </c>
      <c r="F1477" s="61" t="s">
        <v>71</v>
      </c>
      <c r="G1477" s="62">
        <v>1327149595</v>
      </c>
      <c r="H1477" s="61" t="s">
        <v>68</v>
      </c>
      <c r="I1477" s="63" t="str">
        <f t="shared" si="133"/>
        <v>Colombia-OTA</v>
      </c>
      <c r="J1477" s="47"/>
      <c r="K1477" s="54"/>
      <c r="L1477" s="35"/>
      <c r="M1477" s="35"/>
      <c r="N1477" s="35"/>
      <c r="O1477" s="35"/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  <c r="AA1477" s="35"/>
      <c r="AB1477" s="35"/>
      <c r="AC1477" s="35"/>
      <c r="AD1477" s="35"/>
      <c r="AE1477" s="35"/>
      <c r="AF1477" s="35"/>
      <c r="AG1477" s="35"/>
      <c r="AH1477" s="35"/>
      <c r="AI1477" s="35"/>
      <c r="AJ1477" s="35"/>
      <c r="AK1477" s="35"/>
      <c r="AL1477" s="35"/>
      <c r="AM1477" s="35"/>
      <c r="AN1477" s="35"/>
      <c r="AO1477" s="35"/>
      <c r="AP1477" s="35"/>
    </row>
    <row r="1478" spans="1:42" ht="17.25" customHeight="1" x14ac:dyDescent="0.25">
      <c r="A1478" s="55">
        <v>2017</v>
      </c>
      <c r="B1478" s="56" t="s">
        <v>66</v>
      </c>
      <c r="C1478" s="56" t="s">
        <v>17</v>
      </c>
      <c r="D1478" s="56" t="s">
        <v>18</v>
      </c>
      <c r="E1478" s="56" t="s">
        <v>67</v>
      </c>
      <c r="F1478" s="56" t="s">
        <v>67</v>
      </c>
      <c r="G1478" s="57">
        <v>1548369652</v>
      </c>
      <c r="H1478" s="56" t="s">
        <v>68</v>
      </c>
      <c r="I1478" s="58" t="str">
        <f t="shared" si="133"/>
        <v>Czech Republic-Offline</v>
      </c>
      <c r="J1478" s="40"/>
      <c r="K1478" s="59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  <c r="AA1478" s="35"/>
      <c r="AB1478" s="35"/>
      <c r="AC1478" s="35"/>
      <c r="AD1478" s="35"/>
      <c r="AE1478" s="35"/>
      <c r="AF1478" s="35"/>
      <c r="AG1478" s="35"/>
      <c r="AH1478" s="35"/>
      <c r="AI1478" s="35"/>
      <c r="AJ1478" s="35"/>
      <c r="AK1478" s="35"/>
      <c r="AL1478" s="35"/>
      <c r="AM1478" s="35"/>
      <c r="AN1478" s="35"/>
      <c r="AO1478" s="35"/>
      <c r="AP1478" s="35"/>
    </row>
    <row r="1479" spans="1:42" ht="17.25" customHeight="1" x14ac:dyDescent="0.25">
      <c r="A1479" s="60">
        <v>2017</v>
      </c>
      <c r="B1479" s="61" t="s">
        <v>66</v>
      </c>
      <c r="C1479" s="61" t="s">
        <v>17</v>
      </c>
      <c r="D1479" s="61" t="s">
        <v>18</v>
      </c>
      <c r="E1479" s="61" t="s">
        <v>69</v>
      </c>
      <c r="F1479" s="61" t="s">
        <v>70</v>
      </c>
      <c r="G1479" s="62">
        <v>802115972</v>
      </c>
      <c r="H1479" s="61" t="s">
        <v>68</v>
      </c>
      <c r="I1479" s="63" t="str">
        <f t="shared" si="133"/>
        <v>Czech Republic-Online Supplier-Direct</v>
      </c>
      <c r="J1479" s="47"/>
      <c r="K1479" s="54"/>
      <c r="L1479" s="35"/>
      <c r="M1479" s="35"/>
      <c r="N1479" s="35"/>
      <c r="O1479" s="35"/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  <c r="Z1479" s="35"/>
      <c r="AA1479" s="35"/>
      <c r="AB1479" s="35"/>
      <c r="AC1479" s="35"/>
      <c r="AD1479" s="35"/>
      <c r="AE1479" s="35"/>
      <c r="AF1479" s="35"/>
      <c r="AG1479" s="35"/>
      <c r="AH1479" s="35"/>
      <c r="AI1479" s="35"/>
      <c r="AJ1479" s="35"/>
      <c r="AK1479" s="35"/>
      <c r="AL1479" s="35"/>
      <c r="AM1479" s="35"/>
      <c r="AN1479" s="35"/>
      <c r="AO1479" s="35"/>
      <c r="AP1479" s="35"/>
    </row>
    <row r="1480" spans="1:42" ht="17.25" customHeight="1" x14ac:dyDescent="0.25">
      <c r="A1480" s="55">
        <v>2017</v>
      </c>
      <c r="B1480" s="56" t="s">
        <v>66</v>
      </c>
      <c r="C1480" s="56" t="s">
        <v>17</v>
      </c>
      <c r="D1480" s="56" t="s">
        <v>18</v>
      </c>
      <c r="E1480" s="56" t="s">
        <v>69</v>
      </c>
      <c r="F1480" s="56" t="s">
        <v>71</v>
      </c>
      <c r="G1480" s="57">
        <v>502707910</v>
      </c>
      <c r="H1480" s="56" t="s">
        <v>68</v>
      </c>
      <c r="I1480" s="58" t="str">
        <f t="shared" si="133"/>
        <v>Czech Republic-OTA</v>
      </c>
      <c r="J1480" s="40"/>
      <c r="K1480" s="59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  <c r="AA1480" s="35"/>
      <c r="AB1480" s="35"/>
      <c r="AC1480" s="35"/>
      <c r="AD1480" s="35"/>
      <c r="AE1480" s="35"/>
      <c r="AF1480" s="35"/>
      <c r="AG1480" s="35"/>
      <c r="AH1480" s="35"/>
      <c r="AI1480" s="35"/>
      <c r="AJ1480" s="35"/>
      <c r="AK1480" s="35"/>
      <c r="AL1480" s="35"/>
      <c r="AM1480" s="35"/>
      <c r="AN1480" s="35"/>
      <c r="AO1480" s="35"/>
      <c r="AP1480" s="35"/>
    </row>
    <row r="1481" spans="1:42" ht="17.25" customHeight="1" x14ac:dyDescent="0.25">
      <c r="A1481" s="60">
        <v>2017</v>
      </c>
      <c r="B1481" s="61" t="s">
        <v>66</v>
      </c>
      <c r="C1481" s="61" t="s">
        <v>41</v>
      </c>
      <c r="D1481" s="61" t="s">
        <v>40</v>
      </c>
      <c r="E1481" s="61" t="s">
        <v>67</v>
      </c>
      <c r="F1481" s="61" t="s">
        <v>67</v>
      </c>
      <c r="G1481" s="62">
        <v>2664157056</v>
      </c>
      <c r="H1481" s="61" t="s">
        <v>68</v>
      </c>
      <c r="I1481" s="63" t="str">
        <f t="shared" si="133"/>
        <v>Egypt-Offline</v>
      </c>
      <c r="J1481" s="47"/>
      <c r="K1481" s="54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  <c r="AB1481" s="35"/>
      <c r="AC1481" s="35"/>
      <c r="AD1481" s="35"/>
      <c r="AE1481" s="35"/>
      <c r="AF1481" s="35"/>
      <c r="AG1481" s="35"/>
      <c r="AH1481" s="35"/>
      <c r="AI1481" s="35"/>
      <c r="AJ1481" s="35"/>
      <c r="AK1481" s="35"/>
      <c r="AL1481" s="35"/>
      <c r="AM1481" s="35"/>
      <c r="AN1481" s="35"/>
      <c r="AO1481" s="35"/>
      <c r="AP1481" s="35"/>
    </row>
    <row r="1482" spans="1:42" ht="17.25" customHeight="1" x14ac:dyDescent="0.25">
      <c r="A1482" s="55">
        <v>2017</v>
      </c>
      <c r="B1482" s="56" t="s">
        <v>66</v>
      </c>
      <c r="C1482" s="56" t="s">
        <v>41</v>
      </c>
      <c r="D1482" s="56" t="s">
        <v>40</v>
      </c>
      <c r="E1482" s="56" t="s">
        <v>69</v>
      </c>
      <c r="F1482" s="56" t="s">
        <v>70</v>
      </c>
      <c r="G1482" s="57">
        <v>180481491</v>
      </c>
      <c r="H1482" s="56" t="s">
        <v>68</v>
      </c>
      <c r="I1482" s="58" t="str">
        <f t="shared" si="133"/>
        <v>Egypt-Online Supplier-Direct</v>
      </c>
      <c r="J1482" s="40"/>
      <c r="K1482" s="59"/>
      <c r="L1482" s="35"/>
      <c r="M1482" s="35"/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  <c r="Z1482" s="35"/>
      <c r="AA1482" s="35"/>
      <c r="AB1482" s="35"/>
      <c r="AC1482" s="35"/>
      <c r="AD1482" s="35"/>
      <c r="AE1482" s="35"/>
      <c r="AF1482" s="35"/>
      <c r="AG1482" s="35"/>
      <c r="AH1482" s="35"/>
      <c r="AI1482" s="35"/>
      <c r="AJ1482" s="35"/>
      <c r="AK1482" s="35"/>
      <c r="AL1482" s="35"/>
      <c r="AM1482" s="35"/>
      <c r="AN1482" s="35"/>
      <c r="AO1482" s="35"/>
      <c r="AP1482" s="35"/>
    </row>
    <row r="1483" spans="1:42" ht="17.25" customHeight="1" x14ac:dyDescent="0.25">
      <c r="A1483" s="60">
        <v>2017</v>
      </c>
      <c r="B1483" s="61" t="s">
        <v>66</v>
      </c>
      <c r="C1483" s="61" t="s">
        <v>41</v>
      </c>
      <c r="D1483" s="61" t="s">
        <v>40</v>
      </c>
      <c r="E1483" s="61" t="s">
        <v>69</v>
      </c>
      <c r="F1483" s="61" t="s">
        <v>71</v>
      </c>
      <c r="G1483" s="62">
        <v>223133431</v>
      </c>
      <c r="H1483" s="61" t="s">
        <v>68</v>
      </c>
      <c r="I1483" s="63" t="str">
        <f t="shared" si="133"/>
        <v>Egypt-OTA</v>
      </c>
      <c r="J1483" s="47"/>
      <c r="K1483" s="54"/>
      <c r="L1483" s="35"/>
      <c r="M1483" s="35"/>
      <c r="N1483" s="35"/>
      <c r="O1483" s="35"/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  <c r="Z1483" s="35"/>
      <c r="AA1483" s="35"/>
      <c r="AB1483" s="35"/>
      <c r="AC1483" s="35"/>
      <c r="AD1483" s="35"/>
      <c r="AE1483" s="35"/>
      <c r="AF1483" s="35"/>
      <c r="AG1483" s="35"/>
      <c r="AH1483" s="35"/>
      <c r="AI1483" s="35"/>
      <c r="AJ1483" s="35"/>
      <c r="AK1483" s="35"/>
      <c r="AL1483" s="35"/>
      <c r="AM1483" s="35"/>
      <c r="AN1483" s="35"/>
      <c r="AO1483" s="35"/>
      <c r="AP1483" s="35"/>
    </row>
    <row r="1484" spans="1:42" ht="17.25" customHeight="1" x14ac:dyDescent="0.25">
      <c r="A1484" s="55">
        <v>2017</v>
      </c>
      <c r="B1484" s="56" t="s">
        <v>66</v>
      </c>
      <c r="C1484" s="56" t="s">
        <v>27</v>
      </c>
      <c r="D1484" s="56" t="s">
        <v>26</v>
      </c>
      <c r="E1484" s="56" t="s">
        <v>67</v>
      </c>
      <c r="F1484" s="56" t="s">
        <v>67</v>
      </c>
      <c r="G1484" s="57">
        <v>29163833191</v>
      </c>
      <c r="H1484" s="56" t="s">
        <v>68</v>
      </c>
      <c r="I1484" s="58" t="str">
        <f t="shared" si="133"/>
        <v>France-Offline</v>
      </c>
      <c r="J1484" s="40"/>
      <c r="K1484" s="59"/>
      <c r="L1484" s="35"/>
      <c r="M1484" s="35"/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  <c r="Z1484" s="35"/>
      <c r="AA1484" s="35"/>
      <c r="AB1484" s="35"/>
      <c r="AC1484" s="35"/>
      <c r="AD1484" s="35"/>
      <c r="AE1484" s="35"/>
      <c r="AF1484" s="35"/>
      <c r="AG1484" s="35"/>
      <c r="AH1484" s="35"/>
      <c r="AI1484" s="35"/>
      <c r="AJ1484" s="35"/>
      <c r="AK1484" s="35"/>
      <c r="AL1484" s="35"/>
      <c r="AM1484" s="35"/>
      <c r="AN1484" s="35"/>
      <c r="AO1484" s="35"/>
      <c r="AP1484" s="35"/>
    </row>
    <row r="1485" spans="1:42" ht="17.25" customHeight="1" x14ac:dyDescent="0.25">
      <c r="A1485" s="60">
        <v>2017</v>
      </c>
      <c r="B1485" s="61" t="s">
        <v>66</v>
      </c>
      <c r="C1485" s="61" t="s">
        <v>27</v>
      </c>
      <c r="D1485" s="61" t="s">
        <v>26</v>
      </c>
      <c r="E1485" s="61" t="s">
        <v>69</v>
      </c>
      <c r="F1485" s="61" t="s">
        <v>70</v>
      </c>
      <c r="G1485" s="62">
        <v>15782049816</v>
      </c>
      <c r="H1485" s="61" t="s">
        <v>68</v>
      </c>
      <c r="I1485" s="63" t="str">
        <f t="shared" si="133"/>
        <v>France-Online Supplier-Direct</v>
      </c>
      <c r="J1485" s="47"/>
      <c r="K1485" s="54"/>
      <c r="L1485" s="35"/>
      <c r="M1485" s="35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  <c r="Z1485" s="35"/>
      <c r="AA1485" s="35"/>
      <c r="AB1485" s="35"/>
      <c r="AC1485" s="35"/>
      <c r="AD1485" s="35"/>
      <c r="AE1485" s="35"/>
      <c r="AF1485" s="35"/>
      <c r="AG1485" s="35"/>
      <c r="AH1485" s="35"/>
      <c r="AI1485" s="35"/>
      <c r="AJ1485" s="35"/>
      <c r="AK1485" s="35"/>
      <c r="AL1485" s="35"/>
      <c r="AM1485" s="35"/>
      <c r="AN1485" s="35"/>
      <c r="AO1485" s="35"/>
      <c r="AP1485" s="35"/>
    </row>
    <row r="1486" spans="1:42" ht="17.25" customHeight="1" x14ac:dyDescent="0.25">
      <c r="A1486" s="55">
        <v>2017</v>
      </c>
      <c r="B1486" s="56" t="s">
        <v>66</v>
      </c>
      <c r="C1486" s="56" t="s">
        <v>27</v>
      </c>
      <c r="D1486" s="56" t="s">
        <v>26</v>
      </c>
      <c r="E1486" s="56" t="s">
        <v>69</v>
      </c>
      <c r="F1486" s="56" t="s">
        <v>71</v>
      </c>
      <c r="G1486" s="57">
        <v>6303499620</v>
      </c>
      <c r="H1486" s="56" t="s">
        <v>68</v>
      </c>
      <c r="I1486" s="58" t="str">
        <f t="shared" si="133"/>
        <v>France-OTA</v>
      </c>
      <c r="J1486" s="40"/>
      <c r="K1486" s="59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  <c r="AA1486" s="35"/>
      <c r="AB1486" s="35"/>
      <c r="AC1486" s="35"/>
      <c r="AD1486" s="35"/>
      <c r="AE1486" s="35"/>
      <c r="AF1486" s="35"/>
      <c r="AG1486" s="35"/>
      <c r="AH1486" s="35"/>
      <c r="AI1486" s="35"/>
      <c r="AJ1486" s="35"/>
      <c r="AK1486" s="35"/>
      <c r="AL1486" s="35"/>
      <c r="AM1486" s="35"/>
      <c r="AN1486" s="35"/>
      <c r="AO1486" s="35"/>
      <c r="AP1486" s="35"/>
    </row>
    <row r="1487" spans="1:42" ht="17.25" customHeight="1" x14ac:dyDescent="0.25">
      <c r="A1487" s="60">
        <v>2017</v>
      </c>
      <c r="B1487" s="61" t="s">
        <v>66</v>
      </c>
      <c r="C1487" s="61" t="s">
        <v>27</v>
      </c>
      <c r="D1487" s="61" t="s">
        <v>28</v>
      </c>
      <c r="E1487" s="61" t="s">
        <v>67</v>
      </c>
      <c r="F1487" s="61" t="s">
        <v>67</v>
      </c>
      <c r="G1487" s="62">
        <v>41968759287</v>
      </c>
      <c r="H1487" s="61" t="s">
        <v>68</v>
      </c>
      <c r="I1487" s="63" t="str">
        <f t="shared" si="133"/>
        <v>Germany-Offline</v>
      </c>
      <c r="J1487" s="47"/>
      <c r="K1487" s="54"/>
      <c r="L1487" s="35"/>
      <c r="M1487" s="35"/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  <c r="AA1487" s="35"/>
      <c r="AB1487" s="35"/>
      <c r="AC1487" s="35"/>
      <c r="AD1487" s="35"/>
      <c r="AE1487" s="35"/>
      <c r="AF1487" s="35"/>
      <c r="AG1487" s="35"/>
      <c r="AH1487" s="35"/>
      <c r="AI1487" s="35"/>
      <c r="AJ1487" s="35"/>
      <c r="AK1487" s="35"/>
      <c r="AL1487" s="35"/>
      <c r="AM1487" s="35"/>
      <c r="AN1487" s="35"/>
      <c r="AO1487" s="35"/>
      <c r="AP1487" s="35"/>
    </row>
    <row r="1488" spans="1:42" ht="17.25" customHeight="1" x14ac:dyDescent="0.25">
      <c r="A1488" s="55">
        <v>2017</v>
      </c>
      <c r="B1488" s="56" t="s">
        <v>66</v>
      </c>
      <c r="C1488" s="56" t="s">
        <v>27</v>
      </c>
      <c r="D1488" s="56" t="s">
        <v>28</v>
      </c>
      <c r="E1488" s="56" t="s">
        <v>69</v>
      </c>
      <c r="F1488" s="56" t="s">
        <v>70</v>
      </c>
      <c r="G1488" s="57">
        <v>18563537565</v>
      </c>
      <c r="H1488" s="56" t="s">
        <v>68</v>
      </c>
      <c r="I1488" s="58" t="str">
        <f t="shared" si="133"/>
        <v>Germany-Online Supplier-Direct</v>
      </c>
      <c r="J1488" s="40"/>
      <c r="K1488" s="59"/>
      <c r="L1488" s="35"/>
      <c r="M1488" s="35"/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  <c r="Z1488" s="35"/>
      <c r="AA1488" s="35"/>
      <c r="AB1488" s="35"/>
      <c r="AC1488" s="35"/>
      <c r="AD1488" s="35"/>
      <c r="AE1488" s="35"/>
      <c r="AF1488" s="35"/>
      <c r="AG1488" s="35"/>
      <c r="AH1488" s="35"/>
      <c r="AI1488" s="35"/>
      <c r="AJ1488" s="35"/>
      <c r="AK1488" s="35"/>
      <c r="AL1488" s="35"/>
      <c r="AM1488" s="35"/>
      <c r="AN1488" s="35"/>
      <c r="AO1488" s="35"/>
      <c r="AP1488" s="35"/>
    </row>
    <row r="1489" spans="1:42" ht="17.25" customHeight="1" x14ac:dyDescent="0.25">
      <c r="A1489" s="60">
        <v>2017</v>
      </c>
      <c r="B1489" s="61" t="s">
        <v>66</v>
      </c>
      <c r="C1489" s="61" t="s">
        <v>27</v>
      </c>
      <c r="D1489" s="61" t="s">
        <v>28</v>
      </c>
      <c r="E1489" s="61" t="s">
        <v>69</v>
      </c>
      <c r="F1489" s="61" t="s">
        <v>71</v>
      </c>
      <c r="G1489" s="62">
        <v>11684353852</v>
      </c>
      <c r="H1489" s="61" t="s">
        <v>68</v>
      </c>
      <c r="I1489" s="63" t="str">
        <f t="shared" si="133"/>
        <v>Germany-OTA</v>
      </c>
      <c r="J1489" s="47"/>
      <c r="K1489" s="54"/>
      <c r="L1489" s="35"/>
      <c r="M1489" s="35"/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  <c r="AA1489" s="35"/>
      <c r="AB1489" s="35"/>
      <c r="AC1489" s="35"/>
      <c r="AD1489" s="35"/>
      <c r="AE1489" s="35"/>
      <c r="AF1489" s="35"/>
      <c r="AG1489" s="35"/>
      <c r="AH1489" s="35"/>
      <c r="AI1489" s="35"/>
      <c r="AJ1489" s="35"/>
      <c r="AK1489" s="35"/>
      <c r="AL1489" s="35"/>
      <c r="AM1489" s="35"/>
      <c r="AN1489" s="35"/>
      <c r="AO1489" s="35"/>
      <c r="AP1489" s="35"/>
    </row>
    <row r="1490" spans="1:42" ht="17.25" customHeight="1" x14ac:dyDescent="0.25">
      <c r="A1490" s="55">
        <v>2017</v>
      </c>
      <c r="B1490" s="56" t="s">
        <v>66</v>
      </c>
      <c r="C1490" s="56" t="s">
        <v>17</v>
      </c>
      <c r="D1490" s="56" t="s">
        <v>19</v>
      </c>
      <c r="E1490" s="56" t="s">
        <v>67</v>
      </c>
      <c r="F1490" s="56" t="s">
        <v>67</v>
      </c>
      <c r="G1490" s="57">
        <v>3232162890</v>
      </c>
      <c r="H1490" s="56" t="s">
        <v>68</v>
      </c>
      <c r="I1490" s="58" t="str">
        <f t="shared" si="133"/>
        <v>Greece-Offline</v>
      </c>
      <c r="J1490" s="40"/>
      <c r="K1490" s="59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  <c r="AG1490" s="35"/>
      <c r="AH1490" s="35"/>
      <c r="AI1490" s="35"/>
      <c r="AJ1490" s="35"/>
      <c r="AK1490" s="35"/>
      <c r="AL1490" s="35"/>
      <c r="AM1490" s="35"/>
      <c r="AN1490" s="35"/>
      <c r="AO1490" s="35"/>
      <c r="AP1490" s="35"/>
    </row>
    <row r="1491" spans="1:42" ht="17.25" customHeight="1" x14ac:dyDescent="0.25">
      <c r="A1491" s="60">
        <v>2017</v>
      </c>
      <c r="B1491" s="61" t="s">
        <v>66</v>
      </c>
      <c r="C1491" s="61" t="s">
        <v>17</v>
      </c>
      <c r="D1491" s="61" t="s">
        <v>19</v>
      </c>
      <c r="E1491" s="61" t="s">
        <v>69</v>
      </c>
      <c r="F1491" s="61" t="s">
        <v>70</v>
      </c>
      <c r="G1491" s="62">
        <v>579163278</v>
      </c>
      <c r="H1491" s="61" t="s">
        <v>68</v>
      </c>
      <c r="I1491" s="63" t="str">
        <f t="shared" si="133"/>
        <v>Greece-Online Supplier-Direct</v>
      </c>
      <c r="J1491" s="47"/>
      <c r="K1491" s="54"/>
      <c r="L1491" s="35"/>
      <c r="M1491" s="35"/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  <c r="AA1491" s="35"/>
      <c r="AB1491" s="35"/>
      <c r="AC1491" s="35"/>
      <c r="AD1491" s="35"/>
      <c r="AE1491" s="35"/>
      <c r="AF1491" s="35"/>
      <c r="AG1491" s="35"/>
      <c r="AH1491" s="35"/>
      <c r="AI1491" s="35"/>
      <c r="AJ1491" s="35"/>
      <c r="AK1491" s="35"/>
      <c r="AL1491" s="35"/>
      <c r="AM1491" s="35"/>
      <c r="AN1491" s="35"/>
      <c r="AO1491" s="35"/>
      <c r="AP1491" s="35"/>
    </row>
    <row r="1492" spans="1:42" ht="17.25" customHeight="1" x14ac:dyDescent="0.25">
      <c r="A1492" s="55">
        <v>2017</v>
      </c>
      <c r="B1492" s="56" t="s">
        <v>66</v>
      </c>
      <c r="C1492" s="56" t="s">
        <v>17</v>
      </c>
      <c r="D1492" s="56" t="s">
        <v>19</v>
      </c>
      <c r="E1492" s="56" t="s">
        <v>69</v>
      </c>
      <c r="F1492" s="56" t="s">
        <v>71</v>
      </c>
      <c r="G1492" s="57">
        <v>680420970</v>
      </c>
      <c r="H1492" s="56" t="s">
        <v>68</v>
      </c>
      <c r="I1492" s="58" t="str">
        <f t="shared" si="133"/>
        <v>Greece-OTA</v>
      </c>
      <c r="J1492" s="40"/>
      <c r="K1492" s="59"/>
      <c r="L1492" s="35"/>
      <c r="M1492" s="35"/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  <c r="AA1492" s="35"/>
      <c r="AB1492" s="35"/>
      <c r="AC1492" s="35"/>
      <c r="AD1492" s="35"/>
      <c r="AE1492" s="35"/>
      <c r="AF1492" s="35"/>
      <c r="AG1492" s="35"/>
      <c r="AH1492" s="35"/>
      <c r="AI1492" s="35"/>
      <c r="AJ1492" s="35"/>
      <c r="AK1492" s="35"/>
      <c r="AL1492" s="35"/>
      <c r="AM1492" s="35"/>
      <c r="AN1492" s="35"/>
      <c r="AO1492" s="35"/>
      <c r="AP1492" s="35"/>
    </row>
    <row r="1493" spans="1:42" ht="17.25" customHeight="1" x14ac:dyDescent="0.25">
      <c r="A1493" s="60">
        <v>2017</v>
      </c>
      <c r="B1493" s="61" t="s">
        <v>66</v>
      </c>
      <c r="C1493" s="61" t="s">
        <v>4</v>
      </c>
      <c r="D1493" s="61" t="s">
        <v>6</v>
      </c>
      <c r="E1493" s="61" t="s">
        <v>67</v>
      </c>
      <c r="F1493" s="61" t="s">
        <v>67</v>
      </c>
      <c r="G1493" s="62">
        <v>10208007936</v>
      </c>
      <c r="H1493" s="61" t="s">
        <v>68</v>
      </c>
      <c r="I1493" s="63" t="str">
        <f t="shared" si="133"/>
        <v>Hong Kong-Offline</v>
      </c>
      <c r="J1493" s="47"/>
      <c r="K1493" s="54"/>
      <c r="L1493" s="35"/>
      <c r="M1493" s="35"/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  <c r="Z1493" s="35"/>
      <c r="AA1493" s="35"/>
      <c r="AB1493" s="35"/>
      <c r="AC1493" s="35"/>
      <c r="AD1493" s="35"/>
      <c r="AE1493" s="35"/>
      <c r="AF1493" s="35"/>
      <c r="AG1493" s="35"/>
      <c r="AH1493" s="35"/>
      <c r="AI1493" s="35"/>
      <c r="AJ1493" s="35"/>
      <c r="AK1493" s="35"/>
      <c r="AL1493" s="35"/>
      <c r="AM1493" s="35"/>
      <c r="AN1493" s="35"/>
      <c r="AO1493" s="35"/>
      <c r="AP1493" s="35"/>
    </row>
    <row r="1494" spans="1:42" ht="17.25" customHeight="1" x14ac:dyDescent="0.25">
      <c r="A1494" s="55">
        <v>2017</v>
      </c>
      <c r="B1494" s="56" t="s">
        <v>66</v>
      </c>
      <c r="C1494" s="56" t="s">
        <v>4</v>
      </c>
      <c r="D1494" s="56" t="s">
        <v>6</v>
      </c>
      <c r="E1494" s="56" t="s">
        <v>69</v>
      </c>
      <c r="F1494" s="56" t="s">
        <v>70</v>
      </c>
      <c r="G1494" s="57">
        <v>1180016041</v>
      </c>
      <c r="H1494" s="56" t="s">
        <v>68</v>
      </c>
      <c r="I1494" s="58" t="str">
        <f t="shared" si="133"/>
        <v>Hong Kong-Online Supplier-Direct</v>
      </c>
      <c r="J1494" s="40"/>
      <c r="K1494" s="59"/>
      <c r="L1494" s="35"/>
      <c r="M1494" s="35"/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  <c r="AA1494" s="35"/>
      <c r="AB1494" s="35"/>
      <c r="AC1494" s="35"/>
      <c r="AD1494" s="35"/>
      <c r="AE1494" s="35"/>
      <c r="AF1494" s="35"/>
      <c r="AG1494" s="35"/>
      <c r="AH1494" s="35"/>
      <c r="AI1494" s="35"/>
      <c r="AJ1494" s="35"/>
      <c r="AK1494" s="35"/>
      <c r="AL1494" s="35"/>
      <c r="AM1494" s="35"/>
      <c r="AN1494" s="35"/>
      <c r="AO1494" s="35"/>
      <c r="AP1494" s="35"/>
    </row>
    <row r="1495" spans="1:42" ht="17.25" customHeight="1" x14ac:dyDescent="0.25">
      <c r="A1495" s="60">
        <v>2017</v>
      </c>
      <c r="B1495" s="61" t="s">
        <v>66</v>
      </c>
      <c r="C1495" s="61" t="s">
        <v>4</v>
      </c>
      <c r="D1495" s="61" t="s">
        <v>6</v>
      </c>
      <c r="E1495" s="61" t="s">
        <v>69</v>
      </c>
      <c r="F1495" s="61" t="s">
        <v>71</v>
      </c>
      <c r="G1495" s="62">
        <v>846625220</v>
      </c>
      <c r="H1495" s="61" t="s">
        <v>68</v>
      </c>
      <c r="I1495" s="63" t="str">
        <f t="shared" si="133"/>
        <v>Hong Kong-OTA</v>
      </c>
      <c r="J1495" s="47"/>
      <c r="K1495" s="54"/>
      <c r="L1495" s="35"/>
      <c r="M1495" s="35"/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  <c r="Z1495" s="35"/>
      <c r="AA1495" s="35"/>
      <c r="AB1495" s="35"/>
      <c r="AC1495" s="35"/>
      <c r="AD1495" s="35"/>
      <c r="AE1495" s="35"/>
      <c r="AF1495" s="35"/>
      <c r="AG1495" s="35"/>
      <c r="AH1495" s="35"/>
      <c r="AI1495" s="35"/>
      <c r="AJ1495" s="35"/>
      <c r="AK1495" s="35"/>
      <c r="AL1495" s="35"/>
      <c r="AM1495" s="35"/>
      <c r="AN1495" s="35"/>
      <c r="AO1495" s="35"/>
      <c r="AP1495" s="35"/>
    </row>
    <row r="1496" spans="1:42" ht="17.25" customHeight="1" x14ac:dyDescent="0.25">
      <c r="A1496" s="55">
        <v>2017</v>
      </c>
      <c r="B1496" s="56" t="s">
        <v>66</v>
      </c>
      <c r="C1496" s="56" t="s">
        <v>17</v>
      </c>
      <c r="D1496" s="56" t="s">
        <v>20</v>
      </c>
      <c r="E1496" s="56" t="s">
        <v>67</v>
      </c>
      <c r="F1496" s="56" t="s">
        <v>67</v>
      </c>
      <c r="G1496" s="57">
        <v>961881965</v>
      </c>
      <c r="H1496" s="56" t="s">
        <v>68</v>
      </c>
      <c r="I1496" s="58" t="str">
        <f t="shared" si="133"/>
        <v>Hungary-Offline</v>
      </c>
      <c r="J1496" s="40"/>
      <c r="K1496" s="59"/>
      <c r="L1496" s="35"/>
      <c r="M1496" s="35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  <c r="Z1496" s="35"/>
      <c r="AA1496" s="35"/>
      <c r="AB1496" s="35"/>
      <c r="AC1496" s="35"/>
      <c r="AD1496" s="35"/>
      <c r="AE1496" s="35"/>
      <c r="AF1496" s="35"/>
      <c r="AG1496" s="35"/>
      <c r="AH1496" s="35"/>
      <c r="AI1496" s="35"/>
      <c r="AJ1496" s="35"/>
      <c r="AK1496" s="35"/>
      <c r="AL1496" s="35"/>
      <c r="AM1496" s="35"/>
      <c r="AN1496" s="35"/>
      <c r="AO1496" s="35"/>
      <c r="AP1496" s="35"/>
    </row>
    <row r="1497" spans="1:42" ht="17.25" customHeight="1" x14ac:dyDescent="0.25">
      <c r="A1497" s="60">
        <v>2017</v>
      </c>
      <c r="B1497" s="61" t="s">
        <v>66</v>
      </c>
      <c r="C1497" s="61" t="s">
        <v>17</v>
      </c>
      <c r="D1497" s="61" t="s">
        <v>20</v>
      </c>
      <c r="E1497" s="61" t="s">
        <v>69</v>
      </c>
      <c r="F1497" s="61" t="s">
        <v>70</v>
      </c>
      <c r="G1497" s="62">
        <v>860288819</v>
      </c>
      <c r="H1497" s="61" t="s">
        <v>68</v>
      </c>
      <c r="I1497" s="63" t="str">
        <f t="shared" si="133"/>
        <v>Hungary-Online Supplier-Direct</v>
      </c>
      <c r="J1497" s="47"/>
      <c r="K1497" s="54"/>
      <c r="L1497" s="35"/>
      <c r="M1497" s="35"/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  <c r="Z1497" s="35"/>
      <c r="AA1497" s="35"/>
      <c r="AB1497" s="35"/>
      <c r="AC1497" s="35"/>
      <c r="AD1497" s="35"/>
      <c r="AE1497" s="35"/>
      <c r="AF1497" s="35"/>
      <c r="AG1497" s="35"/>
      <c r="AH1497" s="35"/>
      <c r="AI1497" s="35"/>
      <c r="AJ1497" s="35"/>
      <c r="AK1497" s="35"/>
      <c r="AL1497" s="35"/>
      <c r="AM1497" s="35"/>
      <c r="AN1497" s="35"/>
      <c r="AO1497" s="35"/>
      <c r="AP1497" s="35"/>
    </row>
    <row r="1498" spans="1:42" ht="17.25" customHeight="1" x14ac:dyDescent="0.25">
      <c r="A1498" s="55">
        <v>2017</v>
      </c>
      <c r="B1498" s="56" t="s">
        <v>66</v>
      </c>
      <c r="C1498" s="56" t="s">
        <v>17</v>
      </c>
      <c r="D1498" s="56" t="s">
        <v>20</v>
      </c>
      <c r="E1498" s="56" t="s">
        <v>69</v>
      </c>
      <c r="F1498" s="56" t="s">
        <v>71</v>
      </c>
      <c r="G1498" s="57">
        <v>189406186</v>
      </c>
      <c r="H1498" s="56" t="s">
        <v>68</v>
      </c>
      <c r="I1498" s="58" t="str">
        <f t="shared" si="133"/>
        <v>Hungary-OTA</v>
      </c>
      <c r="J1498" s="40"/>
      <c r="K1498" s="59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  <c r="AB1498" s="35"/>
      <c r="AC1498" s="35"/>
      <c r="AD1498" s="35"/>
      <c r="AE1498" s="35"/>
      <c r="AF1498" s="35"/>
      <c r="AG1498" s="35"/>
      <c r="AH1498" s="35"/>
      <c r="AI1498" s="35"/>
      <c r="AJ1498" s="35"/>
      <c r="AK1498" s="35"/>
      <c r="AL1498" s="35"/>
      <c r="AM1498" s="35"/>
      <c r="AN1498" s="35"/>
      <c r="AO1498" s="35"/>
      <c r="AP1498" s="35"/>
    </row>
    <row r="1499" spans="1:42" ht="17.25" customHeight="1" x14ac:dyDescent="0.25">
      <c r="A1499" s="60">
        <v>2017</v>
      </c>
      <c r="B1499" s="61" t="s">
        <v>66</v>
      </c>
      <c r="C1499" s="61" t="s">
        <v>4</v>
      </c>
      <c r="D1499" s="61" t="s">
        <v>7</v>
      </c>
      <c r="E1499" s="61" t="s">
        <v>67</v>
      </c>
      <c r="F1499" s="61" t="s">
        <v>67</v>
      </c>
      <c r="G1499" s="62">
        <v>18735709025</v>
      </c>
      <c r="H1499" s="61" t="s">
        <v>68</v>
      </c>
      <c r="I1499" s="63" t="str">
        <f t="shared" si="133"/>
        <v>India-Offline</v>
      </c>
      <c r="J1499" s="47"/>
      <c r="K1499" s="54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  <c r="AG1499" s="35"/>
      <c r="AH1499" s="35"/>
      <c r="AI1499" s="35"/>
      <c r="AJ1499" s="35"/>
      <c r="AK1499" s="35"/>
      <c r="AL1499" s="35"/>
      <c r="AM1499" s="35"/>
      <c r="AN1499" s="35"/>
      <c r="AO1499" s="35"/>
      <c r="AP1499" s="35"/>
    </row>
    <row r="1500" spans="1:42" ht="17.25" customHeight="1" x14ac:dyDescent="0.25">
      <c r="A1500" s="55">
        <v>2017</v>
      </c>
      <c r="B1500" s="56" t="s">
        <v>66</v>
      </c>
      <c r="C1500" s="56" t="s">
        <v>4</v>
      </c>
      <c r="D1500" s="56" t="s">
        <v>7</v>
      </c>
      <c r="E1500" s="56" t="s">
        <v>69</v>
      </c>
      <c r="F1500" s="56" t="s">
        <v>70</v>
      </c>
      <c r="G1500" s="57">
        <v>6729519398</v>
      </c>
      <c r="H1500" s="56" t="s">
        <v>68</v>
      </c>
      <c r="I1500" s="58" t="str">
        <f t="shared" si="133"/>
        <v>India-Online Supplier-Direct</v>
      </c>
      <c r="J1500" s="40"/>
      <c r="K1500" s="59"/>
      <c r="L1500" s="35"/>
      <c r="M1500" s="35"/>
      <c r="N1500" s="35"/>
      <c r="O1500" s="35"/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  <c r="Z1500" s="35"/>
      <c r="AA1500" s="35"/>
      <c r="AB1500" s="35"/>
      <c r="AC1500" s="35"/>
      <c r="AD1500" s="35"/>
      <c r="AE1500" s="35"/>
      <c r="AF1500" s="35"/>
      <c r="AG1500" s="35"/>
      <c r="AH1500" s="35"/>
      <c r="AI1500" s="35"/>
      <c r="AJ1500" s="35"/>
      <c r="AK1500" s="35"/>
      <c r="AL1500" s="35"/>
      <c r="AM1500" s="35"/>
      <c r="AN1500" s="35"/>
      <c r="AO1500" s="35"/>
      <c r="AP1500" s="35"/>
    </row>
    <row r="1501" spans="1:42" ht="17.25" customHeight="1" x14ac:dyDescent="0.25">
      <c r="A1501" s="60">
        <v>2017</v>
      </c>
      <c r="B1501" s="61" t="s">
        <v>66</v>
      </c>
      <c r="C1501" s="61" t="s">
        <v>4</v>
      </c>
      <c r="D1501" s="61" t="s">
        <v>7</v>
      </c>
      <c r="E1501" s="61" t="s">
        <v>69</v>
      </c>
      <c r="F1501" s="61" t="s">
        <v>71</v>
      </c>
      <c r="G1501" s="62">
        <v>5688625552</v>
      </c>
      <c r="H1501" s="61" t="s">
        <v>68</v>
      </c>
      <c r="I1501" s="63" t="str">
        <f t="shared" si="133"/>
        <v>India-OTA</v>
      </c>
      <c r="J1501" s="47"/>
      <c r="K1501" s="54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  <c r="AG1501" s="35"/>
      <c r="AH1501" s="35"/>
      <c r="AI1501" s="35"/>
      <c r="AJ1501" s="35"/>
      <c r="AK1501" s="35"/>
      <c r="AL1501" s="35"/>
      <c r="AM1501" s="35"/>
      <c r="AN1501" s="35"/>
      <c r="AO1501" s="35"/>
      <c r="AP1501" s="35"/>
    </row>
    <row r="1502" spans="1:42" ht="17.25" customHeight="1" x14ac:dyDescent="0.25">
      <c r="A1502" s="55">
        <v>2017</v>
      </c>
      <c r="B1502" s="56" t="s">
        <v>66</v>
      </c>
      <c r="C1502" s="56" t="s">
        <v>4</v>
      </c>
      <c r="D1502" s="56" t="s">
        <v>8</v>
      </c>
      <c r="E1502" s="56" t="s">
        <v>67</v>
      </c>
      <c r="F1502" s="56" t="s">
        <v>67</v>
      </c>
      <c r="G1502" s="57">
        <v>9380687842</v>
      </c>
      <c r="H1502" s="56" t="s">
        <v>68</v>
      </c>
      <c r="I1502" s="58" t="str">
        <f t="shared" si="133"/>
        <v>Indonesia-Offline</v>
      </c>
      <c r="J1502" s="40"/>
      <c r="K1502" s="59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  <c r="AA1502" s="35"/>
      <c r="AB1502" s="35"/>
      <c r="AC1502" s="35"/>
      <c r="AD1502" s="35"/>
      <c r="AE1502" s="35"/>
      <c r="AF1502" s="35"/>
      <c r="AG1502" s="35"/>
      <c r="AH1502" s="35"/>
      <c r="AI1502" s="35"/>
      <c r="AJ1502" s="35"/>
      <c r="AK1502" s="35"/>
      <c r="AL1502" s="35"/>
      <c r="AM1502" s="35"/>
      <c r="AN1502" s="35"/>
      <c r="AO1502" s="35"/>
      <c r="AP1502" s="35"/>
    </row>
    <row r="1503" spans="1:42" ht="17.25" customHeight="1" x14ac:dyDescent="0.25">
      <c r="A1503" s="60">
        <v>2017</v>
      </c>
      <c r="B1503" s="61" t="s">
        <v>66</v>
      </c>
      <c r="C1503" s="61" t="s">
        <v>4</v>
      </c>
      <c r="D1503" s="61" t="s">
        <v>8</v>
      </c>
      <c r="E1503" s="61" t="s">
        <v>69</v>
      </c>
      <c r="F1503" s="61" t="s">
        <v>70</v>
      </c>
      <c r="G1503" s="62">
        <v>1464009797</v>
      </c>
      <c r="H1503" s="61" t="s">
        <v>68</v>
      </c>
      <c r="I1503" s="63" t="str">
        <f t="shared" si="133"/>
        <v>Indonesia-Online Supplier-Direct</v>
      </c>
      <c r="J1503" s="47"/>
      <c r="K1503" s="54"/>
      <c r="L1503" s="35"/>
      <c r="M1503" s="35"/>
      <c r="N1503" s="35"/>
      <c r="O1503" s="35"/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  <c r="Z1503" s="35"/>
      <c r="AA1503" s="35"/>
      <c r="AB1503" s="35"/>
      <c r="AC1503" s="35"/>
      <c r="AD1503" s="35"/>
      <c r="AE1503" s="35"/>
      <c r="AF1503" s="35"/>
      <c r="AG1503" s="35"/>
      <c r="AH1503" s="35"/>
      <c r="AI1503" s="35"/>
      <c r="AJ1503" s="35"/>
      <c r="AK1503" s="35"/>
      <c r="AL1503" s="35"/>
      <c r="AM1503" s="35"/>
      <c r="AN1503" s="35"/>
      <c r="AO1503" s="35"/>
      <c r="AP1503" s="35"/>
    </row>
    <row r="1504" spans="1:42" ht="17.25" customHeight="1" x14ac:dyDescent="0.25">
      <c r="A1504" s="55">
        <v>2017</v>
      </c>
      <c r="B1504" s="56" t="s">
        <v>66</v>
      </c>
      <c r="C1504" s="56" t="s">
        <v>4</v>
      </c>
      <c r="D1504" s="56" t="s">
        <v>8</v>
      </c>
      <c r="E1504" s="56" t="s">
        <v>69</v>
      </c>
      <c r="F1504" s="56" t="s">
        <v>71</v>
      </c>
      <c r="G1504" s="57">
        <v>1959753275</v>
      </c>
      <c r="H1504" s="56" t="s">
        <v>68</v>
      </c>
      <c r="I1504" s="58" t="str">
        <f t="shared" si="133"/>
        <v>Indonesia-OTA</v>
      </c>
      <c r="J1504" s="40"/>
      <c r="K1504" s="59"/>
      <c r="L1504" s="35"/>
      <c r="M1504" s="35"/>
      <c r="N1504" s="35"/>
      <c r="O1504" s="35"/>
      <c r="P1504" s="35"/>
      <c r="Q1504" s="35"/>
      <c r="R1504" s="35"/>
      <c r="S1504" s="35"/>
      <c r="T1504" s="35"/>
      <c r="U1504" s="35"/>
      <c r="V1504" s="35"/>
      <c r="W1504" s="35"/>
      <c r="X1504" s="35"/>
      <c r="Y1504" s="35"/>
      <c r="Z1504" s="35"/>
      <c r="AA1504" s="35"/>
      <c r="AB1504" s="35"/>
      <c r="AC1504" s="35"/>
      <c r="AD1504" s="35"/>
      <c r="AE1504" s="35"/>
      <c r="AF1504" s="35"/>
      <c r="AG1504" s="35"/>
      <c r="AH1504" s="35"/>
      <c r="AI1504" s="35"/>
      <c r="AJ1504" s="35"/>
      <c r="AK1504" s="35"/>
      <c r="AL1504" s="35"/>
      <c r="AM1504" s="35"/>
      <c r="AN1504" s="35"/>
      <c r="AO1504" s="35"/>
      <c r="AP1504" s="35"/>
    </row>
    <row r="1505" spans="1:42" ht="17.25" customHeight="1" x14ac:dyDescent="0.25">
      <c r="A1505" s="60">
        <v>2017</v>
      </c>
      <c r="B1505" s="61" t="s">
        <v>66</v>
      </c>
      <c r="C1505" s="61" t="s">
        <v>27</v>
      </c>
      <c r="D1505" s="61" t="s">
        <v>29</v>
      </c>
      <c r="E1505" s="61" t="s">
        <v>67</v>
      </c>
      <c r="F1505" s="61" t="s">
        <v>67</v>
      </c>
      <c r="G1505" s="62">
        <v>16109598867</v>
      </c>
      <c r="H1505" s="61" t="s">
        <v>68</v>
      </c>
      <c r="I1505" s="63" t="str">
        <f t="shared" si="133"/>
        <v>Italy-Offline</v>
      </c>
      <c r="J1505" s="47"/>
      <c r="K1505" s="54"/>
      <c r="L1505" s="35"/>
      <c r="M1505" s="35"/>
      <c r="N1505" s="35"/>
      <c r="O1505" s="35"/>
      <c r="P1505" s="35"/>
      <c r="Q1505" s="35"/>
      <c r="R1505" s="35"/>
      <c r="S1505" s="35"/>
      <c r="T1505" s="35"/>
      <c r="U1505" s="35"/>
      <c r="V1505" s="35"/>
      <c r="W1505" s="35"/>
      <c r="X1505" s="35"/>
      <c r="Y1505" s="35"/>
      <c r="Z1505" s="35"/>
      <c r="AA1505" s="35"/>
      <c r="AB1505" s="35"/>
      <c r="AC1505" s="35"/>
      <c r="AD1505" s="35"/>
      <c r="AE1505" s="35"/>
      <c r="AF1505" s="35"/>
      <c r="AG1505" s="35"/>
      <c r="AH1505" s="35"/>
      <c r="AI1505" s="35"/>
      <c r="AJ1505" s="35"/>
      <c r="AK1505" s="35"/>
      <c r="AL1505" s="35"/>
      <c r="AM1505" s="35"/>
      <c r="AN1505" s="35"/>
      <c r="AO1505" s="35"/>
      <c r="AP1505" s="35"/>
    </row>
    <row r="1506" spans="1:42" ht="17.25" customHeight="1" x14ac:dyDescent="0.25">
      <c r="A1506" s="55">
        <v>2017</v>
      </c>
      <c r="B1506" s="56" t="s">
        <v>66</v>
      </c>
      <c r="C1506" s="56" t="s">
        <v>27</v>
      </c>
      <c r="D1506" s="56" t="s">
        <v>29</v>
      </c>
      <c r="E1506" s="56" t="s">
        <v>69</v>
      </c>
      <c r="F1506" s="56" t="s">
        <v>70</v>
      </c>
      <c r="G1506" s="57">
        <v>4480558934</v>
      </c>
      <c r="H1506" s="56" t="s">
        <v>68</v>
      </c>
      <c r="I1506" s="58" t="str">
        <f t="shared" si="133"/>
        <v>Italy-Online Supplier-Direct</v>
      </c>
      <c r="J1506" s="40"/>
      <c r="K1506" s="59"/>
      <c r="L1506" s="35"/>
      <c r="M1506" s="35"/>
      <c r="N1506" s="35"/>
      <c r="O1506" s="35"/>
      <c r="P1506" s="35"/>
      <c r="Q1506" s="35"/>
      <c r="R1506" s="35"/>
      <c r="S1506" s="35"/>
      <c r="T1506" s="35"/>
      <c r="U1506" s="35"/>
      <c r="V1506" s="35"/>
      <c r="W1506" s="35"/>
      <c r="X1506" s="35"/>
      <c r="Y1506" s="35"/>
      <c r="Z1506" s="35"/>
      <c r="AA1506" s="35"/>
      <c r="AB1506" s="35"/>
      <c r="AC1506" s="35"/>
      <c r="AD1506" s="35"/>
      <c r="AE1506" s="35"/>
      <c r="AF1506" s="35"/>
      <c r="AG1506" s="35"/>
      <c r="AH1506" s="35"/>
      <c r="AI1506" s="35"/>
      <c r="AJ1506" s="35"/>
      <c r="AK1506" s="35"/>
      <c r="AL1506" s="35"/>
      <c r="AM1506" s="35"/>
      <c r="AN1506" s="35"/>
      <c r="AO1506" s="35"/>
      <c r="AP1506" s="35"/>
    </row>
    <row r="1507" spans="1:42" ht="17.25" customHeight="1" x14ac:dyDescent="0.25">
      <c r="A1507" s="60">
        <v>2017</v>
      </c>
      <c r="B1507" s="61" t="s">
        <v>66</v>
      </c>
      <c r="C1507" s="61" t="s">
        <v>27</v>
      </c>
      <c r="D1507" s="61" t="s">
        <v>29</v>
      </c>
      <c r="E1507" s="61" t="s">
        <v>69</v>
      </c>
      <c r="F1507" s="61" t="s">
        <v>71</v>
      </c>
      <c r="G1507" s="62">
        <v>5207859360</v>
      </c>
      <c r="H1507" s="61" t="s">
        <v>68</v>
      </c>
      <c r="I1507" s="63" t="str">
        <f t="shared" si="133"/>
        <v>Italy-OTA</v>
      </c>
      <c r="J1507" s="47"/>
      <c r="K1507" s="54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  <c r="Z1507" s="35"/>
      <c r="AA1507" s="35"/>
      <c r="AB1507" s="35"/>
      <c r="AC1507" s="35"/>
      <c r="AD1507" s="35"/>
      <c r="AE1507" s="35"/>
      <c r="AF1507" s="35"/>
      <c r="AG1507" s="35"/>
      <c r="AH1507" s="35"/>
      <c r="AI1507" s="35"/>
      <c r="AJ1507" s="35"/>
      <c r="AK1507" s="35"/>
      <c r="AL1507" s="35"/>
      <c r="AM1507" s="35"/>
      <c r="AN1507" s="35"/>
      <c r="AO1507" s="35"/>
      <c r="AP1507" s="35"/>
    </row>
    <row r="1508" spans="1:42" ht="17.25" customHeight="1" x14ac:dyDescent="0.25">
      <c r="A1508" s="55">
        <v>2017</v>
      </c>
      <c r="B1508" s="56" t="s">
        <v>66</v>
      </c>
      <c r="C1508" s="56" t="s">
        <v>4</v>
      </c>
      <c r="D1508" s="56" t="s">
        <v>9</v>
      </c>
      <c r="E1508" s="56" t="s">
        <v>67</v>
      </c>
      <c r="F1508" s="56" t="s">
        <v>67</v>
      </c>
      <c r="G1508" s="57">
        <v>57566795206</v>
      </c>
      <c r="H1508" s="56" t="s">
        <v>68</v>
      </c>
      <c r="I1508" s="58" t="str">
        <f t="shared" si="133"/>
        <v>Japan-Offline</v>
      </c>
      <c r="J1508" s="40"/>
      <c r="K1508" s="59"/>
      <c r="L1508" s="35"/>
      <c r="M1508" s="35"/>
      <c r="N1508" s="35"/>
      <c r="O1508" s="35"/>
      <c r="P1508" s="35"/>
      <c r="Q1508" s="35"/>
      <c r="R1508" s="35"/>
      <c r="S1508" s="35"/>
      <c r="T1508" s="35"/>
      <c r="U1508" s="35"/>
      <c r="V1508" s="35"/>
      <c r="W1508" s="35"/>
      <c r="X1508" s="35"/>
      <c r="Y1508" s="35"/>
      <c r="Z1508" s="35"/>
      <c r="AA1508" s="35"/>
      <c r="AB1508" s="35"/>
      <c r="AC1508" s="35"/>
      <c r="AD1508" s="35"/>
      <c r="AE1508" s="35"/>
      <c r="AF1508" s="35"/>
      <c r="AG1508" s="35"/>
      <c r="AH1508" s="35"/>
      <c r="AI1508" s="35"/>
      <c r="AJ1508" s="35"/>
      <c r="AK1508" s="35"/>
      <c r="AL1508" s="35"/>
      <c r="AM1508" s="35"/>
      <c r="AN1508" s="35"/>
      <c r="AO1508" s="35"/>
      <c r="AP1508" s="35"/>
    </row>
    <row r="1509" spans="1:42" ht="17.25" customHeight="1" x14ac:dyDescent="0.25">
      <c r="A1509" s="60">
        <v>2017</v>
      </c>
      <c r="B1509" s="61" t="s">
        <v>66</v>
      </c>
      <c r="C1509" s="61" t="s">
        <v>4</v>
      </c>
      <c r="D1509" s="61" t="s">
        <v>9</v>
      </c>
      <c r="E1509" s="61" t="s">
        <v>69</v>
      </c>
      <c r="F1509" s="61" t="s">
        <v>70</v>
      </c>
      <c r="G1509" s="62">
        <v>22965010237</v>
      </c>
      <c r="H1509" s="61" t="s">
        <v>68</v>
      </c>
      <c r="I1509" s="63" t="str">
        <f t="shared" si="133"/>
        <v>Japan-Online Supplier-Direct</v>
      </c>
      <c r="J1509" s="47"/>
      <c r="K1509" s="54"/>
      <c r="L1509" s="35"/>
      <c r="M1509" s="35"/>
      <c r="N1509" s="35"/>
      <c r="O1509" s="35"/>
      <c r="P1509" s="35"/>
      <c r="Q1509" s="35"/>
      <c r="R1509" s="35"/>
      <c r="S1509" s="35"/>
      <c r="T1509" s="35"/>
      <c r="U1509" s="35"/>
      <c r="V1509" s="35"/>
      <c r="W1509" s="35"/>
      <c r="X1509" s="35"/>
      <c r="Y1509" s="35"/>
      <c r="Z1509" s="35"/>
      <c r="AA1509" s="35"/>
      <c r="AB1509" s="35"/>
      <c r="AC1509" s="35"/>
      <c r="AD1509" s="35"/>
      <c r="AE1509" s="35"/>
      <c r="AF1509" s="35"/>
      <c r="AG1509" s="35"/>
      <c r="AH1509" s="35"/>
      <c r="AI1509" s="35"/>
      <c r="AJ1509" s="35"/>
      <c r="AK1509" s="35"/>
      <c r="AL1509" s="35"/>
      <c r="AM1509" s="35"/>
      <c r="AN1509" s="35"/>
      <c r="AO1509" s="35"/>
      <c r="AP1509" s="35"/>
    </row>
    <row r="1510" spans="1:42" ht="17.25" customHeight="1" x14ac:dyDescent="0.25">
      <c r="A1510" s="55">
        <v>2017</v>
      </c>
      <c r="B1510" s="56" t="s">
        <v>66</v>
      </c>
      <c r="C1510" s="56" t="s">
        <v>4</v>
      </c>
      <c r="D1510" s="56" t="s">
        <v>9</v>
      </c>
      <c r="E1510" s="56" t="s">
        <v>69</v>
      </c>
      <c r="F1510" s="56" t="s">
        <v>71</v>
      </c>
      <c r="G1510" s="57">
        <v>15178636560</v>
      </c>
      <c r="H1510" s="56" t="s">
        <v>68</v>
      </c>
      <c r="I1510" s="58" t="str">
        <f t="shared" si="133"/>
        <v>Japan-OTA</v>
      </c>
      <c r="J1510" s="40"/>
      <c r="K1510" s="59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  <c r="Z1510" s="35"/>
      <c r="AA1510" s="35"/>
      <c r="AB1510" s="35"/>
      <c r="AC1510" s="35"/>
      <c r="AD1510" s="35"/>
      <c r="AE1510" s="35"/>
      <c r="AF1510" s="35"/>
      <c r="AG1510" s="35"/>
      <c r="AH1510" s="35"/>
      <c r="AI1510" s="35"/>
      <c r="AJ1510" s="35"/>
      <c r="AK1510" s="35"/>
      <c r="AL1510" s="35"/>
      <c r="AM1510" s="35"/>
      <c r="AN1510" s="35"/>
      <c r="AO1510" s="35"/>
      <c r="AP1510" s="35"/>
    </row>
    <row r="1511" spans="1:42" ht="17.25" customHeight="1" x14ac:dyDescent="0.25">
      <c r="A1511" s="60">
        <v>2017</v>
      </c>
      <c r="B1511" s="61" t="s">
        <v>66</v>
      </c>
      <c r="C1511" s="61" t="s">
        <v>4</v>
      </c>
      <c r="D1511" s="61" t="s">
        <v>10</v>
      </c>
      <c r="E1511" s="61" t="s">
        <v>67</v>
      </c>
      <c r="F1511" s="61" t="s">
        <v>67</v>
      </c>
      <c r="G1511" s="62">
        <v>1532749004</v>
      </c>
      <c r="H1511" s="61" t="s">
        <v>68</v>
      </c>
      <c r="I1511" s="63" t="str">
        <f t="shared" si="133"/>
        <v>Macau-Offline</v>
      </c>
      <c r="J1511" s="47"/>
      <c r="K1511" s="54"/>
      <c r="L1511" s="35"/>
      <c r="M1511" s="35"/>
      <c r="N1511" s="35"/>
      <c r="O1511" s="35"/>
      <c r="P1511" s="35"/>
      <c r="Q1511" s="35"/>
      <c r="R1511" s="35"/>
      <c r="S1511" s="35"/>
      <c r="T1511" s="35"/>
      <c r="U1511" s="35"/>
      <c r="V1511" s="35"/>
      <c r="W1511" s="35"/>
      <c r="X1511" s="35"/>
      <c r="Y1511" s="35"/>
      <c r="Z1511" s="35"/>
      <c r="AA1511" s="35"/>
      <c r="AB1511" s="35"/>
      <c r="AC1511" s="35"/>
      <c r="AD1511" s="35"/>
      <c r="AE1511" s="35"/>
      <c r="AF1511" s="35"/>
      <c r="AG1511" s="35"/>
      <c r="AH1511" s="35"/>
      <c r="AI1511" s="35"/>
      <c r="AJ1511" s="35"/>
      <c r="AK1511" s="35"/>
      <c r="AL1511" s="35"/>
      <c r="AM1511" s="35"/>
      <c r="AN1511" s="35"/>
      <c r="AO1511" s="35"/>
      <c r="AP1511" s="35"/>
    </row>
    <row r="1512" spans="1:42" ht="17.25" customHeight="1" x14ac:dyDescent="0.25">
      <c r="A1512" s="55">
        <v>2017</v>
      </c>
      <c r="B1512" s="56" t="s">
        <v>66</v>
      </c>
      <c r="C1512" s="56" t="s">
        <v>4</v>
      </c>
      <c r="D1512" s="56" t="s">
        <v>10</v>
      </c>
      <c r="E1512" s="56" t="s">
        <v>69</v>
      </c>
      <c r="F1512" s="56" t="s">
        <v>70</v>
      </c>
      <c r="G1512" s="57">
        <v>61774430</v>
      </c>
      <c r="H1512" s="56" t="s">
        <v>68</v>
      </c>
      <c r="I1512" s="58" t="str">
        <f t="shared" si="133"/>
        <v>Macau-Online Supplier-Direct</v>
      </c>
      <c r="J1512" s="40"/>
      <c r="K1512" s="59"/>
      <c r="L1512" s="35"/>
      <c r="M1512" s="35"/>
      <c r="N1512" s="35"/>
      <c r="O1512" s="35"/>
      <c r="P1512" s="35"/>
      <c r="Q1512" s="35"/>
      <c r="R1512" s="35"/>
      <c r="S1512" s="35"/>
      <c r="T1512" s="35"/>
      <c r="U1512" s="35"/>
      <c r="V1512" s="35"/>
      <c r="W1512" s="35"/>
      <c r="X1512" s="35"/>
      <c r="Y1512" s="35"/>
      <c r="Z1512" s="35"/>
      <c r="AA1512" s="35"/>
      <c r="AB1512" s="35"/>
      <c r="AC1512" s="35"/>
      <c r="AD1512" s="35"/>
      <c r="AE1512" s="35"/>
      <c r="AF1512" s="35"/>
      <c r="AG1512" s="35"/>
      <c r="AH1512" s="35"/>
      <c r="AI1512" s="35"/>
      <c r="AJ1512" s="35"/>
      <c r="AK1512" s="35"/>
      <c r="AL1512" s="35"/>
      <c r="AM1512" s="35"/>
      <c r="AN1512" s="35"/>
      <c r="AO1512" s="35"/>
      <c r="AP1512" s="35"/>
    </row>
    <row r="1513" spans="1:42" ht="17.25" customHeight="1" x14ac:dyDescent="0.25">
      <c r="A1513" s="60">
        <v>2017</v>
      </c>
      <c r="B1513" s="61" t="s">
        <v>66</v>
      </c>
      <c r="C1513" s="61" t="s">
        <v>4</v>
      </c>
      <c r="D1513" s="61" t="s">
        <v>10</v>
      </c>
      <c r="E1513" s="61" t="s">
        <v>69</v>
      </c>
      <c r="F1513" s="61" t="s">
        <v>71</v>
      </c>
      <c r="G1513" s="62">
        <v>263354147</v>
      </c>
      <c r="H1513" s="61" t="s">
        <v>68</v>
      </c>
      <c r="I1513" s="63" t="str">
        <f t="shared" si="133"/>
        <v>Macau-OTA</v>
      </c>
      <c r="J1513" s="47"/>
      <c r="K1513" s="54"/>
      <c r="L1513" s="35"/>
      <c r="M1513" s="35"/>
      <c r="N1513" s="35"/>
      <c r="O1513" s="35"/>
      <c r="P1513" s="35"/>
      <c r="Q1513" s="35"/>
      <c r="R1513" s="35"/>
      <c r="S1513" s="35"/>
      <c r="T1513" s="35"/>
      <c r="U1513" s="35"/>
      <c r="V1513" s="35"/>
      <c r="W1513" s="35"/>
      <c r="X1513" s="35"/>
      <c r="Y1513" s="35"/>
      <c r="Z1513" s="35"/>
      <c r="AA1513" s="35"/>
      <c r="AB1513" s="35"/>
      <c r="AC1513" s="35"/>
      <c r="AD1513" s="35"/>
      <c r="AE1513" s="35"/>
      <c r="AF1513" s="35"/>
      <c r="AG1513" s="35"/>
      <c r="AH1513" s="35"/>
      <c r="AI1513" s="35"/>
      <c r="AJ1513" s="35"/>
      <c r="AK1513" s="35"/>
      <c r="AL1513" s="35"/>
      <c r="AM1513" s="35"/>
      <c r="AN1513" s="35"/>
      <c r="AO1513" s="35"/>
      <c r="AP1513" s="35"/>
    </row>
    <row r="1514" spans="1:42" ht="17.25" customHeight="1" x14ac:dyDescent="0.25">
      <c r="A1514" s="55">
        <v>2017</v>
      </c>
      <c r="B1514" s="56" t="s">
        <v>66</v>
      </c>
      <c r="C1514" s="56" t="s">
        <v>4</v>
      </c>
      <c r="D1514" s="56" t="s">
        <v>11</v>
      </c>
      <c r="E1514" s="56" t="s">
        <v>67</v>
      </c>
      <c r="F1514" s="56" t="s">
        <v>67</v>
      </c>
      <c r="G1514" s="57">
        <v>5051418133</v>
      </c>
      <c r="H1514" s="56" t="s">
        <v>68</v>
      </c>
      <c r="I1514" s="58" t="str">
        <f t="shared" si="133"/>
        <v>Malaysia-Offline</v>
      </c>
      <c r="J1514" s="40"/>
      <c r="K1514" s="59"/>
      <c r="L1514" s="35"/>
      <c r="M1514" s="35"/>
      <c r="N1514" s="35"/>
      <c r="O1514" s="35"/>
      <c r="P1514" s="35"/>
      <c r="Q1514" s="35"/>
      <c r="R1514" s="35"/>
      <c r="S1514" s="35"/>
      <c r="T1514" s="35"/>
      <c r="U1514" s="35"/>
      <c r="V1514" s="35"/>
      <c r="W1514" s="35"/>
      <c r="X1514" s="35"/>
      <c r="Y1514" s="35"/>
      <c r="Z1514" s="35"/>
      <c r="AA1514" s="35"/>
      <c r="AB1514" s="35"/>
      <c r="AC1514" s="35"/>
      <c r="AD1514" s="35"/>
      <c r="AE1514" s="35"/>
      <c r="AF1514" s="35"/>
      <c r="AG1514" s="35"/>
      <c r="AH1514" s="35"/>
      <c r="AI1514" s="35"/>
      <c r="AJ1514" s="35"/>
      <c r="AK1514" s="35"/>
      <c r="AL1514" s="35"/>
      <c r="AM1514" s="35"/>
      <c r="AN1514" s="35"/>
      <c r="AO1514" s="35"/>
      <c r="AP1514" s="35"/>
    </row>
    <row r="1515" spans="1:42" ht="17.25" customHeight="1" x14ac:dyDescent="0.25">
      <c r="A1515" s="60">
        <v>2017</v>
      </c>
      <c r="B1515" s="61" t="s">
        <v>66</v>
      </c>
      <c r="C1515" s="61" t="s">
        <v>4</v>
      </c>
      <c r="D1515" s="61" t="s">
        <v>11</v>
      </c>
      <c r="E1515" s="61" t="s">
        <v>69</v>
      </c>
      <c r="F1515" s="61" t="s">
        <v>70</v>
      </c>
      <c r="G1515" s="62">
        <v>2815754265</v>
      </c>
      <c r="H1515" s="61" t="s">
        <v>68</v>
      </c>
      <c r="I1515" s="63" t="str">
        <f t="shared" si="133"/>
        <v>Malaysia-Online Supplier-Direct</v>
      </c>
      <c r="J1515" s="47"/>
      <c r="K1515" s="54"/>
      <c r="L1515" s="35"/>
      <c r="M1515" s="35"/>
      <c r="N1515" s="35"/>
      <c r="O1515" s="35"/>
      <c r="P1515" s="35"/>
      <c r="Q1515" s="35"/>
      <c r="R1515" s="35"/>
      <c r="S1515" s="35"/>
      <c r="T1515" s="35"/>
      <c r="U1515" s="35"/>
      <c r="V1515" s="35"/>
      <c r="W1515" s="35"/>
      <c r="X1515" s="35"/>
      <c r="Y1515" s="35"/>
      <c r="Z1515" s="35"/>
      <c r="AA1515" s="35"/>
      <c r="AB1515" s="35"/>
      <c r="AC1515" s="35"/>
      <c r="AD1515" s="35"/>
      <c r="AE1515" s="35"/>
      <c r="AF1515" s="35"/>
      <c r="AG1515" s="35"/>
      <c r="AH1515" s="35"/>
      <c r="AI1515" s="35"/>
      <c r="AJ1515" s="35"/>
      <c r="AK1515" s="35"/>
      <c r="AL1515" s="35"/>
      <c r="AM1515" s="35"/>
      <c r="AN1515" s="35"/>
      <c r="AO1515" s="35"/>
      <c r="AP1515" s="35"/>
    </row>
    <row r="1516" spans="1:42" ht="17.25" customHeight="1" x14ac:dyDescent="0.25">
      <c r="A1516" s="55">
        <v>2017</v>
      </c>
      <c r="B1516" s="56" t="s">
        <v>66</v>
      </c>
      <c r="C1516" s="56" t="s">
        <v>4</v>
      </c>
      <c r="D1516" s="56" t="s">
        <v>11</v>
      </c>
      <c r="E1516" s="56" t="s">
        <v>69</v>
      </c>
      <c r="F1516" s="56" t="s">
        <v>71</v>
      </c>
      <c r="G1516" s="57">
        <v>1281353418</v>
      </c>
      <c r="H1516" s="56" t="s">
        <v>68</v>
      </c>
      <c r="I1516" s="58" t="str">
        <f t="shared" si="133"/>
        <v>Malaysia-OTA</v>
      </c>
      <c r="J1516" s="40"/>
      <c r="K1516" s="59"/>
      <c r="L1516" s="35"/>
      <c r="M1516" s="35"/>
      <c r="N1516" s="35"/>
      <c r="O1516" s="35"/>
      <c r="P1516" s="35"/>
      <c r="Q1516" s="35"/>
      <c r="R1516" s="35"/>
      <c r="S1516" s="35"/>
      <c r="T1516" s="35"/>
      <c r="U1516" s="35"/>
      <c r="V1516" s="35"/>
      <c r="W1516" s="35"/>
      <c r="X1516" s="35"/>
      <c r="Y1516" s="35"/>
      <c r="Z1516" s="35"/>
      <c r="AA1516" s="35"/>
      <c r="AB1516" s="35"/>
      <c r="AC1516" s="35"/>
      <c r="AD1516" s="35"/>
      <c r="AE1516" s="35"/>
      <c r="AF1516" s="35"/>
      <c r="AG1516" s="35"/>
      <c r="AH1516" s="35"/>
      <c r="AI1516" s="35"/>
      <c r="AJ1516" s="35"/>
      <c r="AK1516" s="35"/>
      <c r="AL1516" s="35"/>
      <c r="AM1516" s="35"/>
      <c r="AN1516" s="35"/>
      <c r="AO1516" s="35"/>
      <c r="AP1516" s="35"/>
    </row>
    <row r="1517" spans="1:42" ht="17.25" customHeight="1" x14ac:dyDescent="0.25">
      <c r="A1517" s="60">
        <v>2017</v>
      </c>
      <c r="B1517" s="61" t="s">
        <v>66</v>
      </c>
      <c r="C1517" s="61" t="s">
        <v>35</v>
      </c>
      <c r="D1517" s="61" t="s">
        <v>39</v>
      </c>
      <c r="E1517" s="61" t="s">
        <v>67</v>
      </c>
      <c r="F1517" s="61" t="s">
        <v>67</v>
      </c>
      <c r="G1517" s="62">
        <v>15344714201</v>
      </c>
      <c r="H1517" s="61" t="s">
        <v>68</v>
      </c>
      <c r="I1517" s="63" t="str">
        <f t="shared" si="133"/>
        <v>Mexico-Offline</v>
      </c>
      <c r="J1517" s="47"/>
      <c r="K1517" s="54"/>
      <c r="L1517" s="35"/>
      <c r="M1517" s="35"/>
      <c r="N1517" s="35"/>
      <c r="O1517" s="35"/>
      <c r="P1517" s="35"/>
      <c r="Q1517" s="35"/>
      <c r="R1517" s="35"/>
      <c r="S1517" s="35"/>
      <c r="T1517" s="35"/>
      <c r="U1517" s="35"/>
      <c r="V1517" s="35"/>
      <c r="W1517" s="35"/>
      <c r="X1517" s="35"/>
      <c r="Y1517" s="35"/>
      <c r="Z1517" s="35"/>
      <c r="AA1517" s="35"/>
      <c r="AB1517" s="35"/>
      <c r="AC1517" s="35"/>
      <c r="AD1517" s="35"/>
      <c r="AE1517" s="35"/>
      <c r="AF1517" s="35"/>
      <c r="AG1517" s="35"/>
      <c r="AH1517" s="35"/>
      <c r="AI1517" s="35"/>
      <c r="AJ1517" s="35"/>
      <c r="AK1517" s="35"/>
      <c r="AL1517" s="35"/>
      <c r="AM1517" s="35"/>
      <c r="AN1517" s="35"/>
      <c r="AO1517" s="35"/>
      <c r="AP1517" s="35"/>
    </row>
    <row r="1518" spans="1:42" ht="17.25" customHeight="1" x14ac:dyDescent="0.25">
      <c r="A1518" s="55">
        <v>2017</v>
      </c>
      <c r="B1518" s="56" t="s">
        <v>66</v>
      </c>
      <c r="C1518" s="56" t="s">
        <v>35</v>
      </c>
      <c r="D1518" s="56" t="s">
        <v>39</v>
      </c>
      <c r="E1518" s="56" t="s">
        <v>69</v>
      </c>
      <c r="F1518" s="56" t="s">
        <v>70</v>
      </c>
      <c r="G1518" s="57">
        <v>3346212594</v>
      </c>
      <c r="H1518" s="56" t="s">
        <v>68</v>
      </c>
      <c r="I1518" s="58" t="str">
        <f t="shared" si="133"/>
        <v>Mexico-Online Supplier-Direct</v>
      </c>
      <c r="J1518" s="40"/>
      <c r="K1518" s="59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  <c r="Z1518" s="35"/>
      <c r="AA1518" s="35"/>
      <c r="AB1518" s="35"/>
      <c r="AC1518" s="35"/>
      <c r="AD1518" s="35"/>
      <c r="AE1518" s="35"/>
      <c r="AF1518" s="35"/>
      <c r="AG1518" s="35"/>
      <c r="AH1518" s="35"/>
      <c r="AI1518" s="35"/>
      <c r="AJ1518" s="35"/>
      <c r="AK1518" s="35"/>
      <c r="AL1518" s="35"/>
      <c r="AM1518" s="35"/>
      <c r="AN1518" s="35"/>
      <c r="AO1518" s="35"/>
      <c r="AP1518" s="35"/>
    </row>
    <row r="1519" spans="1:42" ht="17.25" customHeight="1" x14ac:dyDescent="0.25">
      <c r="A1519" s="60">
        <v>2017</v>
      </c>
      <c r="B1519" s="61" t="s">
        <v>66</v>
      </c>
      <c r="C1519" s="61" t="s">
        <v>35</v>
      </c>
      <c r="D1519" s="61" t="s">
        <v>39</v>
      </c>
      <c r="E1519" s="61" t="s">
        <v>69</v>
      </c>
      <c r="F1519" s="61" t="s">
        <v>71</v>
      </c>
      <c r="G1519" s="62">
        <v>4371250393</v>
      </c>
      <c r="H1519" s="61" t="s">
        <v>68</v>
      </c>
      <c r="I1519" s="63" t="str">
        <f t="shared" si="133"/>
        <v>Mexico-OTA</v>
      </c>
      <c r="J1519" s="47"/>
      <c r="K1519" s="54"/>
      <c r="L1519" s="35"/>
      <c r="M1519" s="35"/>
      <c r="N1519" s="35"/>
      <c r="O1519" s="35"/>
      <c r="P1519" s="35"/>
      <c r="Q1519" s="35"/>
      <c r="R1519" s="35"/>
      <c r="S1519" s="35"/>
      <c r="T1519" s="35"/>
      <c r="U1519" s="35"/>
      <c r="V1519" s="35"/>
      <c r="W1519" s="35"/>
      <c r="X1519" s="35"/>
      <c r="Y1519" s="35"/>
      <c r="Z1519" s="35"/>
      <c r="AA1519" s="35"/>
      <c r="AB1519" s="35"/>
      <c r="AC1519" s="35"/>
      <c r="AD1519" s="35"/>
      <c r="AE1519" s="35"/>
      <c r="AF1519" s="35"/>
      <c r="AG1519" s="35"/>
      <c r="AH1519" s="35"/>
      <c r="AI1519" s="35"/>
      <c r="AJ1519" s="35"/>
      <c r="AK1519" s="35"/>
      <c r="AL1519" s="35"/>
      <c r="AM1519" s="35"/>
      <c r="AN1519" s="35"/>
      <c r="AO1519" s="35"/>
      <c r="AP1519" s="35"/>
    </row>
    <row r="1520" spans="1:42" ht="17.25" customHeight="1" x14ac:dyDescent="0.25">
      <c r="A1520" s="55">
        <v>2017</v>
      </c>
      <c r="B1520" s="56" t="s">
        <v>66</v>
      </c>
      <c r="C1520" s="56" t="s">
        <v>17</v>
      </c>
      <c r="D1520" s="56" t="s">
        <v>21</v>
      </c>
      <c r="E1520" s="56" t="s">
        <v>67</v>
      </c>
      <c r="F1520" s="56" t="s">
        <v>67</v>
      </c>
      <c r="G1520" s="57">
        <v>2664335890</v>
      </c>
      <c r="H1520" s="56" t="s">
        <v>68</v>
      </c>
      <c r="I1520" s="58" t="str">
        <f t="shared" si="133"/>
        <v>Poland-Offline</v>
      </c>
      <c r="J1520" s="40"/>
      <c r="K1520" s="59"/>
      <c r="L1520" s="35"/>
      <c r="M1520" s="35"/>
      <c r="N1520" s="35"/>
      <c r="O1520" s="35"/>
      <c r="P1520" s="35"/>
      <c r="Q1520" s="35"/>
      <c r="R1520" s="35"/>
      <c r="S1520" s="35"/>
      <c r="T1520" s="35"/>
      <c r="U1520" s="35"/>
      <c r="V1520" s="35"/>
      <c r="W1520" s="35"/>
      <c r="X1520" s="35"/>
      <c r="Y1520" s="35"/>
      <c r="Z1520" s="35"/>
      <c r="AA1520" s="35"/>
      <c r="AB1520" s="35"/>
      <c r="AC1520" s="35"/>
      <c r="AD1520" s="35"/>
      <c r="AE1520" s="35"/>
      <c r="AF1520" s="35"/>
      <c r="AG1520" s="35"/>
      <c r="AH1520" s="35"/>
      <c r="AI1520" s="35"/>
      <c r="AJ1520" s="35"/>
      <c r="AK1520" s="35"/>
      <c r="AL1520" s="35"/>
      <c r="AM1520" s="35"/>
      <c r="AN1520" s="35"/>
      <c r="AO1520" s="35"/>
      <c r="AP1520" s="35"/>
    </row>
    <row r="1521" spans="1:42" ht="17.25" customHeight="1" x14ac:dyDescent="0.25">
      <c r="A1521" s="60">
        <v>2017</v>
      </c>
      <c r="B1521" s="61" t="s">
        <v>66</v>
      </c>
      <c r="C1521" s="61" t="s">
        <v>17</v>
      </c>
      <c r="D1521" s="61" t="s">
        <v>21</v>
      </c>
      <c r="E1521" s="61" t="s">
        <v>69</v>
      </c>
      <c r="F1521" s="61" t="s">
        <v>70</v>
      </c>
      <c r="G1521" s="62">
        <v>984066889</v>
      </c>
      <c r="H1521" s="61" t="s">
        <v>68</v>
      </c>
      <c r="I1521" s="63" t="str">
        <f t="shared" si="133"/>
        <v>Poland-Online Supplier-Direct</v>
      </c>
      <c r="J1521" s="47"/>
      <c r="K1521" s="54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  <c r="AA1521" s="35"/>
      <c r="AB1521" s="35"/>
      <c r="AC1521" s="35"/>
      <c r="AD1521" s="35"/>
      <c r="AE1521" s="35"/>
      <c r="AF1521" s="35"/>
      <c r="AG1521" s="35"/>
      <c r="AH1521" s="35"/>
      <c r="AI1521" s="35"/>
      <c r="AJ1521" s="35"/>
      <c r="AK1521" s="35"/>
      <c r="AL1521" s="35"/>
      <c r="AM1521" s="35"/>
      <c r="AN1521" s="35"/>
      <c r="AO1521" s="35"/>
      <c r="AP1521" s="35"/>
    </row>
    <row r="1522" spans="1:42" ht="17.25" customHeight="1" x14ac:dyDescent="0.25">
      <c r="A1522" s="55">
        <v>2017</v>
      </c>
      <c r="B1522" s="56" t="s">
        <v>66</v>
      </c>
      <c r="C1522" s="56" t="s">
        <v>17</v>
      </c>
      <c r="D1522" s="56" t="s">
        <v>21</v>
      </c>
      <c r="E1522" s="56" t="s">
        <v>69</v>
      </c>
      <c r="F1522" s="56" t="s">
        <v>71</v>
      </c>
      <c r="G1522" s="57">
        <v>699557302</v>
      </c>
      <c r="H1522" s="56" t="s">
        <v>68</v>
      </c>
      <c r="I1522" s="58" t="str">
        <f t="shared" si="133"/>
        <v>Poland-OTA</v>
      </c>
      <c r="J1522" s="40"/>
      <c r="K1522" s="59"/>
      <c r="L1522" s="35"/>
      <c r="M1522" s="35"/>
      <c r="N1522" s="35"/>
      <c r="O1522" s="35"/>
      <c r="P1522" s="35"/>
      <c r="Q1522" s="35"/>
      <c r="R1522" s="35"/>
      <c r="S1522" s="35"/>
      <c r="T1522" s="35"/>
      <c r="U1522" s="35"/>
      <c r="V1522" s="35"/>
      <c r="W1522" s="35"/>
      <c r="X1522" s="35"/>
      <c r="Y1522" s="35"/>
      <c r="Z1522" s="35"/>
      <c r="AA1522" s="35"/>
      <c r="AB1522" s="35"/>
      <c r="AC1522" s="35"/>
      <c r="AD1522" s="35"/>
      <c r="AE1522" s="35"/>
      <c r="AF1522" s="35"/>
      <c r="AG1522" s="35"/>
      <c r="AH1522" s="35"/>
      <c r="AI1522" s="35"/>
      <c r="AJ1522" s="35"/>
      <c r="AK1522" s="35"/>
      <c r="AL1522" s="35"/>
      <c r="AM1522" s="35"/>
      <c r="AN1522" s="35"/>
      <c r="AO1522" s="35"/>
      <c r="AP1522" s="35"/>
    </row>
    <row r="1523" spans="1:42" ht="17.25" customHeight="1" x14ac:dyDescent="0.25">
      <c r="A1523" s="60">
        <v>2017</v>
      </c>
      <c r="B1523" s="61" t="s">
        <v>66</v>
      </c>
      <c r="C1523" s="61" t="s">
        <v>41</v>
      </c>
      <c r="D1523" s="61" t="s">
        <v>42</v>
      </c>
      <c r="E1523" s="61" t="s">
        <v>67</v>
      </c>
      <c r="F1523" s="61" t="s">
        <v>67</v>
      </c>
      <c r="G1523" s="62">
        <v>7915584907</v>
      </c>
      <c r="H1523" s="61" t="s">
        <v>68</v>
      </c>
      <c r="I1523" s="63" t="str">
        <f t="shared" si="133"/>
        <v>Qatar-Offline</v>
      </c>
      <c r="J1523" s="47"/>
      <c r="K1523" s="54"/>
      <c r="L1523" s="35"/>
      <c r="M1523" s="35"/>
      <c r="N1523" s="35"/>
      <c r="O1523" s="35"/>
      <c r="P1523" s="35"/>
      <c r="Q1523" s="35"/>
      <c r="R1523" s="35"/>
      <c r="S1523" s="35"/>
      <c r="T1523" s="35"/>
      <c r="U1523" s="35"/>
      <c r="V1523" s="35"/>
      <c r="W1523" s="35"/>
      <c r="X1523" s="35"/>
      <c r="Y1523" s="35"/>
      <c r="Z1523" s="35"/>
      <c r="AA1523" s="35"/>
      <c r="AB1523" s="35"/>
      <c r="AC1523" s="35"/>
      <c r="AD1523" s="35"/>
      <c r="AE1523" s="35"/>
      <c r="AF1523" s="35"/>
      <c r="AG1523" s="35"/>
      <c r="AH1523" s="35"/>
      <c r="AI1523" s="35"/>
      <c r="AJ1523" s="35"/>
      <c r="AK1523" s="35"/>
      <c r="AL1523" s="35"/>
      <c r="AM1523" s="35"/>
      <c r="AN1523" s="35"/>
      <c r="AO1523" s="35"/>
      <c r="AP1523" s="35"/>
    </row>
    <row r="1524" spans="1:42" ht="17.25" customHeight="1" x14ac:dyDescent="0.25">
      <c r="A1524" s="55">
        <v>2017</v>
      </c>
      <c r="B1524" s="56" t="s">
        <v>66</v>
      </c>
      <c r="C1524" s="56" t="s">
        <v>41</v>
      </c>
      <c r="D1524" s="56" t="s">
        <v>42</v>
      </c>
      <c r="E1524" s="56" t="s">
        <v>69</v>
      </c>
      <c r="F1524" s="56" t="s">
        <v>70</v>
      </c>
      <c r="G1524" s="57">
        <v>1942502216</v>
      </c>
      <c r="H1524" s="56" t="s">
        <v>68</v>
      </c>
      <c r="I1524" s="58" t="str">
        <f t="shared" si="133"/>
        <v>Qatar-Online Supplier-Direct</v>
      </c>
      <c r="J1524" s="40"/>
      <c r="K1524" s="59"/>
      <c r="L1524" s="35"/>
      <c r="M1524" s="35"/>
      <c r="N1524" s="35"/>
      <c r="O1524" s="35"/>
      <c r="P1524" s="35"/>
      <c r="Q1524" s="35"/>
      <c r="R1524" s="35"/>
      <c r="S1524" s="35"/>
      <c r="T1524" s="35"/>
      <c r="U1524" s="35"/>
      <c r="V1524" s="35"/>
      <c r="W1524" s="35"/>
      <c r="X1524" s="35"/>
      <c r="Y1524" s="35"/>
      <c r="Z1524" s="35"/>
      <c r="AA1524" s="35"/>
      <c r="AB1524" s="35"/>
      <c r="AC1524" s="35"/>
      <c r="AD1524" s="35"/>
      <c r="AE1524" s="35"/>
      <c r="AF1524" s="35"/>
      <c r="AG1524" s="35"/>
      <c r="AH1524" s="35"/>
      <c r="AI1524" s="35"/>
      <c r="AJ1524" s="35"/>
      <c r="AK1524" s="35"/>
      <c r="AL1524" s="35"/>
      <c r="AM1524" s="35"/>
      <c r="AN1524" s="35"/>
      <c r="AO1524" s="35"/>
      <c r="AP1524" s="35"/>
    </row>
    <row r="1525" spans="1:42" ht="17.25" customHeight="1" x14ac:dyDescent="0.25">
      <c r="A1525" s="60">
        <v>2017</v>
      </c>
      <c r="B1525" s="61" t="s">
        <v>66</v>
      </c>
      <c r="C1525" s="61" t="s">
        <v>41</v>
      </c>
      <c r="D1525" s="61" t="s">
        <v>42</v>
      </c>
      <c r="E1525" s="61" t="s">
        <v>69</v>
      </c>
      <c r="F1525" s="61" t="s">
        <v>71</v>
      </c>
      <c r="G1525" s="62">
        <v>903735065</v>
      </c>
      <c r="H1525" s="61" t="s">
        <v>68</v>
      </c>
      <c r="I1525" s="63" t="str">
        <f t="shared" si="133"/>
        <v>Qatar-OTA</v>
      </c>
      <c r="J1525" s="47"/>
      <c r="K1525" s="54"/>
      <c r="L1525" s="35"/>
      <c r="M1525" s="35"/>
      <c r="N1525" s="35"/>
      <c r="O1525" s="35"/>
      <c r="P1525" s="35"/>
      <c r="Q1525" s="35"/>
      <c r="R1525" s="35"/>
      <c r="S1525" s="35"/>
      <c r="T1525" s="35"/>
      <c r="U1525" s="35"/>
      <c r="V1525" s="35"/>
      <c r="W1525" s="35"/>
      <c r="X1525" s="35"/>
      <c r="Y1525" s="35"/>
      <c r="Z1525" s="35"/>
      <c r="AA1525" s="35"/>
      <c r="AB1525" s="35"/>
      <c r="AC1525" s="35"/>
      <c r="AD1525" s="35"/>
      <c r="AE1525" s="35"/>
      <c r="AF1525" s="35"/>
      <c r="AG1525" s="35"/>
      <c r="AH1525" s="35"/>
      <c r="AI1525" s="35"/>
      <c r="AJ1525" s="35"/>
      <c r="AK1525" s="35"/>
      <c r="AL1525" s="35"/>
      <c r="AM1525" s="35"/>
      <c r="AN1525" s="35"/>
      <c r="AO1525" s="35"/>
      <c r="AP1525" s="35"/>
    </row>
    <row r="1526" spans="1:42" ht="17.25" customHeight="1" x14ac:dyDescent="0.25">
      <c r="A1526" s="55">
        <v>2017</v>
      </c>
      <c r="B1526" s="56" t="s">
        <v>66</v>
      </c>
      <c r="C1526" s="56" t="s">
        <v>17</v>
      </c>
      <c r="D1526" s="56" t="s">
        <v>22</v>
      </c>
      <c r="E1526" s="56" t="s">
        <v>67</v>
      </c>
      <c r="F1526" s="56" t="s">
        <v>67</v>
      </c>
      <c r="G1526" s="57">
        <v>1076643351</v>
      </c>
      <c r="H1526" s="56" t="s">
        <v>68</v>
      </c>
      <c r="I1526" s="58" t="str">
        <f t="shared" si="133"/>
        <v>Rest of Eastern Europe-Offline</v>
      </c>
      <c r="J1526" s="40"/>
      <c r="K1526" s="59"/>
      <c r="L1526" s="35"/>
      <c r="M1526" s="35"/>
      <c r="N1526" s="35"/>
      <c r="O1526" s="35"/>
      <c r="P1526" s="35"/>
      <c r="Q1526" s="35"/>
      <c r="R1526" s="35"/>
      <c r="S1526" s="35"/>
      <c r="T1526" s="35"/>
      <c r="U1526" s="35"/>
      <c r="V1526" s="35"/>
      <c r="W1526" s="35"/>
      <c r="X1526" s="35"/>
      <c r="Y1526" s="35"/>
      <c r="Z1526" s="35"/>
      <c r="AA1526" s="35"/>
      <c r="AB1526" s="35"/>
      <c r="AC1526" s="35"/>
      <c r="AD1526" s="35"/>
      <c r="AE1526" s="35"/>
      <c r="AF1526" s="35"/>
      <c r="AG1526" s="35"/>
      <c r="AH1526" s="35"/>
      <c r="AI1526" s="35"/>
      <c r="AJ1526" s="35"/>
      <c r="AK1526" s="35"/>
      <c r="AL1526" s="35"/>
      <c r="AM1526" s="35"/>
      <c r="AN1526" s="35"/>
      <c r="AO1526" s="35"/>
      <c r="AP1526" s="35"/>
    </row>
    <row r="1527" spans="1:42" ht="17.25" customHeight="1" x14ac:dyDescent="0.25">
      <c r="A1527" s="60">
        <v>2017</v>
      </c>
      <c r="B1527" s="61" t="s">
        <v>66</v>
      </c>
      <c r="C1527" s="61" t="s">
        <v>17</v>
      </c>
      <c r="D1527" s="61" t="s">
        <v>22</v>
      </c>
      <c r="E1527" s="61" t="s">
        <v>69</v>
      </c>
      <c r="F1527" s="61" t="s">
        <v>70</v>
      </c>
      <c r="G1527" s="62">
        <v>506034490</v>
      </c>
      <c r="H1527" s="61" t="s">
        <v>68</v>
      </c>
      <c r="I1527" s="63" t="str">
        <f t="shared" si="133"/>
        <v>Rest of Eastern Europe-Online Supplier-Direct</v>
      </c>
      <c r="J1527" s="47"/>
      <c r="K1527" s="54"/>
      <c r="L1527" s="35"/>
      <c r="M1527" s="35"/>
      <c r="N1527" s="35"/>
      <c r="O1527" s="35"/>
      <c r="P1527" s="35"/>
      <c r="Q1527" s="35"/>
      <c r="R1527" s="35"/>
      <c r="S1527" s="35"/>
      <c r="T1527" s="35"/>
      <c r="U1527" s="35"/>
      <c r="V1527" s="35"/>
      <c r="W1527" s="35"/>
      <c r="X1527" s="35"/>
      <c r="Y1527" s="35"/>
      <c r="Z1527" s="35"/>
      <c r="AA1527" s="35"/>
      <c r="AB1527" s="35"/>
      <c r="AC1527" s="35"/>
      <c r="AD1527" s="35"/>
      <c r="AE1527" s="35"/>
      <c r="AF1527" s="35"/>
      <c r="AG1527" s="35"/>
      <c r="AH1527" s="35"/>
      <c r="AI1527" s="35"/>
      <c r="AJ1527" s="35"/>
      <c r="AK1527" s="35"/>
      <c r="AL1527" s="35"/>
      <c r="AM1527" s="35"/>
      <c r="AN1527" s="35"/>
      <c r="AO1527" s="35"/>
      <c r="AP1527" s="35"/>
    </row>
    <row r="1528" spans="1:42" ht="17.25" customHeight="1" x14ac:dyDescent="0.25">
      <c r="A1528" s="55">
        <v>2017</v>
      </c>
      <c r="B1528" s="56" t="s">
        <v>66</v>
      </c>
      <c r="C1528" s="56" t="s">
        <v>17</v>
      </c>
      <c r="D1528" s="56" t="s">
        <v>22</v>
      </c>
      <c r="E1528" s="56" t="s">
        <v>69</v>
      </c>
      <c r="F1528" s="56" t="s">
        <v>71</v>
      </c>
      <c r="G1528" s="57">
        <v>317095716</v>
      </c>
      <c r="H1528" s="56" t="s">
        <v>68</v>
      </c>
      <c r="I1528" s="58" t="str">
        <f t="shared" si="133"/>
        <v>Rest of Eastern Europe-OTA</v>
      </c>
      <c r="J1528" s="40"/>
      <c r="K1528" s="59"/>
      <c r="L1528" s="35"/>
      <c r="M1528" s="35"/>
      <c r="N1528" s="35"/>
      <c r="O1528" s="35"/>
      <c r="P1528" s="35"/>
      <c r="Q1528" s="35"/>
      <c r="R1528" s="35"/>
      <c r="S1528" s="35"/>
      <c r="T1528" s="35"/>
      <c r="U1528" s="35"/>
      <c r="V1528" s="35"/>
      <c r="W1528" s="35"/>
      <c r="X1528" s="35"/>
      <c r="Y1528" s="35"/>
      <c r="Z1528" s="35"/>
      <c r="AA1528" s="35"/>
      <c r="AB1528" s="35"/>
      <c r="AC1528" s="35"/>
      <c r="AD1528" s="35"/>
      <c r="AE1528" s="35"/>
      <c r="AF1528" s="35"/>
      <c r="AG1528" s="35"/>
      <c r="AH1528" s="35"/>
      <c r="AI1528" s="35"/>
      <c r="AJ1528" s="35"/>
      <c r="AK1528" s="35"/>
      <c r="AL1528" s="35"/>
      <c r="AM1528" s="35"/>
      <c r="AN1528" s="35"/>
      <c r="AO1528" s="35"/>
      <c r="AP1528" s="35"/>
    </row>
    <row r="1529" spans="1:42" ht="17.25" customHeight="1" x14ac:dyDescent="0.25">
      <c r="A1529" s="60">
        <v>2017</v>
      </c>
      <c r="B1529" s="61" t="s">
        <v>66</v>
      </c>
      <c r="C1529" s="61" t="s">
        <v>27</v>
      </c>
      <c r="D1529" s="61" t="s">
        <v>30</v>
      </c>
      <c r="E1529" s="61" t="s">
        <v>67</v>
      </c>
      <c r="F1529" s="61" t="s">
        <v>67</v>
      </c>
      <c r="G1529" s="62">
        <v>35224296342</v>
      </c>
      <c r="H1529" s="61" t="s">
        <v>68</v>
      </c>
      <c r="I1529" s="63" t="str">
        <f t="shared" si="133"/>
        <v>Rest of Europe-Offline</v>
      </c>
      <c r="J1529" s="47"/>
      <c r="K1529" s="54"/>
      <c r="L1529" s="35"/>
      <c r="M1529" s="35"/>
      <c r="N1529" s="35"/>
      <c r="O1529" s="35"/>
      <c r="P1529" s="35"/>
      <c r="Q1529" s="35"/>
      <c r="R1529" s="35"/>
      <c r="S1529" s="35"/>
      <c r="T1529" s="35"/>
      <c r="U1529" s="35"/>
      <c r="V1529" s="35"/>
      <c r="W1529" s="35"/>
      <c r="X1529" s="35"/>
      <c r="Y1529" s="35"/>
      <c r="Z1529" s="35"/>
      <c r="AA1529" s="35"/>
      <c r="AB1529" s="35"/>
      <c r="AC1529" s="35"/>
      <c r="AD1529" s="35"/>
      <c r="AE1529" s="35"/>
      <c r="AF1529" s="35"/>
      <c r="AG1529" s="35"/>
      <c r="AH1529" s="35"/>
      <c r="AI1529" s="35"/>
      <c r="AJ1529" s="35"/>
      <c r="AK1529" s="35"/>
      <c r="AL1529" s="35"/>
      <c r="AM1529" s="35"/>
      <c r="AN1529" s="35"/>
      <c r="AO1529" s="35"/>
      <c r="AP1529" s="35"/>
    </row>
    <row r="1530" spans="1:42" ht="17.25" customHeight="1" x14ac:dyDescent="0.25">
      <c r="A1530" s="55">
        <v>2017</v>
      </c>
      <c r="B1530" s="56" t="s">
        <v>66</v>
      </c>
      <c r="C1530" s="56" t="s">
        <v>27</v>
      </c>
      <c r="D1530" s="56" t="s">
        <v>30</v>
      </c>
      <c r="E1530" s="56" t="s">
        <v>69</v>
      </c>
      <c r="F1530" s="56" t="s">
        <v>70</v>
      </c>
      <c r="G1530" s="57">
        <v>18348961493</v>
      </c>
      <c r="H1530" s="56" t="s">
        <v>68</v>
      </c>
      <c r="I1530" s="58" t="str">
        <f t="shared" si="133"/>
        <v>Rest of Europe-Online Supplier-Direct</v>
      </c>
      <c r="J1530" s="40"/>
      <c r="K1530" s="59"/>
      <c r="L1530" s="35"/>
      <c r="M1530" s="35"/>
      <c r="N1530" s="35"/>
      <c r="O1530" s="35"/>
      <c r="P1530" s="35"/>
      <c r="Q1530" s="35"/>
      <c r="R1530" s="35"/>
      <c r="S1530" s="35"/>
      <c r="T1530" s="35"/>
      <c r="U1530" s="35"/>
      <c r="V1530" s="35"/>
      <c r="W1530" s="35"/>
      <c r="X1530" s="35"/>
      <c r="Y1530" s="35"/>
      <c r="Z1530" s="35"/>
      <c r="AA1530" s="35"/>
      <c r="AB1530" s="35"/>
      <c r="AC1530" s="35"/>
      <c r="AD1530" s="35"/>
      <c r="AE1530" s="35"/>
      <c r="AF1530" s="35"/>
      <c r="AG1530" s="35"/>
      <c r="AH1530" s="35"/>
      <c r="AI1530" s="35"/>
      <c r="AJ1530" s="35"/>
      <c r="AK1530" s="35"/>
      <c r="AL1530" s="35"/>
      <c r="AM1530" s="35"/>
      <c r="AN1530" s="35"/>
      <c r="AO1530" s="35"/>
      <c r="AP1530" s="35"/>
    </row>
    <row r="1531" spans="1:42" ht="17.25" customHeight="1" x14ac:dyDescent="0.25">
      <c r="A1531" s="60">
        <v>2017</v>
      </c>
      <c r="B1531" s="61" t="s">
        <v>66</v>
      </c>
      <c r="C1531" s="61" t="s">
        <v>27</v>
      </c>
      <c r="D1531" s="61" t="s">
        <v>30</v>
      </c>
      <c r="E1531" s="61" t="s">
        <v>69</v>
      </c>
      <c r="F1531" s="61" t="s">
        <v>71</v>
      </c>
      <c r="G1531" s="62">
        <v>9510340635</v>
      </c>
      <c r="H1531" s="61" t="s">
        <v>68</v>
      </c>
      <c r="I1531" s="63" t="str">
        <f t="shared" si="133"/>
        <v>Rest of Europe-OTA</v>
      </c>
      <c r="J1531" s="47"/>
      <c r="K1531" s="54"/>
      <c r="L1531" s="35"/>
      <c r="M1531" s="35"/>
      <c r="N1531" s="35"/>
      <c r="O1531" s="35"/>
      <c r="P1531" s="35"/>
      <c r="Q1531" s="35"/>
      <c r="R1531" s="35"/>
      <c r="S1531" s="35"/>
      <c r="T1531" s="35"/>
      <c r="U1531" s="35"/>
      <c r="V1531" s="35"/>
      <c r="W1531" s="35"/>
      <c r="X1531" s="35"/>
      <c r="Y1531" s="35"/>
      <c r="Z1531" s="35"/>
      <c r="AA1531" s="35"/>
      <c r="AB1531" s="35"/>
      <c r="AC1531" s="35"/>
      <c r="AD1531" s="35"/>
      <c r="AE1531" s="35"/>
      <c r="AF1531" s="35"/>
      <c r="AG1531" s="35"/>
      <c r="AH1531" s="35"/>
      <c r="AI1531" s="35"/>
      <c r="AJ1531" s="35"/>
      <c r="AK1531" s="35"/>
      <c r="AL1531" s="35"/>
      <c r="AM1531" s="35"/>
      <c r="AN1531" s="35"/>
      <c r="AO1531" s="35"/>
      <c r="AP1531" s="35"/>
    </row>
    <row r="1532" spans="1:42" ht="17.25" customHeight="1" x14ac:dyDescent="0.25">
      <c r="A1532" s="55">
        <v>2017</v>
      </c>
      <c r="B1532" s="56" t="s">
        <v>66</v>
      </c>
      <c r="C1532" s="56" t="s">
        <v>41</v>
      </c>
      <c r="D1532" s="56" t="s">
        <v>43</v>
      </c>
      <c r="E1532" s="56" t="s">
        <v>67</v>
      </c>
      <c r="F1532" s="56" t="s">
        <v>67</v>
      </c>
      <c r="G1532" s="57">
        <v>7830860079</v>
      </c>
      <c r="H1532" s="56" t="s">
        <v>68</v>
      </c>
      <c r="I1532" s="58" t="str">
        <f t="shared" ref="I1532:I1786" si="134">D1532&amp;"-"&amp;F1532</f>
        <v>Rest of Middle East-Offline</v>
      </c>
      <c r="J1532" s="40"/>
      <c r="K1532" s="59"/>
      <c r="L1532" s="35"/>
      <c r="M1532" s="35"/>
      <c r="N1532" s="35"/>
      <c r="O1532" s="35"/>
      <c r="P1532" s="35"/>
      <c r="Q1532" s="35"/>
      <c r="R1532" s="35"/>
      <c r="S1532" s="35"/>
      <c r="T1532" s="35"/>
      <c r="U1532" s="35"/>
      <c r="V1532" s="35"/>
      <c r="W1532" s="35"/>
      <c r="X1532" s="35"/>
      <c r="Y1532" s="35"/>
      <c r="Z1532" s="35"/>
      <c r="AA1532" s="35"/>
      <c r="AB1532" s="35"/>
      <c r="AC1532" s="35"/>
      <c r="AD1532" s="35"/>
      <c r="AE1532" s="35"/>
      <c r="AF1532" s="35"/>
      <c r="AG1532" s="35"/>
      <c r="AH1532" s="35"/>
      <c r="AI1532" s="35"/>
      <c r="AJ1532" s="35"/>
      <c r="AK1532" s="35"/>
      <c r="AL1532" s="35"/>
      <c r="AM1532" s="35"/>
      <c r="AN1532" s="35"/>
      <c r="AO1532" s="35"/>
      <c r="AP1532" s="35"/>
    </row>
    <row r="1533" spans="1:42" ht="17.25" customHeight="1" x14ac:dyDescent="0.25">
      <c r="A1533" s="60">
        <v>2017</v>
      </c>
      <c r="B1533" s="61" t="s">
        <v>66</v>
      </c>
      <c r="C1533" s="61" t="s">
        <v>41</v>
      </c>
      <c r="D1533" s="61" t="s">
        <v>43</v>
      </c>
      <c r="E1533" s="61" t="s">
        <v>69</v>
      </c>
      <c r="F1533" s="61" t="s">
        <v>70</v>
      </c>
      <c r="G1533" s="62">
        <v>1287422598</v>
      </c>
      <c r="H1533" s="61" t="s">
        <v>68</v>
      </c>
      <c r="I1533" s="63" t="str">
        <f t="shared" si="134"/>
        <v>Rest of Middle East-Online Supplier-Direct</v>
      </c>
      <c r="J1533" s="47"/>
      <c r="K1533" s="54"/>
      <c r="L1533" s="35"/>
      <c r="M1533" s="35"/>
      <c r="N1533" s="35"/>
      <c r="O1533" s="35"/>
      <c r="P1533" s="35"/>
      <c r="Q1533" s="35"/>
      <c r="R1533" s="35"/>
      <c r="S1533" s="35"/>
      <c r="T1533" s="35"/>
      <c r="U1533" s="35"/>
      <c r="V1533" s="35"/>
      <c r="W1533" s="35"/>
      <c r="X1533" s="35"/>
      <c r="Y1533" s="35"/>
      <c r="Z1533" s="35"/>
      <c r="AA1533" s="35"/>
      <c r="AB1533" s="35"/>
      <c r="AC1533" s="35"/>
      <c r="AD1533" s="35"/>
      <c r="AE1533" s="35"/>
      <c r="AF1533" s="35"/>
      <c r="AG1533" s="35"/>
      <c r="AH1533" s="35"/>
      <c r="AI1533" s="35"/>
      <c r="AJ1533" s="35"/>
      <c r="AK1533" s="35"/>
      <c r="AL1533" s="35"/>
      <c r="AM1533" s="35"/>
      <c r="AN1533" s="35"/>
      <c r="AO1533" s="35"/>
      <c r="AP1533" s="35"/>
    </row>
    <row r="1534" spans="1:42" ht="17.25" customHeight="1" x14ac:dyDescent="0.25">
      <c r="A1534" s="55">
        <v>2017</v>
      </c>
      <c r="B1534" s="56" t="s">
        <v>66</v>
      </c>
      <c r="C1534" s="56" t="s">
        <v>41</v>
      </c>
      <c r="D1534" s="56" t="s">
        <v>43</v>
      </c>
      <c r="E1534" s="56" t="s">
        <v>69</v>
      </c>
      <c r="F1534" s="56" t="s">
        <v>71</v>
      </c>
      <c r="G1534" s="57">
        <v>1437808821</v>
      </c>
      <c r="H1534" s="56" t="s">
        <v>68</v>
      </c>
      <c r="I1534" s="58" t="str">
        <f t="shared" si="134"/>
        <v>Rest of Middle East-OTA</v>
      </c>
      <c r="J1534" s="40"/>
      <c r="K1534" s="59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  <c r="AG1534" s="35"/>
      <c r="AH1534" s="35"/>
      <c r="AI1534" s="35"/>
      <c r="AJ1534" s="35"/>
      <c r="AK1534" s="35"/>
      <c r="AL1534" s="35"/>
      <c r="AM1534" s="35"/>
      <c r="AN1534" s="35"/>
      <c r="AO1534" s="35"/>
      <c r="AP1534" s="35"/>
    </row>
    <row r="1535" spans="1:42" ht="17.25" customHeight="1" x14ac:dyDescent="0.25">
      <c r="A1535" s="60">
        <v>2017</v>
      </c>
      <c r="B1535" s="61" t="s">
        <v>66</v>
      </c>
      <c r="C1535" s="61" t="s">
        <v>17</v>
      </c>
      <c r="D1535" s="61" t="s">
        <v>23</v>
      </c>
      <c r="E1535" s="61" t="s">
        <v>67</v>
      </c>
      <c r="F1535" s="61" t="s">
        <v>67</v>
      </c>
      <c r="G1535" s="62">
        <v>1284782155</v>
      </c>
      <c r="H1535" s="61" t="s">
        <v>68</v>
      </c>
      <c r="I1535" s="63" t="str">
        <f t="shared" si="134"/>
        <v>Romania-Offline</v>
      </c>
      <c r="J1535" s="47"/>
      <c r="K1535" s="54"/>
      <c r="L1535" s="35"/>
      <c r="M1535" s="35"/>
      <c r="N1535" s="35"/>
      <c r="O1535" s="35"/>
      <c r="P1535" s="35"/>
      <c r="Q1535" s="35"/>
      <c r="R1535" s="35"/>
      <c r="S1535" s="35"/>
      <c r="T1535" s="35"/>
      <c r="U1535" s="35"/>
      <c r="V1535" s="35"/>
      <c r="W1535" s="35"/>
      <c r="X1535" s="35"/>
      <c r="Y1535" s="35"/>
      <c r="Z1535" s="35"/>
      <c r="AA1535" s="35"/>
      <c r="AB1535" s="35"/>
      <c r="AC1535" s="35"/>
      <c r="AD1535" s="35"/>
      <c r="AE1535" s="35"/>
      <c r="AF1535" s="35"/>
      <c r="AG1535" s="35"/>
      <c r="AH1535" s="35"/>
      <c r="AI1535" s="35"/>
      <c r="AJ1535" s="35"/>
      <c r="AK1535" s="35"/>
      <c r="AL1535" s="35"/>
      <c r="AM1535" s="35"/>
      <c r="AN1535" s="35"/>
      <c r="AO1535" s="35"/>
      <c r="AP1535" s="35"/>
    </row>
    <row r="1536" spans="1:42" ht="17.25" customHeight="1" x14ac:dyDescent="0.25">
      <c r="A1536" s="55">
        <v>2017</v>
      </c>
      <c r="B1536" s="56" t="s">
        <v>66</v>
      </c>
      <c r="C1536" s="56" t="s">
        <v>17</v>
      </c>
      <c r="D1536" s="56" t="s">
        <v>23</v>
      </c>
      <c r="E1536" s="56" t="s">
        <v>69</v>
      </c>
      <c r="F1536" s="56" t="s">
        <v>70</v>
      </c>
      <c r="G1536" s="57">
        <v>618055139</v>
      </c>
      <c r="H1536" s="56" t="s">
        <v>68</v>
      </c>
      <c r="I1536" s="58" t="str">
        <f t="shared" si="134"/>
        <v>Romania-Online Supplier-Direct</v>
      </c>
      <c r="J1536" s="40"/>
      <c r="K1536" s="59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  <c r="AA1536" s="35"/>
      <c r="AB1536" s="35"/>
      <c r="AC1536" s="35"/>
      <c r="AD1536" s="35"/>
      <c r="AE1536" s="35"/>
      <c r="AF1536" s="35"/>
      <c r="AG1536" s="35"/>
      <c r="AH1536" s="35"/>
      <c r="AI1536" s="35"/>
      <c r="AJ1536" s="35"/>
      <c r="AK1536" s="35"/>
      <c r="AL1536" s="35"/>
      <c r="AM1536" s="35"/>
      <c r="AN1536" s="35"/>
      <c r="AO1536" s="35"/>
      <c r="AP1536" s="35"/>
    </row>
    <row r="1537" spans="1:42" ht="17.25" customHeight="1" x14ac:dyDescent="0.25">
      <c r="A1537" s="60">
        <v>2017</v>
      </c>
      <c r="B1537" s="61" t="s">
        <v>66</v>
      </c>
      <c r="C1537" s="61" t="s">
        <v>17</v>
      </c>
      <c r="D1537" s="61" t="s">
        <v>23</v>
      </c>
      <c r="E1537" s="61" t="s">
        <v>69</v>
      </c>
      <c r="F1537" s="61" t="s">
        <v>71</v>
      </c>
      <c r="G1537" s="62">
        <v>323323837</v>
      </c>
      <c r="H1537" s="61" t="s">
        <v>68</v>
      </c>
      <c r="I1537" s="63" t="str">
        <f t="shared" si="134"/>
        <v>Romania-OTA</v>
      </c>
      <c r="J1537" s="47"/>
      <c r="K1537" s="54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  <c r="Z1537" s="35"/>
      <c r="AA1537" s="35"/>
      <c r="AB1537" s="35"/>
      <c r="AC1537" s="35"/>
      <c r="AD1537" s="35"/>
      <c r="AE1537" s="35"/>
      <c r="AF1537" s="35"/>
      <c r="AG1537" s="35"/>
      <c r="AH1537" s="35"/>
      <c r="AI1537" s="35"/>
      <c r="AJ1537" s="35"/>
      <c r="AK1537" s="35"/>
      <c r="AL1537" s="35"/>
      <c r="AM1537" s="35"/>
      <c r="AN1537" s="35"/>
      <c r="AO1537" s="35"/>
      <c r="AP1537" s="35"/>
    </row>
    <row r="1538" spans="1:42" ht="17.25" customHeight="1" x14ac:dyDescent="0.25">
      <c r="A1538" s="55">
        <v>2017</v>
      </c>
      <c r="B1538" s="56" t="s">
        <v>66</v>
      </c>
      <c r="C1538" s="56" t="s">
        <v>17</v>
      </c>
      <c r="D1538" s="56" t="s">
        <v>24</v>
      </c>
      <c r="E1538" s="56" t="s">
        <v>67</v>
      </c>
      <c r="F1538" s="56" t="s">
        <v>67</v>
      </c>
      <c r="G1538" s="57">
        <v>22339041227</v>
      </c>
      <c r="H1538" s="56" t="s">
        <v>68</v>
      </c>
      <c r="I1538" s="58" t="str">
        <f t="shared" si="134"/>
        <v>Russia-Offline</v>
      </c>
      <c r="J1538" s="40"/>
      <c r="K1538" s="59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  <c r="Z1538" s="35"/>
      <c r="AA1538" s="35"/>
      <c r="AB1538" s="35"/>
      <c r="AC1538" s="35"/>
      <c r="AD1538" s="35"/>
      <c r="AE1538" s="35"/>
      <c r="AF1538" s="35"/>
      <c r="AG1538" s="35"/>
      <c r="AH1538" s="35"/>
      <c r="AI1538" s="35"/>
      <c r="AJ1538" s="35"/>
      <c r="AK1538" s="35"/>
      <c r="AL1538" s="35"/>
      <c r="AM1538" s="35"/>
      <c r="AN1538" s="35"/>
      <c r="AO1538" s="35"/>
      <c r="AP1538" s="35"/>
    </row>
    <row r="1539" spans="1:42" ht="17.25" customHeight="1" x14ac:dyDescent="0.25">
      <c r="A1539" s="60">
        <v>2017</v>
      </c>
      <c r="B1539" s="61" t="s">
        <v>66</v>
      </c>
      <c r="C1539" s="61" t="s">
        <v>17</v>
      </c>
      <c r="D1539" s="61" t="s">
        <v>24</v>
      </c>
      <c r="E1539" s="61" t="s">
        <v>69</v>
      </c>
      <c r="F1539" s="61" t="s">
        <v>70</v>
      </c>
      <c r="G1539" s="62">
        <v>7338223055</v>
      </c>
      <c r="H1539" s="61" t="s">
        <v>68</v>
      </c>
      <c r="I1539" s="63" t="str">
        <f t="shared" si="134"/>
        <v>Russia-Online Supplier-Direct</v>
      </c>
      <c r="J1539" s="47"/>
      <c r="K1539" s="54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  <c r="AA1539" s="35"/>
      <c r="AB1539" s="35"/>
      <c r="AC1539" s="35"/>
      <c r="AD1539" s="35"/>
      <c r="AE1539" s="35"/>
      <c r="AF1539" s="35"/>
      <c r="AG1539" s="35"/>
      <c r="AH1539" s="35"/>
      <c r="AI1539" s="35"/>
      <c r="AJ1539" s="35"/>
      <c r="AK1539" s="35"/>
      <c r="AL1539" s="35"/>
      <c r="AM1539" s="35"/>
      <c r="AN1539" s="35"/>
      <c r="AO1539" s="35"/>
      <c r="AP1539" s="35"/>
    </row>
    <row r="1540" spans="1:42" ht="17.25" customHeight="1" x14ac:dyDescent="0.25">
      <c r="A1540" s="55">
        <v>2017</v>
      </c>
      <c r="B1540" s="56" t="s">
        <v>66</v>
      </c>
      <c r="C1540" s="56" t="s">
        <v>17</v>
      </c>
      <c r="D1540" s="56" t="s">
        <v>24</v>
      </c>
      <c r="E1540" s="56" t="s">
        <v>69</v>
      </c>
      <c r="F1540" s="56" t="s">
        <v>71</v>
      </c>
      <c r="G1540" s="57">
        <v>4995247753</v>
      </c>
      <c r="H1540" s="56" t="s">
        <v>68</v>
      </c>
      <c r="I1540" s="58" t="str">
        <f t="shared" si="134"/>
        <v>Russia-OTA</v>
      </c>
      <c r="J1540" s="40"/>
      <c r="K1540" s="59"/>
      <c r="L1540" s="35"/>
      <c r="M1540" s="35"/>
      <c r="N1540" s="35"/>
      <c r="O1540" s="35"/>
      <c r="P1540" s="35"/>
      <c r="Q1540" s="35"/>
      <c r="R1540" s="35"/>
      <c r="S1540" s="35"/>
      <c r="T1540" s="35"/>
      <c r="U1540" s="35"/>
      <c r="V1540" s="35"/>
      <c r="W1540" s="35"/>
      <c r="X1540" s="35"/>
      <c r="Y1540" s="35"/>
      <c r="Z1540" s="35"/>
      <c r="AA1540" s="35"/>
      <c r="AB1540" s="35"/>
      <c r="AC1540" s="35"/>
      <c r="AD1540" s="35"/>
      <c r="AE1540" s="35"/>
      <c r="AF1540" s="35"/>
      <c r="AG1540" s="35"/>
      <c r="AH1540" s="35"/>
      <c r="AI1540" s="35"/>
      <c r="AJ1540" s="35"/>
      <c r="AK1540" s="35"/>
      <c r="AL1540" s="35"/>
      <c r="AM1540" s="35"/>
      <c r="AN1540" s="35"/>
      <c r="AO1540" s="35"/>
      <c r="AP1540" s="35"/>
    </row>
    <row r="1541" spans="1:42" ht="17.25" customHeight="1" x14ac:dyDescent="0.25">
      <c r="A1541" s="60">
        <v>2017</v>
      </c>
      <c r="B1541" s="61" t="s">
        <v>66</v>
      </c>
      <c r="C1541" s="61" t="s">
        <v>41</v>
      </c>
      <c r="D1541" s="61" t="s">
        <v>44</v>
      </c>
      <c r="E1541" s="61" t="s">
        <v>67</v>
      </c>
      <c r="F1541" s="61" t="s">
        <v>67</v>
      </c>
      <c r="G1541" s="62">
        <v>9683481748</v>
      </c>
      <c r="H1541" s="61" t="s">
        <v>68</v>
      </c>
      <c r="I1541" s="63" t="str">
        <f t="shared" si="134"/>
        <v>Saudi Arabia-Offline</v>
      </c>
      <c r="J1541" s="47"/>
      <c r="K1541" s="54"/>
      <c r="L1541" s="35"/>
      <c r="M1541" s="35"/>
      <c r="N1541" s="35"/>
      <c r="O1541" s="35"/>
      <c r="P1541" s="35"/>
      <c r="Q1541" s="35"/>
      <c r="R1541" s="35"/>
      <c r="S1541" s="35"/>
      <c r="T1541" s="35"/>
      <c r="U1541" s="35"/>
      <c r="V1541" s="35"/>
      <c r="W1541" s="35"/>
      <c r="X1541" s="35"/>
      <c r="Y1541" s="35"/>
      <c r="Z1541" s="35"/>
      <c r="AA1541" s="35"/>
      <c r="AB1541" s="35"/>
      <c r="AC1541" s="35"/>
      <c r="AD1541" s="35"/>
      <c r="AE1541" s="35"/>
      <c r="AF1541" s="35"/>
      <c r="AG1541" s="35"/>
      <c r="AH1541" s="35"/>
      <c r="AI1541" s="35"/>
      <c r="AJ1541" s="35"/>
      <c r="AK1541" s="35"/>
      <c r="AL1541" s="35"/>
      <c r="AM1541" s="35"/>
      <c r="AN1541" s="35"/>
      <c r="AO1541" s="35"/>
      <c r="AP1541" s="35"/>
    </row>
    <row r="1542" spans="1:42" ht="17.25" customHeight="1" x14ac:dyDescent="0.25">
      <c r="A1542" s="55">
        <v>2017</v>
      </c>
      <c r="B1542" s="56" t="s">
        <v>66</v>
      </c>
      <c r="C1542" s="56" t="s">
        <v>41</v>
      </c>
      <c r="D1542" s="56" t="s">
        <v>44</v>
      </c>
      <c r="E1542" s="56" t="s">
        <v>69</v>
      </c>
      <c r="F1542" s="56" t="s">
        <v>70</v>
      </c>
      <c r="G1542" s="57">
        <v>2027494571</v>
      </c>
      <c r="H1542" s="56" t="s">
        <v>68</v>
      </c>
      <c r="I1542" s="58" t="str">
        <f t="shared" si="134"/>
        <v>Saudi Arabia-Online Supplier-Direct</v>
      </c>
      <c r="J1542" s="40"/>
      <c r="K1542" s="59"/>
      <c r="L1542" s="35"/>
      <c r="M1542" s="35"/>
      <c r="N1542" s="35"/>
      <c r="O1542" s="35"/>
      <c r="P1542" s="35"/>
      <c r="Q1542" s="35"/>
      <c r="R1542" s="35"/>
      <c r="S1542" s="35"/>
      <c r="T1542" s="35"/>
      <c r="U1542" s="35"/>
      <c r="V1542" s="35"/>
      <c r="W1542" s="35"/>
      <c r="X1542" s="35"/>
      <c r="Y1542" s="35"/>
      <c r="Z1542" s="35"/>
      <c r="AA1542" s="35"/>
      <c r="AB1542" s="35"/>
      <c r="AC1542" s="35"/>
      <c r="AD1542" s="35"/>
      <c r="AE1542" s="35"/>
      <c r="AF1542" s="35"/>
      <c r="AG1542" s="35"/>
      <c r="AH1542" s="35"/>
      <c r="AI1542" s="35"/>
      <c r="AJ1542" s="35"/>
      <c r="AK1542" s="35"/>
      <c r="AL1542" s="35"/>
      <c r="AM1542" s="35"/>
      <c r="AN1542" s="35"/>
      <c r="AO1542" s="35"/>
      <c r="AP1542" s="35"/>
    </row>
    <row r="1543" spans="1:42" ht="17.25" customHeight="1" x14ac:dyDescent="0.25">
      <c r="A1543" s="60">
        <v>2017</v>
      </c>
      <c r="B1543" s="61" t="s">
        <v>66</v>
      </c>
      <c r="C1543" s="61" t="s">
        <v>41</v>
      </c>
      <c r="D1543" s="61" t="s">
        <v>44</v>
      </c>
      <c r="E1543" s="61" t="s">
        <v>69</v>
      </c>
      <c r="F1543" s="61" t="s">
        <v>71</v>
      </c>
      <c r="G1543" s="62">
        <v>1855312752</v>
      </c>
      <c r="H1543" s="61" t="s">
        <v>68</v>
      </c>
      <c r="I1543" s="63" t="str">
        <f t="shared" si="134"/>
        <v>Saudi Arabia-OTA</v>
      </c>
      <c r="J1543" s="47"/>
      <c r="K1543" s="54"/>
      <c r="L1543" s="35"/>
      <c r="M1543" s="35"/>
      <c r="N1543" s="35"/>
      <c r="O1543" s="35"/>
      <c r="P1543" s="35"/>
      <c r="Q1543" s="35"/>
      <c r="R1543" s="35"/>
      <c r="S1543" s="35"/>
      <c r="T1543" s="35"/>
      <c r="U1543" s="35"/>
      <c r="V1543" s="35"/>
      <c r="W1543" s="35"/>
      <c r="X1543" s="35"/>
      <c r="Y1543" s="35"/>
      <c r="Z1543" s="35"/>
      <c r="AA1543" s="35"/>
      <c r="AB1543" s="35"/>
      <c r="AC1543" s="35"/>
      <c r="AD1543" s="35"/>
      <c r="AE1543" s="35"/>
      <c r="AF1543" s="35"/>
      <c r="AG1543" s="35"/>
      <c r="AH1543" s="35"/>
      <c r="AI1543" s="35"/>
      <c r="AJ1543" s="35"/>
      <c r="AK1543" s="35"/>
      <c r="AL1543" s="35"/>
      <c r="AM1543" s="35"/>
      <c r="AN1543" s="35"/>
      <c r="AO1543" s="35"/>
      <c r="AP1543" s="35"/>
    </row>
    <row r="1544" spans="1:42" ht="17.25" customHeight="1" x14ac:dyDescent="0.25">
      <c r="A1544" s="55">
        <v>2017</v>
      </c>
      <c r="B1544" s="56" t="s">
        <v>66</v>
      </c>
      <c r="C1544" s="56" t="s">
        <v>27</v>
      </c>
      <c r="D1544" s="56" t="s">
        <v>31</v>
      </c>
      <c r="E1544" s="56" t="s">
        <v>67</v>
      </c>
      <c r="F1544" s="56" t="s">
        <v>67</v>
      </c>
      <c r="G1544" s="57">
        <v>9599356568</v>
      </c>
      <c r="H1544" s="56" t="s">
        <v>68</v>
      </c>
      <c r="I1544" s="58" t="str">
        <f t="shared" si="134"/>
        <v>Scandinavia-Offline</v>
      </c>
      <c r="J1544" s="40"/>
      <c r="K1544" s="59"/>
      <c r="L1544" s="35"/>
      <c r="M1544" s="35"/>
      <c r="N1544" s="35"/>
      <c r="O1544" s="35"/>
      <c r="P1544" s="35"/>
      <c r="Q1544" s="35"/>
      <c r="R1544" s="35"/>
      <c r="S1544" s="35"/>
      <c r="T1544" s="35"/>
      <c r="U1544" s="35"/>
      <c r="V1544" s="35"/>
      <c r="W1544" s="35"/>
      <c r="X1544" s="35"/>
      <c r="Y1544" s="35"/>
      <c r="Z1544" s="35"/>
      <c r="AA1544" s="35"/>
      <c r="AB1544" s="35"/>
      <c r="AC1544" s="35"/>
      <c r="AD1544" s="35"/>
      <c r="AE1544" s="35"/>
      <c r="AF1544" s="35"/>
      <c r="AG1544" s="35"/>
      <c r="AH1544" s="35"/>
      <c r="AI1544" s="35"/>
      <c r="AJ1544" s="35"/>
      <c r="AK1544" s="35"/>
      <c r="AL1544" s="35"/>
      <c r="AM1544" s="35"/>
      <c r="AN1544" s="35"/>
      <c r="AO1544" s="35"/>
      <c r="AP1544" s="35"/>
    </row>
    <row r="1545" spans="1:42" ht="17.25" customHeight="1" x14ac:dyDescent="0.25">
      <c r="A1545" s="60">
        <v>2017</v>
      </c>
      <c r="B1545" s="61" t="s">
        <v>66</v>
      </c>
      <c r="C1545" s="61" t="s">
        <v>27</v>
      </c>
      <c r="D1545" s="61" t="s">
        <v>31</v>
      </c>
      <c r="E1545" s="61" t="s">
        <v>69</v>
      </c>
      <c r="F1545" s="61" t="s">
        <v>70</v>
      </c>
      <c r="G1545" s="62">
        <v>9709178171</v>
      </c>
      <c r="H1545" s="61" t="s">
        <v>68</v>
      </c>
      <c r="I1545" s="63" t="str">
        <f t="shared" si="134"/>
        <v>Scandinavia-Online Supplier-Direct</v>
      </c>
      <c r="J1545" s="47"/>
      <c r="K1545" s="54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  <c r="AA1545" s="35"/>
      <c r="AB1545" s="35"/>
      <c r="AC1545" s="35"/>
      <c r="AD1545" s="35"/>
      <c r="AE1545" s="35"/>
      <c r="AF1545" s="35"/>
      <c r="AG1545" s="35"/>
      <c r="AH1545" s="35"/>
      <c r="AI1545" s="35"/>
      <c r="AJ1545" s="35"/>
      <c r="AK1545" s="35"/>
      <c r="AL1545" s="35"/>
      <c r="AM1545" s="35"/>
      <c r="AN1545" s="35"/>
      <c r="AO1545" s="35"/>
      <c r="AP1545" s="35"/>
    </row>
    <row r="1546" spans="1:42" ht="17.25" customHeight="1" x14ac:dyDescent="0.25">
      <c r="A1546" s="55">
        <v>2017</v>
      </c>
      <c r="B1546" s="56" t="s">
        <v>66</v>
      </c>
      <c r="C1546" s="56" t="s">
        <v>27</v>
      </c>
      <c r="D1546" s="56" t="s">
        <v>31</v>
      </c>
      <c r="E1546" s="56" t="s">
        <v>69</v>
      </c>
      <c r="F1546" s="56" t="s">
        <v>71</v>
      </c>
      <c r="G1546" s="57">
        <v>4507548235</v>
      </c>
      <c r="H1546" s="56" t="s">
        <v>68</v>
      </c>
      <c r="I1546" s="58" t="str">
        <f t="shared" si="134"/>
        <v>Scandinavia-OTA</v>
      </c>
      <c r="J1546" s="40"/>
      <c r="K1546" s="59"/>
      <c r="L1546" s="35"/>
      <c r="M1546" s="35"/>
      <c r="N1546" s="35"/>
      <c r="O1546" s="35"/>
      <c r="P1546" s="35"/>
      <c r="Q1546" s="35"/>
      <c r="R1546" s="35"/>
      <c r="S1546" s="35"/>
      <c r="T1546" s="35"/>
      <c r="U1546" s="35"/>
      <c r="V1546" s="35"/>
      <c r="W1546" s="35"/>
      <c r="X1546" s="35"/>
      <c r="Y1546" s="35"/>
      <c r="Z1546" s="35"/>
      <c r="AA1546" s="35"/>
      <c r="AB1546" s="35"/>
      <c r="AC1546" s="35"/>
      <c r="AD1546" s="35"/>
      <c r="AE1546" s="35"/>
      <c r="AF1546" s="35"/>
      <c r="AG1546" s="35"/>
      <c r="AH1546" s="35"/>
      <c r="AI1546" s="35"/>
      <c r="AJ1546" s="35"/>
      <c r="AK1546" s="35"/>
      <c r="AL1546" s="35"/>
      <c r="AM1546" s="35"/>
      <c r="AN1546" s="35"/>
      <c r="AO1546" s="35"/>
      <c r="AP1546" s="35"/>
    </row>
    <row r="1547" spans="1:42" ht="17.25" customHeight="1" x14ac:dyDescent="0.25">
      <c r="A1547" s="60">
        <v>2017</v>
      </c>
      <c r="B1547" s="61" t="s">
        <v>66</v>
      </c>
      <c r="C1547" s="61" t="s">
        <v>4</v>
      </c>
      <c r="D1547" s="61" t="s">
        <v>12</v>
      </c>
      <c r="E1547" s="61" t="s">
        <v>67</v>
      </c>
      <c r="F1547" s="61" t="s">
        <v>67</v>
      </c>
      <c r="G1547" s="62">
        <v>7069872206</v>
      </c>
      <c r="H1547" s="61" t="s">
        <v>68</v>
      </c>
      <c r="I1547" s="63" t="str">
        <f t="shared" si="134"/>
        <v>Singapore-Offline</v>
      </c>
      <c r="J1547" s="47"/>
      <c r="K1547" s="54"/>
      <c r="L1547" s="35"/>
      <c r="M1547" s="35"/>
      <c r="N1547" s="35"/>
      <c r="O1547" s="35"/>
      <c r="P1547" s="35"/>
      <c r="Q1547" s="35"/>
      <c r="R1547" s="35"/>
      <c r="S1547" s="35"/>
      <c r="T1547" s="35"/>
      <c r="U1547" s="35"/>
      <c r="V1547" s="35"/>
      <c r="W1547" s="35"/>
      <c r="X1547" s="35"/>
      <c r="Y1547" s="35"/>
      <c r="Z1547" s="35"/>
      <c r="AA1547" s="35"/>
      <c r="AB1547" s="35"/>
      <c r="AC1547" s="35"/>
      <c r="AD1547" s="35"/>
      <c r="AE1547" s="35"/>
      <c r="AF1547" s="35"/>
      <c r="AG1547" s="35"/>
      <c r="AH1547" s="35"/>
      <c r="AI1547" s="35"/>
      <c r="AJ1547" s="35"/>
      <c r="AK1547" s="35"/>
      <c r="AL1547" s="35"/>
      <c r="AM1547" s="35"/>
      <c r="AN1547" s="35"/>
      <c r="AO1547" s="35"/>
      <c r="AP1547" s="35"/>
    </row>
    <row r="1548" spans="1:42" ht="17.25" customHeight="1" x14ac:dyDescent="0.25">
      <c r="A1548" s="55">
        <v>2017</v>
      </c>
      <c r="B1548" s="56" t="s">
        <v>66</v>
      </c>
      <c r="C1548" s="56" t="s">
        <v>4</v>
      </c>
      <c r="D1548" s="56" t="s">
        <v>12</v>
      </c>
      <c r="E1548" s="56" t="s">
        <v>69</v>
      </c>
      <c r="F1548" s="56" t="s">
        <v>70</v>
      </c>
      <c r="G1548" s="57">
        <v>3270380658</v>
      </c>
      <c r="H1548" s="56" t="s">
        <v>68</v>
      </c>
      <c r="I1548" s="58" t="str">
        <f t="shared" si="134"/>
        <v>Singapore-Online Supplier-Direct</v>
      </c>
      <c r="J1548" s="40"/>
      <c r="K1548" s="59"/>
      <c r="L1548" s="35"/>
      <c r="M1548" s="35"/>
      <c r="N1548" s="35"/>
      <c r="O1548" s="35"/>
      <c r="P1548" s="35"/>
      <c r="Q1548" s="35"/>
      <c r="R1548" s="35"/>
      <c r="S1548" s="35"/>
      <c r="T1548" s="35"/>
      <c r="U1548" s="35"/>
      <c r="V1548" s="35"/>
      <c r="W1548" s="35"/>
      <c r="X1548" s="35"/>
      <c r="Y1548" s="35"/>
      <c r="Z1548" s="35"/>
      <c r="AA1548" s="35"/>
      <c r="AB1548" s="35"/>
      <c r="AC1548" s="35"/>
      <c r="AD1548" s="35"/>
      <c r="AE1548" s="35"/>
      <c r="AF1548" s="35"/>
      <c r="AG1548" s="35"/>
      <c r="AH1548" s="35"/>
      <c r="AI1548" s="35"/>
      <c r="AJ1548" s="35"/>
      <c r="AK1548" s="35"/>
      <c r="AL1548" s="35"/>
      <c r="AM1548" s="35"/>
      <c r="AN1548" s="35"/>
      <c r="AO1548" s="35"/>
      <c r="AP1548" s="35"/>
    </row>
    <row r="1549" spans="1:42" ht="17.25" customHeight="1" x14ac:dyDescent="0.25">
      <c r="A1549" s="60">
        <v>2017</v>
      </c>
      <c r="B1549" s="61" t="s">
        <v>66</v>
      </c>
      <c r="C1549" s="61" t="s">
        <v>4</v>
      </c>
      <c r="D1549" s="61" t="s">
        <v>12</v>
      </c>
      <c r="E1549" s="61" t="s">
        <v>69</v>
      </c>
      <c r="F1549" s="61" t="s">
        <v>71</v>
      </c>
      <c r="G1549" s="62">
        <v>1330235641</v>
      </c>
      <c r="H1549" s="61" t="s">
        <v>68</v>
      </c>
      <c r="I1549" s="63" t="str">
        <f t="shared" si="134"/>
        <v>Singapore-OTA</v>
      </c>
      <c r="J1549" s="47"/>
      <c r="K1549" s="54"/>
      <c r="L1549" s="35"/>
      <c r="M1549" s="35"/>
      <c r="N1549" s="35"/>
      <c r="O1549" s="35"/>
      <c r="P1549" s="35"/>
      <c r="Q1549" s="35"/>
      <c r="R1549" s="35"/>
      <c r="S1549" s="35"/>
      <c r="T1549" s="35"/>
      <c r="U1549" s="35"/>
      <c r="V1549" s="35"/>
      <c r="W1549" s="35"/>
      <c r="X1549" s="35"/>
      <c r="Y1549" s="35"/>
      <c r="Z1549" s="35"/>
      <c r="AA1549" s="35"/>
      <c r="AB1549" s="35"/>
      <c r="AC1549" s="35"/>
      <c r="AD1549" s="35"/>
      <c r="AE1549" s="35"/>
      <c r="AF1549" s="35"/>
      <c r="AG1549" s="35"/>
      <c r="AH1549" s="35"/>
      <c r="AI1549" s="35"/>
      <c r="AJ1549" s="35"/>
      <c r="AK1549" s="35"/>
      <c r="AL1549" s="35"/>
      <c r="AM1549" s="35"/>
      <c r="AN1549" s="35"/>
      <c r="AO1549" s="35"/>
      <c r="AP1549" s="35"/>
    </row>
    <row r="1550" spans="1:42" ht="17.25" customHeight="1" x14ac:dyDescent="0.25">
      <c r="A1550" s="55">
        <v>2017</v>
      </c>
      <c r="B1550" s="56" t="s">
        <v>66</v>
      </c>
      <c r="C1550" s="56" t="s">
        <v>4</v>
      </c>
      <c r="D1550" s="56" t="s">
        <v>13</v>
      </c>
      <c r="E1550" s="56" t="s">
        <v>67</v>
      </c>
      <c r="F1550" s="56" t="s">
        <v>67</v>
      </c>
      <c r="G1550" s="57">
        <v>9583131426</v>
      </c>
      <c r="H1550" s="56" t="s">
        <v>68</v>
      </c>
      <c r="I1550" s="58" t="str">
        <f t="shared" si="134"/>
        <v>South Korea-Offline</v>
      </c>
      <c r="J1550" s="40"/>
      <c r="K1550" s="59"/>
      <c r="L1550" s="35"/>
      <c r="M1550" s="35"/>
      <c r="N1550" s="35"/>
      <c r="O1550" s="35"/>
      <c r="P1550" s="35"/>
      <c r="Q1550" s="35"/>
      <c r="R1550" s="35"/>
      <c r="S1550" s="35"/>
      <c r="T1550" s="35"/>
      <c r="U1550" s="35"/>
      <c r="V1550" s="35"/>
      <c r="W1550" s="35"/>
      <c r="X1550" s="35"/>
      <c r="Y1550" s="35"/>
      <c r="Z1550" s="35"/>
      <c r="AA1550" s="35"/>
      <c r="AB1550" s="35"/>
      <c r="AC1550" s="35"/>
      <c r="AD1550" s="35"/>
      <c r="AE1550" s="35"/>
      <c r="AF1550" s="35"/>
      <c r="AG1550" s="35"/>
      <c r="AH1550" s="35"/>
      <c r="AI1550" s="35"/>
      <c r="AJ1550" s="35"/>
      <c r="AK1550" s="35"/>
      <c r="AL1550" s="35"/>
      <c r="AM1550" s="35"/>
      <c r="AN1550" s="35"/>
      <c r="AO1550" s="35"/>
      <c r="AP1550" s="35"/>
    </row>
    <row r="1551" spans="1:42" ht="17.25" customHeight="1" x14ac:dyDescent="0.25">
      <c r="A1551" s="60">
        <v>2017</v>
      </c>
      <c r="B1551" s="61" t="s">
        <v>66</v>
      </c>
      <c r="C1551" s="61" t="s">
        <v>4</v>
      </c>
      <c r="D1551" s="61" t="s">
        <v>13</v>
      </c>
      <c r="E1551" s="61" t="s">
        <v>69</v>
      </c>
      <c r="F1551" s="61" t="s">
        <v>70</v>
      </c>
      <c r="G1551" s="62">
        <v>4112249100</v>
      </c>
      <c r="H1551" s="61" t="s">
        <v>68</v>
      </c>
      <c r="I1551" s="63" t="str">
        <f t="shared" si="134"/>
        <v>South Korea-Online Supplier-Direct</v>
      </c>
      <c r="J1551" s="47"/>
      <c r="K1551" s="54"/>
      <c r="L1551" s="35"/>
      <c r="M1551" s="35"/>
      <c r="N1551" s="35"/>
      <c r="O1551" s="35"/>
      <c r="P1551" s="35"/>
      <c r="Q1551" s="35"/>
      <c r="R1551" s="35"/>
      <c r="S1551" s="35"/>
      <c r="T1551" s="35"/>
      <c r="U1551" s="35"/>
      <c r="V1551" s="35"/>
      <c r="W1551" s="35"/>
      <c r="X1551" s="35"/>
      <c r="Y1551" s="35"/>
      <c r="Z1551" s="35"/>
      <c r="AA1551" s="35"/>
      <c r="AB1551" s="35"/>
      <c r="AC1551" s="35"/>
      <c r="AD1551" s="35"/>
      <c r="AE1551" s="35"/>
      <c r="AF1551" s="35"/>
      <c r="AG1551" s="35"/>
      <c r="AH1551" s="35"/>
      <c r="AI1551" s="35"/>
      <c r="AJ1551" s="35"/>
      <c r="AK1551" s="35"/>
      <c r="AL1551" s="35"/>
      <c r="AM1551" s="35"/>
      <c r="AN1551" s="35"/>
      <c r="AO1551" s="35"/>
      <c r="AP1551" s="35"/>
    </row>
    <row r="1552" spans="1:42" ht="17.25" customHeight="1" x14ac:dyDescent="0.25">
      <c r="A1552" s="55">
        <v>2017</v>
      </c>
      <c r="B1552" s="56" t="s">
        <v>66</v>
      </c>
      <c r="C1552" s="56" t="s">
        <v>4</v>
      </c>
      <c r="D1552" s="56" t="s">
        <v>13</v>
      </c>
      <c r="E1552" s="56" t="s">
        <v>69</v>
      </c>
      <c r="F1552" s="56" t="s">
        <v>71</v>
      </c>
      <c r="G1552" s="57">
        <v>1446884584</v>
      </c>
      <c r="H1552" s="56" t="s">
        <v>68</v>
      </c>
      <c r="I1552" s="58" t="str">
        <f t="shared" si="134"/>
        <v>South Korea-OTA</v>
      </c>
      <c r="J1552" s="40"/>
      <c r="K1552" s="59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  <c r="AA1552" s="35"/>
      <c r="AB1552" s="35"/>
      <c r="AC1552" s="35"/>
      <c r="AD1552" s="35"/>
      <c r="AE1552" s="35"/>
      <c r="AF1552" s="35"/>
      <c r="AG1552" s="35"/>
      <c r="AH1552" s="35"/>
      <c r="AI1552" s="35"/>
      <c r="AJ1552" s="35"/>
      <c r="AK1552" s="35"/>
      <c r="AL1552" s="35"/>
      <c r="AM1552" s="35"/>
      <c r="AN1552" s="35"/>
      <c r="AO1552" s="35"/>
      <c r="AP1552" s="35"/>
    </row>
    <row r="1553" spans="1:42" ht="17.25" customHeight="1" x14ac:dyDescent="0.25">
      <c r="A1553" s="60">
        <v>2017</v>
      </c>
      <c r="B1553" s="61" t="s">
        <v>66</v>
      </c>
      <c r="C1553" s="61" t="s">
        <v>27</v>
      </c>
      <c r="D1553" s="61" t="s">
        <v>32</v>
      </c>
      <c r="E1553" s="61" t="s">
        <v>67</v>
      </c>
      <c r="F1553" s="61" t="s">
        <v>67</v>
      </c>
      <c r="G1553" s="62">
        <v>17088670286</v>
      </c>
      <c r="H1553" s="61" t="s">
        <v>68</v>
      </c>
      <c r="I1553" s="63" t="str">
        <f t="shared" si="134"/>
        <v>Spain-Offline</v>
      </c>
      <c r="J1553" s="47"/>
      <c r="K1553" s="54"/>
      <c r="L1553" s="35"/>
      <c r="M1553" s="35"/>
      <c r="N1553" s="35"/>
      <c r="O1553" s="35"/>
      <c r="P1553" s="35"/>
      <c r="Q1553" s="35"/>
      <c r="R1553" s="35"/>
      <c r="S1553" s="35"/>
      <c r="T1553" s="35"/>
      <c r="U1553" s="35"/>
      <c r="V1553" s="35"/>
      <c r="W1553" s="35"/>
      <c r="X1553" s="35"/>
      <c r="Y1553" s="35"/>
      <c r="Z1553" s="35"/>
      <c r="AA1553" s="35"/>
      <c r="AB1553" s="35"/>
      <c r="AC1553" s="35"/>
      <c r="AD1553" s="35"/>
      <c r="AE1553" s="35"/>
      <c r="AF1553" s="35"/>
      <c r="AG1553" s="35"/>
      <c r="AH1553" s="35"/>
      <c r="AI1553" s="35"/>
      <c r="AJ1553" s="35"/>
      <c r="AK1553" s="35"/>
      <c r="AL1553" s="35"/>
      <c r="AM1553" s="35"/>
      <c r="AN1553" s="35"/>
      <c r="AO1553" s="35"/>
      <c r="AP1553" s="35"/>
    </row>
    <row r="1554" spans="1:42" ht="17.25" customHeight="1" x14ac:dyDescent="0.25">
      <c r="A1554" s="55">
        <v>2017</v>
      </c>
      <c r="B1554" s="56" t="s">
        <v>66</v>
      </c>
      <c r="C1554" s="56" t="s">
        <v>27</v>
      </c>
      <c r="D1554" s="56" t="s">
        <v>32</v>
      </c>
      <c r="E1554" s="56" t="s">
        <v>69</v>
      </c>
      <c r="F1554" s="56" t="s">
        <v>70</v>
      </c>
      <c r="G1554" s="57">
        <v>6222799245</v>
      </c>
      <c r="H1554" s="56" t="s">
        <v>68</v>
      </c>
      <c r="I1554" s="58" t="str">
        <f t="shared" si="134"/>
        <v>Spain-Online Supplier-Direct</v>
      </c>
      <c r="J1554" s="40"/>
      <c r="K1554" s="59"/>
      <c r="L1554" s="35"/>
      <c r="M1554" s="35"/>
      <c r="N1554" s="35"/>
      <c r="O1554" s="35"/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  <c r="Z1554" s="35"/>
      <c r="AA1554" s="35"/>
      <c r="AB1554" s="35"/>
      <c r="AC1554" s="35"/>
      <c r="AD1554" s="35"/>
      <c r="AE1554" s="35"/>
      <c r="AF1554" s="35"/>
      <c r="AG1554" s="35"/>
      <c r="AH1554" s="35"/>
      <c r="AI1554" s="35"/>
      <c r="AJ1554" s="35"/>
      <c r="AK1554" s="35"/>
      <c r="AL1554" s="35"/>
      <c r="AM1554" s="35"/>
      <c r="AN1554" s="35"/>
      <c r="AO1554" s="35"/>
      <c r="AP1554" s="35"/>
    </row>
    <row r="1555" spans="1:42" ht="17.25" customHeight="1" x14ac:dyDescent="0.25">
      <c r="A1555" s="60">
        <v>2017</v>
      </c>
      <c r="B1555" s="61" t="s">
        <v>66</v>
      </c>
      <c r="C1555" s="61" t="s">
        <v>27</v>
      </c>
      <c r="D1555" s="61" t="s">
        <v>32</v>
      </c>
      <c r="E1555" s="61" t="s">
        <v>69</v>
      </c>
      <c r="F1555" s="61" t="s">
        <v>71</v>
      </c>
      <c r="G1555" s="62">
        <v>6622036798</v>
      </c>
      <c r="H1555" s="61" t="s">
        <v>68</v>
      </c>
      <c r="I1555" s="63" t="str">
        <f t="shared" si="134"/>
        <v>Spain-OTA</v>
      </c>
      <c r="J1555" s="47"/>
      <c r="K1555" s="54"/>
      <c r="L1555" s="35"/>
      <c r="M1555" s="35"/>
      <c r="N1555" s="35"/>
      <c r="O1555" s="35"/>
      <c r="P1555" s="35"/>
      <c r="Q1555" s="35"/>
      <c r="R1555" s="35"/>
      <c r="S1555" s="35"/>
      <c r="T1555" s="35"/>
      <c r="U1555" s="35"/>
      <c r="V1555" s="35"/>
      <c r="W1555" s="35"/>
      <c r="X1555" s="35"/>
      <c r="Y1555" s="35"/>
      <c r="Z1555" s="35"/>
      <c r="AA1555" s="35"/>
      <c r="AB1555" s="35"/>
      <c r="AC1555" s="35"/>
      <c r="AD1555" s="35"/>
      <c r="AE1555" s="35"/>
      <c r="AF1555" s="35"/>
      <c r="AG1555" s="35"/>
      <c r="AH1555" s="35"/>
      <c r="AI1555" s="35"/>
      <c r="AJ1555" s="35"/>
      <c r="AK1555" s="35"/>
      <c r="AL1555" s="35"/>
      <c r="AM1555" s="35"/>
      <c r="AN1555" s="35"/>
      <c r="AO1555" s="35"/>
      <c r="AP1555" s="35"/>
    </row>
    <row r="1556" spans="1:42" ht="17.25" customHeight="1" x14ac:dyDescent="0.25">
      <c r="A1556" s="55">
        <v>2017</v>
      </c>
      <c r="B1556" s="56" t="s">
        <v>66</v>
      </c>
      <c r="C1556" s="56" t="s">
        <v>4</v>
      </c>
      <c r="D1556" s="56" t="s">
        <v>14</v>
      </c>
      <c r="E1556" s="56" t="s">
        <v>67</v>
      </c>
      <c r="F1556" s="56" t="s">
        <v>67</v>
      </c>
      <c r="G1556" s="57">
        <v>7920871070</v>
      </c>
      <c r="H1556" s="56" t="s">
        <v>68</v>
      </c>
      <c r="I1556" s="58" t="str">
        <f t="shared" si="134"/>
        <v>Taiwan-Offline</v>
      </c>
      <c r="J1556" s="40"/>
      <c r="K1556" s="59"/>
      <c r="L1556" s="35"/>
      <c r="M1556" s="35"/>
      <c r="N1556" s="35"/>
      <c r="O1556" s="35"/>
      <c r="P1556" s="35"/>
      <c r="Q1556" s="35"/>
      <c r="R1556" s="35"/>
      <c r="S1556" s="35"/>
      <c r="T1556" s="35"/>
      <c r="U1556" s="35"/>
      <c r="V1556" s="35"/>
      <c r="W1556" s="35"/>
      <c r="X1556" s="35"/>
      <c r="Y1556" s="35"/>
      <c r="Z1556" s="35"/>
      <c r="AA1556" s="35"/>
      <c r="AB1556" s="35"/>
      <c r="AC1556" s="35"/>
      <c r="AD1556" s="35"/>
      <c r="AE1556" s="35"/>
      <c r="AF1556" s="35"/>
      <c r="AG1556" s="35"/>
      <c r="AH1556" s="35"/>
      <c r="AI1556" s="35"/>
      <c r="AJ1556" s="35"/>
      <c r="AK1556" s="35"/>
      <c r="AL1556" s="35"/>
      <c r="AM1556" s="35"/>
      <c r="AN1556" s="35"/>
      <c r="AO1556" s="35"/>
      <c r="AP1556" s="35"/>
    </row>
    <row r="1557" spans="1:42" ht="17.25" customHeight="1" x14ac:dyDescent="0.25">
      <c r="A1557" s="60">
        <v>2017</v>
      </c>
      <c r="B1557" s="61" t="s">
        <v>66</v>
      </c>
      <c r="C1557" s="61" t="s">
        <v>4</v>
      </c>
      <c r="D1557" s="61" t="s">
        <v>14</v>
      </c>
      <c r="E1557" s="61" t="s">
        <v>69</v>
      </c>
      <c r="F1557" s="61" t="s">
        <v>70</v>
      </c>
      <c r="G1557" s="62">
        <v>1413118749</v>
      </c>
      <c r="H1557" s="61" t="s">
        <v>68</v>
      </c>
      <c r="I1557" s="63" t="str">
        <f t="shared" si="134"/>
        <v>Taiwan-Online Supplier-Direct</v>
      </c>
      <c r="J1557" s="47"/>
      <c r="K1557" s="54"/>
      <c r="L1557" s="35"/>
      <c r="M1557" s="35"/>
      <c r="N1557" s="35"/>
      <c r="O1557" s="35"/>
      <c r="P1557" s="35"/>
      <c r="Q1557" s="35"/>
      <c r="R1557" s="35"/>
      <c r="S1557" s="35"/>
      <c r="T1557" s="35"/>
      <c r="U1557" s="35"/>
      <c r="V1557" s="35"/>
      <c r="W1557" s="35"/>
      <c r="X1557" s="35"/>
      <c r="Y1557" s="35"/>
      <c r="Z1557" s="35"/>
      <c r="AA1557" s="35"/>
      <c r="AB1557" s="35"/>
      <c r="AC1557" s="35"/>
      <c r="AD1557" s="35"/>
      <c r="AE1557" s="35"/>
      <c r="AF1557" s="35"/>
      <c r="AG1557" s="35"/>
      <c r="AH1557" s="35"/>
      <c r="AI1557" s="35"/>
      <c r="AJ1557" s="35"/>
      <c r="AK1557" s="35"/>
      <c r="AL1557" s="35"/>
      <c r="AM1557" s="35"/>
      <c r="AN1557" s="35"/>
      <c r="AO1557" s="35"/>
      <c r="AP1557" s="35"/>
    </row>
    <row r="1558" spans="1:42" ht="17.25" customHeight="1" x14ac:dyDescent="0.25">
      <c r="A1558" s="55">
        <v>2017</v>
      </c>
      <c r="B1558" s="56" t="s">
        <v>66</v>
      </c>
      <c r="C1558" s="56" t="s">
        <v>4</v>
      </c>
      <c r="D1558" s="56" t="s">
        <v>14</v>
      </c>
      <c r="E1558" s="56" t="s">
        <v>69</v>
      </c>
      <c r="F1558" s="56" t="s">
        <v>71</v>
      </c>
      <c r="G1558" s="57">
        <v>705064303</v>
      </c>
      <c r="H1558" s="56" t="s">
        <v>68</v>
      </c>
      <c r="I1558" s="58" t="str">
        <f t="shared" si="134"/>
        <v>Taiwan-OTA</v>
      </c>
      <c r="J1558" s="40"/>
      <c r="K1558" s="59"/>
      <c r="L1558" s="35"/>
      <c r="M1558" s="35"/>
      <c r="N1558" s="35"/>
      <c r="O1558" s="35"/>
      <c r="P1558" s="35"/>
      <c r="Q1558" s="35"/>
      <c r="R1558" s="35"/>
      <c r="S1558" s="35"/>
      <c r="T1558" s="35"/>
      <c r="U1558" s="35"/>
      <c r="V1558" s="35"/>
      <c r="W1558" s="35"/>
      <c r="X1558" s="35"/>
      <c r="Y1558" s="35"/>
      <c r="Z1558" s="35"/>
      <c r="AA1558" s="35"/>
      <c r="AB1558" s="35"/>
      <c r="AC1558" s="35"/>
      <c r="AD1558" s="35"/>
      <c r="AE1558" s="35"/>
      <c r="AF1558" s="35"/>
      <c r="AG1558" s="35"/>
      <c r="AH1558" s="35"/>
      <c r="AI1558" s="35"/>
      <c r="AJ1558" s="35"/>
      <c r="AK1558" s="35"/>
      <c r="AL1558" s="35"/>
      <c r="AM1558" s="35"/>
      <c r="AN1558" s="35"/>
      <c r="AO1558" s="35"/>
      <c r="AP1558" s="35"/>
    </row>
    <row r="1559" spans="1:42" ht="17.25" customHeight="1" x14ac:dyDescent="0.25">
      <c r="A1559" s="60">
        <v>2017</v>
      </c>
      <c r="B1559" s="61" t="s">
        <v>66</v>
      </c>
      <c r="C1559" s="61" t="s">
        <v>4</v>
      </c>
      <c r="D1559" s="61" t="s">
        <v>15</v>
      </c>
      <c r="E1559" s="61" t="s">
        <v>67</v>
      </c>
      <c r="F1559" s="61" t="s">
        <v>67</v>
      </c>
      <c r="G1559" s="62">
        <v>9247195812</v>
      </c>
      <c r="H1559" s="61" t="s">
        <v>68</v>
      </c>
      <c r="I1559" s="63" t="str">
        <f t="shared" si="134"/>
        <v>Thailand-Offline</v>
      </c>
      <c r="J1559" s="47"/>
      <c r="K1559" s="54"/>
      <c r="L1559" s="35"/>
      <c r="M1559" s="35"/>
      <c r="N1559" s="35"/>
      <c r="O1559" s="35"/>
      <c r="P1559" s="35"/>
      <c r="Q1559" s="35"/>
      <c r="R1559" s="35"/>
      <c r="S1559" s="35"/>
      <c r="T1559" s="35"/>
      <c r="U1559" s="35"/>
      <c r="V1559" s="35"/>
      <c r="W1559" s="35"/>
      <c r="X1559" s="35"/>
      <c r="Y1559" s="35"/>
      <c r="Z1559" s="35"/>
      <c r="AA1559" s="35"/>
      <c r="AB1559" s="35"/>
      <c r="AC1559" s="35"/>
      <c r="AD1559" s="35"/>
      <c r="AE1559" s="35"/>
      <c r="AF1559" s="35"/>
      <c r="AG1559" s="35"/>
      <c r="AH1559" s="35"/>
      <c r="AI1559" s="35"/>
      <c r="AJ1559" s="35"/>
      <c r="AK1559" s="35"/>
      <c r="AL1559" s="35"/>
      <c r="AM1559" s="35"/>
      <c r="AN1559" s="35"/>
      <c r="AO1559" s="35"/>
      <c r="AP1559" s="35"/>
    </row>
    <row r="1560" spans="1:42" ht="17.25" customHeight="1" x14ac:dyDescent="0.25">
      <c r="A1560" s="55">
        <v>2017</v>
      </c>
      <c r="B1560" s="56" t="s">
        <v>66</v>
      </c>
      <c r="C1560" s="56" t="s">
        <v>4</v>
      </c>
      <c r="D1560" s="56" t="s">
        <v>15</v>
      </c>
      <c r="E1560" s="56" t="s">
        <v>69</v>
      </c>
      <c r="F1560" s="56" t="s">
        <v>70</v>
      </c>
      <c r="G1560" s="57">
        <v>1962944550</v>
      </c>
      <c r="H1560" s="56" t="s">
        <v>68</v>
      </c>
      <c r="I1560" s="58" t="str">
        <f t="shared" si="134"/>
        <v>Thailand-Online Supplier-Direct</v>
      </c>
      <c r="J1560" s="40"/>
      <c r="K1560" s="59"/>
      <c r="L1560" s="35"/>
      <c r="M1560" s="35"/>
      <c r="N1560" s="35"/>
      <c r="O1560" s="35"/>
      <c r="P1560" s="35"/>
      <c r="Q1560" s="35"/>
      <c r="R1560" s="35"/>
      <c r="S1560" s="35"/>
      <c r="T1560" s="35"/>
      <c r="U1560" s="35"/>
      <c r="V1560" s="35"/>
      <c r="W1560" s="35"/>
      <c r="X1560" s="35"/>
      <c r="Y1560" s="35"/>
      <c r="Z1560" s="35"/>
      <c r="AA1560" s="35"/>
      <c r="AB1560" s="35"/>
      <c r="AC1560" s="35"/>
      <c r="AD1560" s="35"/>
      <c r="AE1560" s="35"/>
      <c r="AF1560" s="35"/>
      <c r="AG1560" s="35"/>
      <c r="AH1560" s="35"/>
      <c r="AI1560" s="35"/>
      <c r="AJ1560" s="35"/>
      <c r="AK1560" s="35"/>
      <c r="AL1560" s="35"/>
      <c r="AM1560" s="35"/>
      <c r="AN1560" s="35"/>
      <c r="AO1560" s="35"/>
      <c r="AP1560" s="35"/>
    </row>
    <row r="1561" spans="1:42" ht="17.25" customHeight="1" x14ac:dyDescent="0.25">
      <c r="A1561" s="60">
        <v>2017</v>
      </c>
      <c r="B1561" s="61" t="s">
        <v>66</v>
      </c>
      <c r="C1561" s="61" t="s">
        <v>4</v>
      </c>
      <c r="D1561" s="61" t="s">
        <v>15</v>
      </c>
      <c r="E1561" s="61" t="s">
        <v>69</v>
      </c>
      <c r="F1561" s="61" t="s">
        <v>71</v>
      </c>
      <c r="G1561" s="62">
        <v>2726476734</v>
      </c>
      <c r="H1561" s="61" t="s">
        <v>68</v>
      </c>
      <c r="I1561" s="63" t="str">
        <f t="shared" si="134"/>
        <v>Thailand-OTA</v>
      </c>
      <c r="J1561" s="47"/>
      <c r="K1561" s="54"/>
      <c r="L1561" s="35"/>
      <c r="M1561" s="35"/>
      <c r="N1561" s="35"/>
      <c r="O1561" s="35"/>
      <c r="P1561" s="35"/>
      <c r="Q1561" s="35"/>
      <c r="R1561" s="35"/>
      <c r="S1561" s="35"/>
      <c r="T1561" s="35"/>
      <c r="U1561" s="35"/>
      <c r="V1561" s="35"/>
      <c r="W1561" s="35"/>
      <c r="X1561" s="35"/>
      <c r="Y1561" s="35"/>
      <c r="Z1561" s="35"/>
      <c r="AA1561" s="35"/>
      <c r="AB1561" s="35"/>
      <c r="AC1561" s="35"/>
      <c r="AD1561" s="35"/>
      <c r="AE1561" s="35"/>
      <c r="AF1561" s="35"/>
      <c r="AG1561" s="35"/>
      <c r="AH1561" s="35"/>
      <c r="AI1561" s="35"/>
      <c r="AJ1561" s="35"/>
      <c r="AK1561" s="35"/>
      <c r="AL1561" s="35"/>
      <c r="AM1561" s="35"/>
      <c r="AN1561" s="35"/>
      <c r="AO1561" s="35"/>
      <c r="AP1561" s="35"/>
    </row>
    <row r="1562" spans="1:42" ht="17.25" customHeight="1" x14ac:dyDescent="0.25">
      <c r="A1562" s="55">
        <v>2017</v>
      </c>
      <c r="B1562" s="56" t="s">
        <v>66</v>
      </c>
      <c r="C1562" s="56" t="s">
        <v>41</v>
      </c>
      <c r="D1562" s="56" t="s">
        <v>45</v>
      </c>
      <c r="E1562" s="56" t="s">
        <v>67</v>
      </c>
      <c r="F1562" s="56" t="s">
        <v>67</v>
      </c>
      <c r="G1562" s="57">
        <v>24442246095</v>
      </c>
      <c r="H1562" s="56" t="s">
        <v>68</v>
      </c>
      <c r="I1562" s="58" t="str">
        <f t="shared" si="134"/>
        <v>U.A.E.-Offline</v>
      </c>
      <c r="J1562" s="40"/>
      <c r="K1562" s="59"/>
      <c r="L1562" s="35"/>
      <c r="M1562" s="35"/>
      <c r="N1562" s="35"/>
      <c r="O1562" s="35"/>
      <c r="P1562" s="35"/>
      <c r="Q1562" s="35"/>
      <c r="R1562" s="35"/>
      <c r="S1562" s="35"/>
      <c r="T1562" s="35"/>
      <c r="U1562" s="35"/>
      <c r="V1562" s="35"/>
      <c r="W1562" s="35"/>
      <c r="X1562" s="35"/>
      <c r="Y1562" s="35"/>
      <c r="Z1562" s="35"/>
      <c r="AA1562" s="35"/>
      <c r="AB1562" s="35"/>
      <c r="AC1562" s="35"/>
      <c r="AD1562" s="35"/>
      <c r="AE1562" s="35"/>
      <c r="AF1562" s="35"/>
      <c r="AG1562" s="35"/>
      <c r="AH1562" s="35"/>
      <c r="AI1562" s="35"/>
      <c r="AJ1562" s="35"/>
      <c r="AK1562" s="35"/>
      <c r="AL1562" s="35"/>
      <c r="AM1562" s="35"/>
      <c r="AN1562" s="35"/>
      <c r="AO1562" s="35"/>
      <c r="AP1562" s="35"/>
    </row>
    <row r="1563" spans="1:42" ht="17.25" customHeight="1" x14ac:dyDescent="0.25">
      <c r="A1563" s="60">
        <v>2017</v>
      </c>
      <c r="B1563" s="61" t="s">
        <v>66</v>
      </c>
      <c r="C1563" s="61" t="s">
        <v>41</v>
      </c>
      <c r="D1563" s="61" t="s">
        <v>45</v>
      </c>
      <c r="E1563" s="61" t="s">
        <v>69</v>
      </c>
      <c r="F1563" s="61" t="s">
        <v>70</v>
      </c>
      <c r="G1563" s="62">
        <v>7992619226</v>
      </c>
      <c r="H1563" s="61" t="s">
        <v>68</v>
      </c>
      <c r="I1563" s="63" t="str">
        <f t="shared" si="134"/>
        <v>U.A.E.-Online Supplier-Direct</v>
      </c>
      <c r="J1563" s="47"/>
      <c r="K1563" s="54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  <c r="Z1563" s="35"/>
      <c r="AA1563" s="35"/>
      <c r="AB1563" s="35"/>
      <c r="AC1563" s="35"/>
      <c r="AD1563" s="35"/>
      <c r="AE1563" s="35"/>
      <c r="AF1563" s="35"/>
      <c r="AG1563" s="35"/>
      <c r="AH1563" s="35"/>
      <c r="AI1563" s="35"/>
      <c r="AJ1563" s="35"/>
      <c r="AK1563" s="35"/>
      <c r="AL1563" s="35"/>
      <c r="AM1563" s="35"/>
      <c r="AN1563" s="35"/>
      <c r="AO1563" s="35"/>
      <c r="AP1563" s="35"/>
    </row>
    <row r="1564" spans="1:42" ht="17.25" customHeight="1" x14ac:dyDescent="0.25">
      <c r="A1564" s="55">
        <v>2017</v>
      </c>
      <c r="B1564" s="56" t="s">
        <v>66</v>
      </c>
      <c r="C1564" s="56" t="s">
        <v>41</v>
      </c>
      <c r="D1564" s="56" t="s">
        <v>45</v>
      </c>
      <c r="E1564" s="56" t="s">
        <v>69</v>
      </c>
      <c r="F1564" s="56" t="s">
        <v>71</v>
      </c>
      <c r="G1564" s="57">
        <v>4251609786</v>
      </c>
      <c r="H1564" s="56" t="s">
        <v>68</v>
      </c>
      <c r="I1564" s="58" t="str">
        <f t="shared" si="134"/>
        <v>U.A.E.-OTA</v>
      </c>
      <c r="J1564" s="40"/>
      <c r="K1564" s="59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  <c r="AA1564" s="35"/>
      <c r="AB1564" s="35"/>
      <c r="AC1564" s="35"/>
      <c r="AD1564" s="35"/>
      <c r="AE1564" s="35"/>
      <c r="AF1564" s="35"/>
      <c r="AG1564" s="35"/>
      <c r="AH1564" s="35"/>
      <c r="AI1564" s="35"/>
      <c r="AJ1564" s="35"/>
      <c r="AK1564" s="35"/>
      <c r="AL1564" s="35"/>
      <c r="AM1564" s="35"/>
      <c r="AN1564" s="35"/>
      <c r="AO1564" s="35"/>
      <c r="AP1564" s="35"/>
    </row>
    <row r="1565" spans="1:42" ht="17.25" customHeight="1" x14ac:dyDescent="0.25">
      <c r="A1565" s="60">
        <v>2017</v>
      </c>
      <c r="B1565" s="61" t="s">
        <v>66</v>
      </c>
      <c r="C1565" s="61" t="s">
        <v>27</v>
      </c>
      <c r="D1565" s="61" t="s">
        <v>33</v>
      </c>
      <c r="E1565" s="61" t="s">
        <v>67</v>
      </c>
      <c r="F1565" s="61" t="s">
        <v>67</v>
      </c>
      <c r="G1565" s="62">
        <v>23894260473</v>
      </c>
      <c r="H1565" s="61" t="s">
        <v>68</v>
      </c>
      <c r="I1565" s="63" t="str">
        <f t="shared" si="134"/>
        <v>U.K.-Offline</v>
      </c>
      <c r="J1565" s="47"/>
      <c r="K1565" s="54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  <c r="Z1565" s="35"/>
      <c r="AA1565" s="35"/>
      <c r="AB1565" s="35"/>
      <c r="AC1565" s="35"/>
      <c r="AD1565" s="35"/>
      <c r="AE1565" s="35"/>
      <c r="AF1565" s="35"/>
      <c r="AG1565" s="35"/>
      <c r="AH1565" s="35"/>
      <c r="AI1565" s="35"/>
      <c r="AJ1565" s="35"/>
      <c r="AK1565" s="35"/>
      <c r="AL1565" s="35"/>
      <c r="AM1565" s="35"/>
      <c r="AN1565" s="35"/>
      <c r="AO1565" s="35"/>
      <c r="AP1565" s="35"/>
    </row>
    <row r="1566" spans="1:42" ht="17.25" customHeight="1" x14ac:dyDescent="0.25">
      <c r="A1566" s="55">
        <v>2017</v>
      </c>
      <c r="B1566" s="56" t="s">
        <v>66</v>
      </c>
      <c r="C1566" s="56" t="s">
        <v>27</v>
      </c>
      <c r="D1566" s="56" t="s">
        <v>33</v>
      </c>
      <c r="E1566" s="56" t="s">
        <v>69</v>
      </c>
      <c r="F1566" s="56" t="s">
        <v>70</v>
      </c>
      <c r="G1566" s="57">
        <v>27074271330</v>
      </c>
      <c r="H1566" s="56" t="s">
        <v>68</v>
      </c>
      <c r="I1566" s="58" t="str">
        <f t="shared" si="134"/>
        <v>U.K.-Online Supplier-Direct</v>
      </c>
      <c r="J1566" s="40"/>
      <c r="K1566" s="59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  <c r="AA1566" s="35"/>
      <c r="AB1566" s="35"/>
      <c r="AC1566" s="35"/>
      <c r="AD1566" s="35"/>
      <c r="AE1566" s="35"/>
      <c r="AF1566" s="35"/>
      <c r="AG1566" s="35"/>
      <c r="AH1566" s="35"/>
      <c r="AI1566" s="35"/>
      <c r="AJ1566" s="35"/>
      <c r="AK1566" s="35"/>
      <c r="AL1566" s="35"/>
      <c r="AM1566" s="35"/>
      <c r="AN1566" s="35"/>
      <c r="AO1566" s="35"/>
      <c r="AP1566" s="35"/>
    </row>
    <row r="1567" spans="1:42" ht="17.25" customHeight="1" x14ac:dyDescent="0.25">
      <c r="A1567" s="60">
        <v>2017</v>
      </c>
      <c r="B1567" s="61" t="s">
        <v>66</v>
      </c>
      <c r="C1567" s="61" t="s">
        <v>27</v>
      </c>
      <c r="D1567" s="61" t="s">
        <v>33</v>
      </c>
      <c r="E1567" s="61" t="s">
        <v>69</v>
      </c>
      <c r="F1567" s="61" t="s">
        <v>71</v>
      </c>
      <c r="G1567" s="62">
        <v>10662950256</v>
      </c>
      <c r="H1567" s="61" t="s">
        <v>68</v>
      </c>
      <c r="I1567" s="63" t="str">
        <f t="shared" si="134"/>
        <v>U.K.-OTA</v>
      </c>
      <c r="J1567" s="47"/>
      <c r="K1567" s="54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  <c r="AA1567" s="35"/>
      <c r="AB1567" s="35"/>
      <c r="AC1567" s="35"/>
      <c r="AD1567" s="35"/>
      <c r="AE1567" s="35"/>
      <c r="AF1567" s="35"/>
      <c r="AG1567" s="35"/>
      <c r="AH1567" s="35"/>
      <c r="AI1567" s="35"/>
      <c r="AJ1567" s="35"/>
      <c r="AK1567" s="35"/>
      <c r="AL1567" s="35"/>
      <c r="AM1567" s="35"/>
      <c r="AN1567" s="35"/>
      <c r="AO1567" s="35"/>
      <c r="AP1567" s="35"/>
    </row>
    <row r="1568" spans="1:42" ht="17.25" customHeight="1" x14ac:dyDescent="0.25">
      <c r="A1568" s="55">
        <v>2017</v>
      </c>
      <c r="B1568" s="56" t="s">
        <v>66</v>
      </c>
      <c r="C1568" s="56" t="s">
        <v>47</v>
      </c>
      <c r="D1568" s="56" t="s">
        <v>48</v>
      </c>
      <c r="E1568" s="56" t="s">
        <v>72</v>
      </c>
      <c r="F1568" s="56" t="s">
        <v>73</v>
      </c>
      <c r="G1568" s="57">
        <v>88756076735</v>
      </c>
      <c r="H1568" s="56" t="s">
        <v>68</v>
      </c>
      <c r="I1568" s="58" t="str">
        <f t="shared" si="134"/>
        <v>U.S.-Central Reservation</v>
      </c>
      <c r="J1568" s="40"/>
      <c r="K1568" s="59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  <c r="AA1568" s="35"/>
      <c r="AB1568" s="35"/>
      <c r="AC1568" s="35"/>
      <c r="AD1568" s="35"/>
      <c r="AE1568" s="35"/>
      <c r="AF1568" s="35"/>
      <c r="AG1568" s="35"/>
      <c r="AH1568" s="35"/>
      <c r="AI1568" s="35"/>
      <c r="AJ1568" s="35"/>
      <c r="AK1568" s="35"/>
      <c r="AL1568" s="35"/>
      <c r="AM1568" s="35"/>
      <c r="AN1568" s="35"/>
      <c r="AO1568" s="35"/>
      <c r="AP1568" s="35"/>
    </row>
    <row r="1569" spans="1:42" ht="17.25" customHeight="1" x14ac:dyDescent="0.25">
      <c r="A1569" s="60">
        <v>2017</v>
      </c>
      <c r="B1569" s="61" t="s">
        <v>66</v>
      </c>
      <c r="C1569" s="61" t="s">
        <v>47</v>
      </c>
      <c r="D1569" s="61" t="s">
        <v>48</v>
      </c>
      <c r="E1569" s="61" t="s">
        <v>67</v>
      </c>
      <c r="F1569" s="61" t="s">
        <v>74</v>
      </c>
      <c r="G1569" s="62">
        <v>99466647142</v>
      </c>
      <c r="H1569" s="61" t="s">
        <v>68</v>
      </c>
      <c r="I1569" s="63" t="str">
        <f t="shared" si="134"/>
        <v>U.S.-Travel Agency/TMC</v>
      </c>
      <c r="J1569" s="47"/>
      <c r="K1569" s="54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  <c r="AB1569" s="35"/>
      <c r="AC1569" s="35"/>
      <c r="AD1569" s="35"/>
      <c r="AE1569" s="35"/>
      <c r="AF1569" s="35"/>
      <c r="AG1569" s="35"/>
      <c r="AH1569" s="35"/>
      <c r="AI1569" s="35"/>
      <c r="AJ1569" s="35"/>
      <c r="AK1569" s="35"/>
      <c r="AL1569" s="35"/>
      <c r="AM1569" s="35"/>
      <c r="AN1569" s="35"/>
      <c r="AO1569" s="35"/>
      <c r="AP1569" s="35"/>
    </row>
    <row r="1570" spans="1:42" ht="17.25" customHeight="1" x14ac:dyDescent="0.25">
      <c r="A1570" s="55">
        <v>2017</v>
      </c>
      <c r="B1570" s="56" t="s">
        <v>66</v>
      </c>
      <c r="C1570" s="56" t="s">
        <v>47</v>
      </c>
      <c r="D1570" s="56" t="s">
        <v>48</v>
      </c>
      <c r="E1570" s="56" t="s">
        <v>69</v>
      </c>
      <c r="F1570" s="56" t="s">
        <v>70</v>
      </c>
      <c r="G1570" s="57">
        <v>112460055727</v>
      </c>
      <c r="H1570" s="56" t="s">
        <v>68</v>
      </c>
      <c r="I1570" s="58" t="str">
        <f t="shared" si="134"/>
        <v>U.S.-Online Supplier-Direct</v>
      </c>
      <c r="J1570" s="40"/>
      <c r="K1570" s="59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  <c r="AA1570" s="35"/>
      <c r="AB1570" s="35"/>
      <c r="AC1570" s="35"/>
      <c r="AD1570" s="35"/>
      <c r="AE1570" s="35"/>
      <c r="AF1570" s="35"/>
      <c r="AG1570" s="35"/>
      <c r="AH1570" s="35"/>
      <c r="AI1570" s="35"/>
      <c r="AJ1570" s="35"/>
      <c r="AK1570" s="35"/>
      <c r="AL1570" s="35"/>
      <c r="AM1570" s="35"/>
      <c r="AN1570" s="35"/>
      <c r="AO1570" s="35"/>
      <c r="AP1570" s="35"/>
    </row>
    <row r="1571" spans="1:42" ht="17.25" customHeight="1" x14ac:dyDescent="0.25">
      <c r="A1571" s="60">
        <v>2017</v>
      </c>
      <c r="B1571" s="61" t="s">
        <v>66</v>
      </c>
      <c r="C1571" s="61" t="s">
        <v>47</v>
      </c>
      <c r="D1571" s="61" t="s">
        <v>48</v>
      </c>
      <c r="E1571" s="61" t="s">
        <v>69</v>
      </c>
      <c r="F1571" s="61" t="s">
        <v>71</v>
      </c>
      <c r="G1571" s="62">
        <v>66578999995</v>
      </c>
      <c r="H1571" s="61" t="s">
        <v>68</v>
      </c>
      <c r="I1571" s="63" t="str">
        <f t="shared" si="134"/>
        <v>U.S.-OTA</v>
      </c>
      <c r="J1571" s="47"/>
      <c r="K1571" s="54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5"/>
      <c r="AG1571" s="35"/>
      <c r="AH1571" s="35"/>
      <c r="AI1571" s="35"/>
      <c r="AJ1571" s="35"/>
      <c r="AK1571" s="35"/>
      <c r="AL1571" s="35"/>
      <c r="AM1571" s="35"/>
      <c r="AN1571" s="35"/>
      <c r="AO1571" s="35"/>
      <c r="AP1571" s="35"/>
    </row>
    <row r="1572" spans="1:42" ht="17.25" customHeight="1" x14ac:dyDescent="0.25">
      <c r="A1572" s="55">
        <v>2017</v>
      </c>
      <c r="B1572" s="56" t="s">
        <v>66</v>
      </c>
      <c r="C1572" s="56" t="s">
        <v>17</v>
      </c>
      <c r="D1572" s="56" t="s">
        <v>25</v>
      </c>
      <c r="E1572" s="56" t="s">
        <v>67</v>
      </c>
      <c r="F1572" s="56" t="s">
        <v>67</v>
      </c>
      <c r="G1572" s="57">
        <v>1710307506</v>
      </c>
      <c r="H1572" s="56" t="s">
        <v>68</v>
      </c>
      <c r="I1572" s="58" t="str">
        <f t="shared" si="134"/>
        <v>Ukraine-Offline</v>
      </c>
      <c r="J1572" s="40"/>
      <c r="K1572" s="59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  <c r="Z1572" s="35"/>
      <c r="AA1572" s="35"/>
      <c r="AB1572" s="35"/>
      <c r="AC1572" s="35"/>
      <c r="AD1572" s="35"/>
      <c r="AE1572" s="35"/>
      <c r="AF1572" s="35"/>
      <c r="AG1572" s="35"/>
      <c r="AH1572" s="35"/>
      <c r="AI1572" s="35"/>
      <c r="AJ1572" s="35"/>
      <c r="AK1572" s="35"/>
      <c r="AL1572" s="35"/>
      <c r="AM1572" s="35"/>
      <c r="AN1572" s="35"/>
      <c r="AO1572" s="35"/>
      <c r="AP1572" s="35"/>
    </row>
    <row r="1573" spans="1:42" ht="17.25" customHeight="1" x14ac:dyDescent="0.25">
      <c r="A1573" s="60">
        <v>2017</v>
      </c>
      <c r="B1573" s="61" t="s">
        <v>66</v>
      </c>
      <c r="C1573" s="61" t="s">
        <v>17</v>
      </c>
      <c r="D1573" s="61" t="s">
        <v>25</v>
      </c>
      <c r="E1573" s="61" t="s">
        <v>69</v>
      </c>
      <c r="F1573" s="61" t="s">
        <v>70</v>
      </c>
      <c r="G1573" s="62">
        <v>317980471</v>
      </c>
      <c r="H1573" s="61" t="s">
        <v>68</v>
      </c>
      <c r="I1573" s="63" t="str">
        <f t="shared" si="134"/>
        <v>Ukraine-Online Supplier-Direct</v>
      </c>
      <c r="J1573" s="47"/>
      <c r="K1573" s="54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  <c r="AA1573" s="35"/>
      <c r="AB1573" s="35"/>
      <c r="AC1573" s="35"/>
      <c r="AD1573" s="35"/>
      <c r="AE1573" s="35"/>
      <c r="AF1573" s="35"/>
      <c r="AG1573" s="35"/>
      <c r="AH1573" s="35"/>
      <c r="AI1573" s="35"/>
      <c r="AJ1573" s="35"/>
      <c r="AK1573" s="35"/>
      <c r="AL1573" s="35"/>
      <c r="AM1573" s="35"/>
      <c r="AN1573" s="35"/>
      <c r="AO1573" s="35"/>
      <c r="AP1573" s="35"/>
    </row>
    <row r="1574" spans="1:42" ht="17.25" customHeight="1" x14ac:dyDescent="0.25">
      <c r="A1574" s="55">
        <v>2017</v>
      </c>
      <c r="B1574" s="56" t="s">
        <v>66</v>
      </c>
      <c r="C1574" s="56" t="s">
        <v>17</v>
      </c>
      <c r="D1574" s="56" t="s">
        <v>25</v>
      </c>
      <c r="E1574" s="56" t="s">
        <v>69</v>
      </c>
      <c r="F1574" s="56" t="s">
        <v>71</v>
      </c>
      <c r="G1574" s="57">
        <v>279459127</v>
      </c>
      <c r="H1574" s="56" t="s">
        <v>68</v>
      </c>
      <c r="I1574" s="58" t="str">
        <f t="shared" si="134"/>
        <v>Ukraine-OTA</v>
      </c>
      <c r="J1574" s="40"/>
      <c r="K1574" s="59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  <c r="Z1574" s="35"/>
      <c r="AA1574" s="35"/>
      <c r="AB1574" s="35"/>
      <c r="AC1574" s="35"/>
      <c r="AD1574" s="35"/>
      <c r="AE1574" s="35"/>
      <c r="AF1574" s="35"/>
      <c r="AG1574" s="35"/>
      <c r="AH1574" s="35"/>
      <c r="AI1574" s="35"/>
      <c r="AJ1574" s="35"/>
      <c r="AK1574" s="35"/>
      <c r="AL1574" s="35"/>
      <c r="AM1574" s="35"/>
      <c r="AN1574" s="35"/>
      <c r="AO1574" s="35"/>
      <c r="AP1574" s="35"/>
    </row>
    <row r="1575" spans="1:42" ht="17.25" customHeight="1" x14ac:dyDescent="0.25">
      <c r="A1575" s="60">
        <v>2018</v>
      </c>
      <c r="B1575" s="61" t="s">
        <v>66</v>
      </c>
      <c r="C1575" s="61" t="s">
        <v>35</v>
      </c>
      <c r="D1575" s="61" t="s">
        <v>34</v>
      </c>
      <c r="E1575" s="61" t="s">
        <v>67</v>
      </c>
      <c r="F1575" s="61" t="s">
        <v>67</v>
      </c>
      <c r="G1575" s="62">
        <v>3071905115</v>
      </c>
      <c r="H1575" s="61" t="s">
        <v>68</v>
      </c>
      <c r="I1575" s="63" t="str">
        <f t="shared" si="134"/>
        <v>Argentina-Offline</v>
      </c>
      <c r="J1575" s="47"/>
      <c r="K1575" s="54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  <c r="AA1575" s="35"/>
      <c r="AB1575" s="35"/>
      <c r="AC1575" s="35"/>
      <c r="AD1575" s="35"/>
      <c r="AE1575" s="35"/>
      <c r="AF1575" s="35"/>
      <c r="AG1575" s="35"/>
      <c r="AH1575" s="35"/>
      <c r="AI1575" s="35"/>
      <c r="AJ1575" s="35"/>
      <c r="AK1575" s="35"/>
      <c r="AL1575" s="35"/>
      <c r="AM1575" s="35"/>
      <c r="AN1575" s="35"/>
      <c r="AO1575" s="35"/>
      <c r="AP1575" s="35"/>
    </row>
    <row r="1576" spans="1:42" ht="17.25" customHeight="1" x14ac:dyDescent="0.25">
      <c r="A1576" s="55">
        <v>2018</v>
      </c>
      <c r="B1576" s="56" t="s">
        <v>66</v>
      </c>
      <c r="C1576" s="56" t="s">
        <v>35</v>
      </c>
      <c r="D1576" s="56" t="s">
        <v>34</v>
      </c>
      <c r="E1576" s="56" t="s">
        <v>69</v>
      </c>
      <c r="F1576" s="56" t="s">
        <v>70</v>
      </c>
      <c r="G1576" s="57">
        <v>620312061</v>
      </c>
      <c r="H1576" s="56" t="s">
        <v>68</v>
      </c>
      <c r="I1576" s="58" t="str">
        <f t="shared" si="134"/>
        <v>Argentina-Online Supplier-Direct</v>
      </c>
      <c r="J1576" s="40"/>
      <c r="K1576" s="59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  <c r="AA1576" s="35"/>
      <c r="AB1576" s="35"/>
      <c r="AC1576" s="35"/>
      <c r="AD1576" s="35"/>
      <c r="AE1576" s="35"/>
      <c r="AF1576" s="35"/>
      <c r="AG1576" s="35"/>
      <c r="AH1576" s="35"/>
      <c r="AI1576" s="35"/>
      <c r="AJ1576" s="35"/>
      <c r="AK1576" s="35"/>
      <c r="AL1576" s="35"/>
      <c r="AM1576" s="35"/>
      <c r="AN1576" s="35"/>
      <c r="AO1576" s="35"/>
      <c r="AP1576" s="35"/>
    </row>
    <row r="1577" spans="1:42" ht="17.25" customHeight="1" x14ac:dyDescent="0.25">
      <c r="A1577" s="60">
        <v>2018</v>
      </c>
      <c r="B1577" s="61" t="s">
        <v>66</v>
      </c>
      <c r="C1577" s="61" t="s">
        <v>35</v>
      </c>
      <c r="D1577" s="61" t="s">
        <v>34</v>
      </c>
      <c r="E1577" s="61" t="s">
        <v>69</v>
      </c>
      <c r="F1577" s="61" t="s">
        <v>71</v>
      </c>
      <c r="G1577" s="62">
        <v>740546338</v>
      </c>
      <c r="H1577" s="61" t="s">
        <v>68</v>
      </c>
      <c r="I1577" s="63" t="str">
        <f t="shared" si="134"/>
        <v>Argentina-OTA</v>
      </c>
      <c r="J1577" s="47"/>
      <c r="K1577" s="54"/>
      <c r="L1577" s="35"/>
      <c r="M1577" s="35"/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  <c r="AA1577" s="35"/>
      <c r="AB1577" s="35"/>
      <c r="AC1577" s="35"/>
      <c r="AD1577" s="35"/>
      <c r="AE1577" s="35"/>
      <c r="AF1577" s="35"/>
      <c r="AG1577" s="35"/>
      <c r="AH1577" s="35"/>
      <c r="AI1577" s="35"/>
      <c r="AJ1577" s="35"/>
      <c r="AK1577" s="35"/>
      <c r="AL1577" s="35"/>
      <c r="AM1577" s="35"/>
      <c r="AN1577" s="35"/>
      <c r="AO1577" s="35"/>
      <c r="AP1577" s="35"/>
    </row>
    <row r="1578" spans="1:42" ht="17.25" customHeight="1" x14ac:dyDescent="0.25">
      <c r="A1578" s="55">
        <v>2018</v>
      </c>
      <c r="B1578" s="56" t="s">
        <v>66</v>
      </c>
      <c r="C1578" s="56" t="s">
        <v>4</v>
      </c>
      <c r="D1578" s="56" t="s">
        <v>3</v>
      </c>
      <c r="E1578" s="56" t="s">
        <v>67</v>
      </c>
      <c r="F1578" s="56" t="s">
        <v>67</v>
      </c>
      <c r="G1578" s="57">
        <v>19092646617</v>
      </c>
      <c r="H1578" s="56" t="s">
        <v>68</v>
      </c>
      <c r="I1578" s="58" t="str">
        <f t="shared" si="134"/>
        <v>Australia-New Zealand-Offline</v>
      </c>
      <c r="J1578" s="40"/>
      <c r="K1578" s="59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  <c r="AA1578" s="35"/>
      <c r="AB1578" s="35"/>
      <c r="AC1578" s="35"/>
      <c r="AD1578" s="35"/>
      <c r="AE1578" s="35"/>
      <c r="AF1578" s="35"/>
      <c r="AG1578" s="35"/>
      <c r="AH1578" s="35"/>
      <c r="AI1578" s="35"/>
      <c r="AJ1578" s="35"/>
      <c r="AK1578" s="35"/>
      <c r="AL1578" s="35"/>
      <c r="AM1578" s="35"/>
      <c r="AN1578" s="35"/>
      <c r="AO1578" s="35"/>
      <c r="AP1578" s="35"/>
    </row>
    <row r="1579" spans="1:42" ht="17.25" customHeight="1" x14ac:dyDescent="0.25">
      <c r="A1579" s="60">
        <v>2018</v>
      </c>
      <c r="B1579" s="61" t="s">
        <v>66</v>
      </c>
      <c r="C1579" s="61" t="s">
        <v>4</v>
      </c>
      <c r="D1579" s="61" t="s">
        <v>3</v>
      </c>
      <c r="E1579" s="61" t="s">
        <v>69</v>
      </c>
      <c r="F1579" s="61" t="s">
        <v>70</v>
      </c>
      <c r="G1579" s="62">
        <v>10026705472</v>
      </c>
      <c r="H1579" s="61" t="s">
        <v>68</v>
      </c>
      <c r="I1579" s="63" t="str">
        <f t="shared" si="134"/>
        <v>Australia-New Zealand-Online Supplier-Direct</v>
      </c>
      <c r="J1579" s="47"/>
      <c r="K1579" s="54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/>
      <c r="AB1579" s="35"/>
      <c r="AC1579" s="35"/>
      <c r="AD1579" s="35"/>
      <c r="AE1579" s="35"/>
      <c r="AF1579" s="35"/>
      <c r="AG1579" s="35"/>
      <c r="AH1579" s="35"/>
      <c r="AI1579" s="35"/>
      <c r="AJ1579" s="35"/>
      <c r="AK1579" s="35"/>
      <c r="AL1579" s="35"/>
      <c r="AM1579" s="35"/>
      <c r="AN1579" s="35"/>
      <c r="AO1579" s="35"/>
      <c r="AP1579" s="35"/>
    </row>
    <row r="1580" spans="1:42" ht="17.25" customHeight="1" x14ac:dyDescent="0.25">
      <c r="A1580" s="55">
        <v>2018</v>
      </c>
      <c r="B1580" s="56" t="s">
        <v>66</v>
      </c>
      <c r="C1580" s="56" t="s">
        <v>4</v>
      </c>
      <c r="D1580" s="56" t="s">
        <v>3</v>
      </c>
      <c r="E1580" s="56" t="s">
        <v>69</v>
      </c>
      <c r="F1580" s="56" t="s">
        <v>71</v>
      </c>
      <c r="G1580" s="57">
        <v>4698406223</v>
      </c>
      <c r="H1580" s="56" t="s">
        <v>68</v>
      </c>
      <c r="I1580" s="58" t="str">
        <f t="shared" si="134"/>
        <v>Australia-New Zealand-OTA</v>
      </c>
      <c r="J1580" s="40"/>
      <c r="K1580" s="59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  <c r="AA1580" s="35"/>
      <c r="AB1580" s="35"/>
      <c r="AC1580" s="35"/>
      <c r="AD1580" s="35"/>
      <c r="AE1580" s="35"/>
      <c r="AF1580" s="35"/>
      <c r="AG1580" s="35"/>
      <c r="AH1580" s="35"/>
      <c r="AI1580" s="35"/>
      <c r="AJ1580" s="35"/>
      <c r="AK1580" s="35"/>
      <c r="AL1580" s="35"/>
      <c r="AM1580" s="35"/>
      <c r="AN1580" s="35"/>
      <c r="AO1580" s="35"/>
      <c r="AP1580" s="35"/>
    </row>
    <row r="1581" spans="1:42" ht="17.25" customHeight="1" x14ac:dyDescent="0.25">
      <c r="A1581" s="60">
        <v>2018</v>
      </c>
      <c r="B1581" s="61" t="s">
        <v>66</v>
      </c>
      <c r="C1581" s="61" t="s">
        <v>35</v>
      </c>
      <c r="D1581" s="61" t="s">
        <v>36</v>
      </c>
      <c r="E1581" s="61" t="s">
        <v>67</v>
      </c>
      <c r="F1581" s="61" t="s">
        <v>67</v>
      </c>
      <c r="G1581" s="62">
        <v>10705833681</v>
      </c>
      <c r="H1581" s="61" t="s">
        <v>68</v>
      </c>
      <c r="I1581" s="63" t="str">
        <f t="shared" si="134"/>
        <v>Brazil-Offline</v>
      </c>
      <c r="J1581" s="47"/>
      <c r="K1581" s="54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  <c r="AA1581" s="35"/>
      <c r="AB1581" s="35"/>
      <c r="AC1581" s="35"/>
      <c r="AD1581" s="35"/>
      <c r="AE1581" s="35"/>
      <c r="AF1581" s="35"/>
      <c r="AG1581" s="35"/>
      <c r="AH1581" s="35"/>
      <c r="AI1581" s="35"/>
      <c r="AJ1581" s="35"/>
      <c r="AK1581" s="35"/>
      <c r="AL1581" s="35"/>
      <c r="AM1581" s="35"/>
      <c r="AN1581" s="35"/>
      <c r="AO1581" s="35"/>
      <c r="AP1581" s="35"/>
    </row>
    <row r="1582" spans="1:42" ht="17.25" customHeight="1" x14ac:dyDescent="0.25">
      <c r="A1582" s="55">
        <v>2018</v>
      </c>
      <c r="B1582" s="56" t="s">
        <v>66</v>
      </c>
      <c r="C1582" s="56" t="s">
        <v>35</v>
      </c>
      <c r="D1582" s="56" t="s">
        <v>36</v>
      </c>
      <c r="E1582" s="56" t="s">
        <v>69</v>
      </c>
      <c r="F1582" s="56" t="s">
        <v>70</v>
      </c>
      <c r="G1582" s="57">
        <v>2903951176</v>
      </c>
      <c r="H1582" s="56" t="s">
        <v>68</v>
      </c>
      <c r="I1582" s="58" t="str">
        <f t="shared" si="134"/>
        <v>Brazil-Online Supplier-Direct</v>
      </c>
      <c r="J1582" s="40"/>
      <c r="K1582" s="59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  <c r="AA1582" s="35"/>
      <c r="AB1582" s="35"/>
      <c r="AC1582" s="35"/>
      <c r="AD1582" s="35"/>
      <c r="AE1582" s="35"/>
      <c r="AF1582" s="35"/>
      <c r="AG1582" s="35"/>
      <c r="AH1582" s="35"/>
      <c r="AI1582" s="35"/>
      <c r="AJ1582" s="35"/>
      <c r="AK1582" s="35"/>
      <c r="AL1582" s="35"/>
      <c r="AM1582" s="35"/>
      <c r="AN1582" s="35"/>
      <c r="AO1582" s="35"/>
      <c r="AP1582" s="35"/>
    </row>
    <row r="1583" spans="1:42" ht="17.25" customHeight="1" x14ac:dyDescent="0.25">
      <c r="A1583" s="60">
        <v>2018</v>
      </c>
      <c r="B1583" s="61" t="s">
        <v>66</v>
      </c>
      <c r="C1583" s="61" t="s">
        <v>35</v>
      </c>
      <c r="D1583" s="61" t="s">
        <v>36</v>
      </c>
      <c r="E1583" s="61" t="s">
        <v>69</v>
      </c>
      <c r="F1583" s="61" t="s">
        <v>71</v>
      </c>
      <c r="G1583" s="62">
        <v>4379741278</v>
      </c>
      <c r="H1583" s="61" t="s">
        <v>68</v>
      </c>
      <c r="I1583" s="63" t="str">
        <f t="shared" si="134"/>
        <v>Brazil-OTA</v>
      </c>
      <c r="J1583" s="47"/>
      <c r="K1583" s="54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  <c r="AA1583" s="35"/>
      <c r="AB1583" s="35"/>
      <c r="AC1583" s="35"/>
      <c r="AD1583" s="35"/>
      <c r="AE1583" s="35"/>
      <c r="AF1583" s="35"/>
      <c r="AG1583" s="35"/>
      <c r="AH1583" s="35"/>
      <c r="AI1583" s="35"/>
      <c r="AJ1583" s="35"/>
      <c r="AK1583" s="35"/>
      <c r="AL1583" s="35"/>
      <c r="AM1583" s="35"/>
      <c r="AN1583" s="35"/>
      <c r="AO1583" s="35"/>
      <c r="AP1583" s="35"/>
    </row>
    <row r="1584" spans="1:42" ht="17.25" customHeight="1" x14ac:dyDescent="0.25">
      <c r="A1584" s="55">
        <v>2018</v>
      </c>
      <c r="B1584" s="56" t="s">
        <v>66</v>
      </c>
      <c r="C1584" s="56" t="s">
        <v>17</v>
      </c>
      <c r="D1584" s="56" t="s">
        <v>16</v>
      </c>
      <c r="E1584" s="56" t="s">
        <v>67</v>
      </c>
      <c r="F1584" s="56" t="s">
        <v>67</v>
      </c>
      <c r="G1584" s="57">
        <v>852906081</v>
      </c>
      <c r="H1584" s="56" t="s">
        <v>68</v>
      </c>
      <c r="I1584" s="58" t="str">
        <f t="shared" si="134"/>
        <v>Bulgaria-Offline</v>
      </c>
      <c r="J1584" s="40"/>
      <c r="K1584" s="59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  <c r="AA1584" s="35"/>
      <c r="AB1584" s="35"/>
      <c r="AC1584" s="35"/>
      <c r="AD1584" s="35"/>
      <c r="AE1584" s="35"/>
      <c r="AF1584" s="35"/>
      <c r="AG1584" s="35"/>
      <c r="AH1584" s="35"/>
      <c r="AI1584" s="35"/>
      <c r="AJ1584" s="35"/>
      <c r="AK1584" s="35"/>
      <c r="AL1584" s="35"/>
      <c r="AM1584" s="35"/>
      <c r="AN1584" s="35"/>
      <c r="AO1584" s="35"/>
      <c r="AP1584" s="35"/>
    </row>
    <row r="1585" spans="1:42" ht="17.25" customHeight="1" x14ac:dyDescent="0.25">
      <c r="A1585" s="60">
        <v>2018</v>
      </c>
      <c r="B1585" s="61" t="s">
        <v>66</v>
      </c>
      <c r="C1585" s="61" t="s">
        <v>17</v>
      </c>
      <c r="D1585" s="61" t="s">
        <v>16</v>
      </c>
      <c r="E1585" s="61" t="s">
        <v>69</v>
      </c>
      <c r="F1585" s="61" t="s">
        <v>70</v>
      </c>
      <c r="G1585" s="62">
        <v>98618331</v>
      </c>
      <c r="H1585" s="61" t="s">
        <v>68</v>
      </c>
      <c r="I1585" s="63" t="str">
        <f t="shared" si="134"/>
        <v>Bulgaria-Online Supplier-Direct</v>
      </c>
      <c r="J1585" s="47"/>
      <c r="K1585" s="54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  <c r="AB1585" s="35"/>
      <c r="AC1585" s="35"/>
      <c r="AD1585" s="35"/>
      <c r="AE1585" s="35"/>
      <c r="AF1585" s="35"/>
      <c r="AG1585" s="35"/>
      <c r="AH1585" s="35"/>
      <c r="AI1585" s="35"/>
      <c r="AJ1585" s="35"/>
      <c r="AK1585" s="35"/>
      <c r="AL1585" s="35"/>
      <c r="AM1585" s="35"/>
      <c r="AN1585" s="35"/>
      <c r="AO1585" s="35"/>
      <c r="AP1585" s="35"/>
    </row>
    <row r="1586" spans="1:42" ht="17.25" customHeight="1" x14ac:dyDescent="0.25">
      <c r="A1586" s="55">
        <v>2018</v>
      </c>
      <c r="B1586" s="56" t="s">
        <v>66</v>
      </c>
      <c r="C1586" s="56" t="s">
        <v>17</v>
      </c>
      <c r="D1586" s="56" t="s">
        <v>16</v>
      </c>
      <c r="E1586" s="56" t="s">
        <v>69</v>
      </c>
      <c r="F1586" s="56" t="s">
        <v>71</v>
      </c>
      <c r="G1586" s="57">
        <v>262003544</v>
      </c>
      <c r="H1586" s="56" t="s">
        <v>68</v>
      </c>
      <c r="I1586" s="58" t="str">
        <f t="shared" si="134"/>
        <v>Bulgaria-OTA</v>
      </c>
      <c r="J1586" s="40"/>
      <c r="K1586" s="59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  <c r="AA1586" s="35"/>
      <c r="AB1586" s="35"/>
      <c r="AC1586" s="35"/>
      <c r="AD1586" s="35"/>
      <c r="AE1586" s="35"/>
      <c r="AF1586" s="35"/>
      <c r="AG1586" s="35"/>
      <c r="AH1586" s="35"/>
      <c r="AI1586" s="35"/>
      <c r="AJ1586" s="35"/>
      <c r="AK1586" s="35"/>
      <c r="AL1586" s="35"/>
      <c r="AM1586" s="35"/>
      <c r="AN1586" s="35"/>
      <c r="AO1586" s="35"/>
      <c r="AP1586" s="35"/>
    </row>
    <row r="1587" spans="1:42" ht="17.25" customHeight="1" x14ac:dyDescent="0.25">
      <c r="A1587" s="60">
        <v>2018</v>
      </c>
      <c r="B1587" s="61" t="s">
        <v>66</v>
      </c>
      <c r="C1587" s="61" t="s">
        <v>47</v>
      </c>
      <c r="D1587" s="61" t="s">
        <v>46</v>
      </c>
      <c r="E1587" s="61" t="s">
        <v>72</v>
      </c>
      <c r="F1587" s="61" t="s">
        <v>73</v>
      </c>
      <c r="G1587" s="62">
        <v>8711046143</v>
      </c>
      <c r="H1587" s="61" t="s">
        <v>68</v>
      </c>
      <c r="I1587" s="63" t="str">
        <f t="shared" si="134"/>
        <v>Canada-Central Reservation</v>
      </c>
      <c r="J1587" s="47"/>
      <c r="K1587" s="54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  <c r="Z1587" s="35"/>
      <c r="AA1587" s="35"/>
      <c r="AB1587" s="35"/>
      <c r="AC1587" s="35"/>
      <c r="AD1587" s="35"/>
      <c r="AE1587" s="35"/>
      <c r="AF1587" s="35"/>
      <c r="AG1587" s="35"/>
      <c r="AH1587" s="35"/>
      <c r="AI1587" s="35"/>
      <c r="AJ1587" s="35"/>
      <c r="AK1587" s="35"/>
      <c r="AL1587" s="35"/>
      <c r="AM1587" s="35"/>
      <c r="AN1587" s="35"/>
      <c r="AO1587" s="35"/>
      <c r="AP1587" s="35"/>
    </row>
    <row r="1588" spans="1:42" ht="17.25" customHeight="1" x14ac:dyDescent="0.25">
      <c r="A1588" s="55">
        <v>2018</v>
      </c>
      <c r="B1588" s="56" t="s">
        <v>66</v>
      </c>
      <c r="C1588" s="56" t="s">
        <v>47</v>
      </c>
      <c r="D1588" s="56" t="s">
        <v>46</v>
      </c>
      <c r="E1588" s="56" t="s">
        <v>67</v>
      </c>
      <c r="F1588" s="56" t="s">
        <v>74</v>
      </c>
      <c r="G1588" s="57">
        <v>10217505852</v>
      </c>
      <c r="H1588" s="56" t="s">
        <v>68</v>
      </c>
      <c r="I1588" s="58" t="str">
        <f t="shared" si="134"/>
        <v>Canada-Travel Agency/TMC</v>
      </c>
      <c r="J1588" s="40"/>
      <c r="K1588" s="59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  <c r="AB1588" s="35"/>
      <c r="AC1588" s="35"/>
      <c r="AD1588" s="35"/>
      <c r="AE1588" s="35"/>
      <c r="AF1588" s="35"/>
      <c r="AG1588" s="35"/>
      <c r="AH1588" s="35"/>
      <c r="AI1588" s="35"/>
      <c r="AJ1588" s="35"/>
      <c r="AK1588" s="35"/>
      <c r="AL1588" s="35"/>
      <c r="AM1588" s="35"/>
      <c r="AN1588" s="35"/>
      <c r="AO1588" s="35"/>
      <c r="AP1588" s="35"/>
    </row>
    <row r="1589" spans="1:42" ht="17.25" customHeight="1" x14ac:dyDescent="0.25">
      <c r="A1589" s="60">
        <v>2018</v>
      </c>
      <c r="B1589" s="61" t="s">
        <v>66</v>
      </c>
      <c r="C1589" s="61" t="s">
        <v>47</v>
      </c>
      <c r="D1589" s="61" t="s">
        <v>46</v>
      </c>
      <c r="E1589" s="61" t="s">
        <v>69</v>
      </c>
      <c r="F1589" s="61" t="s">
        <v>70</v>
      </c>
      <c r="G1589" s="62">
        <v>11094265479</v>
      </c>
      <c r="H1589" s="61" t="s">
        <v>68</v>
      </c>
      <c r="I1589" s="63" t="str">
        <f t="shared" si="134"/>
        <v>Canada-Online Supplier-Direct</v>
      </c>
      <c r="J1589" s="47"/>
      <c r="K1589" s="54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  <c r="AG1589" s="35"/>
      <c r="AH1589" s="35"/>
      <c r="AI1589" s="35"/>
      <c r="AJ1589" s="35"/>
      <c r="AK1589" s="35"/>
      <c r="AL1589" s="35"/>
      <c r="AM1589" s="35"/>
      <c r="AN1589" s="35"/>
      <c r="AO1589" s="35"/>
      <c r="AP1589" s="35"/>
    </row>
    <row r="1590" spans="1:42" ht="17.25" customHeight="1" x14ac:dyDescent="0.25">
      <c r="A1590" s="55">
        <v>2018</v>
      </c>
      <c r="B1590" s="56" t="s">
        <v>66</v>
      </c>
      <c r="C1590" s="56" t="s">
        <v>47</v>
      </c>
      <c r="D1590" s="56" t="s">
        <v>46</v>
      </c>
      <c r="E1590" s="56" t="s">
        <v>69</v>
      </c>
      <c r="F1590" s="56" t="s">
        <v>71</v>
      </c>
      <c r="G1590" s="57">
        <v>8039227733</v>
      </c>
      <c r="H1590" s="56" t="s">
        <v>68</v>
      </c>
      <c r="I1590" s="58" t="str">
        <f t="shared" si="134"/>
        <v>Canada-OTA</v>
      </c>
      <c r="J1590" s="40"/>
      <c r="K1590" s="59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  <c r="AA1590" s="35"/>
      <c r="AB1590" s="35"/>
      <c r="AC1590" s="35"/>
      <c r="AD1590" s="35"/>
      <c r="AE1590" s="35"/>
      <c r="AF1590" s="35"/>
      <c r="AG1590" s="35"/>
      <c r="AH1590" s="35"/>
      <c r="AI1590" s="35"/>
      <c r="AJ1590" s="35"/>
      <c r="AK1590" s="35"/>
      <c r="AL1590" s="35"/>
      <c r="AM1590" s="35"/>
      <c r="AN1590" s="35"/>
      <c r="AO1590" s="35"/>
      <c r="AP1590" s="35"/>
    </row>
    <row r="1591" spans="1:42" ht="17.25" customHeight="1" x14ac:dyDescent="0.25">
      <c r="A1591" s="60">
        <v>2018</v>
      </c>
      <c r="B1591" s="61" t="s">
        <v>66</v>
      </c>
      <c r="C1591" s="61" t="s">
        <v>35</v>
      </c>
      <c r="D1591" s="61" t="s">
        <v>37</v>
      </c>
      <c r="E1591" s="61" t="s">
        <v>67</v>
      </c>
      <c r="F1591" s="61" t="s">
        <v>67</v>
      </c>
      <c r="G1591" s="62">
        <v>3049332225</v>
      </c>
      <c r="H1591" s="61" t="s">
        <v>68</v>
      </c>
      <c r="I1591" s="63" t="str">
        <f t="shared" si="134"/>
        <v>Chile-Offline</v>
      </c>
      <c r="J1591" s="47"/>
      <c r="K1591" s="54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  <c r="AA1591" s="35"/>
      <c r="AB1591" s="35"/>
      <c r="AC1591" s="35"/>
      <c r="AD1591" s="35"/>
      <c r="AE1591" s="35"/>
      <c r="AF1591" s="35"/>
      <c r="AG1591" s="35"/>
      <c r="AH1591" s="35"/>
      <c r="AI1591" s="35"/>
      <c r="AJ1591" s="35"/>
      <c r="AK1591" s="35"/>
      <c r="AL1591" s="35"/>
      <c r="AM1591" s="35"/>
      <c r="AN1591" s="35"/>
      <c r="AO1591" s="35"/>
      <c r="AP1591" s="35"/>
    </row>
    <row r="1592" spans="1:42" ht="17.25" customHeight="1" x14ac:dyDescent="0.25">
      <c r="A1592" s="55">
        <v>2018</v>
      </c>
      <c r="B1592" s="56" t="s">
        <v>66</v>
      </c>
      <c r="C1592" s="56" t="s">
        <v>35</v>
      </c>
      <c r="D1592" s="56" t="s">
        <v>37</v>
      </c>
      <c r="E1592" s="56" t="s">
        <v>69</v>
      </c>
      <c r="F1592" s="56" t="s">
        <v>70</v>
      </c>
      <c r="G1592" s="57">
        <v>980341615</v>
      </c>
      <c r="H1592" s="56" t="s">
        <v>68</v>
      </c>
      <c r="I1592" s="58" t="str">
        <f t="shared" si="134"/>
        <v>Chile-Online Supplier-Direct</v>
      </c>
      <c r="J1592" s="40"/>
      <c r="K1592" s="59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  <c r="AA1592" s="35"/>
      <c r="AB1592" s="35"/>
      <c r="AC1592" s="35"/>
      <c r="AD1592" s="35"/>
      <c r="AE1592" s="35"/>
      <c r="AF1592" s="35"/>
      <c r="AG1592" s="35"/>
      <c r="AH1592" s="35"/>
      <c r="AI1592" s="35"/>
      <c r="AJ1592" s="35"/>
      <c r="AK1592" s="35"/>
      <c r="AL1592" s="35"/>
      <c r="AM1592" s="35"/>
      <c r="AN1592" s="35"/>
      <c r="AO1592" s="35"/>
      <c r="AP1592" s="35"/>
    </row>
    <row r="1593" spans="1:42" ht="17.25" customHeight="1" x14ac:dyDescent="0.25">
      <c r="A1593" s="60">
        <v>2018</v>
      </c>
      <c r="B1593" s="61" t="s">
        <v>66</v>
      </c>
      <c r="C1593" s="61" t="s">
        <v>35</v>
      </c>
      <c r="D1593" s="61" t="s">
        <v>37</v>
      </c>
      <c r="E1593" s="61" t="s">
        <v>69</v>
      </c>
      <c r="F1593" s="61" t="s">
        <v>71</v>
      </c>
      <c r="G1593" s="62">
        <v>938742408</v>
      </c>
      <c r="H1593" s="61" t="s">
        <v>68</v>
      </c>
      <c r="I1593" s="63" t="str">
        <f t="shared" si="134"/>
        <v>Chile-OTA</v>
      </c>
      <c r="J1593" s="47"/>
      <c r="K1593" s="54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  <c r="AB1593" s="35"/>
      <c r="AC1593" s="35"/>
      <c r="AD1593" s="35"/>
      <c r="AE1593" s="35"/>
      <c r="AF1593" s="35"/>
      <c r="AG1593" s="35"/>
      <c r="AH1593" s="35"/>
      <c r="AI1593" s="35"/>
      <c r="AJ1593" s="35"/>
      <c r="AK1593" s="35"/>
      <c r="AL1593" s="35"/>
      <c r="AM1593" s="35"/>
      <c r="AN1593" s="35"/>
      <c r="AO1593" s="35"/>
      <c r="AP1593" s="35"/>
    </row>
    <row r="1594" spans="1:42" ht="17.25" customHeight="1" x14ac:dyDescent="0.25">
      <c r="A1594" s="55">
        <v>2018</v>
      </c>
      <c r="B1594" s="56" t="s">
        <v>66</v>
      </c>
      <c r="C1594" s="56" t="s">
        <v>4</v>
      </c>
      <c r="D1594" s="56" t="s">
        <v>5</v>
      </c>
      <c r="E1594" s="56" t="s">
        <v>67</v>
      </c>
      <c r="F1594" s="56" t="s">
        <v>67</v>
      </c>
      <c r="G1594" s="57">
        <v>85502078828</v>
      </c>
      <c r="H1594" s="56" t="s">
        <v>68</v>
      </c>
      <c r="I1594" s="58" t="str">
        <f t="shared" si="134"/>
        <v>China-Offline</v>
      </c>
      <c r="J1594" s="40"/>
      <c r="K1594" s="59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  <c r="AA1594" s="35"/>
      <c r="AB1594" s="35"/>
      <c r="AC1594" s="35"/>
      <c r="AD1594" s="35"/>
      <c r="AE1594" s="35"/>
      <c r="AF1594" s="35"/>
      <c r="AG1594" s="35"/>
      <c r="AH1594" s="35"/>
      <c r="AI1594" s="35"/>
      <c r="AJ1594" s="35"/>
      <c r="AK1594" s="35"/>
      <c r="AL1594" s="35"/>
      <c r="AM1594" s="35"/>
      <c r="AN1594" s="35"/>
      <c r="AO1594" s="35"/>
      <c r="AP1594" s="35"/>
    </row>
    <row r="1595" spans="1:42" ht="17.25" customHeight="1" x14ac:dyDescent="0.25">
      <c r="A1595" s="60">
        <v>2018</v>
      </c>
      <c r="B1595" s="61" t="s">
        <v>66</v>
      </c>
      <c r="C1595" s="61" t="s">
        <v>4</v>
      </c>
      <c r="D1595" s="61" t="s">
        <v>5</v>
      </c>
      <c r="E1595" s="61" t="s">
        <v>69</v>
      </c>
      <c r="F1595" s="61" t="s">
        <v>70</v>
      </c>
      <c r="G1595" s="62">
        <v>39388901589</v>
      </c>
      <c r="H1595" s="61" t="s">
        <v>68</v>
      </c>
      <c r="I1595" s="63" t="str">
        <f t="shared" si="134"/>
        <v>China-Online Supplier-Direct</v>
      </c>
      <c r="J1595" s="47"/>
      <c r="K1595" s="54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  <c r="AA1595" s="35"/>
      <c r="AB1595" s="35"/>
      <c r="AC1595" s="35"/>
      <c r="AD1595" s="35"/>
      <c r="AE1595" s="35"/>
      <c r="AF1595" s="35"/>
      <c r="AG1595" s="35"/>
      <c r="AH1595" s="35"/>
      <c r="AI1595" s="35"/>
      <c r="AJ1595" s="35"/>
      <c r="AK1595" s="35"/>
      <c r="AL1595" s="35"/>
      <c r="AM1595" s="35"/>
      <c r="AN1595" s="35"/>
      <c r="AO1595" s="35"/>
      <c r="AP1595" s="35"/>
    </row>
    <row r="1596" spans="1:42" ht="17.25" customHeight="1" x14ac:dyDescent="0.25">
      <c r="A1596" s="55">
        <v>2018</v>
      </c>
      <c r="B1596" s="56" t="s">
        <v>66</v>
      </c>
      <c r="C1596" s="56" t="s">
        <v>4</v>
      </c>
      <c r="D1596" s="56" t="s">
        <v>5</v>
      </c>
      <c r="E1596" s="56" t="s">
        <v>69</v>
      </c>
      <c r="F1596" s="56" t="s">
        <v>71</v>
      </c>
      <c r="G1596" s="57">
        <v>45674298613</v>
      </c>
      <c r="H1596" s="56" t="s">
        <v>68</v>
      </c>
      <c r="I1596" s="58" t="str">
        <f t="shared" si="134"/>
        <v>China-OTA</v>
      </c>
      <c r="J1596" s="40"/>
      <c r="K1596" s="59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  <c r="AA1596" s="35"/>
      <c r="AB1596" s="35"/>
      <c r="AC1596" s="35"/>
      <c r="AD1596" s="35"/>
      <c r="AE1596" s="35"/>
      <c r="AF1596" s="35"/>
      <c r="AG1596" s="35"/>
      <c r="AH1596" s="35"/>
      <c r="AI1596" s="35"/>
      <c r="AJ1596" s="35"/>
      <c r="AK1596" s="35"/>
      <c r="AL1596" s="35"/>
      <c r="AM1596" s="35"/>
      <c r="AN1596" s="35"/>
      <c r="AO1596" s="35"/>
      <c r="AP1596" s="35"/>
    </row>
    <row r="1597" spans="1:42" ht="17.25" customHeight="1" x14ac:dyDescent="0.25">
      <c r="A1597" s="60">
        <v>2018</v>
      </c>
      <c r="B1597" s="61" t="s">
        <v>66</v>
      </c>
      <c r="C1597" s="61" t="s">
        <v>35</v>
      </c>
      <c r="D1597" s="61" t="s">
        <v>38</v>
      </c>
      <c r="E1597" s="61" t="s">
        <v>67</v>
      </c>
      <c r="F1597" s="61" t="s">
        <v>67</v>
      </c>
      <c r="G1597" s="62">
        <v>5185931035</v>
      </c>
      <c r="H1597" s="61" t="s">
        <v>68</v>
      </c>
      <c r="I1597" s="63" t="str">
        <f t="shared" si="134"/>
        <v>Colombia-Offline</v>
      </c>
      <c r="J1597" s="47"/>
      <c r="K1597" s="54"/>
      <c r="L1597" s="35"/>
      <c r="M1597" s="35"/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  <c r="Z1597" s="35"/>
      <c r="AA1597" s="35"/>
      <c r="AB1597" s="35"/>
      <c r="AC1597" s="35"/>
      <c r="AD1597" s="35"/>
      <c r="AE1597" s="35"/>
      <c r="AF1597" s="35"/>
      <c r="AG1597" s="35"/>
      <c r="AH1597" s="35"/>
      <c r="AI1597" s="35"/>
      <c r="AJ1597" s="35"/>
      <c r="AK1597" s="35"/>
      <c r="AL1597" s="35"/>
      <c r="AM1597" s="35"/>
      <c r="AN1597" s="35"/>
      <c r="AO1597" s="35"/>
      <c r="AP1597" s="35"/>
    </row>
    <row r="1598" spans="1:42" ht="17.25" customHeight="1" x14ac:dyDescent="0.25">
      <c r="A1598" s="55">
        <v>2018</v>
      </c>
      <c r="B1598" s="56" t="s">
        <v>66</v>
      </c>
      <c r="C1598" s="56" t="s">
        <v>35</v>
      </c>
      <c r="D1598" s="56" t="s">
        <v>38</v>
      </c>
      <c r="E1598" s="56" t="s">
        <v>69</v>
      </c>
      <c r="F1598" s="56" t="s">
        <v>70</v>
      </c>
      <c r="G1598" s="57">
        <v>1349268812</v>
      </c>
      <c r="H1598" s="56" t="s">
        <v>68</v>
      </c>
      <c r="I1598" s="58" t="str">
        <f t="shared" si="134"/>
        <v>Colombia-Online Supplier-Direct</v>
      </c>
      <c r="J1598" s="40"/>
      <c r="K1598" s="59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  <c r="Z1598" s="35"/>
      <c r="AA1598" s="35"/>
      <c r="AB1598" s="35"/>
      <c r="AC1598" s="35"/>
      <c r="AD1598" s="35"/>
      <c r="AE1598" s="35"/>
      <c r="AF1598" s="35"/>
      <c r="AG1598" s="35"/>
      <c r="AH1598" s="35"/>
      <c r="AI1598" s="35"/>
      <c r="AJ1598" s="35"/>
      <c r="AK1598" s="35"/>
      <c r="AL1598" s="35"/>
      <c r="AM1598" s="35"/>
      <c r="AN1598" s="35"/>
      <c r="AO1598" s="35"/>
      <c r="AP1598" s="35"/>
    </row>
    <row r="1599" spans="1:42" ht="17.25" customHeight="1" x14ac:dyDescent="0.25">
      <c r="A1599" s="60">
        <v>2018</v>
      </c>
      <c r="B1599" s="61" t="s">
        <v>66</v>
      </c>
      <c r="C1599" s="61" t="s">
        <v>35</v>
      </c>
      <c r="D1599" s="61" t="s">
        <v>38</v>
      </c>
      <c r="E1599" s="61" t="s">
        <v>69</v>
      </c>
      <c r="F1599" s="61" t="s">
        <v>71</v>
      </c>
      <c r="G1599" s="62">
        <v>1361848729</v>
      </c>
      <c r="H1599" s="61" t="s">
        <v>68</v>
      </c>
      <c r="I1599" s="63" t="str">
        <f t="shared" si="134"/>
        <v>Colombia-OTA</v>
      </c>
      <c r="J1599" s="47"/>
      <c r="K1599" s="54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  <c r="AG1599" s="35"/>
      <c r="AH1599" s="35"/>
      <c r="AI1599" s="35"/>
      <c r="AJ1599" s="35"/>
      <c r="AK1599" s="35"/>
      <c r="AL1599" s="35"/>
      <c r="AM1599" s="35"/>
      <c r="AN1599" s="35"/>
      <c r="AO1599" s="35"/>
      <c r="AP1599" s="35"/>
    </row>
    <row r="1600" spans="1:42" ht="17.25" customHeight="1" x14ac:dyDescent="0.25">
      <c r="A1600" s="55">
        <v>2018</v>
      </c>
      <c r="B1600" s="56" t="s">
        <v>66</v>
      </c>
      <c r="C1600" s="56" t="s">
        <v>17</v>
      </c>
      <c r="D1600" s="56" t="s">
        <v>18</v>
      </c>
      <c r="E1600" s="56" t="s">
        <v>67</v>
      </c>
      <c r="F1600" s="56" t="s">
        <v>67</v>
      </c>
      <c r="G1600" s="57">
        <v>1800209098</v>
      </c>
      <c r="H1600" s="56" t="s">
        <v>68</v>
      </c>
      <c r="I1600" s="58" t="str">
        <f t="shared" si="134"/>
        <v>Czech Republic-Offline</v>
      </c>
      <c r="J1600" s="40"/>
      <c r="K1600" s="59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  <c r="AG1600" s="35"/>
      <c r="AH1600" s="35"/>
      <c r="AI1600" s="35"/>
      <c r="AJ1600" s="35"/>
      <c r="AK1600" s="35"/>
      <c r="AL1600" s="35"/>
      <c r="AM1600" s="35"/>
      <c r="AN1600" s="35"/>
      <c r="AO1600" s="35"/>
      <c r="AP1600" s="35"/>
    </row>
    <row r="1601" spans="1:42" ht="17.25" customHeight="1" x14ac:dyDescent="0.25">
      <c r="A1601" s="60">
        <v>2018</v>
      </c>
      <c r="B1601" s="61" t="s">
        <v>66</v>
      </c>
      <c r="C1601" s="61" t="s">
        <v>17</v>
      </c>
      <c r="D1601" s="61" t="s">
        <v>18</v>
      </c>
      <c r="E1601" s="61" t="s">
        <v>69</v>
      </c>
      <c r="F1601" s="61" t="s">
        <v>70</v>
      </c>
      <c r="G1601" s="62">
        <v>1122621634</v>
      </c>
      <c r="H1601" s="61" t="s">
        <v>68</v>
      </c>
      <c r="I1601" s="63" t="str">
        <f t="shared" si="134"/>
        <v>Czech Republic-Online Supplier-Direct</v>
      </c>
      <c r="J1601" s="47"/>
      <c r="K1601" s="54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  <c r="AB1601" s="35"/>
      <c r="AC1601" s="35"/>
      <c r="AD1601" s="35"/>
      <c r="AE1601" s="35"/>
      <c r="AF1601" s="35"/>
      <c r="AG1601" s="35"/>
      <c r="AH1601" s="35"/>
      <c r="AI1601" s="35"/>
      <c r="AJ1601" s="35"/>
      <c r="AK1601" s="35"/>
      <c r="AL1601" s="35"/>
      <c r="AM1601" s="35"/>
      <c r="AN1601" s="35"/>
      <c r="AO1601" s="35"/>
      <c r="AP1601" s="35"/>
    </row>
    <row r="1602" spans="1:42" ht="17.25" customHeight="1" x14ac:dyDescent="0.25">
      <c r="A1602" s="55">
        <v>2018</v>
      </c>
      <c r="B1602" s="56" t="s">
        <v>66</v>
      </c>
      <c r="C1602" s="56" t="s">
        <v>17</v>
      </c>
      <c r="D1602" s="56" t="s">
        <v>18</v>
      </c>
      <c r="E1602" s="56" t="s">
        <v>69</v>
      </c>
      <c r="F1602" s="56" t="s">
        <v>71</v>
      </c>
      <c r="G1602" s="57">
        <v>797565022</v>
      </c>
      <c r="H1602" s="56" t="s">
        <v>68</v>
      </c>
      <c r="I1602" s="58" t="str">
        <f t="shared" si="134"/>
        <v>Czech Republic-OTA</v>
      </c>
      <c r="J1602" s="40"/>
      <c r="K1602" s="59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  <c r="Z1602" s="35"/>
      <c r="AA1602" s="35"/>
      <c r="AB1602" s="35"/>
      <c r="AC1602" s="35"/>
      <c r="AD1602" s="35"/>
      <c r="AE1602" s="35"/>
      <c r="AF1602" s="35"/>
      <c r="AG1602" s="35"/>
      <c r="AH1602" s="35"/>
      <c r="AI1602" s="35"/>
      <c r="AJ1602" s="35"/>
      <c r="AK1602" s="35"/>
      <c r="AL1602" s="35"/>
      <c r="AM1602" s="35"/>
      <c r="AN1602" s="35"/>
      <c r="AO1602" s="35"/>
      <c r="AP1602" s="35"/>
    </row>
    <row r="1603" spans="1:42" ht="17.25" customHeight="1" x14ac:dyDescent="0.25">
      <c r="A1603" s="60">
        <v>2018</v>
      </c>
      <c r="B1603" s="61" t="s">
        <v>66</v>
      </c>
      <c r="C1603" s="61" t="s">
        <v>41</v>
      </c>
      <c r="D1603" s="61" t="s">
        <v>40</v>
      </c>
      <c r="E1603" s="61" t="s">
        <v>67</v>
      </c>
      <c r="F1603" s="61" t="s">
        <v>67</v>
      </c>
      <c r="G1603" s="62">
        <v>2960255446</v>
      </c>
      <c r="H1603" s="61" t="s">
        <v>68</v>
      </c>
      <c r="I1603" s="63" t="str">
        <f t="shared" si="134"/>
        <v>Egypt-Offline</v>
      </c>
      <c r="J1603" s="47"/>
      <c r="K1603" s="54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  <c r="AG1603" s="35"/>
      <c r="AH1603" s="35"/>
      <c r="AI1603" s="35"/>
      <c r="AJ1603" s="35"/>
      <c r="AK1603" s="35"/>
      <c r="AL1603" s="35"/>
      <c r="AM1603" s="35"/>
      <c r="AN1603" s="35"/>
      <c r="AO1603" s="35"/>
      <c r="AP1603" s="35"/>
    </row>
    <row r="1604" spans="1:42" ht="17.25" customHeight="1" x14ac:dyDescent="0.25">
      <c r="A1604" s="55">
        <v>2018</v>
      </c>
      <c r="B1604" s="56" t="s">
        <v>66</v>
      </c>
      <c r="C1604" s="56" t="s">
        <v>41</v>
      </c>
      <c r="D1604" s="56" t="s">
        <v>40</v>
      </c>
      <c r="E1604" s="56" t="s">
        <v>69</v>
      </c>
      <c r="F1604" s="56" t="s">
        <v>70</v>
      </c>
      <c r="G1604" s="57">
        <v>294682994</v>
      </c>
      <c r="H1604" s="56" t="s">
        <v>68</v>
      </c>
      <c r="I1604" s="58" t="str">
        <f t="shared" si="134"/>
        <v>Egypt-Online Supplier-Direct</v>
      </c>
      <c r="J1604" s="40"/>
      <c r="K1604" s="59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  <c r="Z1604" s="35"/>
      <c r="AA1604" s="35"/>
      <c r="AB1604" s="35"/>
      <c r="AC1604" s="35"/>
      <c r="AD1604" s="35"/>
      <c r="AE1604" s="35"/>
      <c r="AF1604" s="35"/>
      <c r="AG1604" s="35"/>
      <c r="AH1604" s="35"/>
      <c r="AI1604" s="35"/>
      <c r="AJ1604" s="35"/>
      <c r="AK1604" s="35"/>
      <c r="AL1604" s="35"/>
      <c r="AM1604" s="35"/>
      <c r="AN1604" s="35"/>
      <c r="AO1604" s="35"/>
      <c r="AP1604" s="35"/>
    </row>
    <row r="1605" spans="1:42" ht="17.25" customHeight="1" x14ac:dyDescent="0.25">
      <c r="A1605" s="60">
        <v>2018</v>
      </c>
      <c r="B1605" s="61" t="s">
        <v>66</v>
      </c>
      <c r="C1605" s="61" t="s">
        <v>41</v>
      </c>
      <c r="D1605" s="61" t="s">
        <v>40</v>
      </c>
      <c r="E1605" s="61" t="s">
        <v>69</v>
      </c>
      <c r="F1605" s="61" t="s">
        <v>71</v>
      </c>
      <c r="G1605" s="62">
        <v>371961132</v>
      </c>
      <c r="H1605" s="61" t="s">
        <v>68</v>
      </c>
      <c r="I1605" s="63" t="str">
        <f t="shared" si="134"/>
        <v>Egypt-OTA</v>
      </c>
      <c r="J1605" s="47"/>
      <c r="K1605" s="54"/>
      <c r="L1605" s="35"/>
      <c r="M1605" s="35"/>
      <c r="N1605" s="35"/>
      <c r="O1605" s="35"/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  <c r="Z1605" s="35"/>
      <c r="AA1605" s="35"/>
      <c r="AB1605" s="35"/>
      <c r="AC1605" s="35"/>
      <c r="AD1605" s="35"/>
      <c r="AE1605" s="35"/>
      <c r="AF1605" s="35"/>
      <c r="AG1605" s="35"/>
      <c r="AH1605" s="35"/>
      <c r="AI1605" s="35"/>
      <c r="AJ1605" s="35"/>
      <c r="AK1605" s="35"/>
      <c r="AL1605" s="35"/>
      <c r="AM1605" s="35"/>
      <c r="AN1605" s="35"/>
      <c r="AO1605" s="35"/>
      <c r="AP1605" s="35"/>
    </row>
    <row r="1606" spans="1:42" ht="17.25" customHeight="1" x14ac:dyDescent="0.25">
      <c r="A1606" s="55">
        <v>2018</v>
      </c>
      <c r="B1606" s="56" t="s">
        <v>66</v>
      </c>
      <c r="C1606" s="56" t="s">
        <v>27</v>
      </c>
      <c r="D1606" s="56" t="s">
        <v>26</v>
      </c>
      <c r="E1606" s="56" t="s">
        <v>67</v>
      </c>
      <c r="F1606" s="56" t="s">
        <v>67</v>
      </c>
      <c r="G1606" s="57">
        <v>31239267741</v>
      </c>
      <c r="H1606" s="56" t="s">
        <v>68</v>
      </c>
      <c r="I1606" s="58" t="str">
        <f t="shared" si="134"/>
        <v>France-Offline</v>
      </c>
      <c r="J1606" s="40"/>
      <c r="K1606" s="59"/>
      <c r="L1606" s="35"/>
      <c r="M1606" s="35"/>
      <c r="N1606" s="35"/>
      <c r="O1606" s="35"/>
      <c r="P1606" s="35"/>
      <c r="Q1606" s="35"/>
      <c r="R1606" s="35"/>
      <c r="S1606" s="35"/>
      <c r="T1606" s="35"/>
      <c r="U1606" s="35"/>
      <c r="V1606" s="35"/>
      <c r="W1606" s="35"/>
      <c r="X1606" s="35"/>
      <c r="Y1606" s="35"/>
      <c r="Z1606" s="35"/>
      <c r="AA1606" s="35"/>
      <c r="AB1606" s="35"/>
      <c r="AC1606" s="35"/>
      <c r="AD1606" s="35"/>
      <c r="AE1606" s="35"/>
      <c r="AF1606" s="35"/>
      <c r="AG1606" s="35"/>
      <c r="AH1606" s="35"/>
      <c r="AI1606" s="35"/>
      <c r="AJ1606" s="35"/>
      <c r="AK1606" s="35"/>
      <c r="AL1606" s="35"/>
      <c r="AM1606" s="35"/>
      <c r="AN1606" s="35"/>
      <c r="AO1606" s="35"/>
      <c r="AP1606" s="35"/>
    </row>
    <row r="1607" spans="1:42" ht="17.25" customHeight="1" x14ac:dyDescent="0.25">
      <c r="A1607" s="60">
        <v>2018</v>
      </c>
      <c r="B1607" s="61" t="s">
        <v>66</v>
      </c>
      <c r="C1607" s="61" t="s">
        <v>27</v>
      </c>
      <c r="D1607" s="61" t="s">
        <v>26</v>
      </c>
      <c r="E1607" s="61" t="s">
        <v>69</v>
      </c>
      <c r="F1607" s="61" t="s">
        <v>70</v>
      </c>
      <c r="G1607" s="62">
        <v>17925174714</v>
      </c>
      <c r="H1607" s="61" t="s">
        <v>68</v>
      </c>
      <c r="I1607" s="63" t="str">
        <f t="shared" si="134"/>
        <v>France-Online Supplier-Direct</v>
      </c>
      <c r="J1607" s="47"/>
      <c r="K1607" s="54"/>
      <c r="L1607" s="35"/>
      <c r="M1607" s="35"/>
      <c r="N1607" s="35"/>
      <c r="O1607" s="35"/>
      <c r="P1607" s="35"/>
      <c r="Q1607" s="35"/>
      <c r="R1607" s="35"/>
      <c r="S1607" s="35"/>
      <c r="T1607" s="35"/>
      <c r="U1607" s="35"/>
      <c r="V1607" s="35"/>
      <c r="W1607" s="35"/>
      <c r="X1607" s="35"/>
      <c r="Y1607" s="35"/>
      <c r="Z1607" s="35"/>
      <c r="AA1607" s="35"/>
      <c r="AB1607" s="35"/>
      <c r="AC1607" s="35"/>
      <c r="AD1607" s="35"/>
      <c r="AE1607" s="35"/>
      <c r="AF1607" s="35"/>
      <c r="AG1607" s="35"/>
      <c r="AH1607" s="35"/>
      <c r="AI1607" s="35"/>
      <c r="AJ1607" s="35"/>
      <c r="AK1607" s="35"/>
      <c r="AL1607" s="35"/>
      <c r="AM1607" s="35"/>
      <c r="AN1607" s="35"/>
      <c r="AO1607" s="35"/>
      <c r="AP1607" s="35"/>
    </row>
    <row r="1608" spans="1:42" ht="17.25" customHeight="1" x14ac:dyDescent="0.25">
      <c r="A1608" s="55">
        <v>2018</v>
      </c>
      <c r="B1608" s="56" t="s">
        <v>66</v>
      </c>
      <c r="C1608" s="56" t="s">
        <v>27</v>
      </c>
      <c r="D1608" s="56" t="s">
        <v>26</v>
      </c>
      <c r="E1608" s="56" t="s">
        <v>69</v>
      </c>
      <c r="F1608" s="56" t="s">
        <v>71</v>
      </c>
      <c r="G1608" s="57">
        <v>7184329321</v>
      </c>
      <c r="H1608" s="56" t="s">
        <v>68</v>
      </c>
      <c r="I1608" s="58" t="str">
        <f t="shared" si="134"/>
        <v>France-OTA</v>
      </c>
      <c r="J1608" s="40"/>
      <c r="K1608" s="59"/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  <c r="AA1608" s="35"/>
      <c r="AB1608" s="35"/>
      <c r="AC1608" s="35"/>
      <c r="AD1608" s="35"/>
      <c r="AE1608" s="35"/>
      <c r="AF1608" s="35"/>
      <c r="AG1608" s="35"/>
      <c r="AH1608" s="35"/>
      <c r="AI1608" s="35"/>
      <c r="AJ1608" s="35"/>
      <c r="AK1608" s="35"/>
      <c r="AL1608" s="35"/>
      <c r="AM1608" s="35"/>
      <c r="AN1608" s="35"/>
      <c r="AO1608" s="35"/>
      <c r="AP1608" s="35"/>
    </row>
    <row r="1609" spans="1:42" ht="17.25" customHeight="1" x14ac:dyDescent="0.25">
      <c r="A1609" s="60">
        <v>2018</v>
      </c>
      <c r="B1609" s="61" t="s">
        <v>66</v>
      </c>
      <c r="C1609" s="61" t="s">
        <v>27</v>
      </c>
      <c r="D1609" s="61" t="s">
        <v>28</v>
      </c>
      <c r="E1609" s="61" t="s">
        <v>67</v>
      </c>
      <c r="F1609" s="61" t="s">
        <v>67</v>
      </c>
      <c r="G1609" s="62">
        <v>42020373352</v>
      </c>
      <c r="H1609" s="61" t="s">
        <v>68</v>
      </c>
      <c r="I1609" s="63" t="str">
        <f t="shared" si="134"/>
        <v>Germany-Offline</v>
      </c>
      <c r="J1609" s="47"/>
      <c r="K1609" s="54"/>
      <c r="L1609" s="35"/>
      <c r="M1609" s="35"/>
      <c r="N1609" s="35"/>
      <c r="O1609" s="35"/>
      <c r="P1609" s="35"/>
      <c r="Q1609" s="35"/>
      <c r="R1609" s="35"/>
      <c r="S1609" s="35"/>
      <c r="T1609" s="35"/>
      <c r="U1609" s="35"/>
      <c r="V1609" s="35"/>
      <c r="W1609" s="35"/>
      <c r="X1609" s="35"/>
      <c r="Y1609" s="35"/>
      <c r="Z1609" s="35"/>
      <c r="AA1609" s="35"/>
      <c r="AB1609" s="35"/>
      <c r="AC1609" s="35"/>
      <c r="AD1609" s="35"/>
      <c r="AE1609" s="35"/>
      <c r="AF1609" s="35"/>
      <c r="AG1609" s="35"/>
      <c r="AH1609" s="35"/>
      <c r="AI1609" s="35"/>
      <c r="AJ1609" s="35"/>
      <c r="AK1609" s="35"/>
      <c r="AL1609" s="35"/>
      <c r="AM1609" s="35"/>
      <c r="AN1609" s="35"/>
      <c r="AO1609" s="35"/>
      <c r="AP1609" s="35"/>
    </row>
    <row r="1610" spans="1:42" ht="17.25" customHeight="1" x14ac:dyDescent="0.25">
      <c r="A1610" s="55">
        <v>2018</v>
      </c>
      <c r="B1610" s="56" t="s">
        <v>66</v>
      </c>
      <c r="C1610" s="56" t="s">
        <v>27</v>
      </c>
      <c r="D1610" s="56" t="s">
        <v>28</v>
      </c>
      <c r="E1610" s="56" t="s">
        <v>69</v>
      </c>
      <c r="F1610" s="56" t="s">
        <v>70</v>
      </c>
      <c r="G1610" s="57">
        <v>20037432111</v>
      </c>
      <c r="H1610" s="56" t="s">
        <v>68</v>
      </c>
      <c r="I1610" s="58" t="str">
        <f t="shared" si="134"/>
        <v>Germany-Online Supplier-Direct</v>
      </c>
      <c r="J1610" s="40"/>
      <c r="K1610" s="59"/>
      <c r="L1610" s="35"/>
      <c r="M1610" s="35"/>
      <c r="N1610" s="35"/>
      <c r="O1610" s="35"/>
      <c r="P1610" s="35"/>
      <c r="Q1610" s="35"/>
      <c r="R1610" s="35"/>
      <c r="S1610" s="35"/>
      <c r="T1610" s="35"/>
      <c r="U1610" s="35"/>
      <c r="V1610" s="35"/>
      <c r="W1610" s="35"/>
      <c r="X1610" s="35"/>
      <c r="Y1610" s="35"/>
      <c r="Z1610" s="35"/>
      <c r="AA1610" s="35"/>
      <c r="AB1610" s="35"/>
      <c r="AC1610" s="35"/>
      <c r="AD1610" s="35"/>
      <c r="AE1610" s="35"/>
      <c r="AF1610" s="35"/>
      <c r="AG1610" s="35"/>
      <c r="AH1610" s="35"/>
      <c r="AI1610" s="35"/>
      <c r="AJ1610" s="35"/>
      <c r="AK1610" s="35"/>
      <c r="AL1610" s="35"/>
      <c r="AM1610" s="35"/>
      <c r="AN1610" s="35"/>
      <c r="AO1610" s="35"/>
      <c r="AP1610" s="35"/>
    </row>
    <row r="1611" spans="1:42" ht="17.25" customHeight="1" x14ac:dyDescent="0.25">
      <c r="A1611" s="60">
        <v>2018</v>
      </c>
      <c r="B1611" s="61" t="s">
        <v>66</v>
      </c>
      <c r="C1611" s="61" t="s">
        <v>27</v>
      </c>
      <c r="D1611" s="61" t="s">
        <v>28</v>
      </c>
      <c r="E1611" s="61" t="s">
        <v>69</v>
      </c>
      <c r="F1611" s="61" t="s">
        <v>71</v>
      </c>
      <c r="G1611" s="62">
        <v>12206617658</v>
      </c>
      <c r="H1611" s="61" t="s">
        <v>68</v>
      </c>
      <c r="I1611" s="63" t="str">
        <f t="shared" si="134"/>
        <v>Germany-OTA</v>
      </c>
      <c r="J1611" s="47"/>
      <c r="K1611" s="54"/>
      <c r="L1611" s="35"/>
      <c r="M1611" s="35"/>
      <c r="N1611" s="35"/>
      <c r="O1611" s="35"/>
      <c r="P1611" s="35"/>
      <c r="Q1611" s="35"/>
      <c r="R1611" s="35"/>
      <c r="S1611" s="35"/>
      <c r="T1611" s="35"/>
      <c r="U1611" s="35"/>
      <c r="V1611" s="35"/>
      <c r="W1611" s="35"/>
      <c r="X1611" s="35"/>
      <c r="Y1611" s="35"/>
      <c r="Z1611" s="35"/>
      <c r="AA1611" s="35"/>
      <c r="AB1611" s="35"/>
      <c r="AC1611" s="35"/>
      <c r="AD1611" s="35"/>
      <c r="AE1611" s="35"/>
      <c r="AF1611" s="35"/>
      <c r="AG1611" s="35"/>
      <c r="AH1611" s="35"/>
      <c r="AI1611" s="35"/>
      <c r="AJ1611" s="35"/>
      <c r="AK1611" s="35"/>
      <c r="AL1611" s="35"/>
      <c r="AM1611" s="35"/>
      <c r="AN1611" s="35"/>
      <c r="AO1611" s="35"/>
      <c r="AP1611" s="35"/>
    </row>
    <row r="1612" spans="1:42" ht="17.25" customHeight="1" x14ac:dyDescent="0.25">
      <c r="A1612" s="55">
        <v>2018</v>
      </c>
      <c r="B1612" s="56" t="s">
        <v>66</v>
      </c>
      <c r="C1612" s="56" t="s">
        <v>17</v>
      </c>
      <c r="D1612" s="56" t="s">
        <v>19</v>
      </c>
      <c r="E1612" s="56" t="s">
        <v>67</v>
      </c>
      <c r="F1612" s="56" t="s">
        <v>67</v>
      </c>
      <c r="G1612" s="57">
        <v>3879420271</v>
      </c>
      <c r="H1612" s="56" t="s">
        <v>68</v>
      </c>
      <c r="I1612" s="58" t="str">
        <f t="shared" si="134"/>
        <v>Greece-Offline</v>
      </c>
      <c r="J1612" s="40"/>
      <c r="K1612" s="59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  <c r="AG1612" s="35"/>
      <c r="AH1612" s="35"/>
      <c r="AI1612" s="35"/>
      <c r="AJ1612" s="35"/>
      <c r="AK1612" s="35"/>
      <c r="AL1612" s="35"/>
      <c r="AM1612" s="35"/>
      <c r="AN1612" s="35"/>
      <c r="AO1612" s="35"/>
      <c r="AP1612" s="35"/>
    </row>
    <row r="1613" spans="1:42" ht="17.25" customHeight="1" x14ac:dyDescent="0.25">
      <c r="A1613" s="60">
        <v>2018</v>
      </c>
      <c r="B1613" s="61" t="s">
        <v>66</v>
      </c>
      <c r="C1613" s="61" t="s">
        <v>17</v>
      </c>
      <c r="D1613" s="61" t="s">
        <v>19</v>
      </c>
      <c r="E1613" s="61" t="s">
        <v>69</v>
      </c>
      <c r="F1613" s="61" t="s">
        <v>70</v>
      </c>
      <c r="G1613" s="62">
        <v>780382860</v>
      </c>
      <c r="H1613" s="61" t="s">
        <v>68</v>
      </c>
      <c r="I1613" s="63" t="str">
        <f t="shared" si="134"/>
        <v>Greece-Online Supplier-Direct</v>
      </c>
      <c r="J1613" s="47"/>
      <c r="K1613" s="54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  <c r="AG1613" s="35"/>
      <c r="AH1613" s="35"/>
      <c r="AI1613" s="35"/>
      <c r="AJ1613" s="35"/>
      <c r="AK1613" s="35"/>
      <c r="AL1613" s="35"/>
      <c r="AM1613" s="35"/>
      <c r="AN1613" s="35"/>
      <c r="AO1613" s="35"/>
      <c r="AP1613" s="35"/>
    </row>
    <row r="1614" spans="1:42" ht="17.25" customHeight="1" x14ac:dyDescent="0.25">
      <c r="A1614" s="55">
        <v>2018</v>
      </c>
      <c r="B1614" s="56" t="s">
        <v>66</v>
      </c>
      <c r="C1614" s="56" t="s">
        <v>17</v>
      </c>
      <c r="D1614" s="56" t="s">
        <v>19</v>
      </c>
      <c r="E1614" s="56" t="s">
        <v>69</v>
      </c>
      <c r="F1614" s="56" t="s">
        <v>71</v>
      </c>
      <c r="G1614" s="57">
        <v>1289845155</v>
      </c>
      <c r="H1614" s="56" t="s">
        <v>68</v>
      </c>
      <c r="I1614" s="58" t="str">
        <f t="shared" si="134"/>
        <v>Greece-OTA</v>
      </c>
      <c r="J1614" s="40"/>
      <c r="K1614" s="59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  <c r="AG1614" s="35"/>
      <c r="AH1614" s="35"/>
      <c r="AI1614" s="35"/>
      <c r="AJ1614" s="35"/>
      <c r="AK1614" s="35"/>
      <c r="AL1614" s="35"/>
      <c r="AM1614" s="35"/>
      <c r="AN1614" s="35"/>
      <c r="AO1614" s="35"/>
      <c r="AP1614" s="35"/>
    </row>
    <row r="1615" spans="1:42" ht="17.25" customHeight="1" x14ac:dyDescent="0.25">
      <c r="A1615" s="60">
        <v>2018</v>
      </c>
      <c r="B1615" s="61" t="s">
        <v>66</v>
      </c>
      <c r="C1615" s="61" t="s">
        <v>4</v>
      </c>
      <c r="D1615" s="61" t="s">
        <v>6</v>
      </c>
      <c r="E1615" s="61" t="s">
        <v>67</v>
      </c>
      <c r="F1615" s="61" t="s">
        <v>67</v>
      </c>
      <c r="G1615" s="62">
        <v>10981927255</v>
      </c>
      <c r="H1615" s="61" t="s">
        <v>68</v>
      </c>
      <c r="I1615" s="63" t="str">
        <f t="shared" si="134"/>
        <v>Hong Kong-Offline</v>
      </c>
      <c r="J1615" s="47"/>
      <c r="K1615" s="54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  <c r="AG1615" s="35"/>
      <c r="AH1615" s="35"/>
      <c r="AI1615" s="35"/>
      <c r="AJ1615" s="35"/>
      <c r="AK1615" s="35"/>
      <c r="AL1615" s="35"/>
      <c r="AM1615" s="35"/>
      <c r="AN1615" s="35"/>
      <c r="AO1615" s="35"/>
      <c r="AP1615" s="35"/>
    </row>
    <row r="1616" spans="1:42" ht="17.25" customHeight="1" x14ac:dyDescent="0.25">
      <c r="A1616" s="55">
        <v>2018</v>
      </c>
      <c r="B1616" s="56" t="s">
        <v>66</v>
      </c>
      <c r="C1616" s="56" t="s">
        <v>4</v>
      </c>
      <c r="D1616" s="56" t="s">
        <v>6</v>
      </c>
      <c r="E1616" s="56" t="s">
        <v>69</v>
      </c>
      <c r="F1616" s="56" t="s">
        <v>70</v>
      </c>
      <c r="G1616" s="57">
        <v>1433127160</v>
      </c>
      <c r="H1616" s="56" t="s">
        <v>68</v>
      </c>
      <c r="I1616" s="58" t="str">
        <f t="shared" si="134"/>
        <v>Hong Kong-Online Supplier-Direct</v>
      </c>
      <c r="J1616" s="40"/>
      <c r="K1616" s="59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  <c r="AG1616" s="35"/>
      <c r="AH1616" s="35"/>
      <c r="AI1616" s="35"/>
      <c r="AJ1616" s="35"/>
      <c r="AK1616" s="35"/>
      <c r="AL1616" s="35"/>
      <c r="AM1616" s="35"/>
      <c r="AN1616" s="35"/>
      <c r="AO1616" s="35"/>
      <c r="AP1616" s="35"/>
    </row>
    <row r="1617" spans="1:42" ht="17.25" customHeight="1" x14ac:dyDescent="0.25">
      <c r="A1617" s="60">
        <v>2018</v>
      </c>
      <c r="B1617" s="61" t="s">
        <v>66</v>
      </c>
      <c r="C1617" s="61" t="s">
        <v>4</v>
      </c>
      <c r="D1617" s="61" t="s">
        <v>6</v>
      </c>
      <c r="E1617" s="61" t="s">
        <v>69</v>
      </c>
      <c r="F1617" s="61" t="s">
        <v>71</v>
      </c>
      <c r="G1617" s="62">
        <v>1101580090</v>
      </c>
      <c r="H1617" s="61" t="s">
        <v>68</v>
      </c>
      <c r="I1617" s="63" t="str">
        <f t="shared" si="134"/>
        <v>Hong Kong-OTA</v>
      </c>
      <c r="J1617" s="47"/>
      <c r="K1617" s="54"/>
      <c r="L1617" s="35"/>
      <c r="M1617" s="35"/>
      <c r="N1617" s="35"/>
      <c r="O1617" s="35"/>
      <c r="P1617" s="35"/>
      <c r="Q1617" s="35"/>
      <c r="R1617" s="35"/>
      <c r="S1617" s="35"/>
      <c r="T1617" s="35"/>
      <c r="U1617" s="35"/>
      <c r="V1617" s="35"/>
      <c r="W1617" s="35"/>
      <c r="X1617" s="35"/>
      <c r="Y1617" s="35"/>
      <c r="Z1617" s="35"/>
      <c r="AA1617" s="35"/>
      <c r="AB1617" s="35"/>
      <c r="AC1617" s="35"/>
      <c r="AD1617" s="35"/>
      <c r="AE1617" s="35"/>
      <c r="AF1617" s="35"/>
      <c r="AG1617" s="35"/>
      <c r="AH1617" s="35"/>
      <c r="AI1617" s="35"/>
      <c r="AJ1617" s="35"/>
      <c r="AK1617" s="35"/>
      <c r="AL1617" s="35"/>
      <c r="AM1617" s="35"/>
      <c r="AN1617" s="35"/>
      <c r="AO1617" s="35"/>
      <c r="AP1617" s="35"/>
    </row>
    <row r="1618" spans="1:42" ht="17.25" customHeight="1" x14ac:dyDescent="0.25">
      <c r="A1618" s="55">
        <v>2018</v>
      </c>
      <c r="B1618" s="56" t="s">
        <v>66</v>
      </c>
      <c r="C1618" s="56" t="s">
        <v>17</v>
      </c>
      <c r="D1618" s="56" t="s">
        <v>20</v>
      </c>
      <c r="E1618" s="56" t="s">
        <v>67</v>
      </c>
      <c r="F1618" s="56" t="s">
        <v>67</v>
      </c>
      <c r="G1618" s="57">
        <v>983338052</v>
      </c>
      <c r="H1618" s="56" t="s">
        <v>68</v>
      </c>
      <c r="I1618" s="58" t="str">
        <f t="shared" si="134"/>
        <v>Hungary-Offline</v>
      </c>
      <c r="J1618" s="40"/>
      <c r="K1618" s="59"/>
      <c r="L1618" s="35"/>
      <c r="M1618" s="35"/>
      <c r="N1618" s="35"/>
      <c r="O1618" s="35"/>
      <c r="P1618" s="35"/>
      <c r="Q1618" s="35"/>
      <c r="R1618" s="35"/>
      <c r="S1618" s="35"/>
      <c r="T1618" s="35"/>
      <c r="U1618" s="35"/>
      <c r="V1618" s="35"/>
      <c r="W1618" s="35"/>
      <c r="X1618" s="35"/>
      <c r="Y1618" s="35"/>
      <c r="Z1618" s="35"/>
      <c r="AA1618" s="35"/>
      <c r="AB1618" s="35"/>
      <c r="AC1618" s="35"/>
      <c r="AD1618" s="35"/>
      <c r="AE1618" s="35"/>
      <c r="AF1618" s="35"/>
      <c r="AG1618" s="35"/>
      <c r="AH1618" s="35"/>
      <c r="AI1618" s="35"/>
      <c r="AJ1618" s="35"/>
      <c r="AK1618" s="35"/>
      <c r="AL1618" s="35"/>
      <c r="AM1618" s="35"/>
      <c r="AN1618" s="35"/>
      <c r="AO1618" s="35"/>
      <c r="AP1618" s="35"/>
    </row>
    <row r="1619" spans="1:42" ht="17.25" customHeight="1" x14ac:dyDescent="0.25">
      <c r="A1619" s="60">
        <v>2018</v>
      </c>
      <c r="B1619" s="61" t="s">
        <v>66</v>
      </c>
      <c r="C1619" s="61" t="s">
        <v>17</v>
      </c>
      <c r="D1619" s="61" t="s">
        <v>20</v>
      </c>
      <c r="E1619" s="61" t="s">
        <v>69</v>
      </c>
      <c r="F1619" s="61" t="s">
        <v>70</v>
      </c>
      <c r="G1619" s="62">
        <v>2460143011</v>
      </c>
      <c r="H1619" s="61" t="s">
        <v>68</v>
      </c>
      <c r="I1619" s="63" t="str">
        <f t="shared" si="134"/>
        <v>Hungary-Online Supplier-Direct</v>
      </c>
      <c r="J1619" s="47"/>
      <c r="K1619" s="54"/>
      <c r="L1619" s="35"/>
      <c r="M1619" s="35"/>
      <c r="N1619" s="35"/>
      <c r="O1619" s="35"/>
      <c r="P1619" s="35"/>
      <c r="Q1619" s="35"/>
      <c r="R1619" s="35"/>
      <c r="S1619" s="35"/>
      <c r="T1619" s="35"/>
      <c r="U1619" s="35"/>
      <c r="V1619" s="35"/>
      <c r="W1619" s="35"/>
      <c r="X1619" s="35"/>
      <c r="Y1619" s="35"/>
      <c r="Z1619" s="35"/>
      <c r="AA1619" s="35"/>
      <c r="AB1619" s="35"/>
      <c r="AC1619" s="35"/>
      <c r="AD1619" s="35"/>
      <c r="AE1619" s="35"/>
      <c r="AF1619" s="35"/>
      <c r="AG1619" s="35"/>
      <c r="AH1619" s="35"/>
      <c r="AI1619" s="35"/>
      <c r="AJ1619" s="35"/>
      <c r="AK1619" s="35"/>
      <c r="AL1619" s="35"/>
      <c r="AM1619" s="35"/>
      <c r="AN1619" s="35"/>
      <c r="AO1619" s="35"/>
      <c r="AP1619" s="35"/>
    </row>
    <row r="1620" spans="1:42" ht="17.25" customHeight="1" x14ac:dyDescent="0.25">
      <c r="A1620" s="55">
        <v>2018</v>
      </c>
      <c r="B1620" s="56" t="s">
        <v>66</v>
      </c>
      <c r="C1620" s="56" t="s">
        <v>17</v>
      </c>
      <c r="D1620" s="56" t="s">
        <v>20</v>
      </c>
      <c r="E1620" s="56" t="s">
        <v>69</v>
      </c>
      <c r="F1620" s="56" t="s">
        <v>71</v>
      </c>
      <c r="G1620" s="57">
        <v>367187405</v>
      </c>
      <c r="H1620" s="56" t="s">
        <v>68</v>
      </c>
      <c r="I1620" s="58" t="str">
        <f t="shared" si="134"/>
        <v>Hungary-OTA</v>
      </c>
      <c r="J1620" s="40"/>
      <c r="K1620" s="59"/>
      <c r="L1620" s="35"/>
      <c r="M1620" s="35"/>
      <c r="N1620" s="35"/>
      <c r="O1620" s="35"/>
      <c r="P1620" s="35"/>
      <c r="Q1620" s="35"/>
      <c r="R1620" s="35"/>
      <c r="S1620" s="35"/>
      <c r="T1620" s="35"/>
      <c r="U1620" s="35"/>
      <c r="V1620" s="35"/>
      <c r="W1620" s="35"/>
      <c r="X1620" s="35"/>
      <c r="Y1620" s="35"/>
      <c r="Z1620" s="35"/>
      <c r="AA1620" s="35"/>
      <c r="AB1620" s="35"/>
      <c r="AC1620" s="35"/>
      <c r="AD1620" s="35"/>
      <c r="AE1620" s="35"/>
      <c r="AF1620" s="35"/>
      <c r="AG1620" s="35"/>
      <c r="AH1620" s="35"/>
      <c r="AI1620" s="35"/>
      <c r="AJ1620" s="35"/>
      <c r="AK1620" s="35"/>
      <c r="AL1620" s="35"/>
      <c r="AM1620" s="35"/>
      <c r="AN1620" s="35"/>
      <c r="AO1620" s="35"/>
      <c r="AP1620" s="35"/>
    </row>
    <row r="1621" spans="1:42" ht="17.25" customHeight="1" x14ac:dyDescent="0.25">
      <c r="A1621" s="60">
        <v>2018</v>
      </c>
      <c r="B1621" s="61" t="s">
        <v>66</v>
      </c>
      <c r="C1621" s="61" t="s">
        <v>4</v>
      </c>
      <c r="D1621" s="61" t="s">
        <v>7</v>
      </c>
      <c r="E1621" s="61" t="s">
        <v>67</v>
      </c>
      <c r="F1621" s="61" t="s">
        <v>67</v>
      </c>
      <c r="G1621" s="62">
        <v>18700388507</v>
      </c>
      <c r="H1621" s="61" t="s">
        <v>68</v>
      </c>
      <c r="I1621" s="63" t="str">
        <f t="shared" si="134"/>
        <v>India-Offline</v>
      </c>
      <c r="J1621" s="47"/>
      <c r="K1621" s="54"/>
      <c r="L1621" s="35"/>
      <c r="M1621" s="35"/>
      <c r="N1621" s="35"/>
      <c r="O1621" s="35"/>
      <c r="P1621" s="35"/>
      <c r="Q1621" s="35"/>
      <c r="R1621" s="35"/>
      <c r="S1621" s="35"/>
      <c r="T1621" s="35"/>
      <c r="U1621" s="35"/>
      <c r="V1621" s="35"/>
      <c r="W1621" s="35"/>
      <c r="X1621" s="35"/>
      <c r="Y1621" s="35"/>
      <c r="Z1621" s="35"/>
      <c r="AA1621" s="35"/>
      <c r="AB1621" s="35"/>
      <c r="AC1621" s="35"/>
      <c r="AD1621" s="35"/>
      <c r="AE1621" s="35"/>
      <c r="AF1621" s="35"/>
      <c r="AG1621" s="35"/>
      <c r="AH1621" s="35"/>
      <c r="AI1621" s="35"/>
      <c r="AJ1621" s="35"/>
      <c r="AK1621" s="35"/>
      <c r="AL1621" s="35"/>
      <c r="AM1621" s="35"/>
      <c r="AN1621" s="35"/>
      <c r="AO1621" s="35"/>
      <c r="AP1621" s="35"/>
    </row>
    <row r="1622" spans="1:42" ht="17.25" customHeight="1" x14ac:dyDescent="0.25">
      <c r="A1622" s="55">
        <v>2018</v>
      </c>
      <c r="B1622" s="56" t="s">
        <v>66</v>
      </c>
      <c r="C1622" s="56" t="s">
        <v>4</v>
      </c>
      <c r="D1622" s="56" t="s">
        <v>7</v>
      </c>
      <c r="E1622" s="56" t="s">
        <v>69</v>
      </c>
      <c r="F1622" s="56" t="s">
        <v>70</v>
      </c>
      <c r="G1622" s="57">
        <v>7286815335</v>
      </c>
      <c r="H1622" s="56" t="s">
        <v>68</v>
      </c>
      <c r="I1622" s="58" t="str">
        <f t="shared" si="134"/>
        <v>India-Online Supplier-Direct</v>
      </c>
      <c r="J1622" s="40"/>
      <c r="K1622" s="59"/>
      <c r="L1622" s="35"/>
      <c r="M1622" s="35"/>
      <c r="N1622" s="35"/>
      <c r="O1622" s="35"/>
      <c r="P1622" s="35"/>
      <c r="Q1622" s="35"/>
      <c r="R1622" s="35"/>
      <c r="S1622" s="35"/>
      <c r="T1622" s="35"/>
      <c r="U1622" s="35"/>
      <c r="V1622" s="35"/>
      <c r="W1622" s="35"/>
      <c r="X1622" s="35"/>
      <c r="Y1622" s="35"/>
      <c r="Z1622" s="35"/>
      <c r="AA1622" s="35"/>
      <c r="AB1622" s="35"/>
      <c r="AC1622" s="35"/>
      <c r="AD1622" s="35"/>
      <c r="AE1622" s="35"/>
      <c r="AF1622" s="35"/>
      <c r="AG1622" s="35"/>
      <c r="AH1622" s="35"/>
      <c r="AI1622" s="35"/>
      <c r="AJ1622" s="35"/>
      <c r="AK1622" s="35"/>
      <c r="AL1622" s="35"/>
      <c r="AM1622" s="35"/>
      <c r="AN1622" s="35"/>
      <c r="AO1622" s="35"/>
      <c r="AP1622" s="35"/>
    </row>
    <row r="1623" spans="1:42" ht="17.25" customHeight="1" x14ac:dyDescent="0.25">
      <c r="A1623" s="60">
        <v>2018</v>
      </c>
      <c r="B1623" s="61" t="s">
        <v>66</v>
      </c>
      <c r="C1623" s="61" t="s">
        <v>4</v>
      </c>
      <c r="D1623" s="61" t="s">
        <v>7</v>
      </c>
      <c r="E1623" s="61" t="s">
        <v>69</v>
      </c>
      <c r="F1623" s="61" t="s">
        <v>71</v>
      </c>
      <c r="G1623" s="62">
        <v>6534929793</v>
      </c>
      <c r="H1623" s="61" t="s">
        <v>68</v>
      </c>
      <c r="I1623" s="63" t="str">
        <f t="shared" si="134"/>
        <v>India-OTA</v>
      </c>
      <c r="J1623" s="47"/>
      <c r="K1623" s="54"/>
      <c r="L1623" s="35"/>
      <c r="M1623" s="35"/>
      <c r="N1623" s="35"/>
      <c r="O1623" s="35"/>
      <c r="P1623" s="35"/>
      <c r="Q1623" s="35"/>
      <c r="R1623" s="35"/>
      <c r="S1623" s="35"/>
      <c r="T1623" s="35"/>
      <c r="U1623" s="35"/>
      <c r="V1623" s="35"/>
      <c r="W1623" s="35"/>
      <c r="X1623" s="35"/>
      <c r="Y1623" s="35"/>
      <c r="Z1623" s="35"/>
      <c r="AA1623" s="35"/>
      <c r="AB1623" s="35"/>
      <c r="AC1623" s="35"/>
      <c r="AD1623" s="35"/>
      <c r="AE1623" s="35"/>
      <c r="AF1623" s="35"/>
      <c r="AG1623" s="35"/>
      <c r="AH1623" s="35"/>
      <c r="AI1623" s="35"/>
      <c r="AJ1623" s="35"/>
      <c r="AK1623" s="35"/>
      <c r="AL1623" s="35"/>
      <c r="AM1623" s="35"/>
      <c r="AN1623" s="35"/>
      <c r="AO1623" s="35"/>
      <c r="AP1623" s="35"/>
    </row>
    <row r="1624" spans="1:42" ht="17.25" customHeight="1" x14ac:dyDescent="0.25">
      <c r="A1624" s="55">
        <v>2018</v>
      </c>
      <c r="B1624" s="56" t="s">
        <v>66</v>
      </c>
      <c r="C1624" s="56" t="s">
        <v>4</v>
      </c>
      <c r="D1624" s="56" t="s">
        <v>8</v>
      </c>
      <c r="E1624" s="56" t="s">
        <v>67</v>
      </c>
      <c r="F1624" s="56" t="s">
        <v>67</v>
      </c>
      <c r="G1624" s="57">
        <v>9118576060</v>
      </c>
      <c r="H1624" s="56" t="s">
        <v>68</v>
      </c>
      <c r="I1624" s="58" t="str">
        <f t="shared" si="134"/>
        <v>Indonesia-Offline</v>
      </c>
      <c r="J1624" s="40"/>
      <c r="K1624" s="59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  <c r="AG1624" s="35"/>
      <c r="AH1624" s="35"/>
      <c r="AI1624" s="35"/>
      <c r="AJ1624" s="35"/>
      <c r="AK1624" s="35"/>
      <c r="AL1624" s="35"/>
      <c r="AM1624" s="35"/>
      <c r="AN1624" s="35"/>
      <c r="AO1624" s="35"/>
      <c r="AP1624" s="35"/>
    </row>
    <row r="1625" spans="1:42" ht="17.25" customHeight="1" x14ac:dyDescent="0.25">
      <c r="A1625" s="60">
        <v>2018</v>
      </c>
      <c r="B1625" s="61" t="s">
        <v>66</v>
      </c>
      <c r="C1625" s="61" t="s">
        <v>4</v>
      </c>
      <c r="D1625" s="61" t="s">
        <v>8</v>
      </c>
      <c r="E1625" s="61" t="s">
        <v>69</v>
      </c>
      <c r="F1625" s="61" t="s">
        <v>70</v>
      </c>
      <c r="G1625" s="62">
        <v>1492717244</v>
      </c>
      <c r="H1625" s="61" t="s">
        <v>68</v>
      </c>
      <c r="I1625" s="63" t="str">
        <f t="shared" si="134"/>
        <v>Indonesia-Online Supplier-Direct</v>
      </c>
      <c r="J1625" s="47"/>
      <c r="K1625" s="54"/>
      <c r="L1625" s="35"/>
      <c r="M1625" s="35"/>
      <c r="N1625" s="35"/>
      <c r="O1625" s="35"/>
      <c r="P1625" s="35"/>
      <c r="Q1625" s="35"/>
      <c r="R1625" s="35"/>
      <c r="S1625" s="35"/>
      <c r="T1625" s="35"/>
      <c r="U1625" s="35"/>
      <c r="V1625" s="35"/>
      <c r="W1625" s="35"/>
      <c r="X1625" s="35"/>
      <c r="Y1625" s="35"/>
      <c r="Z1625" s="35"/>
      <c r="AA1625" s="35"/>
      <c r="AB1625" s="35"/>
      <c r="AC1625" s="35"/>
      <c r="AD1625" s="35"/>
      <c r="AE1625" s="35"/>
      <c r="AF1625" s="35"/>
      <c r="AG1625" s="35"/>
      <c r="AH1625" s="35"/>
      <c r="AI1625" s="35"/>
      <c r="AJ1625" s="35"/>
      <c r="AK1625" s="35"/>
      <c r="AL1625" s="35"/>
      <c r="AM1625" s="35"/>
      <c r="AN1625" s="35"/>
      <c r="AO1625" s="35"/>
      <c r="AP1625" s="35"/>
    </row>
    <row r="1626" spans="1:42" ht="17.25" customHeight="1" x14ac:dyDescent="0.25">
      <c r="A1626" s="55">
        <v>2018</v>
      </c>
      <c r="B1626" s="56" t="s">
        <v>66</v>
      </c>
      <c r="C1626" s="56" t="s">
        <v>4</v>
      </c>
      <c r="D1626" s="56" t="s">
        <v>8</v>
      </c>
      <c r="E1626" s="56" t="s">
        <v>69</v>
      </c>
      <c r="F1626" s="56" t="s">
        <v>71</v>
      </c>
      <c r="G1626" s="57">
        <v>2680415685</v>
      </c>
      <c r="H1626" s="56" t="s">
        <v>68</v>
      </c>
      <c r="I1626" s="58" t="str">
        <f t="shared" si="134"/>
        <v>Indonesia-OTA</v>
      </c>
      <c r="J1626" s="40"/>
      <c r="K1626" s="59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  <c r="AG1626" s="35"/>
      <c r="AH1626" s="35"/>
      <c r="AI1626" s="35"/>
      <c r="AJ1626" s="35"/>
      <c r="AK1626" s="35"/>
      <c r="AL1626" s="35"/>
      <c r="AM1626" s="35"/>
      <c r="AN1626" s="35"/>
      <c r="AO1626" s="35"/>
      <c r="AP1626" s="35"/>
    </row>
    <row r="1627" spans="1:42" ht="17.25" customHeight="1" x14ac:dyDescent="0.25">
      <c r="A1627" s="60">
        <v>2018</v>
      </c>
      <c r="B1627" s="61" t="s">
        <v>66</v>
      </c>
      <c r="C1627" s="61" t="s">
        <v>27</v>
      </c>
      <c r="D1627" s="61" t="s">
        <v>29</v>
      </c>
      <c r="E1627" s="61" t="s">
        <v>67</v>
      </c>
      <c r="F1627" s="61" t="s">
        <v>67</v>
      </c>
      <c r="G1627" s="62">
        <v>16821024271</v>
      </c>
      <c r="H1627" s="61" t="s">
        <v>68</v>
      </c>
      <c r="I1627" s="63" t="str">
        <f t="shared" si="134"/>
        <v>Italy-Offline</v>
      </c>
      <c r="J1627" s="47"/>
      <c r="K1627" s="54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  <c r="AG1627" s="35"/>
      <c r="AH1627" s="35"/>
      <c r="AI1627" s="35"/>
      <c r="AJ1627" s="35"/>
      <c r="AK1627" s="35"/>
      <c r="AL1627" s="35"/>
      <c r="AM1627" s="35"/>
      <c r="AN1627" s="35"/>
      <c r="AO1627" s="35"/>
      <c r="AP1627" s="35"/>
    </row>
    <row r="1628" spans="1:42" ht="17.25" customHeight="1" x14ac:dyDescent="0.25">
      <c r="A1628" s="55">
        <v>2018</v>
      </c>
      <c r="B1628" s="56" t="s">
        <v>66</v>
      </c>
      <c r="C1628" s="56" t="s">
        <v>27</v>
      </c>
      <c r="D1628" s="56" t="s">
        <v>29</v>
      </c>
      <c r="E1628" s="56" t="s">
        <v>69</v>
      </c>
      <c r="F1628" s="56" t="s">
        <v>70</v>
      </c>
      <c r="G1628" s="57">
        <v>5875271575</v>
      </c>
      <c r="H1628" s="56" t="s">
        <v>68</v>
      </c>
      <c r="I1628" s="58" t="str">
        <f t="shared" si="134"/>
        <v>Italy-Online Supplier-Direct</v>
      </c>
      <c r="J1628" s="40"/>
      <c r="K1628" s="59"/>
      <c r="L1628" s="35"/>
      <c r="M1628" s="35"/>
      <c r="N1628" s="35"/>
      <c r="O1628" s="35"/>
      <c r="P1628" s="35"/>
      <c r="Q1628" s="35"/>
      <c r="R1628" s="35"/>
      <c r="S1628" s="35"/>
      <c r="T1628" s="35"/>
      <c r="U1628" s="35"/>
      <c r="V1628" s="35"/>
      <c r="W1628" s="35"/>
      <c r="X1628" s="35"/>
      <c r="Y1628" s="35"/>
      <c r="Z1628" s="35"/>
      <c r="AA1628" s="35"/>
      <c r="AB1628" s="35"/>
      <c r="AC1628" s="35"/>
      <c r="AD1628" s="35"/>
      <c r="AE1628" s="35"/>
      <c r="AF1628" s="35"/>
      <c r="AG1628" s="35"/>
      <c r="AH1628" s="35"/>
      <c r="AI1628" s="35"/>
      <c r="AJ1628" s="35"/>
      <c r="AK1628" s="35"/>
      <c r="AL1628" s="35"/>
      <c r="AM1628" s="35"/>
      <c r="AN1628" s="35"/>
      <c r="AO1628" s="35"/>
      <c r="AP1628" s="35"/>
    </row>
    <row r="1629" spans="1:42" ht="17.25" customHeight="1" x14ac:dyDescent="0.25">
      <c r="A1629" s="60">
        <v>2018</v>
      </c>
      <c r="B1629" s="61" t="s">
        <v>66</v>
      </c>
      <c r="C1629" s="61" t="s">
        <v>27</v>
      </c>
      <c r="D1629" s="61" t="s">
        <v>29</v>
      </c>
      <c r="E1629" s="61" t="s">
        <v>69</v>
      </c>
      <c r="F1629" s="61" t="s">
        <v>71</v>
      </c>
      <c r="G1629" s="62">
        <v>5793669200</v>
      </c>
      <c r="H1629" s="61" t="s">
        <v>68</v>
      </c>
      <c r="I1629" s="63" t="str">
        <f t="shared" si="134"/>
        <v>Italy-OTA</v>
      </c>
      <c r="J1629" s="47"/>
      <c r="K1629" s="54"/>
      <c r="L1629" s="35"/>
      <c r="M1629" s="35"/>
      <c r="N1629" s="35"/>
      <c r="O1629" s="35"/>
      <c r="P1629" s="35"/>
      <c r="Q1629" s="35"/>
      <c r="R1629" s="35"/>
      <c r="S1629" s="35"/>
      <c r="T1629" s="35"/>
      <c r="U1629" s="35"/>
      <c r="V1629" s="35"/>
      <c r="W1629" s="35"/>
      <c r="X1629" s="35"/>
      <c r="Y1629" s="35"/>
      <c r="Z1629" s="35"/>
      <c r="AA1629" s="35"/>
      <c r="AB1629" s="35"/>
      <c r="AC1629" s="35"/>
      <c r="AD1629" s="35"/>
      <c r="AE1629" s="35"/>
      <c r="AF1629" s="35"/>
      <c r="AG1629" s="35"/>
      <c r="AH1629" s="35"/>
      <c r="AI1629" s="35"/>
      <c r="AJ1629" s="35"/>
      <c r="AK1629" s="35"/>
      <c r="AL1629" s="35"/>
      <c r="AM1629" s="35"/>
      <c r="AN1629" s="35"/>
      <c r="AO1629" s="35"/>
      <c r="AP1629" s="35"/>
    </row>
    <row r="1630" spans="1:42" ht="17.25" customHeight="1" x14ac:dyDescent="0.25">
      <c r="A1630" s="55">
        <v>2018</v>
      </c>
      <c r="B1630" s="56" t="s">
        <v>66</v>
      </c>
      <c r="C1630" s="56" t="s">
        <v>4</v>
      </c>
      <c r="D1630" s="56" t="s">
        <v>9</v>
      </c>
      <c r="E1630" s="56" t="s">
        <v>67</v>
      </c>
      <c r="F1630" s="56" t="s">
        <v>67</v>
      </c>
      <c r="G1630" s="57">
        <v>58965673725</v>
      </c>
      <c r="H1630" s="56" t="s">
        <v>68</v>
      </c>
      <c r="I1630" s="58" t="str">
        <f t="shared" si="134"/>
        <v>Japan-Offline</v>
      </c>
      <c r="J1630" s="40"/>
      <c r="K1630" s="59"/>
      <c r="L1630" s="35"/>
      <c r="M1630" s="35"/>
      <c r="N1630" s="35"/>
      <c r="O1630" s="35"/>
      <c r="P1630" s="35"/>
      <c r="Q1630" s="35"/>
      <c r="R1630" s="35"/>
      <c r="S1630" s="35"/>
      <c r="T1630" s="35"/>
      <c r="U1630" s="35"/>
      <c r="V1630" s="35"/>
      <c r="W1630" s="35"/>
      <c r="X1630" s="35"/>
      <c r="Y1630" s="35"/>
      <c r="Z1630" s="35"/>
      <c r="AA1630" s="35"/>
      <c r="AB1630" s="35"/>
      <c r="AC1630" s="35"/>
      <c r="AD1630" s="35"/>
      <c r="AE1630" s="35"/>
      <c r="AF1630" s="35"/>
      <c r="AG1630" s="35"/>
      <c r="AH1630" s="35"/>
      <c r="AI1630" s="35"/>
      <c r="AJ1630" s="35"/>
      <c r="AK1630" s="35"/>
      <c r="AL1630" s="35"/>
      <c r="AM1630" s="35"/>
      <c r="AN1630" s="35"/>
      <c r="AO1630" s="35"/>
      <c r="AP1630" s="35"/>
    </row>
    <row r="1631" spans="1:42" ht="17.25" customHeight="1" x14ac:dyDescent="0.25">
      <c r="A1631" s="60">
        <v>2018</v>
      </c>
      <c r="B1631" s="61" t="s">
        <v>66</v>
      </c>
      <c r="C1631" s="61" t="s">
        <v>4</v>
      </c>
      <c r="D1631" s="61" t="s">
        <v>9</v>
      </c>
      <c r="E1631" s="61" t="s">
        <v>69</v>
      </c>
      <c r="F1631" s="61" t="s">
        <v>70</v>
      </c>
      <c r="G1631" s="62">
        <v>25804143501</v>
      </c>
      <c r="H1631" s="61" t="s">
        <v>68</v>
      </c>
      <c r="I1631" s="63" t="str">
        <f t="shared" si="134"/>
        <v>Japan-Online Supplier-Direct</v>
      </c>
      <c r="J1631" s="47"/>
      <c r="K1631" s="54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  <c r="AG1631" s="35"/>
      <c r="AH1631" s="35"/>
      <c r="AI1631" s="35"/>
      <c r="AJ1631" s="35"/>
      <c r="AK1631" s="35"/>
      <c r="AL1631" s="35"/>
      <c r="AM1631" s="35"/>
      <c r="AN1631" s="35"/>
      <c r="AO1631" s="35"/>
      <c r="AP1631" s="35"/>
    </row>
    <row r="1632" spans="1:42" ht="17.25" customHeight="1" x14ac:dyDescent="0.25">
      <c r="A1632" s="55">
        <v>2018</v>
      </c>
      <c r="B1632" s="56" t="s">
        <v>66</v>
      </c>
      <c r="C1632" s="56" t="s">
        <v>4</v>
      </c>
      <c r="D1632" s="56" t="s">
        <v>9</v>
      </c>
      <c r="E1632" s="56" t="s">
        <v>69</v>
      </c>
      <c r="F1632" s="56" t="s">
        <v>71</v>
      </c>
      <c r="G1632" s="57">
        <v>17057769736</v>
      </c>
      <c r="H1632" s="56" t="s">
        <v>68</v>
      </c>
      <c r="I1632" s="58" t="str">
        <f t="shared" si="134"/>
        <v>Japan-OTA</v>
      </c>
      <c r="J1632" s="40"/>
      <c r="K1632" s="59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  <c r="AG1632" s="35"/>
      <c r="AH1632" s="35"/>
      <c r="AI1632" s="35"/>
      <c r="AJ1632" s="35"/>
      <c r="AK1632" s="35"/>
      <c r="AL1632" s="35"/>
      <c r="AM1632" s="35"/>
      <c r="AN1632" s="35"/>
      <c r="AO1632" s="35"/>
      <c r="AP1632" s="35"/>
    </row>
    <row r="1633" spans="1:42" ht="17.25" customHeight="1" x14ac:dyDescent="0.25">
      <c r="A1633" s="60">
        <v>2018</v>
      </c>
      <c r="B1633" s="61" t="s">
        <v>66</v>
      </c>
      <c r="C1633" s="61" t="s">
        <v>4</v>
      </c>
      <c r="D1633" s="61" t="s">
        <v>10</v>
      </c>
      <c r="E1633" s="61" t="s">
        <v>67</v>
      </c>
      <c r="F1633" s="61" t="s">
        <v>67</v>
      </c>
      <c r="G1633" s="62">
        <v>1755960482</v>
      </c>
      <c r="H1633" s="61" t="s">
        <v>68</v>
      </c>
      <c r="I1633" s="63" t="str">
        <f t="shared" si="134"/>
        <v>Macau-Offline</v>
      </c>
      <c r="J1633" s="47"/>
      <c r="K1633" s="54"/>
      <c r="L1633" s="35"/>
      <c r="M1633" s="35"/>
      <c r="N1633" s="35"/>
      <c r="O1633" s="35"/>
      <c r="P1633" s="35"/>
      <c r="Q1633" s="35"/>
      <c r="R1633" s="35"/>
      <c r="S1633" s="35"/>
      <c r="T1633" s="35"/>
      <c r="U1633" s="35"/>
      <c r="V1633" s="35"/>
      <c r="W1633" s="35"/>
      <c r="X1633" s="35"/>
      <c r="Y1633" s="35"/>
      <c r="Z1633" s="35"/>
      <c r="AA1633" s="35"/>
      <c r="AB1633" s="35"/>
      <c r="AC1633" s="35"/>
      <c r="AD1633" s="35"/>
      <c r="AE1633" s="35"/>
      <c r="AF1633" s="35"/>
      <c r="AG1633" s="35"/>
      <c r="AH1633" s="35"/>
      <c r="AI1633" s="35"/>
      <c r="AJ1633" s="35"/>
      <c r="AK1633" s="35"/>
      <c r="AL1633" s="35"/>
      <c r="AM1633" s="35"/>
      <c r="AN1633" s="35"/>
      <c r="AO1633" s="35"/>
      <c r="AP1633" s="35"/>
    </row>
    <row r="1634" spans="1:42" ht="17.25" customHeight="1" x14ac:dyDescent="0.25">
      <c r="A1634" s="55">
        <v>2018</v>
      </c>
      <c r="B1634" s="56" t="s">
        <v>66</v>
      </c>
      <c r="C1634" s="56" t="s">
        <v>4</v>
      </c>
      <c r="D1634" s="56" t="s">
        <v>10</v>
      </c>
      <c r="E1634" s="56" t="s">
        <v>69</v>
      </c>
      <c r="F1634" s="56" t="s">
        <v>70</v>
      </c>
      <c r="G1634" s="57">
        <v>81213172</v>
      </c>
      <c r="H1634" s="56" t="s">
        <v>68</v>
      </c>
      <c r="I1634" s="58" t="str">
        <f t="shared" si="134"/>
        <v>Macau-Online Supplier-Direct</v>
      </c>
      <c r="J1634" s="40"/>
      <c r="K1634" s="59"/>
      <c r="L1634" s="35"/>
      <c r="M1634" s="35"/>
      <c r="N1634" s="35"/>
      <c r="O1634" s="35"/>
      <c r="P1634" s="35"/>
      <c r="Q1634" s="35"/>
      <c r="R1634" s="35"/>
      <c r="S1634" s="35"/>
      <c r="T1634" s="35"/>
      <c r="U1634" s="35"/>
      <c r="V1634" s="35"/>
      <c r="W1634" s="35"/>
      <c r="X1634" s="35"/>
      <c r="Y1634" s="35"/>
      <c r="Z1634" s="35"/>
      <c r="AA1634" s="35"/>
      <c r="AB1634" s="35"/>
      <c r="AC1634" s="35"/>
      <c r="AD1634" s="35"/>
      <c r="AE1634" s="35"/>
      <c r="AF1634" s="35"/>
      <c r="AG1634" s="35"/>
      <c r="AH1634" s="35"/>
      <c r="AI1634" s="35"/>
      <c r="AJ1634" s="35"/>
      <c r="AK1634" s="35"/>
      <c r="AL1634" s="35"/>
      <c r="AM1634" s="35"/>
      <c r="AN1634" s="35"/>
      <c r="AO1634" s="35"/>
      <c r="AP1634" s="35"/>
    </row>
    <row r="1635" spans="1:42" ht="17.25" customHeight="1" x14ac:dyDescent="0.25">
      <c r="A1635" s="60">
        <v>2018</v>
      </c>
      <c r="B1635" s="61" t="s">
        <v>66</v>
      </c>
      <c r="C1635" s="61" t="s">
        <v>4</v>
      </c>
      <c r="D1635" s="61" t="s">
        <v>10</v>
      </c>
      <c r="E1635" s="61" t="s">
        <v>69</v>
      </c>
      <c r="F1635" s="61" t="s">
        <v>71</v>
      </c>
      <c r="G1635" s="62">
        <v>357776948</v>
      </c>
      <c r="H1635" s="61" t="s">
        <v>68</v>
      </c>
      <c r="I1635" s="63" t="str">
        <f t="shared" si="134"/>
        <v>Macau-OTA</v>
      </c>
      <c r="J1635" s="47"/>
      <c r="K1635" s="54"/>
      <c r="L1635" s="35"/>
      <c r="M1635" s="35"/>
      <c r="N1635" s="35"/>
      <c r="O1635" s="35"/>
      <c r="P1635" s="35"/>
      <c r="Q1635" s="35"/>
      <c r="R1635" s="35"/>
      <c r="S1635" s="35"/>
      <c r="T1635" s="35"/>
      <c r="U1635" s="35"/>
      <c r="V1635" s="35"/>
      <c r="W1635" s="35"/>
      <c r="X1635" s="35"/>
      <c r="Y1635" s="35"/>
      <c r="Z1635" s="35"/>
      <c r="AA1635" s="35"/>
      <c r="AB1635" s="35"/>
      <c r="AC1635" s="35"/>
      <c r="AD1635" s="35"/>
      <c r="AE1635" s="35"/>
      <c r="AF1635" s="35"/>
      <c r="AG1635" s="35"/>
      <c r="AH1635" s="35"/>
      <c r="AI1635" s="35"/>
      <c r="AJ1635" s="35"/>
      <c r="AK1635" s="35"/>
      <c r="AL1635" s="35"/>
      <c r="AM1635" s="35"/>
      <c r="AN1635" s="35"/>
      <c r="AO1635" s="35"/>
      <c r="AP1635" s="35"/>
    </row>
    <row r="1636" spans="1:42" ht="17.25" customHeight="1" x14ac:dyDescent="0.25">
      <c r="A1636" s="55">
        <v>2018</v>
      </c>
      <c r="B1636" s="56" t="s">
        <v>66</v>
      </c>
      <c r="C1636" s="56" t="s">
        <v>4</v>
      </c>
      <c r="D1636" s="56" t="s">
        <v>11</v>
      </c>
      <c r="E1636" s="56" t="s">
        <v>67</v>
      </c>
      <c r="F1636" s="56" t="s">
        <v>67</v>
      </c>
      <c r="G1636" s="57">
        <v>5412091296</v>
      </c>
      <c r="H1636" s="56" t="s">
        <v>68</v>
      </c>
      <c r="I1636" s="58" t="str">
        <f t="shared" si="134"/>
        <v>Malaysia-Offline</v>
      </c>
      <c r="J1636" s="40"/>
      <c r="K1636" s="59"/>
      <c r="L1636" s="35"/>
      <c r="M1636" s="35"/>
      <c r="N1636" s="35"/>
      <c r="O1636" s="35"/>
      <c r="P1636" s="35"/>
      <c r="Q1636" s="35"/>
      <c r="R1636" s="35"/>
      <c r="S1636" s="35"/>
      <c r="T1636" s="35"/>
      <c r="U1636" s="35"/>
      <c r="V1636" s="35"/>
      <c r="W1636" s="35"/>
      <c r="X1636" s="35"/>
      <c r="Y1636" s="35"/>
      <c r="Z1636" s="35"/>
      <c r="AA1636" s="35"/>
      <c r="AB1636" s="35"/>
      <c r="AC1636" s="35"/>
      <c r="AD1636" s="35"/>
      <c r="AE1636" s="35"/>
      <c r="AF1636" s="35"/>
      <c r="AG1636" s="35"/>
      <c r="AH1636" s="35"/>
      <c r="AI1636" s="35"/>
      <c r="AJ1636" s="35"/>
      <c r="AK1636" s="35"/>
      <c r="AL1636" s="35"/>
      <c r="AM1636" s="35"/>
      <c r="AN1636" s="35"/>
      <c r="AO1636" s="35"/>
      <c r="AP1636" s="35"/>
    </row>
    <row r="1637" spans="1:42" ht="17.25" customHeight="1" x14ac:dyDescent="0.25">
      <c r="A1637" s="60">
        <v>2018</v>
      </c>
      <c r="B1637" s="61" t="s">
        <v>66</v>
      </c>
      <c r="C1637" s="61" t="s">
        <v>4</v>
      </c>
      <c r="D1637" s="61" t="s">
        <v>11</v>
      </c>
      <c r="E1637" s="61" t="s">
        <v>69</v>
      </c>
      <c r="F1637" s="61" t="s">
        <v>70</v>
      </c>
      <c r="G1637" s="62">
        <v>2309822492</v>
      </c>
      <c r="H1637" s="61" t="s">
        <v>68</v>
      </c>
      <c r="I1637" s="63" t="str">
        <f t="shared" si="134"/>
        <v>Malaysia-Online Supplier-Direct</v>
      </c>
      <c r="J1637" s="47"/>
      <c r="K1637" s="54"/>
      <c r="L1637" s="35"/>
      <c r="M1637" s="35"/>
      <c r="N1637" s="35"/>
      <c r="O1637" s="35"/>
      <c r="P1637" s="35"/>
      <c r="Q1637" s="35"/>
      <c r="R1637" s="35"/>
      <c r="S1637" s="35"/>
      <c r="T1637" s="35"/>
      <c r="U1637" s="35"/>
      <c r="V1637" s="35"/>
      <c r="W1637" s="35"/>
      <c r="X1637" s="35"/>
      <c r="Y1637" s="35"/>
      <c r="Z1637" s="35"/>
      <c r="AA1637" s="35"/>
      <c r="AB1637" s="35"/>
      <c r="AC1637" s="35"/>
      <c r="AD1637" s="35"/>
      <c r="AE1637" s="35"/>
      <c r="AF1637" s="35"/>
      <c r="AG1637" s="35"/>
      <c r="AH1637" s="35"/>
      <c r="AI1637" s="35"/>
      <c r="AJ1637" s="35"/>
      <c r="AK1637" s="35"/>
      <c r="AL1637" s="35"/>
      <c r="AM1637" s="35"/>
      <c r="AN1637" s="35"/>
      <c r="AO1637" s="35"/>
      <c r="AP1637" s="35"/>
    </row>
    <row r="1638" spans="1:42" ht="17.25" customHeight="1" x14ac:dyDescent="0.25">
      <c r="A1638" s="55">
        <v>2018</v>
      </c>
      <c r="B1638" s="56" t="s">
        <v>66</v>
      </c>
      <c r="C1638" s="56" t="s">
        <v>4</v>
      </c>
      <c r="D1638" s="56" t="s">
        <v>11</v>
      </c>
      <c r="E1638" s="56" t="s">
        <v>69</v>
      </c>
      <c r="F1638" s="56" t="s">
        <v>71</v>
      </c>
      <c r="G1638" s="57">
        <v>1416084807</v>
      </c>
      <c r="H1638" s="56" t="s">
        <v>68</v>
      </c>
      <c r="I1638" s="58" t="str">
        <f t="shared" si="134"/>
        <v>Malaysia-OTA</v>
      </c>
      <c r="J1638" s="40"/>
      <c r="K1638" s="59"/>
      <c r="L1638" s="35"/>
      <c r="M1638" s="35"/>
      <c r="N1638" s="35"/>
      <c r="O1638" s="35"/>
      <c r="P1638" s="35"/>
      <c r="Q1638" s="35"/>
      <c r="R1638" s="35"/>
      <c r="S1638" s="35"/>
      <c r="T1638" s="35"/>
      <c r="U1638" s="35"/>
      <c r="V1638" s="35"/>
      <c r="W1638" s="35"/>
      <c r="X1638" s="35"/>
      <c r="Y1638" s="35"/>
      <c r="Z1638" s="35"/>
      <c r="AA1638" s="35"/>
      <c r="AB1638" s="35"/>
      <c r="AC1638" s="35"/>
      <c r="AD1638" s="35"/>
      <c r="AE1638" s="35"/>
      <c r="AF1638" s="35"/>
      <c r="AG1638" s="35"/>
      <c r="AH1638" s="35"/>
      <c r="AI1638" s="35"/>
      <c r="AJ1638" s="35"/>
      <c r="AK1638" s="35"/>
      <c r="AL1638" s="35"/>
      <c r="AM1638" s="35"/>
      <c r="AN1638" s="35"/>
      <c r="AO1638" s="35"/>
      <c r="AP1638" s="35"/>
    </row>
    <row r="1639" spans="1:42" ht="17.25" customHeight="1" x14ac:dyDescent="0.25">
      <c r="A1639" s="60">
        <v>2018</v>
      </c>
      <c r="B1639" s="61" t="s">
        <v>66</v>
      </c>
      <c r="C1639" s="61" t="s">
        <v>35</v>
      </c>
      <c r="D1639" s="61" t="s">
        <v>39</v>
      </c>
      <c r="E1639" s="61" t="s">
        <v>67</v>
      </c>
      <c r="F1639" s="61" t="s">
        <v>67</v>
      </c>
      <c r="G1639" s="62">
        <v>14754897193</v>
      </c>
      <c r="H1639" s="61" t="s">
        <v>68</v>
      </c>
      <c r="I1639" s="63" t="str">
        <f t="shared" si="134"/>
        <v>Mexico-Offline</v>
      </c>
      <c r="J1639" s="47"/>
      <c r="K1639" s="54"/>
      <c r="L1639" s="35"/>
      <c r="M1639" s="35"/>
      <c r="N1639" s="35"/>
      <c r="O1639" s="35"/>
      <c r="P1639" s="35"/>
      <c r="Q1639" s="35"/>
      <c r="R1639" s="35"/>
      <c r="S1639" s="35"/>
      <c r="T1639" s="35"/>
      <c r="U1639" s="35"/>
      <c r="V1639" s="35"/>
      <c r="W1639" s="35"/>
      <c r="X1639" s="35"/>
      <c r="Y1639" s="35"/>
      <c r="Z1639" s="35"/>
      <c r="AA1639" s="35"/>
      <c r="AB1639" s="35"/>
      <c r="AC1639" s="35"/>
      <c r="AD1639" s="35"/>
      <c r="AE1639" s="35"/>
      <c r="AF1639" s="35"/>
      <c r="AG1639" s="35"/>
      <c r="AH1639" s="35"/>
      <c r="AI1639" s="35"/>
      <c r="AJ1639" s="35"/>
      <c r="AK1639" s="35"/>
      <c r="AL1639" s="35"/>
      <c r="AM1639" s="35"/>
      <c r="AN1639" s="35"/>
      <c r="AO1639" s="35"/>
      <c r="AP1639" s="35"/>
    </row>
    <row r="1640" spans="1:42" ht="17.25" customHeight="1" x14ac:dyDescent="0.25">
      <c r="A1640" s="55">
        <v>2018</v>
      </c>
      <c r="B1640" s="56" t="s">
        <v>66</v>
      </c>
      <c r="C1640" s="56" t="s">
        <v>35</v>
      </c>
      <c r="D1640" s="56" t="s">
        <v>39</v>
      </c>
      <c r="E1640" s="56" t="s">
        <v>69</v>
      </c>
      <c r="F1640" s="56" t="s">
        <v>70</v>
      </c>
      <c r="G1640" s="57">
        <v>3626927587</v>
      </c>
      <c r="H1640" s="56" t="s">
        <v>68</v>
      </c>
      <c r="I1640" s="58" t="str">
        <f t="shared" si="134"/>
        <v>Mexico-Online Supplier-Direct</v>
      </c>
      <c r="J1640" s="40"/>
      <c r="K1640" s="59"/>
      <c r="L1640" s="35"/>
      <c r="M1640" s="35"/>
      <c r="N1640" s="35"/>
      <c r="O1640" s="35"/>
      <c r="P1640" s="35"/>
      <c r="Q1640" s="35"/>
      <c r="R1640" s="35"/>
      <c r="S1640" s="35"/>
      <c r="T1640" s="35"/>
      <c r="U1640" s="35"/>
      <c r="V1640" s="35"/>
      <c r="W1640" s="35"/>
      <c r="X1640" s="35"/>
      <c r="Y1640" s="35"/>
      <c r="Z1640" s="35"/>
      <c r="AA1640" s="35"/>
      <c r="AB1640" s="35"/>
      <c r="AC1640" s="35"/>
      <c r="AD1640" s="35"/>
      <c r="AE1640" s="35"/>
      <c r="AF1640" s="35"/>
      <c r="AG1640" s="35"/>
      <c r="AH1640" s="35"/>
      <c r="AI1640" s="35"/>
      <c r="AJ1640" s="35"/>
      <c r="AK1640" s="35"/>
      <c r="AL1640" s="35"/>
      <c r="AM1640" s="35"/>
      <c r="AN1640" s="35"/>
      <c r="AO1640" s="35"/>
      <c r="AP1640" s="35"/>
    </row>
    <row r="1641" spans="1:42" ht="17.25" customHeight="1" x14ac:dyDescent="0.25">
      <c r="A1641" s="60">
        <v>2018</v>
      </c>
      <c r="B1641" s="61" t="s">
        <v>66</v>
      </c>
      <c r="C1641" s="61" t="s">
        <v>35</v>
      </c>
      <c r="D1641" s="61" t="s">
        <v>39</v>
      </c>
      <c r="E1641" s="61" t="s">
        <v>69</v>
      </c>
      <c r="F1641" s="61" t="s">
        <v>71</v>
      </c>
      <c r="G1641" s="62">
        <v>4731110497</v>
      </c>
      <c r="H1641" s="61" t="s">
        <v>68</v>
      </c>
      <c r="I1641" s="63" t="str">
        <f t="shared" si="134"/>
        <v>Mexico-OTA</v>
      </c>
      <c r="J1641" s="47"/>
      <c r="K1641" s="54"/>
      <c r="L1641" s="35"/>
      <c r="M1641" s="35"/>
      <c r="N1641" s="35"/>
      <c r="O1641" s="35"/>
      <c r="P1641" s="35"/>
      <c r="Q1641" s="35"/>
      <c r="R1641" s="35"/>
      <c r="S1641" s="35"/>
      <c r="T1641" s="35"/>
      <c r="U1641" s="35"/>
      <c r="V1641" s="35"/>
      <c r="W1641" s="35"/>
      <c r="X1641" s="35"/>
      <c r="Y1641" s="35"/>
      <c r="Z1641" s="35"/>
      <c r="AA1641" s="35"/>
      <c r="AB1641" s="35"/>
      <c r="AC1641" s="35"/>
      <c r="AD1641" s="35"/>
      <c r="AE1641" s="35"/>
      <c r="AF1641" s="35"/>
      <c r="AG1641" s="35"/>
      <c r="AH1641" s="35"/>
      <c r="AI1641" s="35"/>
      <c r="AJ1641" s="35"/>
      <c r="AK1641" s="35"/>
      <c r="AL1641" s="35"/>
      <c r="AM1641" s="35"/>
      <c r="AN1641" s="35"/>
      <c r="AO1641" s="35"/>
      <c r="AP1641" s="35"/>
    </row>
    <row r="1642" spans="1:42" ht="17.25" customHeight="1" x14ac:dyDescent="0.25">
      <c r="A1642" s="55">
        <v>2018</v>
      </c>
      <c r="B1642" s="56" t="s">
        <v>66</v>
      </c>
      <c r="C1642" s="56" t="s">
        <v>17</v>
      </c>
      <c r="D1642" s="56" t="s">
        <v>21</v>
      </c>
      <c r="E1642" s="56" t="s">
        <v>67</v>
      </c>
      <c r="F1642" s="56" t="s">
        <v>67</v>
      </c>
      <c r="G1642" s="57">
        <v>2846216290</v>
      </c>
      <c r="H1642" s="56" t="s">
        <v>68</v>
      </c>
      <c r="I1642" s="58" t="str">
        <f t="shared" si="134"/>
        <v>Poland-Offline</v>
      </c>
      <c r="J1642" s="40"/>
      <c r="K1642" s="59"/>
      <c r="L1642" s="35"/>
      <c r="M1642" s="35"/>
      <c r="N1642" s="35"/>
      <c r="O1642" s="35"/>
      <c r="P1642" s="35"/>
      <c r="Q1642" s="35"/>
      <c r="R1642" s="35"/>
      <c r="S1642" s="35"/>
      <c r="T1642" s="35"/>
      <c r="U1642" s="35"/>
      <c r="V1642" s="35"/>
      <c r="W1642" s="35"/>
      <c r="X1642" s="35"/>
      <c r="Y1642" s="35"/>
      <c r="Z1642" s="35"/>
      <c r="AA1642" s="35"/>
      <c r="AB1642" s="35"/>
      <c r="AC1642" s="35"/>
      <c r="AD1642" s="35"/>
      <c r="AE1642" s="35"/>
      <c r="AF1642" s="35"/>
      <c r="AG1642" s="35"/>
      <c r="AH1642" s="35"/>
      <c r="AI1642" s="35"/>
      <c r="AJ1642" s="35"/>
      <c r="AK1642" s="35"/>
      <c r="AL1642" s="35"/>
      <c r="AM1642" s="35"/>
      <c r="AN1642" s="35"/>
      <c r="AO1642" s="35"/>
      <c r="AP1642" s="35"/>
    </row>
    <row r="1643" spans="1:42" ht="17.25" customHeight="1" x14ac:dyDescent="0.25">
      <c r="A1643" s="60">
        <v>2018</v>
      </c>
      <c r="B1643" s="61" t="s">
        <v>66</v>
      </c>
      <c r="C1643" s="61" t="s">
        <v>17</v>
      </c>
      <c r="D1643" s="61" t="s">
        <v>21</v>
      </c>
      <c r="E1643" s="61" t="s">
        <v>69</v>
      </c>
      <c r="F1643" s="61" t="s">
        <v>70</v>
      </c>
      <c r="G1643" s="62">
        <v>832154410</v>
      </c>
      <c r="H1643" s="61" t="s">
        <v>68</v>
      </c>
      <c r="I1643" s="63" t="str">
        <f t="shared" si="134"/>
        <v>Poland-Online Supplier-Direct</v>
      </c>
      <c r="J1643" s="47"/>
      <c r="K1643" s="54"/>
      <c r="L1643" s="35"/>
      <c r="M1643" s="35"/>
      <c r="N1643" s="35"/>
      <c r="O1643" s="35"/>
      <c r="P1643" s="35"/>
      <c r="Q1643" s="35"/>
      <c r="R1643" s="35"/>
      <c r="S1643" s="35"/>
      <c r="T1643" s="35"/>
      <c r="U1643" s="35"/>
      <c r="V1643" s="35"/>
      <c r="W1643" s="35"/>
      <c r="X1643" s="35"/>
      <c r="Y1643" s="35"/>
      <c r="Z1643" s="35"/>
      <c r="AA1643" s="35"/>
      <c r="AB1643" s="35"/>
      <c r="AC1643" s="35"/>
      <c r="AD1643" s="35"/>
      <c r="AE1643" s="35"/>
      <c r="AF1643" s="35"/>
      <c r="AG1643" s="35"/>
      <c r="AH1643" s="35"/>
      <c r="AI1643" s="35"/>
      <c r="AJ1643" s="35"/>
      <c r="AK1643" s="35"/>
      <c r="AL1643" s="35"/>
      <c r="AM1643" s="35"/>
      <c r="AN1643" s="35"/>
      <c r="AO1643" s="35"/>
      <c r="AP1643" s="35"/>
    </row>
    <row r="1644" spans="1:42" ht="17.25" customHeight="1" x14ac:dyDescent="0.25">
      <c r="A1644" s="55">
        <v>2018</v>
      </c>
      <c r="B1644" s="56" t="s">
        <v>66</v>
      </c>
      <c r="C1644" s="56" t="s">
        <v>17</v>
      </c>
      <c r="D1644" s="56" t="s">
        <v>21</v>
      </c>
      <c r="E1644" s="56" t="s">
        <v>69</v>
      </c>
      <c r="F1644" s="56" t="s">
        <v>71</v>
      </c>
      <c r="G1644" s="57">
        <v>963404175</v>
      </c>
      <c r="H1644" s="56" t="s">
        <v>68</v>
      </c>
      <c r="I1644" s="58" t="str">
        <f t="shared" si="134"/>
        <v>Poland-OTA</v>
      </c>
      <c r="J1644" s="40"/>
      <c r="K1644" s="59"/>
      <c r="L1644" s="35"/>
      <c r="M1644" s="35"/>
      <c r="N1644" s="35"/>
      <c r="O1644" s="35"/>
      <c r="P1644" s="35"/>
      <c r="Q1644" s="35"/>
      <c r="R1644" s="35"/>
      <c r="S1644" s="35"/>
      <c r="T1644" s="35"/>
      <c r="U1644" s="35"/>
      <c r="V1644" s="35"/>
      <c r="W1644" s="35"/>
      <c r="X1644" s="35"/>
      <c r="Y1644" s="35"/>
      <c r="Z1644" s="35"/>
      <c r="AA1644" s="35"/>
      <c r="AB1644" s="35"/>
      <c r="AC1644" s="35"/>
      <c r="AD1644" s="35"/>
      <c r="AE1644" s="35"/>
      <c r="AF1644" s="35"/>
      <c r="AG1644" s="35"/>
      <c r="AH1644" s="35"/>
      <c r="AI1644" s="35"/>
      <c r="AJ1644" s="35"/>
      <c r="AK1644" s="35"/>
      <c r="AL1644" s="35"/>
      <c r="AM1644" s="35"/>
      <c r="AN1644" s="35"/>
      <c r="AO1644" s="35"/>
      <c r="AP1644" s="35"/>
    </row>
    <row r="1645" spans="1:42" ht="17.25" customHeight="1" x14ac:dyDescent="0.25">
      <c r="A1645" s="60">
        <v>2018</v>
      </c>
      <c r="B1645" s="61" t="s">
        <v>66</v>
      </c>
      <c r="C1645" s="61" t="s">
        <v>41</v>
      </c>
      <c r="D1645" s="61" t="s">
        <v>42</v>
      </c>
      <c r="E1645" s="61" t="s">
        <v>67</v>
      </c>
      <c r="F1645" s="61" t="s">
        <v>67</v>
      </c>
      <c r="G1645" s="62">
        <v>7604605210</v>
      </c>
      <c r="H1645" s="61" t="s">
        <v>68</v>
      </c>
      <c r="I1645" s="63" t="str">
        <f t="shared" si="134"/>
        <v>Qatar-Offline</v>
      </c>
      <c r="J1645" s="47"/>
      <c r="K1645" s="54"/>
      <c r="L1645" s="35"/>
      <c r="M1645" s="35"/>
      <c r="N1645" s="35"/>
      <c r="O1645" s="35"/>
      <c r="P1645" s="35"/>
      <c r="Q1645" s="35"/>
      <c r="R1645" s="35"/>
      <c r="S1645" s="35"/>
      <c r="T1645" s="35"/>
      <c r="U1645" s="35"/>
      <c r="V1645" s="35"/>
      <c r="W1645" s="35"/>
      <c r="X1645" s="35"/>
      <c r="Y1645" s="35"/>
      <c r="Z1645" s="35"/>
      <c r="AA1645" s="35"/>
      <c r="AB1645" s="35"/>
      <c r="AC1645" s="35"/>
      <c r="AD1645" s="35"/>
      <c r="AE1645" s="35"/>
      <c r="AF1645" s="35"/>
      <c r="AG1645" s="35"/>
      <c r="AH1645" s="35"/>
      <c r="AI1645" s="35"/>
      <c r="AJ1645" s="35"/>
      <c r="AK1645" s="35"/>
      <c r="AL1645" s="35"/>
      <c r="AM1645" s="35"/>
      <c r="AN1645" s="35"/>
      <c r="AO1645" s="35"/>
      <c r="AP1645" s="35"/>
    </row>
    <row r="1646" spans="1:42" ht="17.25" customHeight="1" x14ac:dyDescent="0.25">
      <c r="A1646" s="55">
        <v>2018</v>
      </c>
      <c r="B1646" s="56" t="s">
        <v>66</v>
      </c>
      <c r="C1646" s="56" t="s">
        <v>41</v>
      </c>
      <c r="D1646" s="56" t="s">
        <v>42</v>
      </c>
      <c r="E1646" s="56" t="s">
        <v>69</v>
      </c>
      <c r="F1646" s="56" t="s">
        <v>70</v>
      </c>
      <c r="G1646" s="57">
        <v>2193384102</v>
      </c>
      <c r="H1646" s="56" t="s">
        <v>68</v>
      </c>
      <c r="I1646" s="58" t="str">
        <f t="shared" si="134"/>
        <v>Qatar-Online Supplier-Direct</v>
      </c>
      <c r="J1646" s="40"/>
      <c r="K1646" s="59"/>
      <c r="L1646" s="35"/>
      <c r="M1646" s="35"/>
      <c r="N1646" s="35"/>
      <c r="O1646" s="35"/>
      <c r="P1646" s="35"/>
      <c r="Q1646" s="35"/>
      <c r="R1646" s="35"/>
      <c r="S1646" s="35"/>
      <c r="T1646" s="35"/>
      <c r="U1646" s="35"/>
      <c r="V1646" s="35"/>
      <c r="W1646" s="35"/>
      <c r="X1646" s="35"/>
      <c r="Y1646" s="35"/>
      <c r="Z1646" s="35"/>
      <c r="AA1646" s="35"/>
      <c r="AB1646" s="35"/>
      <c r="AC1646" s="35"/>
      <c r="AD1646" s="35"/>
      <c r="AE1646" s="35"/>
      <c r="AF1646" s="35"/>
      <c r="AG1646" s="35"/>
      <c r="AH1646" s="35"/>
      <c r="AI1646" s="35"/>
      <c r="AJ1646" s="35"/>
      <c r="AK1646" s="35"/>
      <c r="AL1646" s="35"/>
      <c r="AM1646" s="35"/>
      <c r="AN1646" s="35"/>
      <c r="AO1646" s="35"/>
      <c r="AP1646" s="35"/>
    </row>
    <row r="1647" spans="1:42" ht="17.25" customHeight="1" x14ac:dyDescent="0.25">
      <c r="A1647" s="60">
        <v>2018</v>
      </c>
      <c r="B1647" s="61" t="s">
        <v>66</v>
      </c>
      <c r="C1647" s="61" t="s">
        <v>41</v>
      </c>
      <c r="D1647" s="61" t="s">
        <v>42</v>
      </c>
      <c r="E1647" s="61" t="s">
        <v>69</v>
      </c>
      <c r="F1647" s="61" t="s">
        <v>71</v>
      </c>
      <c r="G1647" s="62">
        <v>933986432</v>
      </c>
      <c r="H1647" s="61" t="s">
        <v>68</v>
      </c>
      <c r="I1647" s="63" t="str">
        <f t="shared" si="134"/>
        <v>Qatar-OTA</v>
      </c>
      <c r="J1647" s="47"/>
      <c r="K1647" s="54"/>
      <c r="L1647" s="35"/>
      <c r="M1647" s="35"/>
      <c r="N1647" s="35"/>
      <c r="O1647" s="35"/>
      <c r="P1647" s="35"/>
      <c r="Q1647" s="35"/>
      <c r="R1647" s="35"/>
      <c r="S1647" s="35"/>
      <c r="T1647" s="35"/>
      <c r="U1647" s="35"/>
      <c r="V1647" s="35"/>
      <c r="W1647" s="35"/>
      <c r="X1647" s="35"/>
      <c r="Y1647" s="35"/>
      <c r="Z1647" s="35"/>
      <c r="AA1647" s="35"/>
      <c r="AB1647" s="35"/>
      <c r="AC1647" s="35"/>
      <c r="AD1647" s="35"/>
      <c r="AE1647" s="35"/>
      <c r="AF1647" s="35"/>
      <c r="AG1647" s="35"/>
      <c r="AH1647" s="35"/>
      <c r="AI1647" s="35"/>
      <c r="AJ1647" s="35"/>
      <c r="AK1647" s="35"/>
      <c r="AL1647" s="35"/>
      <c r="AM1647" s="35"/>
      <c r="AN1647" s="35"/>
      <c r="AO1647" s="35"/>
      <c r="AP1647" s="35"/>
    </row>
    <row r="1648" spans="1:42" ht="17.25" customHeight="1" x14ac:dyDescent="0.25">
      <c r="A1648" s="55">
        <v>2018</v>
      </c>
      <c r="B1648" s="56" t="s">
        <v>66</v>
      </c>
      <c r="C1648" s="56" t="s">
        <v>17</v>
      </c>
      <c r="D1648" s="56" t="s">
        <v>22</v>
      </c>
      <c r="E1648" s="56" t="s">
        <v>67</v>
      </c>
      <c r="F1648" s="56" t="s">
        <v>67</v>
      </c>
      <c r="G1648" s="57">
        <v>1156416967</v>
      </c>
      <c r="H1648" s="56" t="s">
        <v>68</v>
      </c>
      <c r="I1648" s="58" t="str">
        <f t="shared" si="134"/>
        <v>Rest of Eastern Europe-Offline</v>
      </c>
      <c r="J1648" s="40"/>
      <c r="K1648" s="59"/>
      <c r="L1648" s="35"/>
      <c r="M1648" s="35"/>
      <c r="N1648" s="35"/>
      <c r="O1648" s="35"/>
      <c r="P1648" s="35"/>
      <c r="Q1648" s="35"/>
      <c r="R1648" s="35"/>
      <c r="S1648" s="35"/>
      <c r="T1648" s="35"/>
      <c r="U1648" s="35"/>
      <c r="V1648" s="35"/>
      <c r="W1648" s="35"/>
      <c r="X1648" s="35"/>
      <c r="Y1648" s="35"/>
      <c r="Z1648" s="35"/>
      <c r="AA1648" s="35"/>
      <c r="AB1648" s="35"/>
      <c r="AC1648" s="35"/>
      <c r="AD1648" s="35"/>
      <c r="AE1648" s="35"/>
      <c r="AF1648" s="35"/>
      <c r="AG1648" s="35"/>
      <c r="AH1648" s="35"/>
      <c r="AI1648" s="35"/>
      <c r="AJ1648" s="35"/>
      <c r="AK1648" s="35"/>
      <c r="AL1648" s="35"/>
      <c r="AM1648" s="35"/>
      <c r="AN1648" s="35"/>
      <c r="AO1648" s="35"/>
      <c r="AP1648" s="35"/>
    </row>
    <row r="1649" spans="1:42" ht="17.25" customHeight="1" x14ac:dyDescent="0.25">
      <c r="A1649" s="60">
        <v>2018</v>
      </c>
      <c r="B1649" s="61" t="s">
        <v>66</v>
      </c>
      <c r="C1649" s="61" t="s">
        <v>17</v>
      </c>
      <c r="D1649" s="61" t="s">
        <v>22</v>
      </c>
      <c r="E1649" s="61" t="s">
        <v>69</v>
      </c>
      <c r="F1649" s="61" t="s">
        <v>70</v>
      </c>
      <c r="G1649" s="62">
        <v>493860697</v>
      </c>
      <c r="H1649" s="61" t="s">
        <v>68</v>
      </c>
      <c r="I1649" s="63" t="str">
        <f t="shared" si="134"/>
        <v>Rest of Eastern Europe-Online Supplier-Direct</v>
      </c>
      <c r="J1649" s="47"/>
      <c r="K1649" s="54"/>
      <c r="L1649" s="35"/>
      <c r="M1649" s="35"/>
      <c r="N1649" s="35"/>
      <c r="O1649" s="35"/>
      <c r="P1649" s="35"/>
      <c r="Q1649" s="35"/>
      <c r="R1649" s="35"/>
      <c r="S1649" s="35"/>
      <c r="T1649" s="35"/>
      <c r="U1649" s="35"/>
      <c r="V1649" s="35"/>
      <c r="W1649" s="35"/>
      <c r="X1649" s="35"/>
      <c r="Y1649" s="35"/>
      <c r="Z1649" s="35"/>
      <c r="AA1649" s="35"/>
      <c r="AB1649" s="35"/>
      <c r="AC1649" s="35"/>
      <c r="AD1649" s="35"/>
      <c r="AE1649" s="35"/>
      <c r="AF1649" s="35"/>
      <c r="AG1649" s="35"/>
      <c r="AH1649" s="35"/>
      <c r="AI1649" s="35"/>
      <c r="AJ1649" s="35"/>
      <c r="AK1649" s="35"/>
      <c r="AL1649" s="35"/>
      <c r="AM1649" s="35"/>
      <c r="AN1649" s="35"/>
      <c r="AO1649" s="35"/>
      <c r="AP1649" s="35"/>
    </row>
    <row r="1650" spans="1:42" ht="17.25" customHeight="1" x14ac:dyDescent="0.25">
      <c r="A1650" s="55">
        <v>2018</v>
      </c>
      <c r="B1650" s="56" t="s">
        <v>66</v>
      </c>
      <c r="C1650" s="56" t="s">
        <v>17</v>
      </c>
      <c r="D1650" s="56" t="s">
        <v>22</v>
      </c>
      <c r="E1650" s="56" t="s">
        <v>69</v>
      </c>
      <c r="F1650" s="56" t="s">
        <v>71</v>
      </c>
      <c r="G1650" s="57">
        <v>418177988</v>
      </c>
      <c r="H1650" s="56" t="s">
        <v>68</v>
      </c>
      <c r="I1650" s="58" t="str">
        <f t="shared" si="134"/>
        <v>Rest of Eastern Europe-OTA</v>
      </c>
      <c r="J1650" s="40"/>
      <c r="K1650" s="59"/>
      <c r="L1650" s="35"/>
      <c r="M1650" s="35"/>
      <c r="N1650" s="35"/>
      <c r="O1650" s="35"/>
      <c r="P1650" s="35"/>
      <c r="Q1650" s="35"/>
      <c r="R1650" s="35"/>
      <c r="S1650" s="35"/>
      <c r="T1650" s="35"/>
      <c r="U1650" s="35"/>
      <c r="V1650" s="35"/>
      <c r="W1650" s="35"/>
      <c r="X1650" s="35"/>
      <c r="Y1650" s="35"/>
      <c r="Z1650" s="35"/>
      <c r="AA1650" s="35"/>
      <c r="AB1650" s="35"/>
      <c r="AC1650" s="35"/>
      <c r="AD1650" s="35"/>
      <c r="AE1650" s="35"/>
      <c r="AF1650" s="35"/>
      <c r="AG1650" s="35"/>
      <c r="AH1650" s="35"/>
      <c r="AI1650" s="35"/>
      <c r="AJ1650" s="35"/>
      <c r="AK1650" s="35"/>
      <c r="AL1650" s="35"/>
      <c r="AM1650" s="35"/>
      <c r="AN1650" s="35"/>
      <c r="AO1650" s="35"/>
      <c r="AP1650" s="35"/>
    </row>
    <row r="1651" spans="1:42" ht="17.25" customHeight="1" x14ac:dyDescent="0.25">
      <c r="A1651" s="60">
        <v>2018</v>
      </c>
      <c r="B1651" s="61" t="s">
        <v>66</v>
      </c>
      <c r="C1651" s="61" t="s">
        <v>27</v>
      </c>
      <c r="D1651" s="61" t="s">
        <v>30</v>
      </c>
      <c r="E1651" s="61" t="s">
        <v>67</v>
      </c>
      <c r="F1651" s="61" t="s">
        <v>67</v>
      </c>
      <c r="G1651" s="62">
        <v>36556575764</v>
      </c>
      <c r="H1651" s="61" t="s">
        <v>68</v>
      </c>
      <c r="I1651" s="63" t="str">
        <f t="shared" si="134"/>
        <v>Rest of Europe-Offline</v>
      </c>
      <c r="J1651" s="47"/>
      <c r="K1651" s="54"/>
      <c r="L1651" s="35"/>
      <c r="M1651" s="35"/>
      <c r="N1651" s="35"/>
      <c r="O1651" s="35"/>
      <c r="P1651" s="35"/>
      <c r="Q1651" s="35"/>
      <c r="R1651" s="35"/>
      <c r="S1651" s="35"/>
      <c r="T1651" s="35"/>
      <c r="U1651" s="35"/>
      <c r="V1651" s="35"/>
      <c r="W1651" s="35"/>
      <c r="X1651" s="35"/>
      <c r="Y1651" s="35"/>
      <c r="Z1651" s="35"/>
      <c r="AA1651" s="35"/>
      <c r="AB1651" s="35"/>
      <c r="AC1651" s="35"/>
      <c r="AD1651" s="35"/>
      <c r="AE1651" s="35"/>
      <c r="AF1651" s="35"/>
      <c r="AG1651" s="35"/>
      <c r="AH1651" s="35"/>
      <c r="AI1651" s="35"/>
      <c r="AJ1651" s="35"/>
      <c r="AK1651" s="35"/>
      <c r="AL1651" s="35"/>
      <c r="AM1651" s="35"/>
      <c r="AN1651" s="35"/>
      <c r="AO1651" s="35"/>
      <c r="AP1651" s="35"/>
    </row>
    <row r="1652" spans="1:42" ht="17.25" customHeight="1" x14ac:dyDescent="0.25">
      <c r="A1652" s="55">
        <v>2018</v>
      </c>
      <c r="B1652" s="56" t="s">
        <v>66</v>
      </c>
      <c r="C1652" s="56" t="s">
        <v>27</v>
      </c>
      <c r="D1652" s="56" t="s">
        <v>30</v>
      </c>
      <c r="E1652" s="56" t="s">
        <v>69</v>
      </c>
      <c r="F1652" s="56" t="s">
        <v>70</v>
      </c>
      <c r="G1652" s="57">
        <v>21592442366</v>
      </c>
      <c r="H1652" s="56" t="s">
        <v>68</v>
      </c>
      <c r="I1652" s="58" t="str">
        <f t="shared" si="134"/>
        <v>Rest of Europe-Online Supplier-Direct</v>
      </c>
      <c r="J1652" s="40"/>
      <c r="K1652" s="59"/>
      <c r="L1652" s="35"/>
      <c r="M1652" s="35"/>
      <c r="N1652" s="35"/>
      <c r="O1652" s="35"/>
      <c r="P1652" s="35"/>
      <c r="Q1652" s="35"/>
      <c r="R1652" s="35"/>
      <c r="S1652" s="35"/>
      <c r="T1652" s="35"/>
      <c r="U1652" s="35"/>
      <c r="V1652" s="35"/>
      <c r="W1652" s="35"/>
      <c r="X1652" s="35"/>
      <c r="Y1652" s="35"/>
      <c r="Z1652" s="35"/>
      <c r="AA1652" s="35"/>
      <c r="AB1652" s="35"/>
      <c r="AC1652" s="35"/>
      <c r="AD1652" s="35"/>
      <c r="AE1652" s="35"/>
      <c r="AF1652" s="35"/>
      <c r="AG1652" s="35"/>
      <c r="AH1652" s="35"/>
      <c r="AI1652" s="35"/>
      <c r="AJ1652" s="35"/>
      <c r="AK1652" s="35"/>
      <c r="AL1652" s="35"/>
      <c r="AM1652" s="35"/>
      <c r="AN1652" s="35"/>
      <c r="AO1652" s="35"/>
      <c r="AP1652" s="35"/>
    </row>
    <row r="1653" spans="1:42" ht="17.25" customHeight="1" x14ac:dyDescent="0.25">
      <c r="A1653" s="60">
        <v>2018</v>
      </c>
      <c r="B1653" s="61" t="s">
        <v>66</v>
      </c>
      <c r="C1653" s="61" t="s">
        <v>27</v>
      </c>
      <c r="D1653" s="61" t="s">
        <v>30</v>
      </c>
      <c r="E1653" s="61" t="s">
        <v>69</v>
      </c>
      <c r="F1653" s="61" t="s">
        <v>71</v>
      </c>
      <c r="G1653" s="62">
        <v>10609237815</v>
      </c>
      <c r="H1653" s="61" t="s">
        <v>68</v>
      </c>
      <c r="I1653" s="63" t="str">
        <f t="shared" si="134"/>
        <v>Rest of Europe-OTA</v>
      </c>
      <c r="J1653" s="47"/>
      <c r="K1653" s="54"/>
      <c r="L1653" s="35"/>
      <c r="M1653" s="35"/>
      <c r="N1653" s="35"/>
      <c r="O1653" s="35"/>
      <c r="P1653" s="35"/>
      <c r="Q1653" s="35"/>
      <c r="R1653" s="35"/>
      <c r="S1653" s="35"/>
      <c r="T1653" s="35"/>
      <c r="U1653" s="35"/>
      <c r="V1653" s="35"/>
      <c r="W1653" s="35"/>
      <c r="X1653" s="35"/>
      <c r="Y1653" s="35"/>
      <c r="Z1653" s="35"/>
      <c r="AA1653" s="35"/>
      <c r="AB1653" s="35"/>
      <c r="AC1653" s="35"/>
      <c r="AD1653" s="35"/>
      <c r="AE1653" s="35"/>
      <c r="AF1653" s="35"/>
      <c r="AG1653" s="35"/>
      <c r="AH1653" s="35"/>
      <c r="AI1653" s="35"/>
      <c r="AJ1653" s="35"/>
      <c r="AK1653" s="35"/>
      <c r="AL1653" s="35"/>
      <c r="AM1653" s="35"/>
      <c r="AN1653" s="35"/>
      <c r="AO1653" s="35"/>
      <c r="AP1653" s="35"/>
    </row>
    <row r="1654" spans="1:42" ht="17.25" customHeight="1" x14ac:dyDescent="0.25">
      <c r="A1654" s="55">
        <v>2018</v>
      </c>
      <c r="B1654" s="56" t="s">
        <v>66</v>
      </c>
      <c r="C1654" s="56" t="s">
        <v>41</v>
      </c>
      <c r="D1654" s="56" t="s">
        <v>43</v>
      </c>
      <c r="E1654" s="56" t="s">
        <v>67</v>
      </c>
      <c r="F1654" s="56" t="s">
        <v>67</v>
      </c>
      <c r="G1654" s="57">
        <v>7963278090</v>
      </c>
      <c r="H1654" s="56" t="s">
        <v>68</v>
      </c>
      <c r="I1654" s="58" t="str">
        <f t="shared" si="134"/>
        <v>Rest of Middle East-Offline</v>
      </c>
      <c r="J1654" s="40"/>
      <c r="K1654" s="59"/>
      <c r="L1654" s="35"/>
      <c r="M1654" s="35"/>
      <c r="N1654" s="35"/>
      <c r="O1654" s="35"/>
      <c r="P1654" s="35"/>
      <c r="Q1654" s="35"/>
      <c r="R1654" s="35"/>
      <c r="S1654" s="35"/>
      <c r="T1654" s="35"/>
      <c r="U1654" s="35"/>
      <c r="V1654" s="35"/>
      <c r="W1654" s="35"/>
      <c r="X1654" s="35"/>
      <c r="Y1654" s="35"/>
      <c r="Z1654" s="35"/>
      <c r="AA1654" s="35"/>
      <c r="AB1654" s="35"/>
      <c r="AC1654" s="35"/>
      <c r="AD1654" s="35"/>
      <c r="AE1654" s="35"/>
      <c r="AF1654" s="35"/>
      <c r="AG1654" s="35"/>
      <c r="AH1654" s="35"/>
      <c r="AI1654" s="35"/>
      <c r="AJ1654" s="35"/>
      <c r="AK1654" s="35"/>
      <c r="AL1654" s="35"/>
      <c r="AM1654" s="35"/>
      <c r="AN1654" s="35"/>
      <c r="AO1654" s="35"/>
      <c r="AP1654" s="35"/>
    </row>
    <row r="1655" spans="1:42" ht="17.25" customHeight="1" x14ac:dyDescent="0.25">
      <c r="A1655" s="60">
        <v>2018</v>
      </c>
      <c r="B1655" s="61" t="s">
        <v>66</v>
      </c>
      <c r="C1655" s="61" t="s">
        <v>41</v>
      </c>
      <c r="D1655" s="61" t="s">
        <v>43</v>
      </c>
      <c r="E1655" s="61" t="s">
        <v>69</v>
      </c>
      <c r="F1655" s="61" t="s">
        <v>70</v>
      </c>
      <c r="G1655" s="62">
        <v>1548421041</v>
      </c>
      <c r="H1655" s="61" t="s">
        <v>68</v>
      </c>
      <c r="I1655" s="63" t="str">
        <f t="shared" si="134"/>
        <v>Rest of Middle East-Online Supplier-Direct</v>
      </c>
      <c r="J1655" s="47"/>
      <c r="K1655" s="54"/>
      <c r="L1655" s="35"/>
      <c r="M1655" s="35"/>
      <c r="N1655" s="35"/>
      <c r="O1655" s="35"/>
      <c r="P1655" s="35"/>
      <c r="Q1655" s="35"/>
      <c r="R1655" s="35"/>
      <c r="S1655" s="35"/>
      <c r="T1655" s="35"/>
      <c r="U1655" s="35"/>
      <c r="V1655" s="35"/>
      <c r="W1655" s="35"/>
      <c r="X1655" s="35"/>
      <c r="Y1655" s="35"/>
      <c r="Z1655" s="35"/>
      <c r="AA1655" s="35"/>
      <c r="AB1655" s="35"/>
      <c r="AC1655" s="35"/>
      <c r="AD1655" s="35"/>
      <c r="AE1655" s="35"/>
      <c r="AF1655" s="35"/>
      <c r="AG1655" s="35"/>
      <c r="AH1655" s="35"/>
      <c r="AI1655" s="35"/>
      <c r="AJ1655" s="35"/>
      <c r="AK1655" s="35"/>
      <c r="AL1655" s="35"/>
      <c r="AM1655" s="35"/>
      <c r="AN1655" s="35"/>
      <c r="AO1655" s="35"/>
      <c r="AP1655" s="35"/>
    </row>
    <row r="1656" spans="1:42" ht="17.25" customHeight="1" x14ac:dyDescent="0.25">
      <c r="A1656" s="55">
        <v>2018</v>
      </c>
      <c r="B1656" s="56" t="s">
        <v>66</v>
      </c>
      <c r="C1656" s="56" t="s">
        <v>41</v>
      </c>
      <c r="D1656" s="56" t="s">
        <v>43</v>
      </c>
      <c r="E1656" s="56" t="s">
        <v>69</v>
      </c>
      <c r="F1656" s="56" t="s">
        <v>71</v>
      </c>
      <c r="G1656" s="57">
        <v>1628116287</v>
      </c>
      <c r="H1656" s="56" t="s">
        <v>68</v>
      </c>
      <c r="I1656" s="58" t="str">
        <f t="shared" si="134"/>
        <v>Rest of Middle East-OTA</v>
      </c>
      <c r="J1656" s="40"/>
      <c r="K1656" s="59"/>
      <c r="L1656" s="35"/>
      <c r="M1656" s="35"/>
      <c r="N1656" s="35"/>
      <c r="O1656" s="35"/>
      <c r="P1656" s="35"/>
      <c r="Q1656" s="35"/>
      <c r="R1656" s="35"/>
      <c r="S1656" s="35"/>
      <c r="T1656" s="35"/>
      <c r="U1656" s="35"/>
      <c r="V1656" s="35"/>
      <c r="W1656" s="35"/>
      <c r="X1656" s="35"/>
      <c r="Y1656" s="35"/>
      <c r="Z1656" s="35"/>
      <c r="AA1656" s="35"/>
      <c r="AB1656" s="35"/>
      <c r="AC1656" s="35"/>
      <c r="AD1656" s="35"/>
      <c r="AE1656" s="35"/>
      <c r="AF1656" s="35"/>
      <c r="AG1656" s="35"/>
      <c r="AH1656" s="35"/>
      <c r="AI1656" s="35"/>
      <c r="AJ1656" s="35"/>
      <c r="AK1656" s="35"/>
      <c r="AL1656" s="35"/>
      <c r="AM1656" s="35"/>
      <c r="AN1656" s="35"/>
      <c r="AO1656" s="35"/>
      <c r="AP1656" s="35"/>
    </row>
    <row r="1657" spans="1:42" ht="17.25" customHeight="1" x14ac:dyDescent="0.25">
      <c r="A1657" s="60">
        <v>2018</v>
      </c>
      <c r="B1657" s="61" t="s">
        <v>66</v>
      </c>
      <c r="C1657" s="61" t="s">
        <v>17</v>
      </c>
      <c r="D1657" s="61" t="s">
        <v>23</v>
      </c>
      <c r="E1657" s="61" t="s">
        <v>67</v>
      </c>
      <c r="F1657" s="61" t="s">
        <v>67</v>
      </c>
      <c r="G1657" s="62">
        <v>1244750270</v>
      </c>
      <c r="H1657" s="61" t="s">
        <v>68</v>
      </c>
      <c r="I1657" s="63" t="str">
        <f t="shared" si="134"/>
        <v>Romania-Offline</v>
      </c>
      <c r="J1657" s="47"/>
      <c r="K1657" s="54"/>
      <c r="L1657" s="35"/>
      <c r="M1657" s="35"/>
      <c r="N1657" s="35"/>
      <c r="O1657" s="35"/>
      <c r="P1657" s="35"/>
      <c r="Q1657" s="35"/>
      <c r="R1657" s="35"/>
      <c r="S1657" s="35"/>
      <c r="T1657" s="35"/>
      <c r="U1657" s="35"/>
      <c r="V1657" s="35"/>
      <c r="W1657" s="35"/>
      <c r="X1657" s="35"/>
      <c r="Y1657" s="35"/>
      <c r="Z1657" s="35"/>
      <c r="AA1657" s="35"/>
      <c r="AB1657" s="35"/>
      <c r="AC1657" s="35"/>
      <c r="AD1657" s="35"/>
      <c r="AE1657" s="35"/>
      <c r="AF1657" s="35"/>
      <c r="AG1657" s="35"/>
      <c r="AH1657" s="35"/>
      <c r="AI1657" s="35"/>
      <c r="AJ1657" s="35"/>
      <c r="AK1657" s="35"/>
      <c r="AL1657" s="35"/>
      <c r="AM1657" s="35"/>
      <c r="AN1657" s="35"/>
      <c r="AO1657" s="35"/>
      <c r="AP1657" s="35"/>
    </row>
    <row r="1658" spans="1:42" ht="17.25" customHeight="1" x14ac:dyDescent="0.25">
      <c r="A1658" s="55">
        <v>2018</v>
      </c>
      <c r="B1658" s="56" t="s">
        <v>66</v>
      </c>
      <c r="C1658" s="56" t="s">
        <v>17</v>
      </c>
      <c r="D1658" s="56" t="s">
        <v>23</v>
      </c>
      <c r="E1658" s="56" t="s">
        <v>69</v>
      </c>
      <c r="F1658" s="56" t="s">
        <v>70</v>
      </c>
      <c r="G1658" s="57">
        <v>176962522</v>
      </c>
      <c r="H1658" s="56" t="s">
        <v>68</v>
      </c>
      <c r="I1658" s="58" t="str">
        <f t="shared" si="134"/>
        <v>Romania-Online Supplier-Direct</v>
      </c>
      <c r="J1658" s="40"/>
      <c r="K1658" s="59"/>
      <c r="L1658" s="35"/>
      <c r="M1658" s="35"/>
      <c r="N1658" s="35"/>
      <c r="O1658" s="35"/>
      <c r="P1658" s="35"/>
      <c r="Q1658" s="35"/>
      <c r="R1658" s="35"/>
      <c r="S1658" s="35"/>
      <c r="T1658" s="35"/>
      <c r="U1658" s="35"/>
      <c r="V1658" s="35"/>
      <c r="W1658" s="35"/>
      <c r="X1658" s="35"/>
      <c r="Y1658" s="35"/>
      <c r="Z1658" s="35"/>
      <c r="AA1658" s="35"/>
      <c r="AB1658" s="35"/>
      <c r="AC1658" s="35"/>
      <c r="AD1658" s="35"/>
      <c r="AE1658" s="35"/>
      <c r="AF1658" s="35"/>
      <c r="AG1658" s="35"/>
      <c r="AH1658" s="35"/>
      <c r="AI1658" s="35"/>
      <c r="AJ1658" s="35"/>
      <c r="AK1658" s="35"/>
      <c r="AL1658" s="35"/>
      <c r="AM1658" s="35"/>
      <c r="AN1658" s="35"/>
      <c r="AO1658" s="35"/>
      <c r="AP1658" s="35"/>
    </row>
    <row r="1659" spans="1:42" ht="17.25" customHeight="1" x14ac:dyDescent="0.25">
      <c r="A1659" s="60">
        <v>2018</v>
      </c>
      <c r="B1659" s="61" t="s">
        <v>66</v>
      </c>
      <c r="C1659" s="61" t="s">
        <v>17</v>
      </c>
      <c r="D1659" s="61" t="s">
        <v>23</v>
      </c>
      <c r="E1659" s="61" t="s">
        <v>69</v>
      </c>
      <c r="F1659" s="61" t="s">
        <v>71</v>
      </c>
      <c r="G1659" s="62">
        <v>327878943</v>
      </c>
      <c r="H1659" s="61" t="s">
        <v>68</v>
      </c>
      <c r="I1659" s="63" t="str">
        <f t="shared" si="134"/>
        <v>Romania-OTA</v>
      </c>
      <c r="J1659" s="47"/>
      <c r="K1659" s="54"/>
      <c r="L1659" s="35"/>
      <c r="M1659" s="35"/>
      <c r="N1659" s="35"/>
      <c r="O1659" s="35"/>
      <c r="P1659" s="35"/>
      <c r="Q1659" s="35"/>
      <c r="R1659" s="35"/>
      <c r="S1659" s="35"/>
      <c r="T1659" s="35"/>
      <c r="U1659" s="35"/>
      <c r="V1659" s="35"/>
      <c r="W1659" s="35"/>
      <c r="X1659" s="35"/>
      <c r="Y1659" s="35"/>
      <c r="Z1659" s="35"/>
      <c r="AA1659" s="35"/>
      <c r="AB1659" s="35"/>
      <c r="AC1659" s="35"/>
      <c r="AD1659" s="35"/>
      <c r="AE1659" s="35"/>
      <c r="AF1659" s="35"/>
      <c r="AG1659" s="35"/>
      <c r="AH1659" s="35"/>
      <c r="AI1659" s="35"/>
      <c r="AJ1659" s="35"/>
      <c r="AK1659" s="35"/>
      <c r="AL1659" s="35"/>
      <c r="AM1659" s="35"/>
      <c r="AN1659" s="35"/>
      <c r="AO1659" s="35"/>
      <c r="AP1659" s="35"/>
    </row>
    <row r="1660" spans="1:42" ht="17.25" customHeight="1" x14ac:dyDescent="0.25">
      <c r="A1660" s="55">
        <v>2018</v>
      </c>
      <c r="B1660" s="56" t="s">
        <v>66</v>
      </c>
      <c r="C1660" s="56" t="s">
        <v>17</v>
      </c>
      <c r="D1660" s="56" t="s">
        <v>24</v>
      </c>
      <c r="E1660" s="56" t="s">
        <v>67</v>
      </c>
      <c r="F1660" s="56" t="s">
        <v>67</v>
      </c>
      <c r="G1660" s="57">
        <v>22239264928</v>
      </c>
      <c r="H1660" s="56" t="s">
        <v>68</v>
      </c>
      <c r="I1660" s="58" t="str">
        <f t="shared" si="134"/>
        <v>Russia-Offline</v>
      </c>
      <c r="J1660" s="40"/>
      <c r="K1660" s="59"/>
      <c r="L1660" s="35"/>
      <c r="M1660" s="35"/>
      <c r="N1660" s="35"/>
      <c r="O1660" s="35"/>
      <c r="P1660" s="35"/>
      <c r="Q1660" s="35"/>
      <c r="R1660" s="35"/>
      <c r="S1660" s="35"/>
      <c r="T1660" s="35"/>
      <c r="U1660" s="35"/>
      <c r="V1660" s="35"/>
      <c r="W1660" s="35"/>
      <c r="X1660" s="35"/>
      <c r="Y1660" s="35"/>
      <c r="Z1660" s="35"/>
      <c r="AA1660" s="35"/>
      <c r="AB1660" s="35"/>
      <c r="AC1660" s="35"/>
      <c r="AD1660" s="35"/>
      <c r="AE1660" s="35"/>
      <c r="AF1660" s="35"/>
      <c r="AG1660" s="35"/>
      <c r="AH1660" s="35"/>
      <c r="AI1660" s="35"/>
      <c r="AJ1660" s="35"/>
      <c r="AK1660" s="35"/>
      <c r="AL1660" s="35"/>
      <c r="AM1660" s="35"/>
      <c r="AN1660" s="35"/>
      <c r="AO1660" s="35"/>
      <c r="AP1660" s="35"/>
    </row>
    <row r="1661" spans="1:42" ht="17.25" customHeight="1" x14ac:dyDescent="0.25">
      <c r="A1661" s="60">
        <v>2018</v>
      </c>
      <c r="B1661" s="61" t="s">
        <v>66</v>
      </c>
      <c r="C1661" s="61" t="s">
        <v>17</v>
      </c>
      <c r="D1661" s="61" t="s">
        <v>24</v>
      </c>
      <c r="E1661" s="61" t="s">
        <v>69</v>
      </c>
      <c r="F1661" s="61" t="s">
        <v>70</v>
      </c>
      <c r="G1661" s="62">
        <v>7966178698</v>
      </c>
      <c r="H1661" s="61" t="s">
        <v>68</v>
      </c>
      <c r="I1661" s="63" t="str">
        <f t="shared" si="134"/>
        <v>Russia-Online Supplier-Direct</v>
      </c>
      <c r="J1661" s="47"/>
      <c r="K1661" s="54"/>
      <c r="L1661" s="35"/>
      <c r="M1661" s="35"/>
      <c r="N1661" s="35"/>
      <c r="O1661" s="35"/>
      <c r="P1661" s="35"/>
      <c r="Q1661" s="35"/>
      <c r="R1661" s="35"/>
      <c r="S1661" s="35"/>
      <c r="T1661" s="35"/>
      <c r="U1661" s="35"/>
      <c r="V1661" s="35"/>
      <c r="W1661" s="35"/>
      <c r="X1661" s="35"/>
      <c r="Y1661" s="35"/>
      <c r="Z1661" s="35"/>
      <c r="AA1661" s="35"/>
      <c r="AB1661" s="35"/>
      <c r="AC1661" s="35"/>
      <c r="AD1661" s="35"/>
      <c r="AE1661" s="35"/>
      <c r="AF1661" s="35"/>
      <c r="AG1661" s="35"/>
      <c r="AH1661" s="35"/>
      <c r="AI1661" s="35"/>
      <c r="AJ1661" s="35"/>
      <c r="AK1661" s="35"/>
      <c r="AL1661" s="35"/>
      <c r="AM1661" s="35"/>
      <c r="AN1661" s="35"/>
      <c r="AO1661" s="35"/>
      <c r="AP1661" s="35"/>
    </row>
    <row r="1662" spans="1:42" ht="17.25" customHeight="1" x14ac:dyDescent="0.25">
      <c r="A1662" s="55">
        <v>2018</v>
      </c>
      <c r="B1662" s="56" t="s">
        <v>66</v>
      </c>
      <c r="C1662" s="56" t="s">
        <v>17</v>
      </c>
      <c r="D1662" s="56" t="s">
        <v>24</v>
      </c>
      <c r="E1662" s="56" t="s">
        <v>69</v>
      </c>
      <c r="F1662" s="56" t="s">
        <v>71</v>
      </c>
      <c r="G1662" s="57">
        <v>5394057673</v>
      </c>
      <c r="H1662" s="56" t="s">
        <v>68</v>
      </c>
      <c r="I1662" s="58" t="str">
        <f t="shared" si="134"/>
        <v>Russia-OTA</v>
      </c>
      <c r="J1662" s="40"/>
      <c r="K1662" s="59"/>
      <c r="L1662" s="35"/>
      <c r="M1662" s="35"/>
      <c r="N1662" s="35"/>
      <c r="O1662" s="35"/>
      <c r="P1662" s="35"/>
      <c r="Q1662" s="35"/>
      <c r="R1662" s="35"/>
      <c r="S1662" s="35"/>
      <c r="T1662" s="35"/>
      <c r="U1662" s="35"/>
      <c r="V1662" s="35"/>
      <c r="W1662" s="35"/>
      <c r="X1662" s="35"/>
      <c r="Y1662" s="35"/>
      <c r="Z1662" s="35"/>
      <c r="AA1662" s="35"/>
      <c r="AB1662" s="35"/>
      <c r="AC1662" s="35"/>
      <c r="AD1662" s="35"/>
      <c r="AE1662" s="35"/>
      <c r="AF1662" s="35"/>
      <c r="AG1662" s="35"/>
      <c r="AH1662" s="35"/>
      <c r="AI1662" s="35"/>
      <c r="AJ1662" s="35"/>
      <c r="AK1662" s="35"/>
      <c r="AL1662" s="35"/>
      <c r="AM1662" s="35"/>
      <c r="AN1662" s="35"/>
      <c r="AO1662" s="35"/>
      <c r="AP1662" s="35"/>
    </row>
    <row r="1663" spans="1:42" ht="17.25" customHeight="1" x14ac:dyDescent="0.25">
      <c r="A1663" s="60">
        <v>2018</v>
      </c>
      <c r="B1663" s="61" t="s">
        <v>66</v>
      </c>
      <c r="C1663" s="61" t="s">
        <v>41</v>
      </c>
      <c r="D1663" s="61" t="s">
        <v>44</v>
      </c>
      <c r="E1663" s="61" t="s">
        <v>67</v>
      </c>
      <c r="F1663" s="61" t="s">
        <v>67</v>
      </c>
      <c r="G1663" s="62">
        <v>9706372296</v>
      </c>
      <c r="H1663" s="61" t="s">
        <v>68</v>
      </c>
      <c r="I1663" s="63" t="str">
        <f t="shared" si="134"/>
        <v>Saudi Arabia-Offline</v>
      </c>
      <c r="J1663" s="47"/>
      <c r="K1663" s="54"/>
      <c r="L1663" s="35"/>
      <c r="M1663" s="35"/>
      <c r="N1663" s="35"/>
      <c r="O1663" s="35"/>
      <c r="P1663" s="35"/>
      <c r="Q1663" s="35"/>
      <c r="R1663" s="35"/>
      <c r="S1663" s="35"/>
      <c r="T1663" s="35"/>
      <c r="U1663" s="35"/>
      <c r="V1663" s="35"/>
      <c r="W1663" s="35"/>
      <c r="X1663" s="35"/>
      <c r="Y1663" s="35"/>
      <c r="Z1663" s="35"/>
      <c r="AA1663" s="35"/>
      <c r="AB1663" s="35"/>
      <c r="AC1663" s="35"/>
      <c r="AD1663" s="35"/>
      <c r="AE1663" s="35"/>
      <c r="AF1663" s="35"/>
      <c r="AG1663" s="35"/>
      <c r="AH1663" s="35"/>
      <c r="AI1663" s="35"/>
      <c r="AJ1663" s="35"/>
      <c r="AK1663" s="35"/>
      <c r="AL1663" s="35"/>
      <c r="AM1663" s="35"/>
      <c r="AN1663" s="35"/>
      <c r="AO1663" s="35"/>
      <c r="AP1663" s="35"/>
    </row>
    <row r="1664" spans="1:42" ht="17.25" customHeight="1" x14ac:dyDescent="0.25">
      <c r="A1664" s="55">
        <v>2018</v>
      </c>
      <c r="B1664" s="56" t="s">
        <v>66</v>
      </c>
      <c r="C1664" s="56" t="s">
        <v>41</v>
      </c>
      <c r="D1664" s="56" t="s">
        <v>44</v>
      </c>
      <c r="E1664" s="56" t="s">
        <v>69</v>
      </c>
      <c r="F1664" s="56" t="s">
        <v>70</v>
      </c>
      <c r="G1664" s="57">
        <v>2738521446</v>
      </c>
      <c r="H1664" s="56" t="s">
        <v>68</v>
      </c>
      <c r="I1664" s="58" t="str">
        <f t="shared" si="134"/>
        <v>Saudi Arabia-Online Supplier-Direct</v>
      </c>
      <c r="J1664" s="40"/>
      <c r="K1664" s="59"/>
      <c r="L1664" s="35"/>
      <c r="M1664" s="35"/>
      <c r="N1664" s="35"/>
      <c r="O1664" s="35"/>
      <c r="P1664" s="35"/>
      <c r="Q1664" s="35"/>
      <c r="R1664" s="35"/>
      <c r="S1664" s="35"/>
      <c r="T1664" s="35"/>
      <c r="U1664" s="35"/>
      <c r="V1664" s="35"/>
      <c r="W1664" s="35"/>
      <c r="X1664" s="35"/>
      <c r="Y1664" s="35"/>
      <c r="Z1664" s="35"/>
      <c r="AA1664" s="35"/>
      <c r="AB1664" s="35"/>
      <c r="AC1664" s="35"/>
      <c r="AD1664" s="35"/>
      <c r="AE1664" s="35"/>
      <c r="AF1664" s="35"/>
      <c r="AG1664" s="35"/>
      <c r="AH1664" s="35"/>
      <c r="AI1664" s="35"/>
      <c r="AJ1664" s="35"/>
      <c r="AK1664" s="35"/>
      <c r="AL1664" s="35"/>
      <c r="AM1664" s="35"/>
      <c r="AN1664" s="35"/>
      <c r="AO1664" s="35"/>
      <c r="AP1664" s="35"/>
    </row>
    <row r="1665" spans="1:42" ht="17.25" customHeight="1" x14ac:dyDescent="0.25">
      <c r="A1665" s="60">
        <v>2018</v>
      </c>
      <c r="B1665" s="61" t="s">
        <v>66</v>
      </c>
      <c r="C1665" s="61" t="s">
        <v>41</v>
      </c>
      <c r="D1665" s="61" t="s">
        <v>44</v>
      </c>
      <c r="E1665" s="61" t="s">
        <v>69</v>
      </c>
      <c r="F1665" s="61" t="s">
        <v>71</v>
      </c>
      <c r="G1665" s="62">
        <v>2133936960</v>
      </c>
      <c r="H1665" s="61" t="s">
        <v>68</v>
      </c>
      <c r="I1665" s="63" t="str">
        <f t="shared" si="134"/>
        <v>Saudi Arabia-OTA</v>
      </c>
      <c r="J1665" s="47"/>
      <c r="K1665" s="54"/>
      <c r="L1665" s="35"/>
      <c r="M1665" s="35"/>
      <c r="N1665" s="35"/>
      <c r="O1665" s="35"/>
      <c r="P1665" s="35"/>
      <c r="Q1665" s="35"/>
      <c r="R1665" s="35"/>
      <c r="S1665" s="35"/>
      <c r="T1665" s="35"/>
      <c r="U1665" s="35"/>
      <c r="V1665" s="35"/>
      <c r="W1665" s="35"/>
      <c r="X1665" s="35"/>
      <c r="Y1665" s="35"/>
      <c r="Z1665" s="35"/>
      <c r="AA1665" s="35"/>
      <c r="AB1665" s="35"/>
      <c r="AC1665" s="35"/>
      <c r="AD1665" s="35"/>
      <c r="AE1665" s="35"/>
      <c r="AF1665" s="35"/>
      <c r="AG1665" s="35"/>
      <c r="AH1665" s="35"/>
      <c r="AI1665" s="35"/>
      <c r="AJ1665" s="35"/>
      <c r="AK1665" s="35"/>
      <c r="AL1665" s="35"/>
      <c r="AM1665" s="35"/>
      <c r="AN1665" s="35"/>
      <c r="AO1665" s="35"/>
      <c r="AP1665" s="35"/>
    </row>
    <row r="1666" spans="1:42" ht="17.25" customHeight="1" x14ac:dyDescent="0.25">
      <c r="A1666" s="55">
        <v>2018</v>
      </c>
      <c r="B1666" s="56" t="s">
        <v>66</v>
      </c>
      <c r="C1666" s="56" t="s">
        <v>27</v>
      </c>
      <c r="D1666" s="56" t="s">
        <v>31</v>
      </c>
      <c r="E1666" s="56" t="s">
        <v>67</v>
      </c>
      <c r="F1666" s="56" t="s">
        <v>67</v>
      </c>
      <c r="G1666" s="57">
        <v>10020241450</v>
      </c>
      <c r="H1666" s="56" t="s">
        <v>68</v>
      </c>
      <c r="I1666" s="58" t="str">
        <f t="shared" si="134"/>
        <v>Scandinavia-Offline</v>
      </c>
      <c r="J1666" s="40"/>
      <c r="K1666" s="59"/>
      <c r="L1666" s="35"/>
      <c r="M1666" s="35"/>
      <c r="N1666" s="35"/>
      <c r="O1666" s="35"/>
      <c r="P1666" s="35"/>
      <c r="Q1666" s="35"/>
      <c r="R1666" s="35"/>
      <c r="S1666" s="35"/>
      <c r="T1666" s="35"/>
      <c r="U1666" s="35"/>
      <c r="V1666" s="35"/>
      <c r="W1666" s="35"/>
      <c r="X1666" s="35"/>
      <c r="Y1666" s="35"/>
      <c r="Z1666" s="35"/>
      <c r="AA1666" s="35"/>
      <c r="AB1666" s="35"/>
      <c r="AC1666" s="35"/>
      <c r="AD1666" s="35"/>
      <c r="AE1666" s="35"/>
      <c r="AF1666" s="35"/>
      <c r="AG1666" s="35"/>
      <c r="AH1666" s="35"/>
      <c r="AI1666" s="35"/>
      <c r="AJ1666" s="35"/>
      <c r="AK1666" s="35"/>
      <c r="AL1666" s="35"/>
      <c r="AM1666" s="35"/>
      <c r="AN1666" s="35"/>
      <c r="AO1666" s="35"/>
      <c r="AP1666" s="35"/>
    </row>
    <row r="1667" spans="1:42" ht="17.25" customHeight="1" x14ac:dyDescent="0.25">
      <c r="A1667" s="60">
        <v>2018</v>
      </c>
      <c r="B1667" s="61" t="s">
        <v>66</v>
      </c>
      <c r="C1667" s="61" t="s">
        <v>27</v>
      </c>
      <c r="D1667" s="61" t="s">
        <v>31</v>
      </c>
      <c r="E1667" s="61" t="s">
        <v>69</v>
      </c>
      <c r="F1667" s="61" t="s">
        <v>70</v>
      </c>
      <c r="G1667" s="62">
        <v>11387839253</v>
      </c>
      <c r="H1667" s="61" t="s">
        <v>68</v>
      </c>
      <c r="I1667" s="63" t="str">
        <f t="shared" si="134"/>
        <v>Scandinavia-Online Supplier-Direct</v>
      </c>
      <c r="J1667" s="47"/>
      <c r="K1667" s="54"/>
      <c r="L1667" s="35"/>
      <c r="M1667" s="35"/>
      <c r="N1667" s="35"/>
      <c r="O1667" s="35"/>
      <c r="P1667" s="35"/>
      <c r="Q1667" s="35"/>
      <c r="R1667" s="35"/>
      <c r="S1667" s="35"/>
      <c r="T1667" s="35"/>
      <c r="U1667" s="35"/>
      <c r="V1667" s="35"/>
      <c r="W1667" s="35"/>
      <c r="X1667" s="35"/>
      <c r="Y1667" s="35"/>
      <c r="Z1667" s="35"/>
      <c r="AA1667" s="35"/>
      <c r="AB1667" s="35"/>
      <c r="AC1667" s="35"/>
      <c r="AD1667" s="35"/>
      <c r="AE1667" s="35"/>
      <c r="AF1667" s="35"/>
      <c r="AG1667" s="35"/>
      <c r="AH1667" s="35"/>
      <c r="AI1667" s="35"/>
      <c r="AJ1667" s="35"/>
      <c r="AK1667" s="35"/>
      <c r="AL1667" s="35"/>
      <c r="AM1667" s="35"/>
      <c r="AN1667" s="35"/>
      <c r="AO1667" s="35"/>
      <c r="AP1667" s="35"/>
    </row>
    <row r="1668" spans="1:42" ht="17.25" customHeight="1" x14ac:dyDescent="0.25">
      <c r="A1668" s="55">
        <v>2018</v>
      </c>
      <c r="B1668" s="56" t="s">
        <v>66</v>
      </c>
      <c r="C1668" s="56" t="s">
        <v>27</v>
      </c>
      <c r="D1668" s="56" t="s">
        <v>31</v>
      </c>
      <c r="E1668" s="56" t="s">
        <v>69</v>
      </c>
      <c r="F1668" s="56" t="s">
        <v>71</v>
      </c>
      <c r="G1668" s="57">
        <v>5110933096</v>
      </c>
      <c r="H1668" s="56" t="s">
        <v>68</v>
      </c>
      <c r="I1668" s="58" t="str">
        <f t="shared" si="134"/>
        <v>Scandinavia-OTA</v>
      </c>
      <c r="J1668" s="40"/>
      <c r="K1668" s="59"/>
      <c r="L1668" s="35"/>
      <c r="M1668" s="35"/>
      <c r="N1668" s="35"/>
      <c r="O1668" s="35"/>
      <c r="P1668" s="35"/>
      <c r="Q1668" s="35"/>
      <c r="R1668" s="35"/>
      <c r="S1668" s="35"/>
      <c r="T1668" s="35"/>
      <c r="U1668" s="35"/>
      <c r="V1668" s="35"/>
      <c r="W1668" s="35"/>
      <c r="X1668" s="35"/>
      <c r="Y1668" s="35"/>
      <c r="Z1668" s="35"/>
      <c r="AA1668" s="35"/>
      <c r="AB1668" s="35"/>
      <c r="AC1668" s="35"/>
      <c r="AD1668" s="35"/>
      <c r="AE1668" s="35"/>
      <c r="AF1668" s="35"/>
      <c r="AG1668" s="35"/>
      <c r="AH1668" s="35"/>
      <c r="AI1668" s="35"/>
      <c r="AJ1668" s="35"/>
      <c r="AK1668" s="35"/>
      <c r="AL1668" s="35"/>
      <c r="AM1668" s="35"/>
      <c r="AN1668" s="35"/>
      <c r="AO1668" s="35"/>
      <c r="AP1668" s="35"/>
    </row>
    <row r="1669" spans="1:42" ht="17.25" customHeight="1" x14ac:dyDescent="0.25">
      <c r="A1669" s="60">
        <v>2018</v>
      </c>
      <c r="B1669" s="61" t="s">
        <v>66</v>
      </c>
      <c r="C1669" s="61" t="s">
        <v>4</v>
      </c>
      <c r="D1669" s="61" t="s">
        <v>12</v>
      </c>
      <c r="E1669" s="61" t="s">
        <v>67</v>
      </c>
      <c r="F1669" s="61" t="s">
        <v>67</v>
      </c>
      <c r="G1669" s="62">
        <v>7211448324</v>
      </c>
      <c r="H1669" s="61" t="s">
        <v>68</v>
      </c>
      <c r="I1669" s="63" t="str">
        <f t="shared" si="134"/>
        <v>Singapore-Offline</v>
      </c>
      <c r="J1669" s="47"/>
      <c r="K1669" s="54"/>
      <c r="L1669" s="35"/>
      <c r="M1669" s="35"/>
      <c r="N1669" s="35"/>
      <c r="O1669" s="35"/>
      <c r="P1669" s="35"/>
      <c r="Q1669" s="35"/>
      <c r="R1669" s="35"/>
      <c r="S1669" s="35"/>
      <c r="T1669" s="35"/>
      <c r="U1669" s="35"/>
      <c r="V1669" s="35"/>
      <c r="W1669" s="35"/>
      <c r="X1669" s="35"/>
      <c r="Y1669" s="35"/>
      <c r="Z1669" s="35"/>
      <c r="AA1669" s="35"/>
      <c r="AB1669" s="35"/>
      <c r="AC1669" s="35"/>
      <c r="AD1669" s="35"/>
      <c r="AE1669" s="35"/>
      <c r="AF1669" s="35"/>
      <c r="AG1669" s="35"/>
      <c r="AH1669" s="35"/>
      <c r="AI1669" s="35"/>
      <c r="AJ1669" s="35"/>
      <c r="AK1669" s="35"/>
      <c r="AL1669" s="35"/>
      <c r="AM1669" s="35"/>
      <c r="AN1669" s="35"/>
      <c r="AO1669" s="35"/>
      <c r="AP1669" s="35"/>
    </row>
    <row r="1670" spans="1:42" ht="17.25" customHeight="1" x14ac:dyDescent="0.25">
      <c r="A1670" s="55">
        <v>2018</v>
      </c>
      <c r="B1670" s="56" t="s">
        <v>66</v>
      </c>
      <c r="C1670" s="56" t="s">
        <v>4</v>
      </c>
      <c r="D1670" s="56" t="s">
        <v>12</v>
      </c>
      <c r="E1670" s="56" t="s">
        <v>69</v>
      </c>
      <c r="F1670" s="56" t="s">
        <v>70</v>
      </c>
      <c r="G1670" s="57">
        <v>3694368508</v>
      </c>
      <c r="H1670" s="56" t="s">
        <v>68</v>
      </c>
      <c r="I1670" s="58" t="str">
        <f t="shared" si="134"/>
        <v>Singapore-Online Supplier-Direct</v>
      </c>
      <c r="J1670" s="40"/>
      <c r="K1670" s="59"/>
      <c r="L1670" s="35"/>
      <c r="M1670" s="35"/>
      <c r="N1670" s="35"/>
      <c r="O1670" s="35"/>
      <c r="P1670" s="35"/>
      <c r="Q1670" s="35"/>
      <c r="R1670" s="35"/>
      <c r="S1670" s="35"/>
      <c r="T1670" s="35"/>
      <c r="U1670" s="35"/>
      <c r="V1670" s="35"/>
      <c r="W1670" s="35"/>
      <c r="X1670" s="35"/>
      <c r="Y1670" s="35"/>
      <c r="Z1670" s="35"/>
      <c r="AA1670" s="35"/>
      <c r="AB1670" s="35"/>
      <c r="AC1670" s="35"/>
      <c r="AD1670" s="35"/>
      <c r="AE1670" s="35"/>
      <c r="AF1670" s="35"/>
      <c r="AG1670" s="35"/>
      <c r="AH1670" s="35"/>
      <c r="AI1670" s="35"/>
      <c r="AJ1670" s="35"/>
      <c r="AK1670" s="35"/>
      <c r="AL1670" s="35"/>
      <c r="AM1670" s="35"/>
      <c r="AN1670" s="35"/>
      <c r="AO1670" s="35"/>
      <c r="AP1670" s="35"/>
    </row>
    <row r="1671" spans="1:42" ht="17.25" customHeight="1" x14ac:dyDescent="0.25">
      <c r="A1671" s="60">
        <v>2018</v>
      </c>
      <c r="B1671" s="61" t="s">
        <v>66</v>
      </c>
      <c r="C1671" s="61" t="s">
        <v>4</v>
      </c>
      <c r="D1671" s="61" t="s">
        <v>12</v>
      </c>
      <c r="E1671" s="61" t="s">
        <v>69</v>
      </c>
      <c r="F1671" s="61" t="s">
        <v>71</v>
      </c>
      <c r="G1671" s="62">
        <v>1550970355</v>
      </c>
      <c r="H1671" s="61" t="s">
        <v>68</v>
      </c>
      <c r="I1671" s="63" t="str">
        <f t="shared" si="134"/>
        <v>Singapore-OTA</v>
      </c>
      <c r="J1671" s="47"/>
      <c r="K1671" s="54"/>
      <c r="L1671" s="35"/>
      <c r="M1671" s="35"/>
      <c r="N1671" s="35"/>
      <c r="O1671" s="35"/>
      <c r="P1671" s="35"/>
      <c r="Q1671" s="35"/>
      <c r="R1671" s="35"/>
      <c r="S1671" s="35"/>
      <c r="T1671" s="35"/>
      <c r="U1671" s="35"/>
      <c r="V1671" s="35"/>
      <c r="W1671" s="35"/>
      <c r="X1671" s="35"/>
      <c r="Y1671" s="35"/>
      <c r="Z1671" s="35"/>
      <c r="AA1671" s="35"/>
      <c r="AB1671" s="35"/>
      <c r="AC1671" s="35"/>
      <c r="AD1671" s="35"/>
      <c r="AE1671" s="35"/>
      <c r="AF1671" s="35"/>
      <c r="AG1671" s="35"/>
      <c r="AH1671" s="35"/>
      <c r="AI1671" s="35"/>
      <c r="AJ1671" s="35"/>
      <c r="AK1671" s="35"/>
      <c r="AL1671" s="35"/>
      <c r="AM1671" s="35"/>
      <c r="AN1671" s="35"/>
      <c r="AO1671" s="35"/>
      <c r="AP1671" s="35"/>
    </row>
    <row r="1672" spans="1:42" ht="17.25" customHeight="1" x14ac:dyDescent="0.25">
      <c r="A1672" s="55">
        <v>2018</v>
      </c>
      <c r="B1672" s="56" t="s">
        <v>66</v>
      </c>
      <c r="C1672" s="56" t="s">
        <v>4</v>
      </c>
      <c r="D1672" s="56" t="s">
        <v>13</v>
      </c>
      <c r="E1672" s="56" t="s">
        <v>67</v>
      </c>
      <c r="F1672" s="56" t="s">
        <v>67</v>
      </c>
      <c r="G1672" s="57">
        <v>11772758061</v>
      </c>
      <c r="H1672" s="56" t="s">
        <v>68</v>
      </c>
      <c r="I1672" s="58" t="str">
        <f t="shared" si="134"/>
        <v>South Korea-Offline</v>
      </c>
      <c r="J1672" s="40"/>
      <c r="K1672" s="59"/>
      <c r="L1672" s="35"/>
      <c r="M1672" s="35"/>
      <c r="N1672" s="35"/>
      <c r="O1672" s="35"/>
      <c r="P1672" s="35"/>
      <c r="Q1672" s="35"/>
      <c r="R1672" s="35"/>
      <c r="S1672" s="35"/>
      <c r="T1672" s="35"/>
      <c r="U1672" s="35"/>
      <c r="V1672" s="35"/>
      <c r="W1672" s="35"/>
      <c r="X1672" s="35"/>
      <c r="Y1672" s="35"/>
      <c r="Z1672" s="35"/>
      <c r="AA1672" s="35"/>
      <c r="AB1672" s="35"/>
      <c r="AC1672" s="35"/>
      <c r="AD1672" s="35"/>
      <c r="AE1672" s="35"/>
      <c r="AF1672" s="35"/>
      <c r="AG1672" s="35"/>
      <c r="AH1672" s="35"/>
      <c r="AI1672" s="35"/>
      <c r="AJ1672" s="35"/>
      <c r="AK1672" s="35"/>
      <c r="AL1672" s="35"/>
      <c r="AM1672" s="35"/>
      <c r="AN1672" s="35"/>
      <c r="AO1672" s="35"/>
      <c r="AP1672" s="35"/>
    </row>
    <row r="1673" spans="1:42" ht="17.25" customHeight="1" x14ac:dyDescent="0.25">
      <c r="A1673" s="60">
        <v>2018</v>
      </c>
      <c r="B1673" s="61" t="s">
        <v>66</v>
      </c>
      <c r="C1673" s="61" t="s">
        <v>4</v>
      </c>
      <c r="D1673" s="61" t="s">
        <v>13</v>
      </c>
      <c r="E1673" s="61" t="s">
        <v>69</v>
      </c>
      <c r="F1673" s="61" t="s">
        <v>70</v>
      </c>
      <c r="G1673" s="62">
        <v>5834398672</v>
      </c>
      <c r="H1673" s="61" t="s">
        <v>68</v>
      </c>
      <c r="I1673" s="63" t="str">
        <f t="shared" si="134"/>
        <v>South Korea-Online Supplier-Direct</v>
      </c>
      <c r="J1673" s="47"/>
      <c r="K1673" s="54"/>
      <c r="L1673" s="35"/>
      <c r="M1673" s="35"/>
      <c r="N1673" s="35"/>
      <c r="O1673" s="35"/>
      <c r="P1673" s="35"/>
      <c r="Q1673" s="35"/>
      <c r="R1673" s="35"/>
      <c r="S1673" s="35"/>
      <c r="T1673" s="35"/>
      <c r="U1673" s="35"/>
      <c r="V1673" s="35"/>
      <c r="W1673" s="35"/>
      <c r="X1673" s="35"/>
      <c r="Y1673" s="35"/>
      <c r="Z1673" s="35"/>
      <c r="AA1673" s="35"/>
      <c r="AB1673" s="35"/>
      <c r="AC1673" s="35"/>
      <c r="AD1673" s="35"/>
      <c r="AE1673" s="35"/>
      <c r="AF1673" s="35"/>
      <c r="AG1673" s="35"/>
      <c r="AH1673" s="35"/>
      <c r="AI1673" s="35"/>
      <c r="AJ1673" s="35"/>
      <c r="AK1673" s="35"/>
      <c r="AL1673" s="35"/>
      <c r="AM1673" s="35"/>
      <c r="AN1673" s="35"/>
      <c r="AO1673" s="35"/>
      <c r="AP1673" s="35"/>
    </row>
    <row r="1674" spans="1:42" ht="17.25" customHeight="1" x14ac:dyDescent="0.25">
      <c r="A1674" s="55">
        <v>2018</v>
      </c>
      <c r="B1674" s="56" t="s">
        <v>66</v>
      </c>
      <c r="C1674" s="56" t="s">
        <v>4</v>
      </c>
      <c r="D1674" s="56" t="s">
        <v>13</v>
      </c>
      <c r="E1674" s="56" t="s">
        <v>69</v>
      </c>
      <c r="F1674" s="56" t="s">
        <v>71</v>
      </c>
      <c r="G1674" s="57">
        <v>2481734608</v>
      </c>
      <c r="H1674" s="56" t="s">
        <v>68</v>
      </c>
      <c r="I1674" s="58" t="str">
        <f t="shared" si="134"/>
        <v>South Korea-OTA</v>
      </c>
      <c r="J1674" s="40"/>
      <c r="K1674" s="59"/>
      <c r="L1674" s="35"/>
      <c r="M1674" s="35"/>
      <c r="N1674" s="35"/>
      <c r="O1674" s="35"/>
      <c r="P1674" s="35"/>
      <c r="Q1674" s="35"/>
      <c r="R1674" s="35"/>
      <c r="S1674" s="35"/>
      <c r="T1674" s="35"/>
      <c r="U1674" s="35"/>
      <c r="V1674" s="35"/>
      <c r="W1674" s="35"/>
      <c r="X1674" s="35"/>
      <c r="Y1674" s="35"/>
      <c r="Z1674" s="35"/>
      <c r="AA1674" s="35"/>
      <c r="AB1674" s="35"/>
      <c r="AC1674" s="35"/>
      <c r="AD1674" s="35"/>
      <c r="AE1674" s="35"/>
      <c r="AF1674" s="35"/>
      <c r="AG1674" s="35"/>
      <c r="AH1674" s="35"/>
      <c r="AI1674" s="35"/>
      <c r="AJ1674" s="35"/>
      <c r="AK1674" s="35"/>
      <c r="AL1674" s="35"/>
      <c r="AM1674" s="35"/>
      <c r="AN1674" s="35"/>
      <c r="AO1674" s="35"/>
      <c r="AP1674" s="35"/>
    </row>
    <row r="1675" spans="1:42" ht="17.25" customHeight="1" x14ac:dyDescent="0.25">
      <c r="A1675" s="60">
        <v>2018</v>
      </c>
      <c r="B1675" s="61" t="s">
        <v>66</v>
      </c>
      <c r="C1675" s="61" t="s">
        <v>27</v>
      </c>
      <c r="D1675" s="61" t="s">
        <v>32</v>
      </c>
      <c r="E1675" s="61" t="s">
        <v>67</v>
      </c>
      <c r="F1675" s="61" t="s">
        <v>67</v>
      </c>
      <c r="G1675" s="62">
        <v>18382349370</v>
      </c>
      <c r="H1675" s="61" t="s">
        <v>68</v>
      </c>
      <c r="I1675" s="63" t="str">
        <f t="shared" si="134"/>
        <v>Spain-Offline</v>
      </c>
      <c r="J1675" s="47"/>
      <c r="K1675" s="54"/>
      <c r="L1675" s="35"/>
      <c r="M1675" s="35"/>
      <c r="N1675" s="35"/>
      <c r="O1675" s="35"/>
      <c r="P1675" s="35"/>
      <c r="Q1675" s="35"/>
      <c r="R1675" s="35"/>
      <c r="S1675" s="35"/>
      <c r="T1675" s="35"/>
      <c r="U1675" s="35"/>
      <c r="V1675" s="35"/>
      <c r="W1675" s="35"/>
      <c r="X1675" s="35"/>
      <c r="Y1675" s="35"/>
      <c r="Z1675" s="35"/>
      <c r="AA1675" s="35"/>
      <c r="AB1675" s="35"/>
      <c r="AC1675" s="35"/>
      <c r="AD1675" s="35"/>
      <c r="AE1675" s="35"/>
      <c r="AF1675" s="35"/>
      <c r="AG1675" s="35"/>
      <c r="AH1675" s="35"/>
      <c r="AI1675" s="35"/>
      <c r="AJ1675" s="35"/>
      <c r="AK1675" s="35"/>
      <c r="AL1675" s="35"/>
      <c r="AM1675" s="35"/>
      <c r="AN1675" s="35"/>
      <c r="AO1675" s="35"/>
      <c r="AP1675" s="35"/>
    </row>
    <row r="1676" spans="1:42" ht="17.25" customHeight="1" x14ac:dyDescent="0.25">
      <c r="A1676" s="55">
        <v>2018</v>
      </c>
      <c r="B1676" s="56" t="s">
        <v>66</v>
      </c>
      <c r="C1676" s="56" t="s">
        <v>27</v>
      </c>
      <c r="D1676" s="56" t="s">
        <v>32</v>
      </c>
      <c r="E1676" s="56" t="s">
        <v>69</v>
      </c>
      <c r="F1676" s="56" t="s">
        <v>70</v>
      </c>
      <c r="G1676" s="57">
        <v>7281819832</v>
      </c>
      <c r="H1676" s="56" t="s">
        <v>68</v>
      </c>
      <c r="I1676" s="58" t="str">
        <f t="shared" si="134"/>
        <v>Spain-Online Supplier-Direct</v>
      </c>
      <c r="J1676" s="40"/>
      <c r="K1676" s="59"/>
      <c r="L1676" s="35"/>
      <c r="M1676" s="35"/>
      <c r="N1676" s="35"/>
      <c r="O1676" s="35"/>
      <c r="P1676" s="35"/>
      <c r="Q1676" s="35"/>
      <c r="R1676" s="35"/>
      <c r="S1676" s="35"/>
      <c r="T1676" s="35"/>
      <c r="U1676" s="35"/>
      <c r="V1676" s="35"/>
      <c r="W1676" s="35"/>
      <c r="X1676" s="35"/>
      <c r="Y1676" s="35"/>
      <c r="Z1676" s="35"/>
      <c r="AA1676" s="35"/>
      <c r="AB1676" s="35"/>
      <c r="AC1676" s="35"/>
      <c r="AD1676" s="35"/>
      <c r="AE1676" s="35"/>
      <c r="AF1676" s="35"/>
      <c r="AG1676" s="35"/>
      <c r="AH1676" s="35"/>
      <c r="AI1676" s="35"/>
      <c r="AJ1676" s="35"/>
      <c r="AK1676" s="35"/>
      <c r="AL1676" s="35"/>
      <c r="AM1676" s="35"/>
      <c r="AN1676" s="35"/>
      <c r="AO1676" s="35"/>
      <c r="AP1676" s="35"/>
    </row>
    <row r="1677" spans="1:42" ht="17.25" customHeight="1" x14ac:dyDescent="0.25">
      <c r="A1677" s="60">
        <v>2018</v>
      </c>
      <c r="B1677" s="61" t="s">
        <v>66</v>
      </c>
      <c r="C1677" s="61" t="s">
        <v>27</v>
      </c>
      <c r="D1677" s="61" t="s">
        <v>32</v>
      </c>
      <c r="E1677" s="61" t="s">
        <v>69</v>
      </c>
      <c r="F1677" s="61" t="s">
        <v>71</v>
      </c>
      <c r="G1677" s="62">
        <v>7360039831</v>
      </c>
      <c r="H1677" s="61" t="s">
        <v>68</v>
      </c>
      <c r="I1677" s="63" t="str">
        <f t="shared" si="134"/>
        <v>Spain-OTA</v>
      </c>
      <c r="J1677" s="47"/>
      <c r="K1677" s="54"/>
      <c r="L1677" s="35"/>
      <c r="M1677" s="35"/>
      <c r="N1677" s="35"/>
      <c r="O1677" s="35"/>
      <c r="P1677" s="35"/>
      <c r="Q1677" s="35"/>
      <c r="R1677" s="35"/>
      <c r="S1677" s="35"/>
      <c r="T1677" s="35"/>
      <c r="U1677" s="35"/>
      <c r="V1677" s="35"/>
      <c r="W1677" s="35"/>
      <c r="X1677" s="35"/>
      <c r="Y1677" s="35"/>
      <c r="Z1677" s="35"/>
      <c r="AA1677" s="35"/>
      <c r="AB1677" s="35"/>
      <c r="AC1677" s="35"/>
      <c r="AD1677" s="35"/>
      <c r="AE1677" s="35"/>
      <c r="AF1677" s="35"/>
      <c r="AG1677" s="35"/>
      <c r="AH1677" s="35"/>
      <c r="AI1677" s="35"/>
      <c r="AJ1677" s="35"/>
      <c r="AK1677" s="35"/>
      <c r="AL1677" s="35"/>
      <c r="AM1677" s="35"/>
      <c r="AN1677" s="35"/>
      <c r="AO1677" s="35"/>
      <c r="AP1677" s="35"/>
    </row>
    <row r="1678" spans="1:42" ht="17.25" customHeight="1" x14ac:dyDescent="0.25">
      <c r="A1678" s="55">
        <v>2018</v>
      </c>
      <c r="B1678" s="56" t="s">
        <v>66</v>
      </c>
      <c r="C1678" s="56" t="s">
        <v>4</v>
      </c>
      <c r="D1678" s="56" t="s">
        <v>14</v>
      </c>
      <c r="E1678" s="56" t="s">
        <v>67</v>
      </c>
      <c r="F1678" s="56" t="s">
        <v>67</v>
      </c>
      <c r="G1678" s="57">
        <v>8417785173</v>
      </c>
      <c r="H1678" s="56" t="s">
        <v>68</v>
      </c>
      <c r="I1678" s="58" t="str">
        <f t="shared" si="134"/>
        <v>Taiwan-Offline</v>
      </c>
      <c r="J1678" s="40"/>
      <c r="K1678" s="59"/>
      <c r="L1678" s="35"/>
      <c r="M1678" s="35"/>
      <c r="N1678" s="35"/>
      <c r="O1678" s="35"/>
      <c r="P1678" s="35"/>
      <c r="Q1678" s="35"/>
      <c r="R1678" s="35"/>
      <c r="S1678" s="35"/>
      <c r="T1678" s="35"/>
      <c r="U1678" s="35"/>
      <c r="V1678" s="35"/>
      <c r="W1678" s="35"/>
      <c r="X1678" s="35"/>
      <c r="Y1678" s="35"/>
      <c r="Z1678" s="35"/>
      <c r="AA1678" s="35"/>
      <c r="AB1678" s="35"/>
      <c r="AC1678" s="35"/>
      <c r="AD1678" s="35"/>
      <c r="AE1678" s="35"/>
      <c r="AF1678" s="35"/>
      <c r="AG1678" s="35"/>
      <c r="AH1678" s="35"/>
      <c r="AI1678" s="35"/>
      <c r="AJ1678" s="35"/>
      <c r="AK1678" s="35"/>
      <c r="AL1678" s="35"/>
      <c r="AM1678" s="35"/>
      <c r="AN1678" s="35"/>
      <c r="AO1678" s="35"/>
      <c r="AP1678" s="35"/>
    </row>
    <row r="1679" spans="1:42" ht="17.25" customHeight="1" x14ac:dyDescent="0.25">
      <c r="A1679" s="60">
        <v>2018</v>
      </c>
      <c r="B1679" s="61" t="s">
        <v>66</v>
      </c>
      <c r="C1679" s="61" t="s">
        <v>4</v>
      </c>
      <c r="D1679" s="61" t="s">
        <v>14</v>
      </c>
      <c r="E1679" s="61" t="s">
        <v>69</v>
      </c>
      <c r="F1679" s="61" t="s">
        <v>70</v>
      </c>
      <c r="G1679" s="62">
        <v>2184042653</v>
      </c>
      <c r="H1679" s="61" t="s">
        <v>68</v>
      </c>
      <c r="I1679" s="63" t="str">
        <f t="shared" si="134"/>
        <v>Taiwan-Online Supplier-Direct</v>
      </c>
      <c r="J1679" s="47"/>
      <c r="K1679" s="54"/>
      <c r="L1679" s="35"/>
      <c r="M1679" s="35"/>
      <c r="N1679" s="35"/>
      <c r="O1679" s="35"/>
      <c r="P1679" s="35"/>
      <c r="Q1679" s="35"/>
      <c r="R1679" s="35"/>
      <c r="S1679" s="35"/>
      <c r="T1679" s="35"/>
      <c r="U1679" s="35"/>
      <c r="V1679" s="35"/>
      <c r="W1679" s="35"/>
      <c r="X1679" s="35"/>
      <c r="Y1679" s="35"/>
      <c r="Z1679" s="35"/>
      <c r="AA1679" s="35"/>
      <c r="AB1679" s="35"/>
      <c r="AC1679" s="35"/>
      <c r="AD1679" s="35"/>
      <c r="AE1679" s="35"/>
      <c r="AF1679" s="35"/>
      <c r="AG1679" s="35"/>
      <c r="AH1679" s="35"/>
      <c r="AI1679" s="35"/>
      <c r="AJ1679" s="35"/>
      <c r="AK1679" s="35"/>
      <c r="AL1679" s="35"/>
      <c r="AM1679" s="35"/>
      <c r="AN1679" s="35"/>
      <c r="AO1679" s="35"/>
      <c r="AP1679" s="35"/>
    </row>
    <row r="1680" spans="1:42" ht="17.25" customHeight="1" x14ac:dyDescent="0.25">
      <c r="A1680" s="55">
        <v>2018</v>
      </c>
      <c r="B1680" s="56" t="s">
        <v>66</v>
      </c>
      <c r="C1680" s="56" t="s">
        <v>4</v>
      </c>
      <c r="D1680" s="56" t="s">
        <v>14</v>
      </c>
      <c r="E1680" s="56" t="s">
        <v>69</v>
      </c>
      <c r="F1680" s="56" t="s">
        <v>71</v>
      </c>
      <c r="G1680" s="57">
        <v>970080186</v>
      </c>
      <c r="H1680" s="56" t="s">
        <v>68</v>
      </c>
      <c r="I1680" s="58" t="str">
        <f t="shared" si="134"/>
        <v>Taiwan-OTA</v>
      </c>
      <c r="J1680" s="40"/>
      <c r="K1680" s="59"/>
      <c r="L1680" s="35"/>
      <c r="M1680" s="35"/>
      <c r="N1680" s="35"/>
      <c r="O1680" s="35"/>
      <c r="P1680" s="35"/>
      <c r="Q1680" s="35"/>
      <c r="R1680" s="35"/>
      <c r="S1680" s="35"/>
      <c r="T1680" s="35"/>
      <c r="U1680" s="35"/>
      <c r="V1680" s="35"/>
      <c r="W1680" s="35"/>
      <c r="X1680" s="35"/>
      <c r="Y1680" s="35"/>
      <c r="Z1680" s="35"/>
      <c r="AA1680" s="35"/>
      <c r="AB1680" s="35"/>
      <c r="AC1680" s="35"/>
      <c r="AD1680" s="35"/>
      <c r="AE1680" s="35"/>
      <c r="AF1680" s="35"/>
      <c r="AG1680" s="35"/>
      <c r="AH1680" s="35"/>
      <c r="AI1680" s="35"/>
      <c r="AJ1680" s="35"/>
      <c r="AK1680" s="35"/>
      <c r="AL1680" s="35"/>
      <c r="AM1680" s="35"/>
      <c r="AN1680" s="35"/>
      <c r="AO1680" s="35"/>
      <c r="AP1680" s="35"/>
    </row>
    <row r="1681" spans="1:42" ht="17.25" customHeight="1" x14ac:dyDescent="0.25">
      <c r="A1681" s="60">
        <v>2018</v>
      </c>
      <c r="B1681" s="61" t="s">
        <v>66</v>
      </c>
      <c r="C1681" s="61" t="s">
        <v>4</v>
      </c>
      <c r="D1681" s="61" t="s">
        <v>15</v>
      </c>
      <c r="E1681" s="61" t="s">
        <v>67</v>
      </c>
      <c r="F1681" s="61" t="s">
        <v>67</v>
      </c>
      <c r="G1681" s="62">
        <v>11002301518</v>
      </c>
      <c r="H1681" s="61" t="s">
        <v>68</v>
      </c>
      <c r="I1681" s="63" t="str">
        <f t="shared" si="134"/>
        <v>Thailand-Offline</v>
      </c>
      <c r="J1681" s="47"/>
      <c r="K1681" s="54"/>
      <c r="L1681" s="35"/>
      <c r="M1681" s="35"/>
      <c r="N1681" s="35"/>
      <c r="O1681" s="35"/>
      <c r="P1681" s="35"/>
      <c r="Q1681" s="35"/>
      <c r="R1681" s="35"/>
      <c r="S1681" s="35"/>
      <c r="T1681" s="35"/>
      <c r="U1681" s="35"/>
      <c r="V1681" s="35"/>
      <c r="W1681" s="35"/>
      <c r="X1681" s="35"/>
      <c r="Y1681" s="35"/>
      <c r="Z1681" s="35"/>
      <c r="AA1681" s="35"/>
      <c r="AB1681" s="35"/>
      <c r="AC1681" s="35"/>
      <c r="AD1681" s="35"/>
      <c r="AE1681" s="35"/>
      <c r="AF1681" s="35"/>
      <c r="AG1681" s="35"/>
      <c r="AH1681" s="35"/>
      <c r="AI1681" s="35"/>
      <c r="AJ1681" s="35"/>
      <c r="AK1681" s="35"/>
      <c r="AL1681" s="35"/>
      <c r="AM1681" s="35"/>
      <c r="AN1681" s="35"/>
      <c r="AO1681" s="35"/>
      <c r="AP1681" s="35"/>
    </row>
    <row r="1682" spans="1:42" ht="17.25" customHeight="1" x14ac:dyDescent="0.25">
      <c r="A1682" s="55">
        <v>2018</v>
      </c>
      <c r="B1682" s="56" t="s">
        <v>66</v>
      </c>
      <c r="C1682" s="56" t="s">
        <v>4</v>
      </c>
      <c r="D1682" s="56" t="s">
        <v>15</v>
      </c>
      <c r="E1682" s="56" t="s">
        <v>69</v>
      </c>
      <c r="F1682" s="56" t="s">
        <v>70</v>
      </c>
      <c r="G1682" s="57">
        <v>2416173069</v>
      </c>
      <c r="H1682" s="56" t="s">
        <v>68</v>
      </c>
      <c r="I1682" s="58" t="str">
        <f t="shared" si="134"/>
        <v>Thailand-Online Supplier-Direct</v>
      </c>
      <c r="J1682" s="40"/>
      <c r="K1682" s="59"/>
      <c r="L1682" s="35"/>
      <c r="M1682" s="35"/>
      <c r="N1682" s="35"/>
      <c r="O1682" s="35"/>
      <c r="P1682" s="35"/>
      <c r="Q1682" s="35"/>
      <c r="R1682" s="35"/>
      <c r="S1682" s="35"/>
      <c r="T1682" s="35"/>
      <c r="U1682" s="35"/>
      <c r="V1682" s="35"/>
      <c r="W1682" s="35"/>
      <c r="X1682" s="35"/>
      <c r="Y1682" s="35"/>
      <c r="Z1682" s="35"/>
      <c r="AA1682" s="35"/>
      <c r="AB1682" s="35"/>
      <c r="AC1682" s="35"/>
      <c r="AD1682" s="35"/>
      <c r="AE1682" s="35"/>
      <c r="AF1682" s="35"/>
      <c r="AG1682" s="35"/>
      <c r="AH1682" s="35"/>
      <c r="AI1682" s="35"/>
      <c r="AJ1682" s="35"/>
      <c r="AK1682" s="35"/>
      <c r="AL1682" s="35"/>
      <c r="AM1682" s="35"/>
      <c r="AN1682" s="35"/>
      <c r="AO1682" s="35"/>
      <c r="AP1682" s="35"/>
    </row>
    <row r="1683" spans="1:42" ht="17.25" customHeight="1" x14ac:dyDescent="0.25">
      <c r="A1683" s="60">
        <v>2018</v>
      </c>
      <c r="B1683" s="61" t="s">
        <v>66</v>
      </c>
      <c r="C1683" s="61" t="s">
        <v>4</v>
      </c>
      <c r="D1683" s="61" t="s">
        <v>15</v>
      </c>
      <c r="E1683" s="61" t="s">
        <v>69</v>
      </c>
      <c r="F1683" s="61" t="s">
        <v>71</v>
      </c>
      <c r="G1683" s="62">
        <v>3590721372</v>
      </c>
      <c r="H1683" s="61" t="s">
        <v>68</v>
      </c>
      <c r="I1683" s="63" t="str">
        <f t="shared" si="134"/>
        <v>Thailand-OTA</v>
      </c>
      <c r="J1683" s="47"/>
      <c r="K1683" s="54"/>
      <c r="L1683" s="35"/>
      <c r="M1683" s="35"/>
      <c r="N1683" s="35"/>
      <c r="O1683" s="35"/>
      <c r="P1683" s="35"/>
      <c r="Q1683" s="35"/>
      <c r="R1683" s="35"/>
      <c r="S1683" s="35"/>
      <c r="T1683" s="35"/>
      <c r="U1683" s="35"/>
      <c r="V1683" s="35"/>
      <c r="W1683" s="35"/>
      <c r="X1683" s="35"/>
      <c r="Y1683" s="35"/>
      <c r="Z1683" s="35"/>
      <c r="AA1683" s="35"/>
      <c r="AB1683" s="35"/>
      <c r="AC1683" s="35"/>
      <c r="AD1683" s="35"/>
      <c r="AE1683" s="35"/>
      <c r="AF1683" s="35"/>
      <c r="AG1683" s="35"/>
      <c r="AH1683" s="35"/>
      <c r="AI1683" s="35"/>
      <c r="AJ1683" s="35"/>
      <c r="AK1683" s="35"/>
      <c r="AL1683" s="35"/>
      <c r="AM1683" s="35"/>
      <c r="AN1683" s="35"/>
      <c r="AO1683" s="35"/>
      <c r="AP1683" s="35"/>
    </row>
    <row r="1684" spans="1:42" ht="17.25" customHeight="1" x14ac:dyDescent="0.25">
      <c r="A1684" s="55">
        <v>2018</v>
      </c>
      <c r="B1684" s="56" t="s">
        <v>66</v>
      </c>
      <c r="C1684" s="56" t="s">
        <v>41</v>
      </c>
      <c r="D1684" s="56" t="s">
        <v>45</v>
      </c>
      <c r="E1684" s="56" t="s">
        <v>67</v>
      </c>
      <c r="F1684" s="56" t="s">
        <v>67</v>
      </c>
      <c r="G1684" s="57">
        <v>24631176107</v>
      </c>
      <c r="H1684" s="56" t="s">
        <v>68</v>
      </c>
      <c r="I1684" s="58" t="str">
        <f t="shared" si="134"/>
        <v>U.A.E.-Offline</v>
      </c>
      <c r="J1684" s="40"/>
      <c r="K1684" s="59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  <c r="Z1684" s="35"/>
      <c r="AA1684" s="35"/>
      <c r="AB1684" s="35"/>
      <c r="AC1684" s="35"/>
      <c r="AD1684" s="35"/>
      <c r="AE1684" s="35"/>
      <c r="AF1684" s="35"/>
      <c r="AG1684" s="35"/>
      <c r="AH1684" s="35"/>
      <c r="AI1684" s="35"/>
      <c r="AJ1684" s="35"/>
      <c r="AK1684" s="35"/>
      <c r="AL1684" s="35"/>
      <c r="AM1684" s="35"/>
      <c r="AN1684" s="35"/>
      <c r="AO1684" s="35"/>
      <c r="AP1684" s="35"/>
    </row>
    <row r="1685" spans="1:42" ht="17.25" customHeight="1" x14ac:dyDescent="0.25">
      <c r="A1685" s="60">
        <v>2018</v>
      </c>
      <c r="B1685" s="61" t="s">
        <v>66</v>
      </c>
      <c r="C1685" s="61" t="s">
        <v>41</v>
      </c>
      <c r="D1685" s="61" t="s">
        <v>45</v>
      </c>
      <c r="E1685" s="61" t="s">
        <v>69</v>
      </c>
      <c r="F1685" s="61" t="s">
        <v>70</v>
      </c>
      <c r="G1685" s="62">
        <v>9139142044</v>
      </c>
      <c r="H1685" s="61" t="s">
        <v>68</v>
      </c>
      <c r="I1685" s="63" t="str">
        <f t="shared" si="134"/>
        <v>U.A.E.-Online Supplier-Direct</v>
      </c>
      <c r="J1685" s="47"/>
      <c r="K1685" s="54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  <c r="Z1685" s="35"/>
      <c r="AA1685" s="35"/>
      <c r="AB1685" s="35"/>
      <c r="AC1685" s="35"/>
      <c r="AD1685" s="35"/>
      <c r="AE1685" s="35"/>
      <c r="AF1685" s="35"/>
      <c r="AG1685" s="35"/>
      <c r="AH1685" s="35"/>
      <c r="AI1685" s="35"/>
      <c r="AJ1685" s="35"/>
      <c r="AK1685" s="35"/>
      <c r="AL1685" s="35"/>
      <c r="AM1685" s="35"/>
      <c r="AN1685" s="35"/>
      <c r="AO1685" s="35"/>
      <c r="AP1685" s="35"/>
    </row>
    <row r="1686" spans="1:42" ht="17.25" customHeight="1" x14ac:dyDescent="0.25">
      <c r="A1686" s="55">
        <v>2018</v>
      </c>
      <c r="B1686" s="56" t="s">
        <v>66</v>
      </c>
      <c r="C1686" s="56" t="s">
        <v>41</v>
      </c>
      <c r="D1686" s="56" t="s">
        <v>45</v>
      </c>
      <c r="E1686" s="56" t="s">
        <v>69</v>
      </c>
      <c r="F1686" s="56" t="s">
        <v>71</v>
      </c>
      <c r="G1686" s="57">
        <v>4744170829</v>
      </c>
      <c r="H1686" s="56" t="s">
        <v>68</v>
      </c>
      <c r="I1686" s="58" t="str">
        <f t="shared" si="134"/>
        <v>U.A.E.-OTA</v>
      </c>
      <c r="J1686" s="40"/>
      <c r="K1686" s="59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  <c r="Z1686" s="35"/>
      <c r="AA1686" s="35"/>
      <c r="AB1686" s="35"/>
      <c r="AC1686" s="35"/>
      <c r="AD1686" s="35"/>
      <c r="AE1686" s="35"/>
      <c r="AF1686" s="35"/>
      <c r="AG1686" s="35"/>
      <c r="AH1686" s="35"/>
      <c r="AI1686" s="35"/>
      <c r="AJ1686" s="35"/>
      <c r="AK1686" s="35"/>
      <c r="AL1686" s="35"/>
      <c r="AM1686" s="35"/>
      <c r="AN1686" s="35"/>
      <c r="AO1686" s="35"/>
      <c r="AP1686" s="35"/>
    </row>
    <row r="1687" spans="1:42" ht="17.25" customHeight="1" x14ac:dyDescent="0.25">
      <c r="A1687" s="60">
        <v>2018</v>
      </c>
      <c r="B1687" s="61" t="s">
        <v>66</v>
      </c>
      <c r="C1687" s="61" t="s">
        <v>27</v>
      </c>
      <c r="D1687" s="61" t="s">
        <v>33</v>
      </c>
      <c r="E1687" s="61" t="s">
        <v>67</v>
      </c>
      <c r="F1687" s="61" t="s">
        <v>67</v>
      </c>
      <c r="G1687" s="62">
        <v>21779212344</v>
      </c>
      <c r="H1687" s="61" t="s">
        <v>68</v>
      </c>
      <c r="I1687" s="63" t="str">
        <f t="shared" si="134"/>
        <v>U.K.-Offline</v>
      </c>
      <c r="J1687" s="47"/>
      <c r="K1687" s="54"/>
      <c r="L1687" s="35"/>
      <c r="M1687" s="35"/>
      <c r="N1687" s="35"/>
      <c r="O1687" s="35"/>
      <c r="P1687" s="35"/>
      <c r="Q1687" s="35"/>
      <c r="R1687" s="35"/>
      <c r="S1687" s="35"/>
      <c r="T1687" s="35"/>
      <c r="U1687" s="35"/>
      <c r="V1687" s="35"/>
      <c r="W1687" s="35"/>
      <c r="X1687" s="35"/>
      <c r="Y1687" s="35"/>
      <c r="Z1687" s="35"/>
      <c r="AA1687" s="35"/>
      <c r="AB1687" s="35"/>
      <c r="AC1687" s="35"/>
      <c r="AD1687" s="35"/>
      <c r="AE1687" s="35"/>
      <c r="AF1687" s="35"/>
      <c r="AG1687" s="35"/>
      <c r="AH1687" s="35"/>
      <c r="AI1687" s="35"/>
      <c r="AJ1687" s="35"/>
      <c r="AK1687" s="35"/>
      <c r="AL1687" s="35"/>
      <c r="AM1687" s="35"/>
      <c r="AN1687" s="35"/>
      <c r="AO1687" s="35"/>
      <c r="AP1687" s="35"/>
    </row>
    <row r="1688" spans="1:42" ht="17.25" customHeight="1" x14ac:dyDescent="0.25">
      <c r="A1688" s="55">
        <v>2018</v>
      </c>
      <c r="B1688" s="56" t="s">
        <v>66</v>
      </c>
      <c r="C1688" s="56" t="s">
        <v>27</v>
      </c>
      <c r="D1688" s="56" t="s">
        <v>33</v>
      </c>
      <c r="E1688" s="56" t="s">
        <v>69</v>
      </c>
      <c r="F1688" s="56" t="s">
        <v>70</v>
      </c>
      <c r="G1688" s="57">
        <v>32829812389</v>
      </c>
      <c r="H1688" s="56" t="s">
        <v>68</v>
      </c>
      <c r="I1688" s="58" t="str">
        <f t="shared" si="134"/>
        <v>U.K.-Online Supplier-Direct</v>
      </c>
      <c r="J1688" s="40"/>
      <c r="K1688" s="59"/>
      <c r="L1688" s="35"/>
      <c r="M1688" s="35"/>
      <c r="N1688" s="35"/>
      <c r="O1688" s="35"/>
      <c r="P1688" s="35"/>
      <c r="Q1688" s="35"/>
      <c r="R1688" s="35"/>
      <c r="S1688" s="35"/>
      <c r="T1688" s="35"/>
      <c r="U1688" s="35"/>
      <c r="V1688" s="35"/>
      <c r="W1688" s="35"/>
      <c r="X1688" s="35"/>
      <c r="Y1688" s="35"/>
      <c r="Z1688" s="35"/>
      <c r="AA1688" s="35"/>
      <c r="AB1688" s="35"/>
      <c r="AC1688" s="35"/>
      <c r="AD1688" s="35"/>
      <c r="AE1688" s="35"/>
      <c r="AF1688" s="35"/>
      <c r="AG1688" s="35"/>
      <c r="AH1688" s="35"/>
      <c r="AI1688" s="35"/>
      <c r="AJ1688" s="35"/>
      <c r="AK1688" s="35"/>
      <c r="AL1688" s="35"/>
      <c r="AM1688" s="35"/>
      <c r="AN1688" s="35"/>
      <c r="AO1688" s="35"/>
      <c r="AP1688" s="35"/>
    </row>
    <row r="1689" spans="1:42" ht="17.25" customHeight="1" x14ac:dyDescent="0.25">
      <c r="A1689" s="60">
        <v>2018</v>
      </c>
      <c r="B1689" s="61" t="s">
        <v>66</v>
      </c>
      <c r="C1689" s="61" t="s">
        <v>27</v>
      </c>
      <c r="D1689" s="61" t="s">
        <v>33</v>
      </c>
      <c r="E1689" s="61" t="s">
        <v>69</v>
      </c>
      <c r="F1689" s="61" t="s">
        <v>71</v>
      </c>
      <c r="G1689" s="62">
        <v>11297524379</v>
      </c>
      <c r="H1689" s="61" t="s">
        <v>68</v>
      </c>
      <c r="I1689" s="63" t="str">
        <f t="shared" si="134"/>
        <v>U.K.-OTA</v>
      </c>
      <c r="J1689" s="47"/>
      <c r="K1689" s="54"/>
      <c r="L1689" s="35"/>
      <c r="M1689" s="35"/>
      <c r="N1689" s="35"/>
      <c r="O1689" s="35"/>
      <c r="P1689" s="35"/>
      <c r="Q1689" s="35"/>
      <c r="R1689" s="35"/>
      <c r="S1689" s="35"/>
      <c r="T1689" s="35"/>
      <c r="U1689" s="35"/>
      <c r="V1689" s="35"/>
      <c r="W1689" s="35"/>
      <c r="X1689" s="35"/>
      <c r="Y1689" s="35"/>
      <c r="Z1689" s="35"/>
      <c r="AA1689" s="35"/>
      <c r="AB1689" s="35"/>
      <c r="AC1689" s="35"/>
      <c r="AD1689" s="35"/>
      <c r="AE1689" s="35"/>
      <c r="AF1689" s="35"/>
      <c r="AG1689" s="35"/>
      <c r="AH1689" s="35"/>
      <c r="AI1689" s="35"/>
      <c r="AJ1689" s="35"/>
      <c r="AK1689" s="35"/>
      <c r="AL1689" s="35"/>
      <c r="AM1689" s="35"/>
      <c r="AN1689" s="35"/>
      <c r="AO1689" s="35"/>
      <c r="AP1689" s="35"/>
    </row>
    <row r="1690" spans="1:42" ht="17.25" customHeight="1" x14ac:dyDescent="0.25">
      <c r="A1690" s="55">
        <v>2018</v>
      </c>
      <c r="B1690" s="56" t="s">
        <v>66</v>
      </c>
      <c r="C1690" s="56" t="s">
        <v>47</v>
      </c>
      <c r="D1690" s="56" t="s">
        <v>48</v>
      </c>
      <c r="E1690" s="56" t="s">
        <v>72</v>
      </c>
      <c r="F1690" s="56" t="s">
        <v>73</v>
      </c>
      <c r="G1690" s="57">
        <v>87909936323</v>
      </c>
      <c r="H1690" s="56" t="s">
        <v>68</v>
      </c>
      <c r="I1690" s="58" t="str">
        <f t="shared" si="134"/>
        <v>U.S.-Central Reservation</v>
      </c>
      <c r="J1690" s="40"/>
      <c r="K1690" s="59"/>
      <c r="L1690" s="35"/>
      <c r="M1690" s="35"/>
      <c r="N1690" s="35"/>
      <c r="O1690" s="35"/>
      <c r="P1690" s="35"/>
      <c r="Q1690" s="35"/>
      <c r="R1690" s="35"/>
      <c r="S1690" s="35"/>
      <c r="T1690" s="35"/>
      <c r="U1690" s="35"/>
      <c r="V1690" s="35"/>
      <c r="W1690" s="35"/>
      <c r="X1690" s="35"/>
      <c r="Y1690" s="35"/>
      <c r="Z1690" s="35"/>
      <c r="AA1690" s="35"/>
      <c r="AB1690" s="35"/>
      <c r="AC1690" s="35"/>
      <c r="AD1690" s="35"/>
      <c r="AE1690" s="35"/>
      <c r="AF1690" s="35"/>
      <c r="AG1690" s="35"/>
      <c r="AH1690" s="35"/>
      <c r="AI1690" s="35"/>
      <c r="AJ1690" s="35"/>
      <c r="AK1690" s="35"/>
      <c r="AL1690" s="35"/>
      <c r="AM1690" s="35"/>
      <c r="AN1690" s="35"/>
      <c r="AO1690" s="35"/>
      <c r="AP1690" s="35"/>
    </row>
    <row r="1691" spans="1:42" ht="17.25" customHeight="1" x14ac:dyDescent="0.25">
      <c r="A1691" s="60">
        <v>2018</v>
      </c>
      <c r="B1691" s="61" t="s">
        <v>66</v>
      </c>
      <c r="C1691" s="61" t="s">
        <v>47</v>
      </c>
      <c r="D1691" s="61" t="s">
        <v>48</v>
      </c>
      <c r="E1691" s="61" t="s">
        <v>67</v>
      </c>
      <c r="F1691" s="61" t="s">
        <v>74</v>
      </c>
      <c r="G1691" s="62">
        <v>103996694371</v>
      </c>
      <c r="H1691" s="61" t="s">
        <v>68</v>
      </c>
      <c r="I1691" s="63" t="str">
        <f t="shared" si="134"/>
        <v>U.S.-Travel Agency/TMC</v>
      </c>
      <c r="J1691" s="47"/>
      <c r="K1691" s="54"/>
      <c r="L1691" s="35"/>
      <c r="M1691" s="35"/>
      <c r="N1691" s="35"/>
      <c r="O1691" s="35"/>
      <c r="P1691" s="35"/>
      <c r="Q1691" s="35"/>
      <c r="R1691" s="35"/>
      <c r="S1691" s="35"/>
      <c r="T1691" s="35"/>
      <c r="U1691" s="35"/>
      <c r="V1691" s="35"/>
      <c r="W1691" s="35"/>
      <c r="X1691" s="35"/>
      <c r="Y1691" s="35"/>
      <c r="Z1691" s="35"/>
      <c r="AA1691" s="35"/>
      <c r="AB1691" s="35"/>
      <c r="AC1691" s="35"/>
      <c r="AD1691" s="35"/>
      <c r="AE1691" s="35"/>
      <c r="AF1691" s="35"/>
      <c r="AG1691" s="35"/>
      <c r="AH1691" s="35"/>
      <c r="AI1691" s="35"/>
      <c r="AJ1691" s="35"/>
      <c r="AK1691" s="35"/>
      <c r="AL1691" s="35"/>
      <c r="AM1691" s="35"/>
      <c r="AN1691" s="35"/>
      <c r="AO1691" s="35"/>
      <c r="AP1691" s="35"/>
    </row>
    <row r="1692" spans="1:42" ht="17.25" customHeight="1" x14ac:dyDescent="0.25">
      <c r="A1692" s="55">
        <v>2018</v>
      </c>
      <c r="B1692" s="56" t="s">
        <v>66</v>
      </c>
      <c r="C1692" s="56" t="s">
        <v>47</v>
      </c>
      <c r="D1692" s="56" t="s">
        <v>48</v>
      </c>
      <c r="E1692" s="56" t="s">
        <v>69</v>
      </c>
      <c r="F1692" s="56" t="s">
        <v>70</v>
      </c>
      <c r="G1692" s="57">
        <v>126388787869</v>
      </c>
      <c r="H1692" s="56" t="s">
        <v>68</v>
      </c>
      <c r="I1692" s="58" t="str">
        <f t="shared" si="134"/>
        <v>U.S.-Online Supplier-Direct</v>
      </c>
      <c r="J1692" s="40"/>
      <c r="K1692" s="59"/>
      <c r="L1692" s="35"/>
      <c r="M1692" s="35"/>
      <c r="N1692" s="35"/>
      <c r="O1692" s="35"/>
      <c r="P1692" s="35"/>
      <c r="Q1692" s="35"/>
      <c r="R1692" s="35"/>
      <c r="S1692" s="35"/>
      <c r="T1692" s="35"/>
      <c r="U1692" s="35"/>
      <c r="V1692" s="35"/>
      <c r="W1692" s="35"/>
      <c r="X1692" s="35"/>
      <c r="Y1692" s="35"/>
      <c r="Z1692" s="35"/>
      <c r="AA1692" s="35"/>
      <c r="AB1692" s="35"/>
      <c r="AC1692" s="35"/>
      <c r="AD1692" s="35"/>
      <c r="AE1692" s="35"/>
      <c r="AF1692" s="35"/>
      <c r="AG1692" s="35"/>
      <c r="AH1692" s="35"/>
      <c r="AI1692" s="35"/>
      <c r="AJ1692" s="35"/>
      <c r="AK1692" s="35"/>
      <c r="AL1692" s="35"/>
      <c r="AM1692" s="35"/>
      <c r="AN1692" s="35"/>
      <c r="AO1692" s="35"/>
      <c r="AP1692" s="35"/>
    </row>
    <row r="1693" spans="1:42" ht="17.25" customHeight="1" x14ac:dyDescent="0.25">
      <c r="A1693" s="60">
        <v>2018</v>
      </c>
      <c r="B1693" s="61" t="s">
        <v>66</v>
      </c>
      <c r="C1693" s="61" t="s">
        <v>47</v>
      </c>
      <c r="D1693" s="61" t="s">
        <v>48</v>
      </c>
      <c r="E1693" s="61" t="s">
        <v>69</v>
      </c>
      <c r="F1693" s="61" t="s">
        <v>71</v>
      </c>
      <c r="G1693" s="62">
        <v>72428000000</v>
      </c>
      <c r="H1693" s="61" t="s">
        <v>68</v>
      </c>
      <c r="I1693" s="63" t="str">
        <f t="shared" si="134"/>
        <v>U.S.-OTA</v>
      </c>
      <c r="J1693" s="47"/>
      <c r="K1693" s="54"/>
      <c r="L1693" s="35"/>
      <c r="M1693" s="35"/>
      <c r="N1693" s="35"/>
      <c r="O1693" s="35"/>
      <c r="P1693" s="35"/>
      <c r="Q1693" s="35"/>
      <c r="R1693" s="35"/>
      <c r="S1693" s="35"/>
      <c r="T1693" s="35"/>
      <c r="U1693" s="35"/>
      <c r="V1693" s="35"/>
      <c r="W1693" s="35"/>
      <c r="X1693" s="35"/>
      <c r="Y1693" s="35"/>
      <c r="Z1693" s="35"/>
      <c r="AA1693" s="35"/>
      <c r="AB1693" s="35"/>
      <c r="AC1693" s="35"/>
      <c r="AD1693" s="35"/>
      <c r="AE1693" s="35"/>
      <c r="AF1693" s="35"/>
      <c r="AG1693" s="35"/>
      <c r="AH1693" s="35"/>
      <c r="AI1693" s="35"/>
      <c r="AJ1693" s="35"/>
      <c r="AK1693" s="35"/>
      <c r="AL1693" s="35"/>
      <c r="AM1693" s="35"/>
      <c r="AN1693" s="35"/>
      <c r="AO1693" s="35"/>
      <c r="AP1693" s="35"/>
    </row>
    <row r="1694" spans="1:42" ht="17.25" customHeight="1" x14ac:dyDescent="0.25">
      <c r="A1694" s="55">
        <v>2018</v>
      </c>
      <c r="B1694" s="56" t="s">
        <v>66</v>
      </c>
      <c r="C1694" s="56" t="s">
        <v>17</v>
      </c>
      <c r="D1694" s="56" t="s">
        <v>25</v>
      </c>
      <c r="E1694" s="56" t="s">
        <v>67</v>
      </c>
      <c r="F1694" s="56" t="s">
        <v>67</v>
      </c>
      <c r="G1694" s="57">
        <v>1652123450</v>
      </c>
      <c r="H1694" s="56" t="s">
        <v>68</v>
      </c>
      <c r="I1694" s="58" t="str">
        <f t="shared" si="134"/>
        <v>Ukraine-Offline</v>
      </c>
      <c r="J1694" s="40"/>
      <c r="K1694" s="59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  <c r="Z1694" s="35"/>
      <c r="AA1694" s="35"/>
      <c r="AB1694" s="35"/>
      <c r="AC1694" s="35"/>
      <c r="AD1694" s="35"/>
      <c r="AE1694" s="35"/>
      <c r="AF1694" s="35"/>
      <c r="AG1694" s="35"/>
      <c r="AH1694" s="35"/>
      <c r="AI1694" s="35"/>
      <c r="AJ1694" s="35"/>
      <c r="AK1694" s="35"/>
      <c r="AL1694" s="35"/>
      <c r="AM1694" s="35"/>
      <c r="AN1694" s="35"/>
      <c r="AO1694" s="35"/>
      <c r="AP1694" s="35"/>
    </row>
    <row r="1695" spans="1:42" ht="17.25" customHeight="1" x14ac:dyDescent="0.25">
      <c r="A1695" s="60">
        <v>2018</v>
      </c>
      <c r="B1695" s="61" t="s">
        <v>66</v>
      </c>
      <c r="C1695" s="61" t="s">
        <v>17</v>
      </c>
      <c r="D1695" s="61" t="s">
        <v>25</v>
      </c>
      <c r="E1695" s="61" t="s">
        <v>69</v>
      </c>
      <c r="F1695" s="61" t="s">
        <v>70</v>
      </c>
      <c r="G1695" s="62">
        <v>392076176</v>
      </c>
      <c r="H1695" s="61" t="s">
        <v>68</v>
      </c>
      <c r="I1695" s="63" t="str">
        <f t="shared" si="134"/>
        <v>Ukraine-Online Supplier-Direct</v>
      </c>
      <c r="J1695" s="47"/>
      <c r="K1695" s="54"/>
      <c r="L1695" s="35"/>
      <c r="M1695" s="35"/>
      <c r="N1695" s="35"/>
      <c r="O1695" s="35"/>
      <c r="P1695" s="35"/>
      <c r="Q1695" s="35"/>
      <c r="R1695" s="35"/>
      <c r="S1695" s="35"/>
      <c r="T1695" s="35"/>
      <c r="U1695" s="35"/>
      <c r="V1695" s="35"/>
      <c r="W1695" s="35"/>
      <c r="X1695" s="35"/>
      <c r="Y1695" s="35"/>
      <c r="Z1695" s="35"/>
      <c r="AA1695" s="35"/>
      <c r="AB1695" s="35"/>
      <c r="AC1695" s="35"/>
      <c r="AD1695" s="35"/>
      <c r="AE1695" s="35"/>
      <c r="AF1695" s="35"/>
      <c r="AG1695" s="35"/>
      <c r="AH1695" s="35"/>
      <c r="AI1695" s="35"/>
      <c r="AJ1695" s="35"/>
      <c r="AK1695" s="35"/>
      <c r="AL1695" s="35"/>
      <c r="AM1695" s="35"/>
      <c r="AN1695" s="35"/>
      <c r="AO1695" s="35"/>
      <c r="AP1695" s="35"/>
    </row>
    <row r="1696" spans="1:42" ht="17.25" customHeight="1" x14ac:dyDescent="0.25">
      <c r="A1696" s="55">
        <v>2018</v>
      </c>
      <c r="B1696" s="56" t="s">
        <v>66</v>
      </c>
      <c r="C1696" s="56" t="s">
        <v>17</v>
      </c>
      <c r="D1696" s="56" t="s">
        <v>25</v>
      </c>
      <c r="E1696" s="56" t="s">
        <v>69</v>
      </c>
      <c r="F1696" s="56" t="s">
        <v>71</v>
      </c>
      <c r="G1696" s="57">
        <v>325709481</v>
      </c>
      <c r="H1696" s="56" t="s">
        <v>68</v>
      </c>
      <c r="I1696" s="58" t="str">
        <f t="shared" si="134"/>
        <v>Ukraine-OTA</v>
      </c>
      <c r="J1696" s="40"/>
      <c r="K1696" s="59"/>
      <c r="L1696" s="35"/>
      <c r="M1696" s="35"/>
      <c r="N1696" s="35"/>
      <c r="O1696" s="35"/>
      <c r="P1696" s="35"/>
      <c r="Q1696" s="35"/>
      <c r="R1696" s="35"/>
      <c r="S1696" s="35"/>
      <c r="T1696" s="35"/>
      <c r="U1696" s="35"/>
      <c r="V1696" s="35"/>
      <c r="W1696" s="35"/>
      <c r="X1696" s="35"/>
      <c r="Y1696" s="35"/>
      <c r="Z1696" s="35"/>
      <c r="AA1696" s="35"/>
      <c r="AB1696" s="35"/>
      <c r="AC1696" s="35"/>
      <c r="AD1696" s="35"/>
      <c r="AE1696" s="35"/>
      <c r="AF1696" s="35"/>
      <c r="AG1696" s="35"/>
      <c r="AH1696" s="35"/>
      <c r="AI1696" s="35"/>
      <c r="AJ1696" s="35"/>
      <c r="AK1696" s="35"/>
      <c r="AL1696" s="35"/>
      <c r="AM1696" s="35"/>
      <c r="AN1696" s="35"/>
      <c r="AO1696" s="35"/>
      <c r="AP1696" s="35"/>
    </row>
    <row r="1697" spans="1:42" ht="17.25" customHeight="1" x14ac:dyDescent="0.25">
      <c r="A1697" s="60">
        <v>2019</v>
      </c>
      <c r="B1697" s="61" t="s">
        <v>66</v>
      </c>
      <c r="C1697" s="61" t="s">
        <v>35</v>
      </c>
      <c r="D1697" s="61" t="s">
        <v>34</v>
      </c>
      <c r="E1697" s="61" t="s">
        <v>67</v>
      </c>
      <c r="F1697" s="61" t="s">
        <v>67</v>
      </c>
      <c r="G1697" s="62">
        <v>3380562040</v>
      </c>
      <c r="H1697" s="61" t="s">
        <v>68</v>
      </c>
      <c r="I1697" s="63" t="str">
        <f t="shared" si="134"/>
        <v>Argentina-Offline</v>
      </c>
      <c r="J1697" s="47"/>
      <c r="K1697" s="54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  <c r="AG1697" s="35"/>
      <c r="AH1697" s="35"/>
      <c r="AI1697" s="35"/>
      <c r="AJ1697" s="35"/>
      <c r="AK1697" s="35"/>
      <c r="AL1697" s="35"/>
      <c r="AM1697" s="35"/>
      <c r="AN1697" s="35"/>
      <c r="AO1697" s="35"/>
      <c r="AP1697" s="35"/>
    </row>
    <row r="1698" spans="1:42" ht="17.25" customHeight="1" x14ac:dyDescent="0.25">
      <c r="A1698" s="55">
        <v>2019</v>
      </c>
      <c r="B1698" s="56" t="s">
        <v>66</v>
      </c>
      <c r="C1698" s="56" t="s">
        <v>35</v>
      </c>
      <c r="D1698" s="56" t="s">
        <v>34</v>
      </c>
      <c r="E1698" s="56" t="s">
        <v>69</v>
      </c>
      <c r="F1698" s="56" t="s">
        <v>70</v>
      </c>
      <c r="G1698" s="57">
        <v>650813191</v>
      </c>
      <c r="H1698" s="56" t="s">
        <v>68</v>
      </c>
      <c r="I1698" s="58" t="str">
        <f t="shared" si="134"/>
        <v>Argentina-Online Supplier-Direct</v>
      </c>
      <c r="J1698" s="40"/>
      <c r="K1698" s="59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  <c r="AG1698" s="35"/>
      <c r="AH1698" s="35"/>
      <c r="AI1698" s="35"/>
      <c r="AJ1698" s="35"/>
      <c r="AK1698" s="35"/>
      <c r="AL1698" s="35"/>
      <c r="AM1698" s="35"/>
      <c r="AN1698" s="35"/>
      <c r="AO1698" s="35"/>
      <c r="AP1698" s="35"/>
    </row>
    <row r="1699" spans="1:42" ht="17.25" customHeight="1" x14ac:dyDescent="0.25">
      <c r="A1699" s="60">
        <v>2019</v>
      </c>
      <c r="B1699" s="61" t="s">
        <v>66</v>
      </c>
      <c r="C1699" s="61" t="s">
        <v>35</v>
      </c>
      <c r="D1699" s="61" t="s">
        <v>34</v>
      </c>
      <c r="E1699" s="61" t="s">
        <v>69</v>
      </c>
      <c r="F1699" s="61" t="s">
        <v>71</v>
      </c>
      <c r="G1699" s="62">
        <v>906249730</v>
      </c>
      <c r="H1699" s="61" t="s">
        <v>68</v>
      </c>
      <c r="I1699" s="63" t="str">
        <f t="shared" si="134"/>
        <v>Argentina-OTA</v>
      </c>
      <c r="J1699" s="47"/>
      <c r="K1699" s="54"/>
      <c r="L1699" s="35"/>
      <c r="M1699" s="35"/>
      <c r="N1699" s="35"/>
      <c r="O1699" s="35"/>
      <c r="P1699" s="35"/>
      <c r="Q1699" s="35"/>
      <c r="R1699" s="35"/>
      <c r="S1699" s="35"/>
      <c r="T1699" s="35"/>
      <c r="U1699" s="35"/>
      <c r="V1699" s="35"/>
      <c r="W1699" s="35"/>
      <c r="X1699" s="35"/>
      <c r="Y1699" s="35"/>
      <c r="Z1699" s="35"/>
      <c r="AA1699" s="35"/>
      <c r="AB1699" s="35"/>
      <c r="AC1699" s="35"/>
      <c r="AD1699" s="35"/>
      <c r="AE1699" s="35"/>
      <c r="AF1699" s="35"/>
      <c r="AG1699" s="35"/>
      <c r="AH1699" s="35"/>
      <c r="AI1699" s="35"/>
      <c r="AJ1699" s="35"/>
      <c r="AK1699" s="35"/>
      <c r="AL1699" s="35"/>
      <c r="AM1699" s="35"/>
      <c r="AN1699" s="35"/>
      <c r="AO1699" s="35"/>
      <c r="AP1699" s="35"/>
    </row>
    <row r="1700" spans="1:42" ht="17.25" customHeight="1" x14ac:dyDescent="0.25">
      <c r="A1700" s="55">
        <v>2019</v>
      </c>
      <c r="B1700" s="56" t="s">
        <v>66</v>
      </c>
      <c r="C1700" s="56" t="s">
        <v>4</v>
      </c>
      <c r="D1700" s="56" t="s">
        <v>3</v>
      </c>
      <c r="E1700" s="56" t="s">
        <v>67</v>
      </c>
      <c r="F1700" s="56" t="s">
        <v>67</v>
      </c>
      <c r="G1700" s="57">
        <v>17524351863</v>
      </c>
      <c r="H1700" s="56" t="s">
        <v>68</v>
      </c>
      <c r="I1700" s="58" t="str">
        <f t="shared" si="134"/>
        <v>Australia-New Zealand-Offline</v>
      </c>
      <c r="J1700" s="40"/>
      <c r="K1700" s="59"/>
      <c r="L1700" s="35"/>
      <c r="M1700" s="35"/>
      <c r="N1700" s="35"/>
      <c r="O1700" s="35"/>
      <c r="P1700" s="35"/>
      <c r="Q1700" s="35"/>
      <c r="R1700" s="35"/>
      <c r="S1700" s="35"/>
      <c r="T1700" s="35"/>
      <c r="U1700" s="35"/>
      <c r="V1700" s="35"/>
      <c r="W1700" s="35"/>
      <c r="X1700" s="35"/>
      <c r="Y1700" s="35"/>
      <c r="Z1700" s="35"/>
      <c r="AA1700" s="35"/>
      <c r="AB1700" s="35"/>
      <c r="AC1700" s="35"/>
      <c r="AD1700" s="35"/>
      <c r="AE1700" s="35"/>
      <c r="AF1700" s="35"/>
      <c r="AG1700" s="35"/>
      <c r="AH1700" s="35"/>
      <c r="AI1700" s="35"/>
      <c r="AJ1700" s="35"/>
      <c r="AK1700" s="35"/>
      <c r="AL1700" s="35"/>
      <c r="AM1700" s="35"/>
      <c r="AN1700" s="35"/>
      <c r="AO1700" s="35"/>
      <c r="AP1700" s="35"/>
    </row>
    <row r="1701" spans="1:42" ht="17.25" customHeight="1" x14ac:dyDescent="0.25">
      <c r="A1701" s="60">
        <v>2019</v>
      </c>
      <c r="B1701" s="61" t="s">
        <v>66</v>
      </c>
      <c r="C1701" s="61" t="s">
        <v>4</v>
      </c>
      <c r="D1701" s="61" t="s">
        <v>3</v>
      </c>
      <c r="E1701" s="61" t="s">
        <v>69</v>
      </c>
      <c r="F1701" s="61" t="s">
        <v>70</v>
      </c>
      <c r="G1701" s="62">
        <v>10037010870</v>
      </c>
      <c r="H1701" s="61" t="s">
        <v>68</v>
      </c>
      <c r="I1701" s="63" t="str">
        <f t="shared" si="134"/>
        <v>Australia-New Zealand-Online Supplier-Direct</v>
      </c>
      <c r="J1701" s="47"/>
      <c r="K1701" s="54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  <c r="Z1701" s="35"/>
      <c r="AA1701" s="35"/>
      <c r="AB1701" s="35"/>
      <c r="AC1701" s="35"/>
      <c r="AD1701" s="35"/>
      <c r="AE1701" s="35"/>
      <c r="AF1701" s="35"/>
      <c r="AG1701" s="35"/>
      <c r="AH1701" s="35"/>
      <c r="AI1701" s="35"/>
      <c r="AJ1701" s="35"/>
      <c r="AK1701" s="35"/>
      <c r="AL1701" s="35"/>
      <c r="AM1701" s="35"/>
      <c r="AN1701" s="35"/>
      <c r="AO1701" s="35"/>
      <c r="AP1701" s="35"/>
    </row>
    <row r="1702" spans="1:42" ht="17.25" customHeight="1" x14ac:dyDescent="0.25">
      <c r="A1702" s="55">
        <v>2019</v>
      </c>
      <c r="B1702" s="56" t="s">
        <v>66</v>
      </c>
      <c r="C1702" s="56" t="s">
        <v>4</v>
      </c>
      <c r="D1702" s="56" t="s">
        <v>3</v>
      </c>
      <c r="E1702" s="56" t="s">
        <v>69</v>
      </c>
      <c r="F1702" s="56" t="s">
        <v>71</v>
      </c>
      <c r="G1702" s="57">
        <v>4675775627</v>
      </c>
      <c r="H1702" s="56" t="s">
        <v>68</v>
      </c>
      <c r="I1702" s="58" t="str">
        <f t="shared" si="134"/>
        <v>Australia-New Zealand-OTA</v>
      </c>
      <c r="J1702" s="40"/>
      <c r="K1702" s="59"/>
      <c r="L1702" s="35"/>
      <c r="M1702" s="35"/>
      <c r="N1702" s="35"/>
      <c r="O1702" s="35"/>
      <c r="P1702" s="35"/>
      <c r="Q1702" s="35"/>
      <c r="R1702" s="35"/>
      <c r="S1702" s="35"/>
      <c r="T1702" s="35"/>
      <c r="U1702" s="35"/>
      <c r="V1702" s="35"/>
      <c r="W1702" s="35"/>
      <c r="X1702" s="35"/>
      <c r="Y1702" s="35"/>
      <c r="Z1702" s="35"/>
      <c r="AA1702" s="35"/>
      <c r="AB1702" s="35"/>
      <c r="AC1702" s="35"/>
      <c r="AD1702" s="35"/>
      <c r="AE1702" s="35"/>
      <c r="AF1702" s="35"/>
      <c r="AG1702" s="35"/>
      <c r="AH1702" s="35"/>
      <c r="AI1702" s="35"/>
      <c r="AJ1702" s="35"/>
      <c r="AK1702" s="35"/>
      <c r="AL1702" s="35"/>
      <c r="AM1702" s="35"/>
      <c r="AN1702" s="35"/>
      <c r="AO1702" s="35"/>
      <c r="AP1702" s="35"/>
    </row>
    <row r="1703" spans="1:42" ht="17.25" customHeight="1" x14ac:dyDescent="0.25">
      <c r="A1703" s="60">
        <v>2019</v>
      </c>
      <c r="B1703" s="61" t="s">
        <v>66</v>
      </c>
      <c r="C1703" s="61" t="s">
        <v>35</v>
      </c>
      <c r="D1703" s="61" t="s">
        <v>36</v>
      </c>
      <c r="E1703" s="61" t="s">
        <v>67</v>
      </c>
      <c r="F1703" s="61" t="s">
        <v>67</v>
      </c>
      <c r="G1703" s="62">
        <v>10906134348</v>
      </c>
      <c r="H1703" s="61" t="s">
        <v>68</v>
      </c>
      <c r="I1703" s="63" t="str">
        <f t="shared" si="134"/>
        <v>Brazil-Offline</v>
      </c>
      <c r="J1703" s="47"/>
      <c r="K1703" s="54"/>
      <c r="L1703" s="35"/>
      <c r="M1703" s="35"/>
      <c r="N1703" s="35"/>
      <c r="O1703" s="35"/>
      <c r="P1703" s="35"/>
      <c r="Q1703" s="35"/>
      <c r="R1703" s="35"/>
      <c r="S1703" s="35"/>
      <c r="T1703" s="35"/>
      <c r="U1703" s="35"/>
      <c r="V1703" s="35"/>
      <c r="W1703" s="35"/>
      <c r="X1703" s="35"/>
      <c r="Y1703" s="35"/>
      <c r="Z1703" s="35"/>
      <c r="AA1703" s="35"/>
      <c r="AB1703" s="35"/>
      <c r="AC1703" s="35"/>
      <c r="AD1703" s="35"/>
      <c r="AE1703" s="35"/>
      <c r="AF1703" s="35"/>
      <c r="AG1703" s="35"/>
      <c r="AH1703" s="35"/>
      <c r="AI1703" s="35"/>
      <c r="AJ1703" s="35"/>
      <c r="AK1703" s="35"/>
      <c r="AL1703" s="35"/>
      <c r="AM1703" s="35"/>
      <c r="AN1703" s="35"/>
      <c r="AO1703" s="35"/>
      <c r="AP1703" s="35"/>
    </row>
    <row r="1704" spans="1:42" ht="17.25" customHeight="1" x14ac:dyDescent="0.25">
      <c r="A1704" s="55">
        <v>2019</v>
      </c>
      <c r="B1704" s="56" t="s">
        <v>66</v>
      </c>
      <c r="C1704" s="56" t="s">
        <v>35</v>
      </c>
      <c r="D1704" s="56" t="s">
        <v>36</v>
      </c>
      <c r="E1704" s="56" t="s">
        <v>69</v>
      </c>
      <c r="F1704" s="56" t="s">
        <v>70</v>
      </c>
      <c r="G1704" s="57">
        <v>3278838812</v>
      </c>
      <c r="H1704" s="56" t="s">
        <v>68</v>
      </c>
      <c r="I1704" s="58" t="str">
        <f t="shared" si="134"/>
        <v>Brazil-Online Supplier-Direct</v>
      </c>
      <c r="J1704" s="40"/>
      <c r="K1704" s="59"/>
      <c r="L1704" s="35"/>
      <c r="M1704" s="35"/>
      <c r="N1704" s="35"/>
      <c r="O1704" s="35"/>
      <c r="P1704" s="35"/>
      <c r="Q1704" s="35"/>
      <c r="R1704" s="35"/>
      <c r="S1704" s="35"/>
      <c r="T1704" s="35"/>
      <c r="U1704" s="35"/>
      <c r="V1704" s="35"/>
      <c r="W1704" s="35"/>
      <c r="X1704" s="35"/>
      <c r="Y1704" s="35"/>
      <c r="Z1704" s="35"/>
      <c r="AA1704" s="35"/>
      <c r="AB1704" s="35"/>
      <c r="AC1704" s="35"/>
      <c r="AD1704" s="35"/>
      <c r="AE1704" s="35"/>
      <c r="AF1704" s="35"/>
      <c r="AG1704" s="35"/>
      <c r="AH1704" s="35"/>
      <c r="AI1704" s="35"/>
      <c r="AJ1704" s="35"/>
      <c r="AK1704" s="35"/>
      <c r="AL1704" s="35"/>
      <c r="AM1704" s="35"/>
      <c r="AN1704" s="35"/>
      <c r="AO1704" s="35"/>
      <c r="AP1704" s="35"/>
    </row>
    <row r="1705" spans="1:42" ht="17.25" customHeight="1" x14ac:dyDescent="0.25">
      <c r="A1705" s="60">
        <v>2019</v>
      </c>
      <c r="B1705" s="61" t="s">
        <v>66</v>
      </c>
      <c r="C1705" s="61" t="s">
        <v>35</v>
      </c>
      <c r="D1705" s="61" t="s">
        <v>36</v>
      </c>
      <c r="E1705" s="61" t="s">
        <v>69</v>
      </c>
      <c r="F1705" s="61" t="s">
        <v>71</v>
      </c>
      <c r="G1705" s="62">
        <v>4935636030</v>
      </c>
      <c r="H1705" s="61" t="s">
        <v>68</v>
      </c>
      <c r="I1705" s="63" t="str">
        <f t="shared" si="134"/>
        <v>Brazil-OTA</v>
      </c>
      <c r="J1705" s="47"/>
      <c r="K1705" s="54"/>
      <c r="L1705" s="35"/>
      <c r="M1705" s="35"/>
      <c r="N1705" s="35"/>
      <c r="O1705" s="35"/>
      <c r="P1705" s="35"/>
      <c r="Q1705" s="35"/>
      <c r="R1705" s="35"/>
      <c r="S1705" s="35"/>
      <c r="T1705" s="35"/>
      <c r="U1705" s="35"/>
      <c r="V1705" s="35"/>
      <c r="W1705" s="35"/>
      <c r="X1705" s="35"/>
      <c r="Y1705" s="35"/>
      <c r="Z1705" s="35"/>
      <c r="AA1705" s="35"/>
      <c r="AB1705" s="35"/>
      <c r="AC1705" s="35"/>
      <c r="AD1705" s="35"/>
      <c r="AE1705" s="35"/>
      <c r="AF1705" s="35"/>
      <c r="AG1705" s="35"/>
      <c r="AH1705" s="35"/>
      <c r="AI1705" s="35"/>
      <c r="AJ1705" s="35"/>
      <c r="AK1705" s="35"/>
      <c r="AL1705" s="35"/>
      <c r="AM1705" s="35"/>
      <c r="AN1705" s="35"/>
      <c r="AO1705" s="35"/>
      <c r="AP1705" s="35"/>
    </row>
    <row r="1706" spans="1:42" ht="17.25" customHeight="1" x14ac:dyDescent="0.25">
      <c r="A1706" s="55">
        <v>2019</v>
      </c>
      <c r="B1706" s="56" t="s">
        <v>66</v>
      </c>
      <c r="C1706" s="56" t="s">
        <v>17</v>
      </c>
      <c r="D1706" s="56" t="s">
        <v>16</v>
      </c>
      <c r="E1706" s="56" t="s">
        <v>67</v>
      </c>
      <c r="F1706" s="56" t="s">
        <v>67</v>
      </c>
      <c r="G1706" s="57">
        <v>829012464</v>
      </c>
      <c r="H1706" s="56" t="s">
        <v>68</v>
      </c>
      <c r="I1706" s="58" t="str">
        <f t="shared" si="134"/>
        <v>Bulgaria-Offline</v>
      </c>
      <c r="J1706" s="40"/>
      <c r="K1706" s="59"/>
      <c r="L1706" s="35"/>
      <c r="M1706" s="35"/>
      <c r="N1706" s="35"/>
      <c r="O1706" s="35"/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  <c r="Z1706" s="35"/>
      <c r="AA1706" s="35"/>
      <c r="AB1706" s="35"/>
      <c r="AC1706" s="35"/>
      <c r="AD1706" s="35"/>
      <c r="AE1706" s="35"/>
      <c r="AF1706" s="35"/>
      <c r="AG1706" s="35"/>
      <c r="AH1706" s="35"/>
      <c r="AI1706" s="35"/>
      <c r="AJ1706" s="35"/>
      <c r="AK1706" s="35"/>
      <c r="AL1706" s="35"/>
      <c r="AM1706" s="35"/>
      <c r="AN1706" s="35"/>
      <c r="AO1706" s="35"/>
      <c r="AP1706" s="35"/>
    </row>
    <row r="1707" spans="1:42" ht="17.25" customHeight="1" x14ac:dyDescent="0.25">
      <c r="A1707" s="60">
        <v>2019</v>
      </c>
      <c r="B1707" s="61" t="s">
        <v>66</v>
      </c>
      <c r="C1707" s="61" t="s">
        <v>17</v>
      </c>
      <c r="D1707" s="61" t="s">
        <v>16</v>
      </c>
      <c r="E1707" s="61" t="s">
        <v>69</v>
      </c>
      <c r="F1707" s="61" t="s">
        <v>70</v>
      </c>
      <c r="G1707" s="62">
        <v>115902610</v>
      </c>
      <c r="H1707" s="61" t="s">
        <v>68</v>
      </c>
      <c r="I1707" s="63" t="str">
        <f t="shared" si="134"/>
        <v>Bulgaria-Online Supplier-Direct</v>
      </c>
      <c r="J1707" s="47"/>
      <c r="K1707" s="54"/>
      <c r="L1707" s="35"/>
      <c r="M1707" s="35"/>
      <c r="N1707" s="35"/>
      <c r="O1707" s="35"/>
      <c r="P1707" s="35"/>
      <c r="Q1707" s="35"/>
      <c r="R1707" s="35"/>
      <c r="S1707" s="35"/>
      <c r="T1707" s="35"/>
      <c r="U1707" s="35"/>
      <c r="V1707" s="35"/>
      <c r="W1707" s="35"/>
      <c r="X1707" s="35"/>
      <c r="Y1707" s="35"/>
      <c r="Z1707" s="35"/>
      <c r="AA1707" s="35"/>
      <c r="AB1707" s="35"/>
      <c r="AC1707" s="35"/>
      <c r="AD1707" s="35"/>
      <c r="AE1707" s="35"/>
      <c r="AF1707" s="35"/>
      <c r="AG1707" s="35"/>
      <c r="AH1707" s="35"/>
      <c r="AI1707" s="35"/>
      <c r="AJ1707" s="35"/>
      <c r="AK1707" s="35"/>
      <c r="AL1707" s="35"/>
      <c r="AM1707" s="35"/>
      <c r="AN1707" s="35"/>
      <c r="AO1707" s="35"/>
      <c r="AP1707" s="35"/>
    </row>
    <row r="1708" spans="1:42" ht="17.25" customHeight="1" x14ac:dyDescent="0.25">
      <c r="A1708" s="55">
        <v>2019</v>
      </c>
      <c r="B1708" s="56" t="s">
        <v>66</v>
      </c>
      <c r="C1708" s="56" t="s">
        <v>17</v>
      </c>
      <c r="D1708" s="56" t="s">
        <v>16</v>
      </c>
      <c r="E1708" s="56" t="s">
        <v>69</v>
      </c>
      <c r="F1708" s="56" t="s">
        <v>71</v>
      </c>
      <c r="G1708" s="57">
        <v>282529093</v>
      </c>
      <c r="H1708" s="56" t="s">
        <v>68</v>
      </c>
      <c r="I1708" s="58" t="str">
        <f t="shared" si="134"/>
        <v>Bulgaria-OTA</v>
      </c>
      <c r="J1708" s="40"/>
      <c r="K1708" s="59"/>
      <c r="L1708" s="35"/>
      <c r="M1708" s="35"/>
      <c r="N1708" s="35"/>
      <c r="O1708" s="35"/>
      <c r="P1708" s="35"/>
      <c r="Q1708" s="35"/>
      <c r="R1708" s="35"/>
      <c r="S1708" s="35"/>
      <c r="T1708" s="35"/>
      <c r="U1708" s="35"/>
      <c r="V1708" s="35"/>
      <c r="W1708" s="35"/>
      <c r="X1708" s="35"/>
      <c r="Y1708" s="35"/>
      <c r="Z1708" s="35"/>
      <c r="AA1708" s="35"/>
      <c r="AB1708" s="35"/>
      <c r="AC1708" s="35"/>
      <c r="AD1708" s="35"/>
      <c r="AE1708" s="35"/>
      <c r="AF1708" s="35"/>
      <c r="AG1708" s="35"/>
      <c r="AH1708" s="35"/>
      <c r="AI1708" s="35"/>
      <c r="AJ1708" s="35"/>
      <c r="AK1708" s="35"/>
      <c r="AL1708" s="35"/>
      <c r="AM1708" s="35"/>
      <c r="AN1708" s="35"/>
      <c r="AO1708" s="35"/>
      <c r="AP1708" s="35"/>
    </row>
    <row r="1709" spans="1:42" ht="17.25" customHeight="1" x14ac:dyDescent="0.25">
      <c r="A1709" s="60">
        <v>2019</v>
      </c>
      <c r="B1709" s="61" t="s">
        <v>66</v>
      </c>
      <c r="C1709" s="61" t="s">
        <v>47</v>
      </c>
      <c r="D1709" s="61" t="s">
        <v>46</v>
      </c>
      <c r="E1709" s="61" t="s">
        <v>72</v>
      </c>
      <c r="F1709" s="61" t="s">
        <v>73</v>
      </c>
      <c r="G1709" s="62">
        <v>9281401869</v>
      </c>
      <c r="H1709" s="61" t="s">
        <v>68</v>
      </c>
      <c r="I1709" s="63" t="str">
        <f t="shared" si="134"/>
        <v>Canada-Central Reservation</v>
      </c>
      <c r="J1709" s="47"/>
      <c r="K1709" s="54"/>
      <c r="L1709" s="35"/>
      <c r="M1709" s="35"/>
      <c r="N1709" s="35"/>
      <c r="O1709" s="35"/>
      <c r="P1709" s="35"/>
      <c r="Q1709" s="35"/>
      <c r="R1709" s="35"/>
      <c r="S1709" s="35"/>
      <c r="T1709" s="35"/>
      <c r="U1709" s="35"/>
      <c r="V1709" s="35"/>
      <c r="W1709" s="35"/>
      <c r="X1709" s="35"/>
      <c r="Y1709" s="35"/>
      <c r="Z1709" s="35"/>
      <c r="AA1709" s="35"/>
      <c r="AB1709" s="35"/>
      <c r="AC1709" s="35"/>
      <c r="AD1709" s="35"/>
      <c r="AE1709" s="35"/>
      <c r="AF1709" s="35"/>
      <c r="AG1709" s="35"/>
      <c r="AH1709" s="35"/>
      <c r="AI1709" s="35"/>
      <c r="AJ1709" s="35"/>
      <c r="AK1709" s="35"/>
      <c r="AL1709" s="35"/>
      <c r="AM1709" s="35"/>
      <c r="AN1709" s="35"/>
      <c r="AO1709" s="35"/>
      <c r="AP1709" s="35"/>
    </row>
    <row r="1710" spans="1:42" ht="17.25" customHeight="1" x14ac:dyDescent="0.25">
      <c r="A1710" s="55">
        <v>2019</v>
      </c>
      <c r="B1710" s="56" t="s">
        <v>66</v>
      </c>
      <c r="C1710" s="56" t="s">
        <v>47</v>
      </c>
      <c r="D1710" s="56" t="s">
        <v>46</v>
      </c>
      <c r="E1710" s="56" t="s">
        <v>67</v>
      </c>
      <c r="F1710" s="56" t="s">
        <v>74</v>
      </c>
      <c r="G1710" s="57">
        <v>9077728558</v>
      </c>
      <c r="H1710" s="56" t="s">
        <v>68</v>
      </c>
      <c r="I1710" s="58" t="str">
        <f t="shared" si="134"/>
        <v>Canada-Travel Agency/TMC</v>
      </c>
      <c r="J1710" s="40"/>
      <c r="K1710" s="59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  <c r="Z1710" s="35"/>
      <c r="AA1710" s="35"/>
      <c r="AB1710" s="35"/>
      <c r="AC1710" s="35"/>
      <c r="AD1710" s="35"/>
      <c r="AE1710" s="35"/>
      <c r="AF1710" s="35"/>
      <c r="AG1710" s="35"/>
      <c r="AH1710" s="35"/>
      <c r="AI1710" s="35"/>
      <c r="AJ1710" s="35"/>
      <c r="AK1710" s="35"/>
      <c r="AL1710" s="35"/>
      <c r="AM1710" s="35"/>
      <c r="AN1710" s="35"/>
      <c r="AO1710" s="35"/>
      <c r="AP1710" s="35"/>
    </row>
    <row r="1711" spans="1:42" ht="17.25" customHeight="1" x14ac:dyDescent="0.25">
      <c r="A1711" s="60">
        <v>2019</v>
      </c>
      <c r="B1711" s="61" t="s">
        <v>66</v>
      </c>
      <c r="C1711" s="61" t="s">
        <v>47</v>
      </c>
      <c r="D1711" s="61" t="s">
        <v>46</v>
      </c>
      <c r="E1711" s="61" t="s">
        <v>69</v>
      </c>
      <c r="F1711" s="61" t="s">
        <v>70</v>
      </c>
      <c r="G1711" s="62">
        <v>11994056912</v>
      </c>
      <c r="H1711" s="61" t="s">
        <v>68</v>
      </c>
      <c r="I1711" s="63" t="str">
        <f t="shared" si="134"/>
        <v>Canada-Online Supplier-Direct</v>
      </c>
      <c r="J1711" s="47"/>
      <c r="K1711" s="54"/>
      <c r="L1711" s="35"/>
      <c r="M1711" s="35"/>
      <c r="N1711" s="35"/>
      <c r="O1711" s="35"/>
      <c r="P1711" s="35"/>
      <c r="Q1711" s="35"/>
      <c r="R1711" s="35"/>
      <c r="S1711" s="35"/>
      <c r="T1711" s="35"/>
      <c r="U1711" s="35"/>
      <c r="V1711" s="35"/>
      <c r="W1711" s="35"/>
      <c r="X1711" s="35"/>
      <c r="Y1711" s="35"/>
      <c r="Z1711" s="35"/>
      <c r="AA1711" s="35"/>
      <c r="AB1711" s="35"/>
      <c r="AC1711" s="35"/>
      <c r="AD1711" s="35"/>
      <c r="AE1711" s="35"/>
      <c r="AF1711" s="35"/>
      <c r="AG1711" s="35"/>
      <c r="AH1711" s="35"/>
      <c r="AI1711" s="35"/>
      <c r="AJ1711" s="35"/>
      <c r="AK1711" s="35"/>
      <c r="AL1711" s="35"/>
      <c r="AM1711" s="35"/>
      <c r="AN1711" s="35"/>
      <c r="AO1711" s="35"/>
      <c r="AP1711" s="35"/>
    </row>
    <row r="1712" spans="1:42" ht="17.25" customHeight="1" x14ac:dyDescent="0.25">
      <c r="A1712" s="55">
        <v>2019</v>
      </c>
      <c r="B1712" s="56" t="s">
        <v>66</v>
      </c>
      <c r="C1712" s="56" t="s">
        <v>47</v>
      </c>
      <c r="D1712" s="56" t="s">
        <v>46</v>
      </c>
      <c r="E1712" s="56" t="s">
        <v>69</v>
      </c>
      <c r="F1712" s="56" t="s">
        <v>71</v>
      </c>
      <c r="G1712" s="57">
        <v>8950927204</v>
      </c>
      <c r="H1712" s="56" t="s">
        <v>68</v>
      </c>
      <c r="I1712" s="58" t="str">
        <f t="shared" si="134"/>
        <v>Canada-OTA</v>
      </c>
      <c r="J1712" s="40"/>
      <c r="K1712" s="59"/>
      <c r="L1712" s="35"/>
      <c r="M1712" s="35"/>
      <c r="N1712" s="35"/>
      <c r="O1712" s="35"/>
      <c r="P1712" s="35"/>
      <c r="Q1712" s="35"/>
      <c r="R1712" s="35"/>
      <c r="S1712" s="35"/>
      <c r="T1712" s="35"/>
      <c r="U1712" s="35"/>
      <c r="V1712" s="35"/>
      <c r="W1712" s="35"/>
      <c r="X1712" s="35"/>
      <c r="Y1712" s="35"/>
      <c r="Z1712" s="35"/>
      <c r="AA1712" s="35"/>
      <c r="AB1712" s="35"/>
      <c r="AC1712" s="35"/>
      <c r="AD1712" s="35"/>
      <c r="AE1712" s="35"/>
      <c r="AF1712" s="35"/>
      <c r="AG1712" s="35"/>
      <c r="AH1712" s="35"/>
      <c r="AI1712" s="35"/>
      <c r="AJ1712" s="35"/>
      <c r="AK1712" s="35"/>
      <c r="AL1712" s="35"/>
      <c r="AM1712" s="35"/>
      <c r="AN1712" s="35"/>
      <c r="AO1712" s="35"/>
      <c r="AP1712" s="35"/>
    </row>
    <row r="1713" spans="1:42" ht="17.25" customHeight="1" x14ac:dyDescent="0.25">
      <c r="A1713" s="60">
        <v>2019</v>
      </c>
      <c r="B1713" s="61" t="s">
        <v>66</v>
      </c>
      <c r="C1713" s="61" t="s">
        <v>35</v>
      </c>
      <c r="D1713" s="61" t="s">
        <v>37</v>
      </c>
      <c r="E1713" s="61" t="s">
        <v>67</v>
      </c>
      <c r="F1713" s="61" t="s">
        <v>67</v>
      </c>
      <c r="G1713" s="62">
        <v>2752406165</v>
      </c>
      <c r="H1713" s="61" t="s">
        <v>68</v>
      </c>
      <c r="I1713" s="63" t="str">
        <f t="shared" si="134"/>
        <v>Chile-Offline</v>
      </c>
      <c r="J1713" s="47"/>
      <c r="K1713" s="54"/>
      <c r="L1713" s="35"/>
      <c r="M1713" s="35"/>
      <c r="N1713" s="35"/>
      <c r="O1713" s="35"/>
      <c r="P1713" s="35"/>
      <c r="Q1713" s="35"/>
      <c r="R1713" s="35"/>
      <c r="S1713" s="35"/>
      <c r="T1713" s="35"/>
      <c r="U1713" s="35"/>
      <c r="V1713" s="35"/>
      <c r="W1713" s="35"/>
      <c r="X1713" s="35"/>
      <c r="Y1713" s="35"/>
      <c r="Z1713" s="35"/>
      <c r="AA1713" s="35"/>
      <c r="AB1713" s="35"/>
      <c r="AC1713" s="35"/>
      <c r="AD1713" s="35"/>
      <c r="AE1713" s="35"/>
      <c r="AF1713" s="35"/>
      <c r="AG1713" s="35"/>
      <c r="AH1713" s="35"/>
      <c r="AI1713" s="35"/>
      <c r="AJ1713" s="35"/>
      <c r="AK1713" s="35"/>
      <c r="AL1713" s="35"/>
      <c r="AM1713" s="35"/>
      <c r="AN1713" s="35"/>
      <c r="AO1713" s="35"/>
      <c r="AP1713" s="35"/>
    </row>
    <row r="1714" spans="1:42" ht="17.25" customHeight="1" x14ac:dyDescent="0.25">
      <c r="A1714" s="55">
        <v>2019</v>
      </c>
      <c r="B1714" s="56" t="s">
        <v>66</v>
      </c>
      <c r="C1714" s="56" t="s">
        <v>35</v>
      </c>
      <c r="D1714" s="56" t="s">
        <v>37</v>
      </c>
      <c r="E1714" s="56" t="s">
        <v>69</v>
      </c>
      <c r="F1714" s="56" t="s">
        <v>70</v>
      </c>
      <c r="G1714" s="57">
        <v>943497548</v>
      </c>
      <c r="H1714" s="56" t="s">
        <v>68</v>
      </c>
      <c r="I1714" s="58" t="str">
        <f t="shared" si="134"/>
        <v>Chile-Online Supplier-Direct</v>
      </c>
      <c r="J1714" s="40"/>
      <c r="K1714" s="59"/>
      <c r="L1714" s="35"/>
      <c r="M1714" s="35"/>
      <c r="N1714" s="35"/>
      <c r="O1714" s="35"/>
      <c r="P1714" s="35"/>
      <c r="Q1714" s="35"/>
      <c r="R1714" s="35"/>
      <c r="S1714" s="35"/>
      <c r="T1714" s="35"/>
      <c r="U1714" s="35"/>
      <c r="V1714" s="35"/>
      <c r="W1714" s="35"/>
      <c r="X1714" s="35"/>
      <c r="Y1714" s="35"/>
      <c r="Z1714" s="35"/>
      <c r="AA1714" s="35"/>
      <c r="AB1714" s="35"/>
      <c r="AC1714" s="35"/>
      <c r="AD1714" s="35"/>
      <c r="AE1714" s="35"/>
      <c r="AF1714" s="35"/>
      <c r="AG1714" s="35"/>
      <c r="AH1714" s="35"/>
      <c r="AI1714" s="35"/>
      <c r="AJ1714" s="35"/>
      <c r="AK1714" s="35"/>
      <c r="AL1714" s="35"/>
      <c r="AM1714" s="35"/>
      <c r="AN1714" s="35"/>
      <c r="AO1714" s="35"/>
      <c r="AP1714" s="35"/>
    </row>
    <row r="1715" spans="1:42" ht="17.25" customHeight="1" x14ac:dyDescent="0.25">
      <c r="A1715" s="60">
        <v>2019</v>
      </c>
      <c r="B1715" s="61" t="s">
        <v>66</v>
      </c>
      <c r="C1715" s="61" t="s">
        <v>35</v>
      </c>
      <c r="D1715" s="61" t="s">
        <v>37</v>
      </c>
      <c r="E1715" s="61" t="s">
        <v>69</v>
      </c>
      <c r="F1715" s="61" t="s">
        <v>71</v>
      </c>
      <c r="G1715" s="62">
        <v>937240081</v>
      </c>
      <c r="H1715" s="61" t="s">
        <v>68</v>
      </c>
      <c r="I1715" s="63" t="str">
        <f t="shared" si="134"/>
        <v>Chile-OTA</v>
      </c>
      <c r="J1715" s="47"/>
      <c r="K1715" s="54"/>
      <c r="L1715" s="35"/>
      <c r="M1715" s="35"/>
      <c r="N1715" s="35"/>
      <c r="O1715" s="35"/>
      <c r="P1715" s="35"/>
      <c r="Q1715" s="35"/>
      <c r="R1715" s="35"/>
      <c r="S1715" s="35"/>
      <c r="T1715" s="35"/>
      <c r="U1715" s="35"/>
      <c r="V1715" s="35"/>
      <c r="W1715" s="35"/>
      <c r="X1715" s="35"/>
      <c r="Y1715" s="35"/>
      <c r="Z1715" s="35"/>
      <c r="AA1715" s="35"/>
      <c r="AB1715" s="35"/>
      <c r="AC1715" s="35"/>
      <c r="AD1715" s="35"/>
      <c r="AE1715" s="35"/>
      <c r="AF1715" s="35"/>
      <c r="AG1715" s="35"/>
      <c r="AH1715" s="35"/>
      <c r="AI1715" s="35"/>
      <c r="AJ1715" s="35"/>
      <c r="AK1715" s="35"/>
      <c r="AL1715" s="35"/>
      <c r="AM1715" s="35"/>
      <c r="AN1715" s="35"/>
      <c r="AO1715" s="35"/>
      <c r="AP1715" s="35"/>
    </row>
    <row r="1716" spans="1:42" ht="17.25" customHeight="1" x14ac:dyDescent="0.25">
      <c r="A1716" s="55">
        <v>2019</v>
      </c>
      <c r="B1716" s="56" t="s">
        <v>66</v>
      </c>
      <c r="C1716" s="56" t="s">
        <v>4</v>
      </c>
      <c r="D1716" s="56" t="s">
        <v>5</v>
      </c>
      <c r="E1716" s="56" t="s">
        <v>67</v>
      </c>
      <c r="F1716" s="56" t="s">
        <v>67</v>
      </c>
      <c r="G1716" s="57">
        <v>78451264948</v>
      </c>
      <c r="H1716" s="56" t="s">
        <v>68</v>
      </c>
      <c r="I1716" s="58" t="str">
        <f t="shared" si="134"/>
        <v>China-Offline</v>
      </c>
      <c r="J1716" s="40"/>
      <c r="K1716" s="59"/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  <c r="AA1716" s="35"/>
      <c r="AB1716" s="35"/>
      <c r="AC1716" s="35"/>
      <c r="AD1716" s="35"/>
      <c r="AE1716" s="35"/>
      <c r="AF1716" s="35"/>
      <c r="AG1716" s="35"/>
      <c r="AH1716" s="35"/>
      <c r="AI1716" s="35"/>
      <c r="AJ1716" s="35"/>
      <c r="AK1716" s="35"/>
      <c r="AL1716" s="35"/>
      <c r="AM1716" s="35"/>
      <c r="AN1716" s="35"/>
      <c r="AO1716" s="35"/>
      <c r="AP1716" s="35"/>
    </row>
    <row r="1717" spans="1:42" ht="17.25" customHeight="1" x14ac:dyDescent="0.25">
      <c r="A1717" s="60">
        <v>2019</v>
      </c>
      <c r="B1717" s="61" t="s">
        <v>66</v>
      </c>
      <c r="C1717" s="61" t="s">
        <v>4</v>
      </c>
      <c r="D1717" s="61" t="s">
        <v>5</v>
      </c>
      <c r="E1717" s="61" t="s">
        <v>69</v>
      </c>
      <c r="F1717" s="61" t="s">
        <v>70</v>
      </c>
      <c r="G1717" s="62">
        <v>43565300466</v>
      </c>
      <c r="H1717" s="61" t="s">
        <v>68</v>
      </c>
      <c r="I1717" s="63" t="str">
        <f t="shared" si="134"/>
        <v>China-Online Supplier-Direct</v>
      </c>
      <c r="J1717" s="47"/>
      <c r="K1717" s="54"/>
      <c r="L1717" s="35"/>
      <c r="M1717" s="35"/>
      <c r="N1717" s="35"/>
      <c r="O1717" s="35"/>
      <c r="P1717" s="35"/>
      <c r="Q1717" s="35"/>
      <c r="R1717" s="35"/>
      <c r="S1717" s="35"/>
      <c r="T1717" s="35"/>
      <c r="U1717" s="35"/>
      <c r="V1717" s="35"/>
      <c r="W1717" s="35"/>
      <c r="X1717" s="35"/>
      <c r="Y1717" s="35"/>
      <c r="Z1717" s="35"/>
      <c r="AA1717" s="35"/>
      <c r="AB1717" s="35"/>
      <c r="AC1717" s="35"/>
      <c r="AD1717" s="35"/>
      <c r="AE1717" s="35"/>
      <c r="AF1717" s="35"/>
      <c r="AG1717" s="35"/>
      <c r="AH1717" s="35"/>
      <c r="AI1717" s="35"/>
      <c r="AJ1717" s="35"/>
      <c r="AK1717" s="35"/>
      <c r="AL1717" s="35"/>
      <c r="AM1717" s="35"/>
      <c r="AN1717" s="35"/>
      <c r="AO1717" s="35"/>
      <c r="AP1717" s="35"/>
    </row>
    <row r="1718" spans="1:42" ht="17.25" customHeight="1" x14ac:dyDescent="0.25">
      <c r="A1718" s="55">
        <v>2019</v>
      </c>
      <c r="B1718" s="56" t="s">
        <v>66</v>
      </c>
      <c r="C1718" s="56" t="s">
        <v>4</v>
      </c>
      <c r="D1718" s="56" t="s">
        <v>5</v>
      </c>
      <c r="E1718" s="56" t="s">
        <v>69</v>
      </c>
      <c r="F1718" s="56" t="s">
        <v>71</v>
      </c>
      <c r="G1718" s="57">
        <v>53030253496</v>
      </c>
      <c r="H1718" s="56" t="s">
        <v>68</v>
      </c>
      <c r="I1718" s="58" t="str">
        <f t="shared" si="134"/>
        <v>China-OTA</v>
      </c>
      <c r="J1718" s="40"/>
      <c r="K1718" s="59"/>
      <c r="L1718" s="35"/>
      <c r="M1718" s="35"/>
      <c r="N1718" s="35"/>
      <c r="O1718" s="35"/>
      <c r="P1718" s="35"/>
      <c r="Q1718" s="35"/>
      <c r="R1718" s="35"/>
      <c r="S1718" s="35"/>
      <c r="T1718" s="35"/>
      <c r="U1718" s="35"/>
      <c r="V1718" s="35"/>
      <c r="W1718" s="35"/>
      <c r="X1718" s="35"/>
      <c r="Y1718" s="35"/>
      <c r="Z1718" s="35"/>
      <c r="AA1718" s="35"/>
      <c r="AB1718" s="35"/>
      <c r="AC1718" s="35"/>
      <c r="AD1718" s="35"/>
      <c r="AE1718" s="35"/>
      <c r="AF1718" s="35"/>
      <c r="AG1718" s="35"/>
      <c r="AH1718" s="35"/>
      <c r="AI1718" s="35"/>
      <c r="AJ1718" s="35"/>
      <c r="AK1718" s="35"/>
      <c r="AL1718" s="35"/>
      <c r="AM1718" s="35"/>
      <c r="AN1718" s="35"/>
      <c r="AO1718" s="35"/>
      <c r="AP1718" s="35"/>
    </row>
    <row r="1719" spans="1:42" ht="17.25" customHeight="1" x14ac:dyDescent="0.25">
      <c r="A1719" s="60">
        <v>2019</v>
      </c>
      <c r="B1719" s="61" t="s">
        <v>66</v>
      </c>
      <c r="C1719" s="61" t="s">
        <v>35</v>
      </c>
      <c r="D1719" s="61" t="s">
        <v>38</v>
      </c>
      <c r="E1719" s="61" t="s">
        <v>67</v>
      </c>
      <c r="F1719" s="61" t="s">
        <v>67</v>
      </c>
      <c r="G1719" s="62">
        <v>5212880100</v>
      </c>
      <c r="H1719" s="61" t="s">
        <v>68</v>
      </c>
      <c r="I1719" s="63" t="str">
        <f t="shared" si="134"/>
        <v>Colombia-Offline</v>
      </c>
      <c r="J1719" s="47"/>
      <c r="K1719" s="54"/>
      <c r="L1719" s="35"/>
      <c r="M1719" s="35"/>
      <c r="N1719" s="35"/>
      <c r="O1719" s="35"/>
      <c r="P1719" s="35"/>
      <c r="Q1719" s="35"/>
      <c r="R1719" s="35"/>
      <c r="S1719" s="35"/>
      <c r="T1719" s="35"/>
      <c r="U1719" s="35"/>
      <c r="V1719" s="35"/>
      <c r="W1719" s="35"/>
      <c r="X1719" s="35"/>
      <c r="Y1719" s="35"/>
      <c r="Z1719" s="35"/>
      <c r="AA1719" s="35"/>
      <c r="AB1719" s="35"/>
      <c r="AC1719" s="35"/>
      <c r="AD1719" s="35"/>
      <c r="AE1719" s="35"/>
      <c r="AF1719" s="35"/>
      <c r="AG1719" s="35"/>
      <c r="AH1719" s="35"/>
      <c r="AI1719" s="35"/>
      <c r="AJ1719" s="35"/>
      <c r="AK1719" s="35"/>
      <c r="AL1719" s="35"/>
      <c r="AM1719" s="35"/>
      <c r="AN1719" s="35"/>
      <c r="AO1719" s="35"/>
      <c r="AP1719" s="35"/>
    </row>
    <row r="1720" spans="1:42" ht="17.25" customHeight="1" x14ac:dyDescent="0.25">
      <c r="A1720" s="55">
        <v>2019</v>
      </c>
      <c r="B1720" s="56" t="s">
        <v>66</v>
      </c>
      <c r="C1720" s="56" t="s">
        <v>35</v>
      </c>
      <c r="D1720" s="56" t="s">
        <v>38</v>
      </c>
      <c r="E1720" s="56" t="s">
        <v>69</v>
      </c>
      <c r="F1720" s="56" t="s">
        <v>70</v>
      </c>
      <c r="G1720" s="57">
        <v>1444466327</v>
      </c>
      <c r="H1720" s="56" t="s">
        <v>68</v>
      </c>
      <c r="I1720" s="58" t="str">
        <f t="shared" si="134"/>
        <v>Colombia-Online Supplier-Direct</v>
      </c>
      <c r="J1720" s="40"/>
      <c r="K1720" s="59"/>
      <c r="L1720" s="35"/>
      <c r="M1720" s="35"/>
      <c r="N1720" s="35"/>
      <c r="O1720" s="35"/>
      <c r="P1720" s="35"/>
      <c r="Q1720" s="35"/>
      <c r="R1720" s="35"/>
      <c r="S1720" s="35"/>
      <c r="T1720" s="35"/>
      <c r="U1720" s="35"/>
      <c r="V1720" s="35"/>
      <c r="W1720" s="35"/>
      <c r="X1720" s="35"/>
      <c r="Y1720" s="35"/>
      <c r="Z1720" s="35"/>
      <c r="AA1720" s="35"/>
      <c r="AB1720" s="35"/>
      <c r="AC1720" s="35"/>
      <c r="AD1720" s="35"/>
      <c r="AE1720" s="35"/>
      <c r="AF1720" s="35"/>
      <c r="AG1720" s="35"/>
      <c r="AH1720" s="35"/>
      <c r="AI1720" s="35"/>
      <c r="AJ1720" s="35"/>
      <c r="AK1720" s="35"/>
      <c r="AL1720" s="35"/>
      <c r="AM1720" s="35"/>
      <c r="AN1720" s="35"/>
      <c r="AO1720" s="35"/>
      <c r="AP1720" s="35"/>
    </row>
    <row r="1721" spans="1:42" ht="17.25" customHeight="1" x14ac:dyDescent="0.25">
      <c r="A1721" s="60">
        <v>2019</v>
      </c>
      <c r="B1721" s="61" t="s">
        <v>66</v>
      </c>
      <c r="C1721" s="61" t="s">
        <v>35</v>
      </c>
      <c r="D1721" s="61" t="s">
        <v>38</v>
      </c>
      <c r="E1721" s="61" t="s">
        <v>69</v>
      </c>
      <c r="F1721" s="61" t="s">
        <v>71</v>
      </c>
      <c r="G1721" s="62">
        <v>1620256838</v>
      </c>
      <c r="H1721" s="61" t="s">
        <v>68</v>
      </c>
      <c r="I1721" s="63" t="str">
        <f t="shared" si="134"/>
        <v>Colombia-OTA</v>
      </c>
      <c r="J1721" s="47"/>
      <c r="K1721" s="54"/>
      <c r="L1721" s="35"/>
      <c r="M1721" s="35"/>
      <c r="N1721" s="35"/>
      <c r="O1721" s="35"/>
      <c r="P1721" s="35"/>
      <c r="Q1721" s="35"/>
      <c r="R1721" s="35"/>
      <c r="S1721" s="35"/>
      <c r="T1721" s="35"/>
      <c r="U1721" s="35"/>
      <c r="V1721" s="35"/>
      <c r="W1721" s="35"/>
      <c r="X1721" s="35"/>
      <c r="Y1721" s="35"/>
      <c r="Z1721" s="35"/>
      <c r="AA1721" s="35"/>
      <c r="AB1721" s="35"/>
      <c r="AC1721" s="35"/>
      <c r="AD1721" s="35"/>
      <c r="AE1721" s="35"/>
      <c r="AF1721" s="35"/>
      <c r="AG1721" s="35"/>
      <c r="AH1721" s="35"/>
      <c r="AI1721" s="35"/>
      <c r="AJ1721" s="35"/>
      <c r="AK1721" s="35"/>
      <c r="AL1721" s="35"/>
      <c r="AM1721" s="35"/>
      <c r="AN1721" s="35"/>
      <c r="AO1721" s="35"/>
      <c r="AP1721" s="35"/>
    </row>
    <row r="1722" spans="1:42" ht="17.25" customHeight="1" x14ac:dyDescent="0.25">
      <c r="A1722" s="55">
        <v>2019</v>
      </c>
      <c r="B1722" s="56" t="s">
        <v>66</v>
      </c>
      <c r="C1722" s="56" t="s">
        <v>17</v>
      </c>
      <c r="D1722" s="56" t="s">
        <v>18</v>
      </c>
      <c r="E1722" s="56" t="s">
        <v>67</v>
      </c>
      <c r="F1722" s="56" t="s">
        <v>67</v>
      </c>
      <c r="G1722" s="57">
        <v>1687677623</v>
      </c>
      <c r="H1722" s="56" t="s">
        <v>68</v>
      </c>
      <c r="I1722" s="58" t="str">
        <f t="shared" si="134"/>
        <v>Czech Republic-Offline</v>
      </c>
      <c r="J1722" s="40"/>
      <c r="K1722" s="59"/>
      <c r="L1722" s="35"/>
      <c r="M1722" s="35"/>
      <c r="N1722" s="35"/>
      <c r="O1722" s="35"/>
      <c r="P1722" s="35"/>
      <c r="Q1722" s="35"/>
      <c r="R1722" s="35"/>
      <c r="S1722" s="35"/>
      <c r="T1722" s="35"/>
      <c r="U1722" s="35"/>
      <c r="V1722" s="35"/>
      <c r="W1722" s="35"/>
      <c r="X1722" s="35"/>
      <c r="Y1722" s="35"/>
      <c r="Z1722" s="35"/>
      <c r="AA1722" s="35"/>
      <c r="AB1722" s="35"/>
      <c r="AC1722" s="35"/>
      <c r="AD1722" s="35"/>
      <c r="AE1722" s="35"/>
      <c r="AF1722" s="35"/>
      <c r="AG1722" s="35"/>
      <c r="AH1722" s="35"/>
      <c r="AI1722" s="35"/>
      <c r="AJ1722" s="35"/>
      <c r="AK1722" s="35"/>
      <c r="AL1722" s="35"/>
      <c r="AM1722" s="35"/>
      <c r="AN1722" s="35"/>
      <c r="AO1722" s="35"/>
      <c r="AP1722" s="35"/>
    </row>
    <row r="1723" spans="1:42" ht="17.25" customHeight="1" x14ac:dyDescent="0.25">
      <c r="A1723" s="60">
        <v>2019</v>
      </c>
      <c r="B1723" s="61" t="s">
        <v>66</v>
      </c>
      <c r="C1723" s="61" t="s">
        <v>17</v>
      </c>
      <c r="D1723" s="61" t="s">
        <v>18</v>
      </c>
      <c r="E1723" s="61" t="s">
        <v>69</v>
      </c>
      <c r="F1723" s="61" t="s">
        <v>70</v>
      </c>
      <c r="G1723" s="62">
        <v>1189083659</v>
      </c>
      <c r="H1723" s="61" t="s">
        <v>68</v>
      </c>
      <c r="I1723" s="63" t="str">
        <f t="shared" si="134"/>
        <v>Czech Republic-Online Supplier-Direct</v>
      </c>
      <c r="J1723" s="47"/>
      <c r="K1723" s="54"/>
      <c r="L1723" s="35"/>
      <c r="M1723" s="35"/>
      <c r="N1723" s="35"/>
      <c r="O1723" s="35"/>
      <c r="P1723" s="35"/>
      <c r="Q1723" s="35"/>
      <c r="R1723" s="35"/>
      <c r="S1723" s="35"/>
      <c r="T1723" s="35"/>
      <c r="U1723" s="35"/>
      <c r="V1723" s="35"/>
      <c r="W1723" s="35"/>
      <c r="X1723" s="35"/>
      <c r="Y1723" s="35"/>
      <c r="Z1723" s="35"/>
      <c r="AA1723" s="35"/>
      <c r="AB1723" s="35"/>
      <c r="AC1723" s="35"/>
      <c r="AD1723" s="35"/>
      <c r="AE1723" s="35"/>
      <c r="AF1723" s="35"/>
      <c r="AG1723" s="35"/>
      <c r="AH1723" s="35"/>
      <c r="AI1723" s="35"/>
      <c r="AJ1723" s="35"/>
      <c r="AK1723" s="35"/>
      <c r="AL1723" s="35"/>
      <c r="AM1723" s="35"/>
      <c r="AN1723" s="35"/>
      <c r="AO1723" s="35"/>
      <c r="AP1723" s="35"/>
    </row>
    <row r="1724" spans="1:42" ht="17.25" customHeight="1" x14ac:dyDescent="0.25">
      <c r="A1724" s="55">
        <v>2019</v>
      </c>
      <c r="B1724" s="56" t="s">
        <v>66</v>
      </c>
      <c r="C1724" s="56" t="s">
        <v>17</v>
      </c>
      <c r="D1724" s="56" t="s">
        <v>18</v>
      </c>
      <c r="E1724" s="56" t="s">
        <v>69</v>
      </c>
      <c r="F1724" s="56" t="s">
        <v>71</v>
      </c>
      <c r="G1724" s="57">
        <v>798489924</v>
      </c>
      <c r="H1724" s="56" t="s">
        <v>68</v>
      </c>
      <c r="I1724" s="58" t="str">
        <f t="shared" si="134"/>
        <v>Czech Republic-OTA</v>
      </c>
      <c r="J1724" s="40"/>
      <c r="K1724" s="59"/>
      <c r="L1724" s="35"/>
      <c r="M1724" s="35"/>
      <c r="N1724" s="35"/>
      <c r="O1724" s="35"/>
      <c r="P1724" s="35"/>
      <c r="Q1724" s="35"/>
      <c r="R1724" s="35"/>
      <c r="S1724" s="35"/>
      <c r="T1724" s="35"/>
      <c r="U1724" s="35"/>
      <c r="V1724" s="35"/>
      <c r="W1724" s="35"/>
      <c r="X1724" s="35"/>
      <c r="Y1724" s="35"/>
      <c r="Z1724" s="35"/>
      <c r="AA1724" s="35"/>
      <c r="AB1724" s="35"/>
      <c r="AC1724" s="35"/>
      <c r="AD1724" s="35"/>
      <c r="AE1724" s="35"/>
      <c r="AF1724" s="35"/>
      <c r="AG1724" s="35"/>
      <c r="AH1724" s="35"/>
      <c r="AI1724" s="35"/>
      <c r="AJ1724" s="35"/>
      <c r="AK1724" s="35"/>
      <c r="AL1724" s="35"/>
      <c r="AM1724" s="35"/>
      <c r="AN1724" s="35"/>
      <c r="AO1724" s="35"/>
      <c r="AP1724" s="35"/>
    </row>
    <row r="1725" spans="1:42" ht="17.25" customHeight="1" x14ac:dyDescent="0.25">
      <c r="A1725" s="60">
        <v>2019</v>
      </c>
      <c r="B1725" s="61" t="s">
        <v>66</v>
      </c>
      <c r="C1725" s="61" t="s">
        <v>41</v>
      </c>
      <c r="D1725" s="61" t="s">
        <v>40</v>
      </c>
      <c r="E1725" s="61" t="s">
        <v>67</v>
      </c>
      <c r="F1725" s="61" t="s">
        <v>67</v>
      </c>
      <c r="G1725" s="62">
        <v>3236888074</v>
      </c>
      <c r="H1725" s="61" t="s">
        <v>68</v>
      </c>
      <c r="I1725" s="63" t="str">
        <f t="shared" si="134"/>
        <v>Egypt-Offline</v>
      </c>
      <c r="J1725" s="47"/>
      <c r="K1725" s="54"/>
      <c r="L1725" s="35"/>
      <c r="M1725" s="35"/>
      <c r="N1725" s="35"/>
      <c r="O1725" s="35"/>
      <c r="P1725" s="35"/>
      <c r="Q1725" s="35"/>
      <c r="R1725" s="35"/>
      <c r="S1725" s="35"/>
      <c r="T1725" s="35"/>
      <c r="U1725" s="35"/>
      <c r="V1725" s="35"/>
      <c r="W1725" s="35"/>
      <c r="X1725" s="35"/>
      <c r="Y1725" s="35"/>
      <c r="Z1725" s="35"/>
      <c r="AA1725" s="35"/>
      <c r="AB1725" s="35"/>
      <c r="AC1725" s="35"/>
      <c r="AD1725" s="35"/>
      <c r="AE1725" s="35"/>
      <c r="AF1725" s="35"/>
      <c r="AG1725" s="35"/>
      <c r="AH1725" s="35"/>
      <c r="AI1725" s="35"/>
      <c r="AJ1725" s="35"/>
      <c r="AK1725" s="35"/>
      <c r="AL1725" s="35"/>
      <c r="AM1725" s="35"/>
      <c r="AN1725" s="35"/>
      <c r="AO1725" s="35"/>
      <c r="AP1725" s="35"/>
    </row>
    <row r="1726" spans="1:42" ht="17.25" customHeight="1" x14ac:dyDescent="0.25">
      <c r="A1726" s="55">
        <v>2019</v>
      </c>
      <c r="B1726" s="56" t="s">
        <v>66</v>
      </c>
      <c r="C1726" s="56" t="s">
        <v>41</v>
      </c>
      <c r="D1726" s="56" t="s">
        <v>40</v>
      </c>
      <c r="E1726" s="56" t="s">
        <v>69</v>
      </c>
      <c r="F1726" s="56" t="s">
        <v>70</v>
      </c>
      <c r="G1726" s="57">
        <v>534502429</v>
      </c>
      <c r="H1726" s="56" t="s">
        <v>68</v>
      </c>
      <c r="I1726" s="58" t="str">
        <f t="shared" si="134"/>
        <v>Egypt-Online Supplier-Direct</v>
      </c>
      <c r="J1726" s="40"/>
      <c r="K1726" s="59"/>
      <c r="L1726" s="35"/>
      <c r="M1726" s="35"/>
      <c r="N1726" s="35"/>
      <c r="O1726" s="35"/>
      <c r="P1726" s="35"/>
      <c r="Q1726" s="35"/>
      <c r="R1726" s="35"/>
      <c r="S1726" s="35"/>
      <c r="T1726" s="35"/>
      <c r="U1726" s="35"/>
      <c r="V1726" s="35"/>
      <c r="W1726" s="35"/>
      <c r="X1726" s="35"/>
      <c r="Y1726" s="35"/>
      <c r="Z1726" s="35"/>
      <c r="AA1726" s="35"/>
      <c r="AB1726" s="35"/>
      <c r="AC1726" s="35"/>
      <c r="AD1726" s="35"/>
      <c r="AE1726" s="35"/>
      <c r="AF1726" s="35"/>
      <c r="AG1726" s="35"/>
      <c r="AH1726" s="35"/>
      <c r="AI1726" s="35"/>
      <c r="AJ1726" s="35"/>
      <c r="AK1726" s="35"/>
      <c r="AL1726" s="35"/>
      <c r="AM1726" s="35"/>
      <c r="AN1726" s="35"/>
      <c r="AO1726" s="35"/>
      <c r="AP1726" s="35"/>
    </row>
    <row r="1727" spans="1:42" ht="17.25" customHeight="1" x14ac:dyDescent="0.25">
      <c r="A1727" s="60">
        <v>2019</v>
      </c>
      <c r="B1727" s="61" t="s">
        <v>66</v>
      </c>
      <c r="C1727" s="61" t="s">
        <v>41</v>
      </c>
      <c r="D1727" s="61" t="s">
        <v>40</v>
      </c>
      <c r="E1727" s="61" t="s">
        <v>69</v>
      </c>
      <c r="F1727" s="61" t="s">
        <v>71</v>
      </c>
      <c r="G1727" s="62">
        <v>520609994</v>
      </c>
      <c r="H1727" s="61" t="s">
        <v>68</v>
      </c>
      <c r="I1727" s="63" t="str">
        <f t="shared" si="134"/>
        <v>Egypt-OTA</v>
      </c>
      <c r="J1727" s="47"/>
      <c r="K1727" s="54"/>
      <c r="L1727" s="35"/>
      <c r="M1727" s="35"/>
      <c r="N1727" s="35"/>
      <c r="O1727" s="35"/>
      <c r="P1727" s="35"/>
      <c r="Q1727" s="35"/>
      <c r="R1727" s="35"/>
      <c r="S1727" s="35"/>
      <c r="T1727" s="35"/>
      <c r="U1727" s="35"/>
      <c r="V1727" s="35"/>
      <c r="W1727" s="35"/>
      <c r="X1727" s="35"/>
      <c r="Y1727" s="35"/>
      <c r="Z1727" s="35"/>
      <c r="AA1727" s="35"/>
      <c r="AB1727" s="35"/>
      <c r="AC1727" s="35"/>
      <c r="AD1727" s="35"/>
      <c r="AE1727" s="35"/>
      <c r="AF1727" s="35"/>
      <c r="AG1727" s="35"/>
      <c r="AH1727" s="35"/>
      <c r="AI1727" s="35"/>
      <c r="AJ1727" s="35"/>
      <c r="AK1727" s="35"/>
      <c r="AL1727" s="35"/>
      <c r="AM1727" s="35"/>
      <c r="AN1727" s="35"/>
      <c r="AO1727" s="35"/>
      <c r="AP1727" s="35"/>
    </row>
    <row r="1728" spans="1:42" ht="17.25" customHeight="1" x14ac:dyDescent="0.25">
      <c r="A1728" s="55">
        <v>2019</v>
      </c>
      <c r="B1728" s="56" t="s">
        <v>66</v>
      </c>
      <c r="C1728" s="56" t="s">
        <v>27</v>
      </c>
      <c r="D1728" s="56" t="s">
        <v>26</v>
      </c>
      <c r="E1728" s="56" t="s">
        <v>67</v>
      </c>
      <c r="F1728" s="56" t="s">
        <v>67</v>
      </c>
      <c r="G1728" s="57">
        <v>29652758692</v>
      </c>
      <c r="H1728" s="56" t="s">
        <v>68</v>
      </c>
      <c r="I1728" s="58" t="str">
        <f t="shared" si="134"/>
        <v>France-Offline</v>
      </c>
      <c r="J1728" s="40"/>
      <c r="K1728" s="59"/>
      <c r="L1728" s="35"/>
      <c r="M1728" s="35"/>
      <c r="N1728" s="35"/>
      <c r="O1728" s="35"/>
      <c r="P1728" s="35"/>
      <c r="Q1728" s="35"/>
      <c r="R1728" s="35"/>
      <c r="S1728" s="35"/>
      <c r="T1728" s="35"/>
      <c r="U1728" s="35"/>
      <c r="V1728" s="35"/>
      <c r="W1728" s="35"/>
      <c r="X1728" s="35"/>
      <c r="Y1728" s="35"/>
      <c r="Z1728" s="35"/>
      <c r="AA1728" s="35"/>
      <c r="AB1728" s="35"/>
      <c r="AC1728" s="35"/>
      <c r="AD1728" s="35"/>
      <c r="AE1728" s="35"/>
      <c r="AF1728" s="35"/>
      <c r="AG1728" s="35"/>
      <c r="AH1728" s="35"/>
      <c r="AI1728" s="35"/>
      <c r="AJ1728" s="35"/>
      <c r="AK1728" s="35"/>
      <c r="AL1728" s="35"/>
      <c r="AM1728" s="35"/>
      <c r="AN1728" s="35"/>
      <c r="AO1728" s="35"/>
      <c r="AP1728" s="35"/>
    </row>
    <row r="1729" spans="1:42" ht="17.25" customHeight="1" x14ac:dyDescent="0.25">
      <c r="A1729" s="60">
        <v>2019</v>
      </c>
      <c r="B1729" s="61" t="s">
        <v>66</v>
      </c>
      <c r="C1729" s="61" t="s">
        <v>27</v>
      </c>
      <c r="D1729" s="61" t="s">
        <v>26</v>
      </c>
      <c r="E1729" s="61" t="s">
        <v>69</v>
      </c>
      <c r="F1729" s="61" t="s">
        <v>70</v>
      </c>
      <c r="G1729" s="62">
        <v>18308550640</v>
      </c>
      <c r="H1729" s="61" t="s">
        <v>68</v>
      </c>
      <c r="I1729" s="63" t="str">
        <f t="shared" si="134"/>
        <v>France-Online Supplier-Direct</v>
      </c>
      <c r="J1729" s="47"/>
      <c r="K1729" s="54"/>
      <c r="L1729" s="35"/>
      <c r="M1729" s="35"/>
      <c r="N1729" s="35"/>
      <c r="O1729" s="35"/>
      <c r="P1729" s="35"/>
      <c r="Q1729" s="35"/>
      <c r="R1729" s="35"/>
      <c r="S1729" s="35"/>
      <c r="T1729" s="35"/>
      <c r="U1729" s="35"/>
      <c r="V1729" s="35"/>
      <c r="W1729" s="35"/>
      <c r="X1729" s="35"/>
      <c r="Y1729" s="35"/>
      <c r="Z1729" s="35"/>
      <c r="AA1729" s="35"/>
      <c r="AB1729" s="35"/>
      <c r="AC1729" s="35"/>
      <c r="AD1729" s="35"/>
      <c r="AE1729" s="35"/>
      <c r="AF1729" s="35"/>
      <c r="AG1729" s="35"/>
      <c r="AH1729" s="35"/>
      <c r="AI1729" s="35"/>
      <c r="AJ1729" s="35"/>
      <c r="AK1729" s="35"/>
      <c r="AL1729" s="35"/>
      <c r="AM1729" s="35"/>
      <c r="AN1729" s="35"/>
      <c r="AO1729" s="35"/>
      <c r="AP1729" s="35"/>
    </row>
    <row r="1730" spans="1:42" ht="17.25" customHeight="1" x14ac:dyDescent="0.25">
      <c r="A1730" s="55">
        <v>2019</v>
      </c>
      <c r="B1730" s="56" t="s">
        <v>66</v>
      </c>
      <c r="C1730" s="56" t="s">
        <v>27</v>
      </c>
      <c r="D1730" s="56" t="s">
        <v>26</v>
      </c>
      <c r="E1730" s="56" t="s">
        <v>69</v>
      </c>
      <c r="F1730" s="56" t="s">
        <v>71</v>
      </c>
      <c r="G1730" s="57">
        <v>7088955354</v>
      </c>
      <c r="H1730" s="56" t="s">
        <v>68</v>
      </c>
      <c r="I1730" s="58" t="str">
        <f t="shared" si="134"/>
        <v>France-OTA</v>
      </c>
      <c r="J1730" s="40"/>
      <c r="K1730" s="59"/>
      <c r="L1730" s="35"/>
      <c r="M1730" s="35"/>
      <c r="N1730" s="35"/>
      <c r="O1730" s="35"/>
      <c r="P1730" s="35"/>
      <c r="Q1730" s="35"/>
      <c r="R1730" s="35"/>
      <c r="S1730" s="35"/>
      <c r="T1730" s="35"/>
      <c r="U1730" s="35"/>
      <c r="V1730" s="35"/>
      <c r="W1730" s="35"/>
      <c r="X1730" s="35"/>
      <c r="Y1730" s="35"/>
      <c r="Z1730" s="35"/>
      <c r="AA1730" s="35"/>
      <c r="AB1730" s="35"/>
      <c r="AC1730" s="35"/>
      <c r="AD1730" s="35"/>
      <c r="AE1730" s="35"/>
      <c r="AF1730" s="35"/>
      <c r="AG1730" s="35"/>
      <c r="AH1730" s="35"/>
      <c r="AI1730" s="35"/>
      <c r="AJ1730" s="35"/>
      <c r="AK1730" s="35"/>
      <c r="AL1730" s="35"/>
      <c r="AM1730" s="35"/>
      <c r="AN1730" s="35"/>
      <c r="AO1730" s="35"/>
      <c r="AP1730" s="35"/>
    </row>
    <row r="1731" spans="1:42" ht="17.25" customHeight="1" x14ac:dyDescent="0.25">
      <c r="A1731" s="60">
        <v>2019</v>
      </c>
      <c r="B1731" s="61" t="s">
        <v>66</v>
      </c>
      <c r="C1731" s="61" t="s">
        <v>27</v>
      </c>
      <c r="D1731" s="61" t="s">
        <v>28</v>
      </c>
      <c r="E1731" s="61" t="s">
        <v>67</v>
      </c>
      <c r="F1731" s="61" t="s">
        <v>67</v>
      </c>
      <c r="G1731" s="62">
        <v>36509533759</v>
      </c>
      <c r="H1731" s="61" t="s">
        <v>68</v>
      </c>
      <c r="I1731" s="63" t="str">
        <f t="shared" si="134"/>
        <v>Germany-Offline</v>
      </c>
      <c r="J1731" s="47"/>
      <c r="K1731" s="54"/>
      <c r="L1731" s="35"/>
      <c r="M1731" s="35"/>
      <c r="N1731" s="35"/>
      <c r="O1731" s="35"/>
      <c r="P1731" s="35"/>
      <c r="Q1731" s="35"/>
      <c r="R1731" s="35"/>
      <c r="S1731" s="35"/>
      <c r="T1731" s="35"/>
      <c r="U1731" s="35"/>
      <c r="V1731" s="35"/>
      <c r="W1731" s="35"/>
      <c r="X1731" s="35"/>
      <c r="Y1731" s="35"/>
      <c r="Z1731" s="35"/>
      <c r="AA1731" s="35"/>
      <c r="AB1731" s="35"/>
      <c r="AC1731" s="35"/>
      <c r="AD1731" s="35"/>
      <c r="AE1731" s="35"/>
      <c r="AF1731" s="35"/>
      <c r="AG1731" s="35"/>
      <c r="AH1731" s="35"/>
      <c r="AI1731" s="35"/>
      <c r="AJ1731" s="35"/>
      <c r="AK1731" s="35"/>
      <c r="AL1731" s="35"/>
      <c r="AM1731" s="35"/>
      <c r="AN1731" s="35"/>
      <c r="AO1731" s="35"/>
      <c r="AP1731" s="35"/>
    </row>
    <row r="1732" spans="1:42" ht="17.25" customHeight="1" x14ac:dyDescent="0.25">
      <c r="A1732" s="55">
        <v>2019</v>
      </c>
      <c r="B1732" s="56" t="s">
        <v>66</v>
      </c>
      <c r="C1732" s="56" t="s">
        <v>27</v>
      </c>
      <c r="D1732" s="56" t="s">
        <v>28</v>
      </c>
      <c r="E1732" s="56" t="s">
        <v>69</v>
      </c>
      <c r="F1732" s="56" t="s">
        <v>70</v>
      </c>
      <c r="G1732" s="57">
        <v>20914919763</v>
      </c>
      <c r="H1732" s="56" t="s">
        <v>68</v>
      </c>
      <c r="I1732" s="58" t="str">
        <f t="shared" si="134"/>
        <v>Germany-Online Supplier-Direct</v>
      </c>
      <c r="J1732" s="40"/>
      <c r="K1732" s="59"/>
      <c r="L1732" s="35"/>
      <c r="M1732" s="35"/>
      <c r="N1732" s="35"/>
      <c r="O1732" s="35"/>
      <c r="P1732" s="35"/>
      <c r="Q1732" s="35"/>
      <c r="R1732" s="35"/>
      <c r="S1732" s="35"/>
      <c r="T1732" s="35"/>
      <c r="U1732" s="35"/>
      <c r="V1732" s="35"/>
      <c r="W1732" s="35"/>
      <c r="X1732" s="35"/>
      <c r="Y1732" s="35"/>
      <c r="Z1732" s="35"/>
      <c r="AA1732" s="35"/>
      <c r="AB1732" s="35"/>
      <c r="AC1732" s="35"/>
      <c r="AD1732" s="35"/>
      <c r="AE1732" s="35"/>
      <c r="AF1732" s="35"/>
      <c r="AG1732" s="35"/>
      <c r="AH1732" s="35"/>
      <c r="AI1732" s="35"/>
      <c r="AJ1732" s="35"/>
      <c r="AK1732" s="35"/>
      <c r="AL1732" s="35"/>
      <c r="AM1732" s="35"/>
      <c r="AN1732" s="35"/>
      <c r="AO1732" s="35"/>
      <c r="AP1732" s="35"/>
    </row>
    <row r="1733" spans="1:42" ht="17.25" customHeight="1" x14ac:dyDescent="0.25">
      <c r="A1733" s="60">
        <v>2019</v>
      </c>
      <c r="B1733" s="61" t="s">
        <v>66</v>
      </c>
      <c r="C1733" s="61" t="s">
        <v>27</v>
      </c>
      <c r="D1733" s="61" t="s">
        <v>28</v>
      </c>
      <c r="E1733" s="61" t="s">
        <v>69</v>
      </c>
      <c r="F1733" s="61" t="s">
        <v>71</v>
      </c>
      <c r="G1733" s="62">
        <v>14280455390</v>
      </c>
      <c r="H1733" s="61" t="s">
        <v>68</v>
      </c>
      <c r="I1733" s="63" t="str">
        <f t="shared" si="134"/>
        <v>Germany-OTA</v>
      </c>
      <c r="J1733" s="47"/>
      <c r="K1733" s="54"/>
      <c r="L1733" s="35"/>
      <c r="M1733" s="35"/>
      <c r="N1733" s="35"/>
      <c r="O1733" s="35"/>
      <c r="P1733" s="35"/>
      <c r="Q1733" s="35"/>
      <c r="R1733" s="35"/>
      <c r="S1733" s="35"/>
      <c r="T1733" s="35"/>
      <c r="U1733" s="35"/>
      <c r="V1733" s="35"/>
      <c r="W1733" s="35"/>
      <c r="X1733" s="35"/>
      <c r="Y1733" s="35"/>
      <c r="Z1733" s="35"/>
      <c r="AA1733" s="35"/>
      <c r="AB1733" s="35"/>
      <c r="AC1733" s="35"/>
      <c r="AD1733" s="35"/>
      <c r="AE1733" s="35"/>
      <c r="AF1733" s="35"/>
      <c r="AG1733" s="35"/>
      <c r="AH1733" s="35"/>
      <c r="AI1733" s="35"/>
      <c r="AJ1733" s="35"/>
      <c r="AK1733" s="35"/>
      <c r="AL1733" s="35"/>
      <c r="AM1733" s="35"/>
      <c r="AN1733" s="35"/>
      <c r="AO1733" s="35"/>
      <c r="AP1733" s="35"/>
    </row>
    <row r="1734" spans="1:42" ht="17.25" customHeight="1" x14ac:dyDescent="0.25">
      <c r="A1734" s="55">
        <v>2019</v>
      </c>
      <c r="B1734" s="56" t="s">
        <v>66</v>
      </c>
      <c r="C1734" s="56" t="s">
        <v>17</v>
      </c>
      <c r="D1734" s="56" t="s">
        <v>19</v>
      </c>
      <c r="E1734" s="56" t="s">
        <v>67</v>
      </c>
      <c r="F1734" s="56" t="s">
        <v>67</v>
      </c>
      <c r="G1734" s="57">
        <v>3661519557</v>
      </c>
      <c r="H1734" s="56" t="s">
        <v>68</v>
      </c>
      <c r="I1734" s="58" t="str">
        <f t="shared" si="134"/>
        <v>Greece-Offline</v>
      </c>
      <c r="J1734" s="40"/>
      <c r="K1734" s="59"/>
      <c r="L1734" s="35"/>
      <c r="M1734" s="35"/>
      <c r="N1734" s="35"/>
      <c r="O1734" s="35"/>
      <c r="P1734" s="35"/>
      <c r="Q1734" s="35"/>
      <c r="R1734" s="35"/>
      <c r="S1734" s="35"/>
      <c r="T1734" s="35"/>
      <c r="U1734" s="35"/>
      <c r="V1734" s="35"/>
      <c r="W1734" s="35"/>
      <c r="X1734" s="35"/>
      <c r="Y1734" s="35"/>
      <c r="Z1734" s="35"/>
      <c r="AA1734" s="35"/>
      <c r="AB1734" s="35"/>
      <c r="AC1734" s="35"/>
      <c r="AD1734" s="35"/>
      <c r="AE1734" s="35"/>
      <c r="AF1734" s="35"/>
      <c r="AG1734" s="35"/>
      <c r="AH1734" s="35"/>
      <c r="AI1734" s="35"/>
      <c r="AJ1734" s="35"/>
      <c r="AK1734" s="35"/>
      <c r="AL1734" s="35"/>
      <c r="AM1734" s="35"/>
      <c r="AN1734" s="35"/>
      <c r="AO1734" s="35"/>
      <c r="AP1734" s="35"/>
    </row>
    <row r="1735" spans="1:42" ht="17.25" customHeight="1" x14ac:dyDescent="0.25">
      <c r="A1735" s="60">
        <v>2019</v>
      </c>
      <c r="B1735" s="61" t="s">
        <v>66</v>
      </c>
      <c r="C1735" s="61" t="s">
        <v>17</v>
      </c>
      <c r="D1735" s="61" t="s">
        <v>19</v>
      </c>
      <c r="E1735" s="61" t="s">
        <v>69</v>
      </c>
      <c r="F1735" s="61" t="s">
        <v>70</v>
      </c>
      <c r="G1735" s="62">
        <v>836067045</v>
      </c>
      <c r="H1735" s="61" t="s">
        <v>68</v>
      </c>
      <c r="I1735" s="63" t="str">
        <f t="shared" si="134"/>
        <v>Greece-Online Supplier-Direct</v>
      </c>
      <c r="J1735" s="47"/>
      <c r="K1735" s="54"/>
      <c r="L1735" s="35"/>
      <c r="M1735" s="35"/>
      <c r="N1735" s="35"/>
      <c r="O1735" s="35"/>
      <c r="P1735" s="35"/>
      <c r="Q1735" s="35"/>
      <c r="R1735" s="35"/>
      <c r="S1735" s="35"/>
      <c r="T1735" s="35"/>
      <c r="U1735" s="35"/>
      <c r="V1735" s="35"/>
      <c r="W1735" s="35"/>
      <c r="X1735" s="35"/>
      <c r="Y1735" s="35"/>
      <c r="Z1735" s="35"/>
      <c r="AA1735" s="35"/>
      <c r="AB1735" s="35"/>
      <c r="AC1735" s="35"/>
      <c r="AD1735" s="35"/>
      <c r="AE1735" s="35"/>
      <c r="AF1735" s="35"/>
      <c r="AG1735" s="35"/>
      <c r="AH1735" s="35"/>
      <c r="AI1735" s="35"/>
      <c r="AJ1735" s="35"/>
      <c r="AK1735" s="35"/>
      <c r="AL1735" s="35"/>
      <c r="AM1735" s="35"/>
      <c r="AN1735" s="35"/>
      <c r="AO1735" s="35"/>
      <c r="AP1735" s="35"/>
    </row>
    <row r="1736" spans="1:42" ht="17.25" customHeight="1" x14ac:dyDescent="0.25">
      <c r="A1736" s="55">
        <v>2019</v>
      </c>
      <c r="B1736" s="56" t="s">
        <v>66</v>
      </c>
      <c r="C1736" s="56" t="s">
        <v>17</v>
      </c>
      <c r="D1736" s="56" t="s">
        <v>19</v>
      </c>
      <c r="E1736" s="56" t="s">
        <v>69</v>
      </c>
      <c r="F1736" s="56" t="s">
        <v>71</v>
      </c>
      <c r="G1736" s="57">
        <v>1344107542</v>
      </c>
      <c r="H1736" s="56" t="s">
        <v>68</v>
      </c>
      <c r="I1736" s="58" t="str">
        <f t="shared" si="134"/>
        <v>Greece-OTA</v>
      </c>
      <c r="J1736" s="40"/>
      <c r="K1736" s="59"/>
      <c r="L1736" s="35"/>
      <c r="M1736" s="35"/>
      <c r="N1736" s="35"/>
      <c r="O1736" s="35"/>
      <c r="P1736" s="35"/>
      <c r="Q1736" s="35"/>
      <c r="R1736" s="35"/>
      <c r="S1736" s="35"/>
      <c r="T1736" s="35"/>
      <c r="U1736" s="35"/>
      <c r="V1736" s="35"/>
      <c r="W1736" s="35"/>
      <c r="X1736" s="35"/>
      <c r="Y1736" s="35"/>
      <c r="Z1736" s="35"/>
      <c r="AA1736" s="35"/>
      <c r="AB1736" s="35"/>
      <c r="AC1736" s="35"/>
      <c r="AD1736" s="35"/>
      <c r="AE1736" s="35"/>
      <c r="AF1736" s="35"/>
      <c r="AG1736" s="35"/>
      <c r="AH1736" s="35"/>
      <c r="AI1736" s="35"/>
      <c r="AJ1736" s="35"/>
      <c r="AK1736" s="35"/>
      <c r="AL1736" s="35"/>
      <c r="AM1736" s="35"/>
      <c r="AN1736" s="35"/>
      <c r="AO1736" s="35"/>
      <c r="AP1736" s="35"/>
    </row>
    <row r="1737" spans="1:42" ht="17.25" customHeight="1" x14ac:dyDescent="0.25">
      <c r="A1737" s="60">
        <v>2019</v>
      </c>
      <c r="B1737" s="61" t="s">
        <v>66</v>
      </c>
      <c r="C1737" s="61" t="s">
        <v>4</v>
      </c>
      <c r="D1737" s="61" t="s">
        <v>6</v>
      </c>
      <c r="E1737" s="61" t="s">
        <v>67</v>
      </c>
      <c r="F1737" s="61" t="s">
        <v>67</v>
      </c>
      <c r="G1737" s="62">
        <v>10030665758</v>
      </c>
      <c r="H1737" s="61" t="s">
        <v>68</v>
      </c>
      <c r="I1737" s="63" t="str">
        <f t="shared" si="134"/>
        <v>Hong Kong-Offline</v>
      </c>
      <c r="J1737" s="47"/>
      <c r="K1737" s="54"/>
      <c r="L1737" s="35"/>
      <c r="M1737" s="35"/>
      <c r="N1737" s="35"/>
      <c r="O1737" s="35"/>
      <c r="P1737" s="35"/>
      <c r="Q1737" s="35"/>
      <c r="R1737" s="35"/>
      <c r="S1737" s="35"/>
      <c r="T1737" s="35"/>
      <c r="U1737" s="35"/>
      <c r="V1737" s="35"/>
      <c r="W1737" s="35"/>
      <c r="X1737" s="35"/>
      <c r="Y1737" s="35"/>
      <c r="Z1737" s="35"/>
      <c r="AA1737" s="35"/>
      <c r="AB1737" s="35"/>
      <c r="AC1737" s="35"/>
      <c r="AD1737" s="35"/>
      <c r="AE1737" s="35"/>
      <c r="AF1737" s="35"/>
      <c r="AG1737" s="35"/>
      <c r="AH1737" s="35"/>
      <c r="AI1737" s="35"/>
      <c r="AJ1737" s="35"/>
      <c r="AK1737" s="35"/>
      <c r="AL1737" s="35"/>
      <c r="AM1737" s="35"/>
      <c r="AN1737" s="35"/>
      <c r="AO1737" s="35"/>
      <c r="AP1737" s="35"/>
    </row>
    <row r="1738" spans="1:42" ht="17.25" customHeight="1" x14ac:dyDescent="0.25">
      <c r="A1738" s="55">
        <v>2019</v>
      </c>
      <c r="B1738" s="56" t="s">
        <v>66</v>
      </c>
      <c r="C1738" s="56" t="s">
        <v>4</v>
      </c>
      <c r="D1738" s="56" t="s">
        <v>6</v>
      </c>
      <c r="E1738" s="56" t="s">
        <v>69</v>
      </c>
      <c r="F1738" s="56" t="s">
        <v>70</v>
      </c>
      <c r="G1738" s="57">
        <v>1535244594</v>
      </c>
      <c r="H1738" s="56" t="s">
        <v>68</v>
      </c>
      <c r="I1738" s="58" t="str">
        <f t="shared" si="134"/>
        <v>Hong Kong-Online Supplier-Direct</v>
      </c>
      <c r="J1738" s="40"/>
      <c r="K1738" s="59"/>
      <c r="L1738" s="35"/>
      <c r="M1738" s="35"/>
      <c r="N1738" s="35"/>
      <c r="O1738" s="35"/>
      <c r="P1738" s="35"/>
      <c r="Q1738" s="35"/>
      <c r="R1738" s="35"/>
      <c r="S1738" s="35"/>
      <c r="T1738" s="35"/>
      <c r="U1738" s="35"/>
      <c r="V1738" s="35"/>
      <c r="W1738" s="35"/>
      <c r="X1738" s="35"/>
      <c r="Y1738" s="35"/>
      <c r="Z1738" s="35"/>
      <c r="AA1738" s="35"/>
      <c r="AB1738" s="35"/>
      <c r="AC1738" s="35"/>
      <c r="AD1738" s="35"/>
      <c r="AE1738" s="35"/>
      <c r="AF1738" s="35"/>
      <c r="AG1738" s="35"/>
      <c r="AH1738" s="35"/>
      <c r="AI1738" s="35"/>
      <c r="AJ1738" s="35"/>
      <c r="AK1738" s="35"/>
      <c r="AL1738" s="35"/>
      <c r="AM1738" s="35"/>
      <c r="AN1738" s="35"/>
      <c r="AO1738" s="35"/>
      <c r="AP1738" s="35"/>
    </row>
    <row r="1739" spans="1:42" ht="17.25" customHeight="1" x14ac:dyDescent="0.25">
      <c r="A1739" s="60">
        <v>2019</v>
      </c>
      <c r="B1739" s="61" t="s">
        <v>66</v>
      </c>
      <c r="C1739" s="61" t="s">
        <v>4</v>
      </c>
      <c r="D1739" s="61" t="s">
        <v>6</v>
      </c>
      <c r="E1739" s="61" t="s">
        <v>69</v>
      </c>
      <c r="F1739" s="61" t="s">
        <v>71</v>
      </c>
      <c r="G1739" s="62">
        <v>1115721836</v>
      </c>
      <c r="H1739" s="61" t="s">
        <v>68</v>
      </c>
      <c r="I1739" s="63" t="str">
        <f t="shared" si="134"/>
        <v>Hong Kong-OTA</v>
      </c>
      <c r="J1739" s="47"/>
      <c r="K1739" s="54"/>
      <c r="L1739" s="35"/>
      <c r="M1739" s="35"/>
      <c r="N1739" s="35"/>
      <c r="O1739" s="35"/>
      <c r="P1739" s="35"/>
      <c r="Q1739" s="35"/>
      <c r="R1739" s="35"/>
      <c r="S1739" s="35"/>
      <c r="T1739" s="35"/>
      <c r="U1739" s="35"/>
      <c r="V1739" s="35"/>
      <c r="W1739" s="35"/>
      <c r="X1739" s="35"/>
      <c r="Y1739" s="35"/>
      <c r="Z1739" s="35"/>
      <c r="AA1739" s="35"/>
      <c r="AB1739" s="35"/>
      <c r="AC1739" s="35"/>
      <c r="AD1739" s="35"/>
      <c r="AE1739" s="35"/>
      <c r="AF1739" s="35"/>
      <c r="AG1739" s="35"/>
      <c r="AH1739" s="35"/>
      <c r="AI1739" s="35"/>
      <c r="AJ1739" s="35"/>
      <c r="AK1739" s="35"/>
      <c r="AL1739" s="35"/>
      <c r="AM1739" s="35"/>
      <c r="AN1739" s="35"/>
      <c r="AO1739" s="35"/>
      <c r="AP1739" s="35"/>
    </row>
    <row r="1740" spans="1:42" ht="17.25" customHeight="1" x14ac:dyDescent="0.25">
      <c r="A1740" s="55">
        <v>2019</v>
      </c>
      <c r="B1740" s="56" t="s">
        <v>66</v>
      </c>
      <c r="C1740" s="56" t="s">
        <v>17</v>
      </c>
      <c r="D1740" s="56" t="s">
        <v>20</v>
      </c>
      <c r="E1740" s="56" t="s">
        <v>67</v>
      </c>
      <c r="F1740" s="56" t="s">
        <v>67</v>
      </c>
      <c r="G1740" s="57">
        <v>918332368</v>
      </c>
      <c r="H1740" s="56" t="s">
        <v>68</v>
      </c>
      <c r="I1740" s="58" t="str">
        <f t="shared" si="134"/>
        <v>Hungary-Offline</v>
      </c>
      <c r="J1740" s="40"/>
      <c r="K1740" s="59"/>
      <c r="L1740" s="35"/>
      <c r="M1740" s="35"/>
      <c r="N1740" s="35"/>
      <c r="O1740" s="35"/>
      <c r="P1740" s="35"/>
      <c r="Q1740" s="35"/>
      <c r="R1740" s="35"/>
      <c r="S1740" s="35"/>
      <c r="T1740" s="35"/>
      <c r="U1740" s="35"/>
      <c r="V1740" s="35"/>
      <c r="W1740" s="35"/>
      <c r="X1740" s="35"/>
      <c r="Y1740" s="35"/>
      <c r="Z1740" s="35"/>
      <c r="AA1740" s="35"/>
      <c r="AB1740" s="35"/>
      <c r="AC1740" s="35"/>
      <c r="AD1740" s="35"/>
      <c r="AE1740" s="35"/>
      <c r="AF1740" s="35"/>
      <c r="AG1740" s="35"/>
      <c r="AH1740" s="35"/>
      <c r="AI1740" s="35"/>
      <c r="AJ1740" s="35"/>
      <c r="AK1740" s="35"/>
      <c r="AL1740" s="35"/>
      <c r="AM1740" s="35"/>
      <c r="AN1740" s="35"/>
      <c r="AO1740" s="35"/>
      <c r="AP1740" s="35"/>
    </row>
    <row r="1741" spans="1:42" ht="17.25" customHeight="1" x14ac:dyDescent="0.25">
      <c r="A1741" s="60">
        <v>2019</v>
      </c>
      <c r="B1741" s="61" t="s">
        <v>66</v>
      </c>
      <c r="C1741" s="61" t="s">
        <v>17</v>
      </c>
      <c r="D1741" s="61" t="s">
        <v>20</v>
      </c>
      <c r="E1741" s="61" t="s">
        <v>69</v>
      </c>
      <c r="F1741" s="61" t="s">
        <v>70</v>
      </c>
      <c r="G1741" s="62">
        <v>3193403932</v>
      </c>
      <c r="H1741" s="61" t="s">
        <v>68</v>
      </c>
      <c r="I1741" s="63" t="str">
        <f t="shared" si="134"/>
        <v>Hungary-Online Supplier-Direct</v>
      </c>
      <c r="J1741" s="47"/>
      <c r="K1741" s="54"/>
      <c r="L1741" s="35"/>
      <c r="M1741" s="35"/>
      <c r="N1741" s="35"/>
      <c r="O1741" s="35"/>
      <c r="P1741" s="35"/>
      <c r="Q1741" s="35"/>
      <c r="R1741" s="35"/>
      <c r="S1741" s="35"/>
      <c r="T1741" s="35"/>
      <c r="U1741" s="35"/>
      <c r="V1741" s="35"/>
      <c r="W1741" s="35"/>
      <c r="X1741" s="35"/>
      <c r="Y1741" s="35"/>
      <c r="Z1741" s="35"/>
      <c r="AA1741" s="35"/>
      <c r="AB1741" s="35"/>
      <c r="AC1741" s="35"/>
      <c r="AD1741" s="35"/>
      <c r="AE1741" s="35"/>
      <c r="AF1741" s="35"/>
      <c r="AG1741" s="35"/>
      <c r="AH1741" s="35"/>
      <c r="AI1741" s="35"/>
      <c r="AJ1741" s="35"/>
      <c r="AK1741" s="35"/>
      <c r="AL1741" s="35"/>
      <c r="AM1741" s="35"/>
      <c r="AN1741" s="35"/>
      <c r="AO1741" s="35"/>
      <c r="AP1741" s="35"/>
    </row>
    <row r="1742" spans="1:42" ht="17.25" customHeight="1" x14ac:dyDescent="0.25">
      <c r="A1742" s="55">
        <v>2019</v>
      </c>
      <c r="B1742" s="56" t="s">
        <v>66</v>
      </c>
      <c r="C1742" s="56" t="s">
        <v>17</v>
      </c>
      <c r="D1742" s="56" t="s">
        <v>20</v>
      </c>
      <c r="E1742" s="56" t="s">
        <v>69</v>
      </c>
      <c r="F1742" s="56" t="s">
        <v>71</v>
      </c>
      <c r="G1742" s="57">
        <v>444622070</v>
      </c>
      <c r="H1742" s="56" t="s">
        <v>68</v>
      </c>
      <c r="I1742" s="58" t="str">
        <f t="shared" si="134"/>
        <v>Hungary-OTA</v>
      </c>
      <c r="J1742" s="40"/>
      <c r="K1742" s="59"/>
      <c r="L1742" s="35"/>
      <c r="M1742" s="35"/>
      <c r="N1742" s="35"/>
      <c r="O1742" s="35"/>
      <c r="P1742" s="35"/>
      <c r="Q1742" s="35"/>
      <c r="R1742" s="35"/>
      <c r="S1742" s="35"/>
      <c r="T1742" s="35"/>
      <c r="U1742" s="35"/>
      <c r="V1742" s="35"/>
      <c r="W1742" s="35"/>
      <c r="X1742" s="35"/>
      <c r="Y1742" s="35"/>
      <c r="Z1742" s="35"/>
      <c r="AA1742" s="35"/>
      <c r="AB1742" s="35"/>
      <c r="AC1742" s="35"/>
      <c r="AD1742" s="35"/>
      <c r="AE1742" s="35"/>
      <c r="AF1742" s="35"/>
      <c r="AG1742" s="35"/>
      <c r="AH1742" s="35"/>
      <c r="AI1742" s="35"/>
      <c r="AJ1742" s="35"/>
      <c r="AK1742" s="35"/>
      <c r="AL1742" s="35"/>
      <c r="AM1742" s="35"/>
      <c r="AN1742" s="35"/>
      <c r="AO1742" s="35"/>
      <c r="AP1742" s="35"/>
    </row>
    <row r="1743" spans="1:42" ht="17.25" customHeight="1" x14ac:dyDescent="0.25">
      <c r="A1743" s="60">
        <v>2019</v>
      </c>
      <c r="B1743" s="61" t="s">
        <v>66</v>
      </c>
      <c r="C1743" s="61" t="s">
        <v>4</v>
      </c>
      <c r="D1743" s="61" t="s">
        <v>7</v>
      </c>
      <c r="E1743" s="61" t="s">
        <v>67</v>
      </c>
      <c r="F1743" s="61" t="s">
        <v>67</v>
      </c>
      <c r="G1743" s="62">
        <v>17826194918</v>
      </c>
      <c r="H1743" s="61" t="s">
        <v>68</v>
      </c>
      <c r="I1743" s="63" t="str">
        <f t="shared" si="134"/>
        <v>India-Offline</v>
      </c>
      <c r="J1743" s="47"/>
      <c r="K1743" s="54"/>
      <c r="L1743" s="35"/>
      <c r="M1743" s="35"/>
      <c r="N1743" s="35"/>
      <c r="O1743" s="35"/>
      <c r="P1743" s="35"/>
      <c r="Q1743" s="35"/>
      <c r="R1743" s="35"/>
      <c r="S1743" s="35"/>
      <c r="T1743" s="35"/>
      <c r="U1743" s="35"/>
      <c r="V1743" s="35"/>
      <c r="W1743" s="35"/>
      <c r="X1743" s="35"/>
      <c r="Y1743" s="35"/>
      <c r="Z1743" s="35"/>
      <c r="AA1743" s="35"/>
      <c r="AB1743" s="35"/>
      <c r="AC1743" s="35"/>
      <c r="AD1743" s="35"/>
      <c r="AE1743" s="35"/>
      <c r="AF1743" s="35"/>
      <c r="AG1743" s="35"/>
      <c r="AH1743" s="35"/>
      <c r="AI1743" s="35"/>
      <c r="AJ1743" s="35"/>
      <c r="AK1743" s="35"/>
      <c r="AL1743" s="35"/>
      <c r="AM1743" s="35"/>
      <c r="AN1743" s="35"/>
      <c r="AO1743" s="35"/>
      <c r="AP1743" s="35"/>
    </row>
    <row r="1744" spans="1:42" ht="17.25" customHeight="1" x14ac:dyDescent="0.25">
      <c r="A1744" s="55">
        <v>2019</v>
      </c>
      <c r="B1744" s="56" t="s">
        <v>66</v>
      </c>
      <c r="C1744" s="56" t="s">
        <v>4</v>
      </c>
      <c r="D1744" s="56" t="s">
        <v>7</v>
      </c>
      <c r="E1744" s="56" t="s">
        <v>69</v>
      </c>
      <c r="F1744" s="56" t="s">
        <v>70</v>
      </c>
      <c r="G1744" s="57">
        <v>7219108297</v>
      </c>
      <c r="H1744" s="56" t="s">
        <v>68</v>
      </c>
      <c r="I1744" s="58" t="str">
        <f t="shared" si="134"/>
        <v>India-Online Supplier-Direct</v>
      </c>
      <c r="J1744" s="40"/>
      <c r="K1744" s="59"/>
      <c r="L1744" s="35"/>
      <c r="M1744" s="35"/>
      <c r="N1744" s="35"/>
      <c r="O1744" s="35"/>
      <c r="P1744" s="35"/>
      <c r="Q1744" s="35"/>
      <c r="R1744" s="35"/>
      <c r="S1744" s="35"/>
      <c r="T1744" s="35"/>
      <c r="U1744" s="35"/>
      <c r="V1744" s="35"/>
      <c r="W1744" s="35"/>
      <c r="X1744" s="35"/>
      <c r="Y1744" s="35"/>
      <c r="Z1744" s="35"/>
      <c r="AA1744" s="35"/>
      <c r="AB1744" s="35"/>
      <c r="AC1744" s="35"/>
      <c r="AD1744" s="35"/>
      <c r="AE1744" s="35"/>
      <c r="AF1744" s="35"/>
      <c r="AG1744" s="35"/>
      <c r="AH1744" s="35"/>
      <c r="AI1744" s="35"/>
      <c r="AJ1744" s="35"/>
      <c r="AK1744" s="35"/>
      <c r="AL1744" s="35"/>
      <c r="AM1744" s="35"/>
      <c r="AN1744" s="35"/>
      <c r="AO1744" s="35"/>
      <c r="AP1744" s="35"/>
    </row>
    <row r="1745" spans="1:42" ht="17.25" customHeight="1" x14ac:dyDescent="0.25">
      <c r="A1745" s="60">
        <v>2019</v>
      </c>
      <c r="B1745" s="61" t="s">
        <v>66</v>
      </c>
      <c r="C1745" s="61" t="s">
        <v>4</v>
      </c>
      <c r="D1745" s="61" t="s">
        <v>7</v>
      </c>
      <c r="E1745" s="61" t="s">
        <v>69</v>
      </c>
      <c r="F1745" s="61" t="s">
        <v>71</v>
      </c>
      <c r="G1745" s="62">
        <v>7515165738</v>
      </c>
      <c r="H1745" s="61" t="s">
        <v>68</v>
      </c>
      <c r="I1745" s="63" t="str">
        <f t="shared" si="134"/>
        <v>India-OTA</v>
      </c>
      <c r="J1745" s="47"/>
      <c r="K1745" s="54"/>
      <c r="L1745" s="35"/>
      <c r="M1745" s="35"/>
      <c r="N1745" s="35"/>
      <c r="O1745" s="35"/>
      <c r="P1745" s="35"/>
      <c r="Q1745" s="35"/>
      <c r="R1745" s="35"/>
      <c r="S1745" s="35"/>
      <c r="T1745" s="35"/>
      <c r="U1745" s="35"/>
      <c r="V1745" s="35"/>
      <c r="W1745" s="35"/>
      <c r="X1745" s="35"/>
      <c r="Y1745" s="35"/>
      <c r="Z1745" s="35"/>
      <c r="AA1745" s="35"/>
      <c r="AB1745" s="35"/>
      <c r="AC1745" s="35"/>
      <c r="AD1745" s="35"/>
      <c r="AE1745" s="35"/>
      <c r="AF1745" s="35"/>
      <c r="AG1745" s="35"/>
      <c r="AH1745" s="35"/>
      <c r="AI1745" s="35"/>
      <c r="AJ1745" s="35"/>
      <c r="AK1745" s="35"/>
      <c r="AL1745" s="35"/>
      <c r="AM1745" s="35"/>
      <c r="AN1745" s="35"/>
      <c r="AO1745" s="35"/>
      <c r="AP1745" s="35"/>
    </row>
    <row r="1746" spans="1:42" ht="17.25" customHeight="1" x14ac:dyDescent="0.25">
      <c r="A1746" s="55">
        <v>2019</v>
      </c>
      <c r="B1746" s="56" t="s">
        <v>66</v>
      </c>
      <c r="C1746" s="56" t="s">
        <v>4</v>
      </c>
      <c r="D1746" s="56" t="s">
        <v>8</v>
      </c>
      <c r="E1746" s="56" t="s">
        <v>67</v>
      </c>
      <c r="F1746" s="56" t="s">
        <v>67</v>
      </c>
      <c r="G1746" s="57">
        <v>8841228798</v>
      </c>
      <c r="H1746" s="56" t="s">
        <v>68</v>
      </c>
      <c r="I1746" s="58" t="str">
        <f t="shared" si="134"/>
        <v>Indonesia-Offline</v>
      </c>
      <c r="J1746" s="40"/>
      <c r="K1746" s="59"/>
      <c r="L1746" s="35"/>
      <c r="M1746" s="35"/>
      <c r="N1746" s="35"/>
      <c r="O1746" s="35"/>
      <c r="P1746" s="35"/>
      <c r="Q1746" s="35"/>
      <c r="R1746" s="35"/>
      <c r="S1746" s="35"/>
      <c r="T1746" s="35"/>
      <c r="U1746" s="35"/>
      <c r="V1746" s="35"/>
      <c r="W1746" s="35"/>
      <c r="X1746" s="35"/>
      <c r="Y1746" s="35"/>
      <c r="Z1746" s="35"/>
      <c r="AA1746" s="35"/>
      <c r="AB1746" s="35"/>
      <c r="AC1746" s="35"/>
      <c r="AD1746" s="35"/>
      <c r="AE1746" s="35"/>
      <c r="AF1746" s="35"/>
      <c r="AG1746" s="35"/>
      <c r="AH1746" s="35"/>
      <c r="AI1746" s="35"/>
      <c r="AJ1746" s="35"/>
      <c r="AK1746" s="35"/>
      <c r="AL1746" s="35"/>
      <c r="AM1746" s="35"/>
      <c r="AN1746" s="35"/>
      <c r="AO1746" s="35"/>
      <c r="AP1746" s="35"/>
    </row>
    <row r="1747" spans="1:42" ht="17.25" customHeight="1" x14ac:dyDescent="0.25">
      <c r="A1747" s="60">
        <v>2019</v>
      </c>
      <c r="B1747" s="61" t="s">
        <v>66</v>
      </c>
      <c r="C1747" s="61" t="s">
        <v>4</v>
      </c>
      <c r="D1747" s="61" t="s">
        <v>8</v>
      </c>
      <c r="E1747" s="61" t="s">
        <v>69</v>
      </c>
      <c r="F1747" s="61" t="s">
        <v>70</v>
      </c>
      <c r="G1747" s="62">
        <v>1971433934</v>
      </c>
      <c r="H1747" s="61" t="s">
        <v>68</v>
      </c>
      <c r="I1747" s="63" t="str">
        <f t="shared" si="134"/>
        <v>Indonesia-Online Supplier-Direct</v>
      </c>
      <c r="J1747" s="47"/>
      <c r="K1747" s="54"/>
      <c r="L1747" s="35"/>
      <c r="M1747" s="35"/>
      <c r="N1747" s="35"/>
      <c r="O1747" s="35"/>
      <c r="P1747" s="35"/>
      <c r="Q1747" s="35"/>
      <c r="R1747" s="35"/>
      <c r="S1747" s="35"/>
      <c r="T1747" s="35"/>
      <c r="U1747" s="35"/>
      <c r="V1747" s="35"/>
      <c r="W1747" s="35"/>
      <c r="X1747" s="35"/>
      <c r="Y1747" s="35"/>
      <c r="Z1747" s="35"/>
      <c r="AA1747" s="35"/>
      <c r="AB1747" s="35"/>
      <c r="AC1747" s="35"/>
      <c r="AD1747" s="35"/>
      <c r="AE1747" s="35"/>
      <c r="AF1747" s="35"/>
      <c r="AG1747" s="35"/>
      <c r="AH1747" s="35"/>
      <c r="AI1747" s="35"/>
      <c r="AJ1747" s="35"/>
      <c r="AK1747" s="35"/>
      <c r="AL1747" s="35"/>
      <c r="AM1747" s="35"/>
      <c r="AN1747" s="35"/>
      <c r="AO1747" s="35"/>
      <c r="AP1747" s="35"/>
    </row>
    <row r="1748" spans="1:42" ht="17.25" customHeight="1" x14ac:dyDescent="0.25">
      <c r="A1748" s="55">
        <v>2019</v>
      </c>
      <c r="B1748" s="56" t="s">
        <v>66</v>
      </c>
      <c r="C1748" s="56" t="s">
        <v>4</v>
      </c>
      <c r="D1748" s="56" t="s">
        <v>8</v>
      </c>
      <c r="E1748" s="56" t="s">
        <v>69</v>
      </c>
      <c r="F1748" s="56" t="s">
        <v>71</v>
      </c>
      <c r="G1748" s="57">
        <v>3615955224</v>
      </c>
      <c r="H1748" s="56" t="s">
        <v>68</v>
      </c>
      <c r="I1748" s="58" t="str">
        <f t="shared" si="134"/>
        <v>Indonesia-OTA</v>
      </c>
      <c r="J1748" s="40"/>
      <c r="K1748" s="59"/>
      <c r="L1748" s="35"/>
      <c r="M1748" s="35"/>
      <c r="N1748" s="35"/>
      <c r="O1748" s="35"/>
      <c r="P1748" s="35"/>
      <c r="Q1748" s="35"/>
      <c r="R1748" s="35"/>
      <c r="S1748" s="35"/>
      <c r="T1748" s="35"/>
      <c r="U1748" s="35"/>
      <c r="V1748" s="35"/>
      <c r="W1748" s="35"/>
      <c r="X1748" s="35"/>
      <c r="Y1748" s="35"/>
      <c r="Z1748" s="35"/>
      <c r="AA1748" s="35"/>
      <c r="AB1748" s="35"/>
      <c r="AC1748" s="35"/>
      <c r="AD1748" s="35"/>
      <c r="AE1748" s="35"/>
      <c r="AF1748" s="35"/>
      <c r="AG1748" s="35"/>
      <c r="AH1748" s="35"/>
      <c r="AI1748" s="35"/>
      <c r="AJ1748" s="35"/>
      <c r="AK1748" s="35"/>
      <c r="AL1748" s="35"/>
      <c r="AM1748" s="35"/>
      <c r="AN1748" s="35"/>
      <c r="AO1748" s="35"/>
      <c r="AP1748" s="35"/>
    </row>
    <row r="1749" spans="1:42" ht="17.25" customHeight="1" x14ac:dyDescent="0.25">
      <c r="A1749" s="60">
        <v>2019</v>
      </c>
      <c r="B1749" s="61" t="s">
        <v>66</v>
      </c>
      <c r="C1749" s="61" t="s">
        <v>27</v>
      </c>
      <c r="D1749" s="61" t="s">
        <v>29</v>
      </c>
      <c r="E1749" s="61" t="s">
        <v>67</v>
      </c>
      <c r="F1749" s="61" t="s">
        <v>67</v>
      </c>
      <c r="G1749" s="62">
        <v>15554866889</v>
      </c>
      <c r="H1749" s="61" t="s">
        <v>68</v>
      </c>
      <c r="I1749" s="63" t="str">
        <f t="shared" si="134"/>
        <v>Italy-Offline</v>
      </c>
      <c r="J1749" s="47"/>
      <c r="K1749" s="54"/>
      <c r="L1749" s="35"/>
      <c r="M1749" s="35"/>
      <c r="N1749" s="35"/>
      <c r="O1749" s="35"/>
      <c r="P1749" s="35"/>
      <c r="Q1749" s="35"/>
      <c r="R1749" s="35"/>
      <c r="S1749" s="35"/>
      <c r="T1749" s="35"/>
      <c r="U1749" s="35"/>
      <c r="V1749" s="35"/>
      <c r="W1749" s="35"/>
      <c r="X1749" s="35"/>
      <c r="Y1749" s="35"/>
      <c r="Z1749" s="35"/>
      <c r="AA1749" s="35"/>
      <c r="AB1749" s="35"/>
      <c r="AC1749" s="35"/>
      <c r="AD1749" s="35"/>
      <c r="AE1749" s="35"/>
      <c r="AF1749" s="35"/>
      <c r="AG1749" s="35"/>
      <c r="AH1749" s="35"/>
      <c r="AI1749" s="35"/>
      <c r="AJ1749" s="35"/>
      <c r="AK1749" s="35"/>
      <c r="AL1749" s="35"/>
      <c r="AM1749" s="35"/>
      <c r="AN1749" s="35"/>
      <c r="AO1749" s="35"/>
      <c r="AP1749" s="35"/>
    </row>
    <row r="1750" spans="1:42" ht="17.25" customHeight="1" x14ac:dyDescent="0.25">
      <c r="A1750" s="55">
        <v>2019</v>
      </c>
      <c r="B1750" s="56" t="s">
        <v>66</v>
      </c>
      <c r="C1750" s="56" t="s">
        <v>27</v>
      </c>
      <c r="D1750" s="56" t="s">
        <v>29</v>
      </c>
      <c r="E1750" s="56" t="s">
        <v>69</v>
      </c>
      <c r="F1750" s="56" t="s">
        <v>70</v>
      </c>
      <c r="G1750" s="57">
        <v>6087702408</v>
      </c>
      <c r="H1750" s="56" t="s">
        <v>68</v>
      </c>
      <c r="I1750" s="58" t="str">
        <f t="shared" si="134"/>
        <v>Italy-Online Supplier-Direct</v>
      </c>
      <c r="J1750" s="40"/>
      <c r="K1750" s="59"/>
      <c r="L1750" s="35"/>
      <c r="M1750" s="35"/>
      <c r="N1750" s="35"/>
      <c r="O1750" s="35"/>
      <c r="P1750" s="35"/>
      <c r="Q1750" s="35"/>
      <c r="R1750" s="35"/>
      <c r="S1750" s="35"/>
      <c r="T1750" s="35"/>
      <c r="U1750" s="35"/>
      <c r="V1750" s="35"/>
      <c r="W1750" s="35"/>
      <c r="X1750" s="35"/>
      <c r="Y1750" s="35"/>
      <c r="Z1750" s="35"/>
      <c r="AA1750" s="35"/>
      <c r="AB1750" s="35"/>
      <c r="AC1750" s="35"/>
      <c r="AD1750" s="35"/>
      <c r="AE1750" s="35"/>
      <c r="AF1750" s="35"/>
      <c r="AG1750" s="35"/>
      <c r="AH1750" s="35"/>
      <c r="AI1750" s="35"/>
      <c r="AJ1750" s="35"/>
      <c r="AK1750" s="35"/>
      <c r="AL1750" s="35"/>
      <c r="AM1750" s="35"/>
      <c r="AN1750" s="35"/>
      <c r="AO1750" s="35"/>
      <c r="AP1750" s="35"/>
    </row>
    <row r="1751" spans="1:42" ht="17.25" customHeight="1" x14ac:dyDescent="0.25">
      <c r="A1751" s="60">
        <v>2019</v>
      </c>
      <c r="B1751" s="61" t="s">
        <v>66</v>
      </c>
      <c r="C1751" s="61" t="s">
        <v>27</v>
      </c>
      <c r="D1751" s="61" t="s">
        <v>29</v>
      </c>
      <c r="E1751" s="61" t="s">
        <v>69</v>
      </c>
      <c r="F1751" s="61" t="s">
        <v>71</v>
      </c>
      <c r="G1751" s="62">
        <v>5582040505</v>
      </c>
      <c r="H1751" s="61" t="s">
        <v>68</v>
      </c>
      <c r="I1751" s="63" t="str">
        <f t="shared" si="134"/>
        <v>Italy-OTA</v>
      </c>
      <c r="J1751" s="47"/>
      <c r="K1751" s="54"/>
      <c r="L1751" s="35"/>
      <c r="M1751" s="35"/>
      <c r="N1751" s="35"/>
      <c r="O1751" s="35"/>
      <c r="P1751" s="35"/>
      <c r="Q1751" s="35"/>
      <c r="R1751" s="35"/>
      <c r="S1751" s="35"/>
      <c r="T1751" s="35"/>
      <c r="U1751" s="35"/>
      <c r="V1751" s="35"/>
      <c r="W1751" s="35"/>
      <c r="X1751" s="35"/>
      <c r="Y1751" s="35"/>
      <c r="Z1751" s="35"/>
      <c r="AA1751" s="35"/>
      <c r="AB1751" s="35"/>
      <c r="AC1751" s="35"/>
      <c r="AD1751" s="35"/>
      <c r="AE1751" s="35"/>
      <c r="AF1751" s="35"/>
      <c r="AG1751" s="35"/>
      <c r="AH1751" s="35"/>
      <c r="AI1751" s="35"/>
      <c r="AJ1751" s="35"/>
      <c r="AK1751" s="35"/>
      <c r="AL1751" s="35"/>
      <c r="AM1751" s="35"/>
      <c r="AN1751" s="35"/>
      <c r="AO1751" s="35"/>
      <c r="AP1751" s="35"/>
    </row>
    <row r="1752" spans="1:42" ht="17.25" customHeight="1" x14ac:dyDescent="0.25">
      <c r="A1752" s="55">
        <v>2019</v>
      </c>
      <c r="B1752" s="56" t="s">
        <v>66</v>
      </c>
      <c r="C1752" s="56" t="s">
        <v>4</v>
      </c>
      <c r="D1752" s="56" t="s">
        <v>9</v>
      </c>
      <c r="E1752" s="56" t="s">
        <v>67</v>
      </c>
      <c r="F1752" s="56" t="s">
        <v>67</v>
      </c>
      <c r="G1752" s="57">
        <v>60992081051</v>
      </c>
      <c r="H1752" s="56" t="s">
        <v>68</v>
      </c>
      <c r="I1752" s="58" t="str">
        <f t="shared" si="134"/>
        <v>Japan-Offline</v>
      </c>
      <c r="J1752" s="40"/>
      <c r="K1752" s="59"/>
      <c r="L1752" s="35"/>
      <c r="M1752" s="35"/>
      <c r="N1752" s="35"/>
      <c r="O1752" s="35"/>
      <c r="P1752" s="35"/>
      <c r="Q1752" s="35"/>
      <c r="R1752" s="35"/>
      <c r="S1752" s="35"/>
      <c r="T1752" s="35"/>
      <c r="U1752" s="35"/>
      <c r="V1752" s="35"/>
      <c r="W1752" s="35"/>
      <c r="X1752" s="35"/>
      <c r="Y1752" s="35"/>
      <c r="Z1752" s="35"/>
      <c r="AA1752" s="35"/>
      <c r="AB1752" s="35"/>
      <c r="AC1752" s="35"/>
      <c r="AD1752" s="35"/>
      <c r="AE1752" s="35"/>
      <c r="AF1752" s="35"/>
      <c r="AG1752" s="35"/>
      <c r="AH1752" s="35"/>
      <c r="AI1752" s="35"/>
      <c r="AJ1752" s="35"/>
      <c r="AK1752" s="35"/>
      <c r="AL1752" s="35"/>
      <c r="AM1752" s="35"/>
      <c r="AN1752" s="35"/>
      <c r="AO1752" s="35"/>
      <c r="AP1752" s="35"/>
    </row>
    <row r="1753" spans="1:42" ht="17.25" customHeight="1" x14ac:dyDescent="0.25">
      <c r="A1753" s="60">
        <v>2019</v>
      </c>
      <c r="B1753" s="61" t="s">
        <v>66</v>
      </c>
      <c r="C1753" s="61" t="s">
        <v>4</v>
      </c>
      <c r="D1753" s="61" t="s">
        <v>9</v>
      </c>
      <c r="E1753" s="61" t="s">
        <v>69</v>
      </c>
      <c r="F1753" s="61" t="s">
        <v>70</v>
      </c>
      <c r="G1753" s="62">
        <v>27922055383</v>
      </c>
      <c r="H1753" s="61" t="s">
        <v>68</v>
      </c>
      <c r="I1753" s="63" t="str">
        <f t="shared" si="134"/>
        <v>Japan-Online Supplier-Direct</v>
      </c>
      <c r="J1753" s="47"/>
      <c r="K1753" s="54"/>
      <c r="L1753" s="35"/>
      <c r="M1753" s="35"/>
      <c r="N1753" s="35"/>
      <c r="O1753" s="35"/>
      <c r="P1753" s="35"/>
      <c r="Q1753" s="35"/>
      <c r="R1753" s="35"/>
      <c r="S1753" s="35"/>
      <c r="T1753" s="35"/>
      <c r="U1753" s="35"/>
      <c r="V1753" s="35"/>
      <c r="W1753" s="35"/>
      <c r="X1753" s="35"/>
      <c r="Y1753" s="35"/>
      <c r="Z1753" s="35"/>
      <c r="AA1753" s="35"/>
      <c r="AB1753" s="35"/>
      <c r="AC1753" s="35"/>
      <c r="AD1753" s="35"/>
      <c r="AE1753" s="35"/>
      <c r="AF1753" s="35"/>
      <c r="AG1753" s="35"/>
      <c r="AH1753" s="35"/>
      <c r="AI1753" s="35"/>
      <c r="AJ1753" s="35"/>
      <c r="AK1753" s="35"/>
      <c r="AL1753" s="35"/>
      <c r="AM1753" s="35"/>
      <c r="AN1753" s="35"/>
      <c r="AO1753" s="35"/>
      <c r="AP1753" s="35"/>
    </row>
    <row r="1754" spans="1:42" ht="17.25" customHeight="1" x14ac:dyDescent="0.25">
      <c r="A1754" s="55">
        <v>2019</v>
      </c>
      <c r="B1754" s="56" t="s">
        <v>66</v>
      </c>
      <c r="C1754" s="56" t="s">
        <v>4</v>
      </c>
      <c r="D1754" s="56" t="s">
        <v>9</v>
      </c>
      <c r="E1754" s="56" t="s">
        <v>69</v>
      </c>
      <c r="F1754" s="56" t="s">
        <v>71</v>
      </c>
      <c r="G1754" s="57">
        <v>19299656154</v>
      </c>
      <c r="H1754" s="56" t="s">
        <v>68</v>
      </c>
      <c r="I1754" s="58" t="str">
        <f t="shared" si="134"/>
        <v>Japan-OTA</v>
      </c>
      <c r="J1754" s="40"/>
      <c r="K1754" s="59"/>
      <c r="L1754" s="35"/>
      <c r="M1754" s="35"/>
      <c r="N1754" s="35"/>
      <c r="O1754" s="35"/>
      <c r="P1754" s="35"/>
      <c r="Q1754" s="35"/>
      <c r="R1754" s="35"/>
      <c r="S1754" s="35"/>
      <c r="T1754" s="35"/>
      <c r="U1754" s="35"/>
      <c r="V1754" s="35"/>
      <c r="W1754" s="35"/>
      <c r="X1754" s="35"/>
      <c r="Y1754" s="35"/>
      <c r="Z1754" s="35"/>
      <c r="AA1754" s="35"/>
      <c r="AB1754" s="35"/>
      <c r="AC1754" s="35"/>
      <c r="AD1754" s="35"/>
      <c r="AE1754" s="35"/>
      <c r="AF1754" s="35"/>
      <c r="AG1754" s="35"/>
      <c r="AH1754" s="35"/>
      <c r="AI1754" s="35"/>
      <c r="AJ1754" s="35"/>
      <c r="AK1754" s="35"/>
      <c r="AL1754" s="35"/>
      <c r="AM1754" s="35"/>
      <c r="AN1754" s="35"/>
      <c r="AO1754" s="35"/>
      <c r="AP1754" s="35"/>
    </row>
    <row r="1755" spans="1:42" ht="17.25" customHeight="1" x14ac:dyDescent="0.25">
      <c r="A1755" s="60">
        <v>2019</v>
      </c>
      <c r="B1755" s="61" t="s">
        <v>66</v>
      </c>
      <c r="C1755" s="61" t="s">
        <v>4</v>
      </c>
      <c r="D1755" s="61" t="s">
        <v>10</v>
      </c>
      <c r="E1755" s="61" t="s">
        <v>67</v>
      </c>
      <c r="F1755" s="61" t="s">
        <v>67</v>
      </c>
      <c r="G1755" s="62">
        <v>1409317030</v>
      </c>
      <c r="H1755" s="61" t="s">
        <v>68</v>
      </c>
      <c r="I1755" s="63" t="str">
        <f t="shared" si="134"/>
        <v>Macau-Offline</v>
      </c>
      <c r="J1755" s="47"/>
      <c r="K1755" s="54"/>
      <c r="L1755" s="35"/>
      <c r="M1755" s="35"/>
      <c r="N1755" s="35"/>
      <c r="O1755" s="35"/>
      <c r="P1755" s="35"/>
      <c r="Q1755" s="35"/>
      <c r="R1755" s="35"/>
      <c r="S1755" s="35"/>
      <c r="T1755" s="35"/>
      <c r="U1755" s="35"/>
      <c r="V1755" s="35"/>
      <c r="W1755" s="35"/>
      <c r="X1755" s="35"/>
      <c r="Y1755" s="35"/>
      <c r="Z1755" s="35"/>
      <c r="AA1755" s="35"/>
      <c r="AB1755" s="35"/>
      <c r="AC1755" s="35"/>
      <c r="AD1755" s="35"/>
      <c r="AE1755" s="35"/>
      <c r="AF1755" s="35"/>
      <c r="AG1755" s="35"/>
      <c r="AH1755" s="35"/>
      <c r="AI1755" s="35"/>
      <c r="AJ1755" s="35"/>
      <c r="AK1755" s="35"/>
      <c r="AL1755" s="35"/>
      <c r="AM1755" s="35"/>
      <c r="AN1755" s="35"/>
      <c r="AO1755" s="35"/>
      <c r="AP1755" s="35"/>
    </row>
    <row r="1756" spans="1:42" ht="17.25" customHeight="1" x14ac:dyDescent="0.25">
      <c r="A1756" s="55">
        <v>2019</v>
      </c>
      <c r="B1756" s="56" t="s">
        <v>66</v>
      </c>
      <c r="C1756" s="56" t="s">
        <v>4</v>
      </c>
      <c r="D1756" s="56" t="s">
        <v>10</v>
      </c>
      <c r="E1756" s="56" t="s">
        <v>69</v>
      </c>
      <c r="F1756" s="56" t="s">
        <v>70</v>
      </c>
      <c r="G1756" s="57">
        <v>130682125</v>
      </c>
      <c r="H1756" s="56" t="s">
        <v>68</v>
      </c>
      <c r="I1756" s="58" t="str">
        <f t="shared" si="134"/>
        <v>Macau-Online Supplier-Direct</v>
      </c>
      <c r="J1756" s="40"/>
      <c r="K1756" s="59"/>
      <c r="L1756" s="35"/>
      <c r="M1756" s="35"/>
      <c r="N1756" s="35"/>
      <c r="O1756" s="35"/>
      <c r="P1756" s="35"/>
      <c r="Q1756" s="35"/>
      <c r="R1756" s="35"/>
      <c r="S1756" s="35"/>
      <c r="T1756" s="35"/>
      <c r="U1756" s="35"/>
      <c r="V1756" s="35"/>
      <c r="W1756" s="35"/>
      <c r="X1756" s="35"/>
      <c r="Y1756" s="35"/>
      <c r="Z1756" s="35"/>
      <c r="AA1756" s="35"/>
      <c r="AB1756" s="35"/>
      <c r="AC1756" s="35"/>
      <c r="AD1756" s="35"/>
      <c r="AE1756" s="35"/>
      <c r="AF1756" s="35"/>
      <c r="AG1756" s="35"/>
      <c r="AH1756" s="35"/>
      <c r="AI1756" s="35"/>
      <c r="AJ1756" s="35"/>
      <c r="AK1756" s="35"/>
      <c r="AL1756" s="35"/>
      <c r="AM1756" s="35"/>
      <c r="AN1756" s="35"/>
      <c r="AO1756" s="35"/>
      <c r="AP1756" s="35"/>
    </row>
    <row r="1757" spans="1:42" ht="17.25" customHeight="1" x14ac:dyDescent="0.25">
      <c r="A1757" s="60">
        <v>2019</v>
      </c>
      <c r="B1757" s="61" t="s">
        <v>66</v>
      </c>
      <c r="C1757" s="61" t="s">
        <v>4</v>
      </c>
      <c r="D1757" s="61" t="s">
        <v>10</v>
      </c>
      <c r="E1757" s="61" t="s">
        <v>69</v>
      </c>
      <c r="F1757" s="61" t="s">
        <v>71</v>
      </c>
      <c r="G1757" s="62">
        <v>595329679</v>
      </c>
      <c r="H1757" s="61" t="s">
        <v>68</v>
      </c>
      <c r="I1757" s="63" t="str">
        <f t="shared" si="134"/>
        <v>Macau-OTA</v>
      </c>
      <c r="J1757" s="47"/>
      <c r="K1757" s="54"/>
      <c r="L1757" s="35"/>
      <c r="M1757" s="35"/>
      <c r="N1757" s="35"/>
      <c r="O1757" s="35"/>
      <c r="P1757" s="35"/>
      <c r="Q1757" s="35"/>
      <c r="R1757" s="35"/>
      <c r="S1757" s="35"/>
      <c r="T1757" s="35"/>
      <c r="U1757" s="35"/>
      <c r="V1757" s="35"/>
      <c r="W1757" s="35"/>
      <c r="X1757" s="35"/>
      <c r="Y1757" s="35"/>
      <c r="Z1757" s="35"/>
      <c r="AA1757" s="35"/>
      <c r="AB1757" s="35"/>
      <c r="AC1757" s="35"/>
      <c r="AD1757" s="35"/>
      <c r="AE1757" s="35"/>
      <c r="AF1757" s="35"/>
      <c r="AG1757" s="35"/>
      <c r="AH1757" s="35"/>
      <c r="AI1757" s="35"/>
      <c r="AJ1757" s="35"/>
      <c r="AK1757" s="35"/>
      <c r="AL1757" s="35"/>
      <c r="AM1757" s="35"/>
      <c r="AN1757" s="35"/>
      <c r="AO1757" s="35"/>
      <c r="AP1757" s="35"/>
    </row>
    <row r="1758" spans="1:42" ht="17.25" customHeight="1" x14ac:dyDescent="0.25">
      <c r="A1758" s="55">
        <v>2019</v>
      </c>
      <c r="B1758" s="56" t="s">
        <v>66</v>
      </c>
      <c r="C1758" s="56" t="s">
        <v>4</v>
      </c>
      <c r="D1758" s="56" t="s">
        <v>11</v>
      </c>
      <c r="E1758" s="56" t="s">
        <v>67</v>
      </c>
      <c r="F1758" s="56" t="s">
        <v>67</v>
      </c>
      <c r="G1758" s="57">
        <v>5144269678</v>
      </c>
      <c r="H1758" s="56" t="s">
        <v>68</v>
      </c>
      <c r="I1758" s="58" t="str">
        <f t="shared" si="134"/>
        <v>Malaysia-Offline</v>
      </c>
      <c r="J1758" s="40"/>
      <c r="K1758" s="59"/>
      <c r="L1758" s="35"/>
      <c r="M1758" s="35"/>
      <c r="N1758" s="35"/>
      <c r="O1758" s="35"/>
      <c r="P1758" s="35"/>
      <c r="Q1758" s="35"/>
      <c r="R1758" s="35"/>
      <c r="S1758" s="35"/>
      <c r="T1758" s="35"/>
      <c r="U1758" s="35"/>
      <c r="V1758" s="35"/>
      <c r="W1758" s="35"/>
      <c r="X1758" s="35"/>
      <c r="Y1758" s="35"/>
      <c r="Z1758" s="35"/>
      <c r="AA1758" s="35"/>
      <c r="AB1758" s="35"/>
      <c r="AC1758" s="35"/>
      <c r="AD1758" s="35"/>
      <c r="AE1758" s="35"/>
      <c r="AF1758" s="35"/>
      <c r="AG1758" s="35"/>
      <c r="AH1758" s="35"/>
      <c r="AI1758" s="35"/>
      <c r="AJ1758" s="35"/>
      <c r="AK1758" s="35"/>
      <c r="AL1758" s="35"/>
      <c r="AM1758" s="35"/>
      <c r="AN1758" s="35"/>
      <c r="AO1758" s="35"/>
      <c r="AP1758" s="35"/>
    </row>
    <row r="1759" spans="1:42" ht="17.25" customHeight="1" x14ac:dyDescent="0.25">
      <c r="A1759" s="60">
        <v>2019</v>
      </c>
      <c r="B1759" s="61" t="s">
        <v>66</v>
      </c>
      <c r="C1759" s="61" t="s">
        <v>4</v>
      </c>
      <c r="D1759" s="61" t="s">
        <v>11</v>
      </c>
      <c r="E1759" s="61" t="s">
        <v>69</v>
      </c>
      <c r="F1759" s="61" t="s">
        <v>70</v>
      </c>
      <c r="G1759" s="62">
        <v>2659292932</v>
      </c>
      <c r="H1759" s="61" t="s">
        <v>68</v>
      </c>
      <c r="I1759" s="63" t="str">
        <f t="shared" si="134"/>
        <v>Malaysia-Online Supplier-Direct</v>
      </c>
      <c r="J1759" s="47"/>
      <c r="K1759" s="54"/>
      <c r="L1759" s="35"/>
      <c r="M1759" s="35"/>
      <c r="N1759" s="35"/>
      <c r="O1759" s="35"/>
      <c r="P1759" s="35"/>
      <c r="Q1759" s="35"/>
      <c r="R1759" s="35"/>
      <c r="S1759" s="35"/>
      <c r="T1759" s="35"/>
      <c r="U1759" s="35"/>
      <c r="V1759" s="35"/>
      <c r="W1759" s="35"/>
      <c r="X1759" s="35"/>
      <c r="Y1759" s="35"/>
      <c r="Z1759" s="35"/>
      <c r="AA1759" s="35"/>
      <c r="AB1759" s="35"/>
      <c r="AC1759" s="35"/>
      <c r="AD1759" s="35"/>
      <c r="AE1759" s="35"/>
      <c r="AF1759" s="35"/>
      <c r="AG1759" s="35"/>
      <c r="AH1759" s="35"/>
      <c r="AI1759" s="35"/>
      <c r="AJ1759" s="35"/>
      <c r="AK1759" s="35"/>
      <c r="AL1759" s="35"/>
      <c r="AM1759" s="35"/>
      <c r="AN1759" s="35"/>
      <c r="AO1759" s="35"/>
      <c r="AP1759" s="35"/>
    </row>
    <row r="1760" spans="1:42" ht="17.25" customHeight="1" x14ac:dyDescent="0.25">
      <c r="A1760" s="55">
        <v>2019</v>
      </c>
      <c r="B1760" s="56" t="s">
        <v>66</v>
      </c>
      <c r="C1760" s="56" t="s">
        <v>4</v>
      </c>
      <c r="D1760" s="56" t="s">
        <v>11</v>
      </c>
      <c r="E1760" s="56" t="s">
        <v>69</v>
      </c>
      <c r="F1760" s="56" t="s">
        <v>71</v>
      </c>
      <c r="G1760" s="57">
        <v>1533652890</v>
      </c>
      <c r="H1760" s="56" t="s">
        <v>68</v>
      </c>
      <c r="I1760" s="58" t="str">
        <f t="shared" si="134"/>
        <v>Malaysia-OTA</v>
      </c>
      <c r="J1760" s="40"/>
      <c r="K1760" s="59"/>
      <c r="L1760" s="35"/>
      <c r="M1760" s="35"/>
      <c r="N1760" s="35"/>
      <c r="O1760" s="35"/>
      <c r="P1760" s="35"/>
      <c r="Q1760" s="35"/>
      <c r="R1760" s="35"/>
      <c r="S1760" s="35"/>
      <c r="T1760" s="35"/>
      <c r="U1760" s="35"/>
      <c r="V1760" s="35"/>
      <c r="W1760" s="35"/>
      <c r="X1760" s="35"/>
      <c r="Y1760" s="35"/>
      <c r="Z1760" s="35"/>
      <c r="AA1760" s="35"/>
      <c r="AB1760" s="35"/>
      <c r="AC1760" s="35"/>
      <c r="AD1760" s="35"/>
      <c r="AE1760" s="35"/>
      <c r="AF1760" s="35"/>
      <c r="AG1760" s="35"/>
      <c r="AH1760" s="35"/>
      <c r="AI1760" s="35"/>
      <c r="AJ1760" s="35"/>
      <c r="AK1760" s="35"/>
      <c r="AL1760" s="35"/>
      <c r="AM1760" s="35"/>
      <c r="AN1760" s="35"/>
      <c r="AO1760" s="35"/>
      <c r="AP1760" s="35"/>
    </row>
    <row r="1761" spans="1:42" ht="17.25" customHeight="1" x14ac:dyDescent="0.25">
      <c r="A1761" s="60">
        <v>2019</v>
      </c>
      <c r="B1761" s="61" t="s">
        <v>66</v>
      </c>
      <c r="C1761" s="61" t="s">
        <v>35</v>
      </c>
      <c r="D1761" s="61" t="s">
        <v>39</v>
      </c>
      <c r="E1761" s="61" t="s">
        <v>67</v>
      </c>
      <c r="F1761" s="61" t="s">
        <v>67</v>
      </c>
      <c r="G1761" s="62">
        <v>15381702672</v>
      </c>
      <c r="H1761" s="61" t="s">
        <v>68</v>
      </c>
      <c r="I1761" s="63" t="str">
        <f t="shared" si="134"/>
        <v>Mexico-Offline</v>
      </c>
      <c r="J1761" s="47"/>
      <c r="K1761" s="54"/>
      <c r="L1761" s="35"/>
      <c r="M1761" s="35"/>
      <c r="N1761" s="35"/>
      <c r="O1761" s="35"/>
      <c r="P1761" s="35"/>
      <c r="Q1761" s="35"/>
      <c r="R1761" s="35"/>
      <c r="S1761" s="35"/>
      <c r="T1761" s="35"/>
      <c r="U1761" s="35"/>
      <c r="V1761" s="35"/>
      <c r="W1761" s="35"/>
      <c r="X1761" s="35"/>
      <c r="Y1761" s="35"/>
      <c r="Z1761" s="35"/>
      <c r="AA1761" s="35"/>
      <c r="AB1761" s="35"/>
      <c r="AC1761" s="35"/>
      <c r="AD1761" s="35"/>
      <c r="AE1761" s="35"/>
      <c r="AF1761" s="35"/>
      <c r="AG1761" s="35"/>
      <c r="AH1761" s="35"/>
      <c r="AI1761" s="35"/>
      <c r="AJ1761" s="35"/>
      <c r="AK1761" s="35"/>
      <c r="AL1761" s="35"/>
      <c r="AM1761" s="35"/>
      <c r="AN1761" s="35"/>
      <c r="AO1761" s="35"/>
      <c r="AP1761" s="35"/>
    </row>
    <row r="1762" spans="1:42" ht="17.25" customHeight="1" x14ac:dyDescent="0.25">
      <c r="A1762" s="55">
        <v>2019</v>
      </c>
      <c r="B1762" s="56" t="s">
        <v>66</v>
      </c>
      <c r="C1762" s="56" t="s">
        <v>35</v>
      </c>
      <c r="D1762" s="56" t="s">
        <v>39</v>
      </c>
      <c r="E1762" s="56" t="s">
        <v>69</v>
      </c>
      <c r="F1762" s="56" t="s">
        <v>70</v>
      </c>
      <c r="G1762" s="57">
        <v>4058362906</v>
      </c>
      <c r="H1762" s="56" t="s">
        <v>68</v>
      </c>
      <c r="I1762" s="58" t="str">
        <f t="shared" si="134"/>
        <v>Mexico-Online Supplier-Direct</v>
      </c>
      <c r="J1762" s="40"/>
      <c r="K1762" s="59"/>
      <c r="L1762" s="35"/>
      <c r="M1762" s="35"/>
      <c r="N1762" s="35"/>
      <c r="O1762" s="35"/>
      <c r="P1762" s="35"/>
      <c r="Q1762" s="35"/>
      <c r="R1762" s="35"/>
      <c r="S1762" s="35"/>
      <c r="T1762" s="35"/>
      <c r="U1762" s="35"/>
      <c r="V1762" s="35"/>
      <c r="W1762" s="35"/>
      <c r="X1762" s="35"/>
      <c r="Y1762" s="35"/>
      <c r="Z1762" s="35"/>
      <c r="AA1762" s="35"/>
      <c r="AB1762" s="35"/>
      <c r="AC1762" s="35"/>
      <c r="AD1762" s="35"/>
      <c r="AE1762" s="35"/>
      <c r="AF1762" s="35"/>
      <c r="AG1762" s="35"/>
      <c r="AH1762" s="35"/>
      <c r="AI1762" s="35"/>
      <c r="AJ1762" s="35"/>
      <c r="AK1762" s="35"/>
      <c r="AL1762" s="35"/>
      <c r="AM1762" s="35"/>
      <c r="AN1762" s="35"/>
      <c r="AO1762" s="35"/>
      <c r="AP1762" s="35"/>
    </row>
    <row r="1763" spans="1:42" ht="17.25" customHeight="1" x14ac:dyDescent="0.25">
      <c r="A1763" s="60">
        <v>2019</v>
      </c>
      <c r="B1763" s="61" t="s">
        <v>66</v>
      </c>
      <c r="C1763" s="61" t="s">
        <v>35</v>
      </c>
      <c r="D1763" s="61" t="s">
        <v>39</v>
      </c>
      <c r="E1763" s="61" t="s">
        <v>69</v>
      </c>
      <c r="F1763" s="61" t="s">
        <v>71</v>
      </c>
      <c r="G1763" s="62">
        <v>4919433828</v>
      </c>
      <c r="H1763" s="61" t="s">
        <v>68</v>
      </c>
      <c r="I1763" s="63" t="str">
        <f t="shared" si="134"/>
        <v>Mexico-OTA</v>
      </c>
      <c r="J1763" s="47"/>
      <c r="K1763" s="54"/>
      <c r="L1763" s="35"/>
      <c r="M1763" s="35"/>
      <c r="N1763" s="35"/>
      <c r="O1763" s="35"/>
      <c r="P1763" s="35"/>
      <c r="Q1763" s="35"/>
      <c r="R1763" s="35"/>
      <c r="S1763" s="35"/>
      <c r="T1763" s="35"/>
      <c r="U1763" s="35"/>
      <c r="V1763" s="35"/>
      <c r="W1763" s="35"/>
      <c r="X1763" s="35"/>
      <c r="Y1763" s="35"/>
      <c r="Z1763" s="35"/>
      <c r="AA1763" s="35"/>
      <c r="AB1763" s="35"/>
      <c r="AC1763" s="35"/>
      <c r="AD1763" s="35"/>
      <c r="AE1763" s="35"/>
      <c r="AF1763" s="35"/>
      <c r="AG1763" s="35"/>
      <c r="AH1763" s="35"/>
      <c r="AI1763" s="35"/>
      <c r="AJ1763" s="35"/>
      <c r="AK1763" s="35"/>
      <c r="AL1763" s="35"/>
      <c r="AM1763" s="35"/>
      <c r="AN1763" s="35"/>
      <c r="AO1763" s="35"/>
      <c r="AP1763" s="35"/>
    </row>
    <row r="1764" spans="1:42" ht="17.25" customHeight="1" x14ac:dyDescent="0.25">
      <c r="A1764" s="55">
        <v>2019</v>
      </c>
      <c r="B1764" s="56" t="s">
        <v>66</v>
      </c>
      <c r="C1764" s="56" t="s">
        <v>17</v>
      </c>
      <c r="D1764" s="56" t="s">
        <v>21</v>
      </c>
      <c r="E1764" s="56" t="s">
        <v>67</v>
      </c>
      <c r="F1764" s="56" t="s">
        <v>67</v>
      </c>
      <c r="G1764" s="57">
        <v>2828078750</v>
      </c>
      <c r="H1764" s="56" t="s">
        <v>68</v>
      </c>
      <c r="I1764" s="58" t="str">
        <f t="shared" si="134"/>
        <v>Poland-Offline</v>
      </c>
      <c r="J1764" s="40"/>
      <c r="K1764" s="59"/>
      <c r="L1764" s="35"/>
      <c r="M1764" s="35"/>
      <c r="N1764" s="35"/>
      <c r="O1764" s="35"/>
      <c r="P1764" s="35"/>
      <c r="Q1764" s="35"/>
      <c r="R1764" s="35"/>
      <c r="S1764" s="35"/>
      <c r="T1764" s="35"/>
      <c r="U1764" s="35"/>
      <c r="V1764" s="35"/>
      <c r="W1764" s="35"/>
      <c r="X1764" s="35"/>
      <c r="Y1764" s="35"/>
      <c r="Z1764" s="35"/>
      <c r="AA1764" s="35"/>
      <c r="AB1764" s="35"/>
      <c r="AC1764" s="35"/>
      <c r="AD1764" s="35"/>
      <c r="AE1764" s="35"/>
      <c r="AF1764" s="35"/>
      <c r="AG1764" s="35"/>
      <c r="AH1764" s="35"/>
      <c r="AI1764" s="35"/>
      <c r="AJ1764" s="35"/>
      <c r="AK1764" s="35"/>
      <c r="AL1764" s="35"/>
      <c r="AM1764" s="35"/>
      <c r="AN1764" s="35"/>
      <c r="AO1764" s="35"/>
      <c r="AP1764" s="35"/>
    </row>
    <row r="1765" spans="1:42" ht="17.25" customHeight="1" x14ac:dyDescent="0.25">
      <c r="A1765" s="60">
        <v>2019</v>
      </c>
      <c r="B1765" s="61" t="s">
        <v>66</v>
      </c>
      <c r="C1765" s="61" t="s">
        <v>17</v>
      </c>
      <c r="D1765" s="61" t="s">
        <v>21</v>
      </c>
      <c r="E1765" s="61" t="s">
        <v>69</v>
      </c>
      <c r="F1765" s="61" t="s">
        <v>70</v>
      </c>
      <c r="G1765" s="62">
        <v>1002333516</v>
      </c>
      <c r="H1765" s="61" t="s">
        <v>68</v>
      </c>
      <c r="I1765" s="63" t="str">
        <f t="shared" si="134"/>
        <v>Poland-Online Supplier-Direct</v>
      </c>
      <c r="J1765" s="47"/>
      <c r="K1765" s="54"/>
      <c r="L1765" s="35"/>
      <c r="M1765" s="35"/>
      <c r="N1765" s="35"/>
      <c r="O1765" s="35"/>
      <c r="P1765" s="35"/>
      <c r="Q1765" s="35"/>
      <c r="R1765" s="35"/>
      <c r="S1765" s="35"/>
      <c r="T1765" s="35"/>
      <c r="U1765" s="35"/>
      <c r="V1765" s="35"/>
      <c r="W1765" s="35"/>
      <c r="X1765" s="35"/>
      <c r="Y1765" s="35"/>
      <c r="Z1765" s="35"/>
      <c r="AA1765" s="35"/>
      <c r="AB1765" s="35"/>
      <c r="AC1765" s="35"/>
      <c r="AD1765" s="35"/>
      <c r="AE1765" s="35"/>
      <c r="AF1765" s="35"/>
      <c r="AG1765" s="35"/>
      <c r="AH1765" s="35"/>
      <c r="AI1765" s="35"/>
      <c r="AJ1765" s="35"/>
      <c r="AK1765" s="35"/>
      <c r="AL1765" s="35"/>
      <c r="AM1765" s="35"/>
      <c r="AN1765" s="35"/>
      <c r="AO1765" s="35"/>
      <c r="AP1765" s="35"/>
    </row>
    <row r="1766" spans="1:42" ht="17.25" customHeight="1" x14ac:dyDescent="0.25">
      <c r="A1766" s="55">
        <v>2019</v>
      </c>
      <c r="B1766" s="56" t="s">
        <v>66</v>
      </c>
      <c r="C1766" s="56" t="s">
        <v>17</v>
      </c>
      <c r="D1766" s="56" t="s">
        <v>21</v>
      </c>
      <c r="E1766" s="56" t="s">
        <v>69</v>
      </c>
      <c r="F1766" s="56" t="s">
        <v>71</v>
      </c>
      <c r="G1766" s="57">
        <v>1060439907</v>
      </c>
      <c r="H1766" s="56" t="s">
        <v>68</v>
      </c>
      <c r="I1766" s="58" t="str">
        <f t="shared" si="134"/>
        <v>Poland-OTA</v>
      </c>
      <c r="J1766" s="40"/>
      <c r="K1766" s="59"/>
      <c r="L1766" s="35"/>
      <c r="M1766" s="35"/>
      <c r="N1766" s="35"/>
      <c r="O1766" s="35"/>
      <c r="P1766" s="35"/>
      <c r="Q1766" s="35"/>
      <c r="R1766" s="35"/>
      <c r="S1766" s="35"/>
      <c r="T1766" s="35"/>
      <c r="U1766" s="35"/>
      <c r="V1766" s="35"/>
      <c r="W1766" s="35"/>
      <c r="X1766" s="35"/>
      <c r="Y1766" s="35"/>
      <c r="Z1766" s="35"/>
      <c r="AA1766" s="35"/>
      <c r="AB1766" s="35"/>
      <c r="AC1766" s="35"/>
      <c r="AD1766" s="35"/>
      <c r="AE1766" s="35"/>
      <c r="AF1766" s="35"/>
      <c r="AG1766" s="35"/>
      <c r="AH1766" s="35"/>
      <c r="AI1766" s="35"/>
      <c r="AJ1766" s="35"/>
      <c r="AK1766" s="35"/>
      <c r="AL1766" s="35"/>
      <c r="AM1766" s="35"/>
      <c r="AN1766" s="35"/>
      <c r="AO1766" s="35"/>
      <c r="AP1766" s="35"/>
    </row>
    <row r="1767" spans="1:42" ht="17.25" customHeight="1" x14ac:dyDescent="0.25">
      <c r="A1767" s="60">
        <v>2019</v>
      </c>
      <c r="B1767" s="61" t="s">
        <v>66</v>
      </c>
      <c r="C1767" s="61" t="s">
        <v>41</v>
      </c>
      <c r="D1767" s="61" t="s">
        <v>42</v>
      </c>
      <c r="E1767" s="61" t="s">
        <v>67</v>
      </c>
      <c r="F1767" s="61" t="s">
        <v>67</v>
      </c>
      <c r="G1767" s="62">
        <v>7660683228</v>
      </c>
      <c r="H1767" s="61" t="s">
        <v>68</v>
      </c>
      <c r="I1767" s="63" t="str">
        <f t="shared" si="134"/>
        <v>Qatar-Offline</v>
      </c>
      <c r="J1767" s="47"/>
      <c r="K1767" s="54"/>
      <c r="L1767" s="35"/>
      <c r="M1767" s="35"/>
      <c r="N1767" s="35"/>
      <c r="O1767" s="35"/>
      <c r="P1767" s="35"/>
      <c r="Q1767" s="35"/>
      <c r="R1767" s="35"/>
      <c r="S1767" s="35"/>
      <c r="T1767" s="35"/>
      <c r="U1767" s="35"/>
      <c r="V1767" s="35"/>
      <c r="W1767" s="35"/>
      <c r="X1767" s="35"/>
      <c r="Y1767" s="35"/>
      <c r="Z1767" s="35"/>
      <c r="AA1767" s="35"/>
      <c r="AB1767" s="35"/>
      <c r="AC1767" s="35"/>
      <c r="AD1767" s="35"/>
      <c r="AE1767" s="35"/>
      <c r="AF1767" s="35"/>
      <c r="AG1767" s="35"/>
      <c r="AH1767" s="35"/>
      <c r="AI1767" s="35"/>
      <c r="AJ1767" s="35"/>
      <c r="AK1767" s="35"/>
      <c r="AL1767" s="35"/>
      <c r="AM1767" s="35"/>
      <c r="AN1767" s="35"/>
      <c r="AO1767" s="35"/>
      <c r="AP1767" s="35"/>
    </row>
    <row r="1768" spans="1:42" ht="17.25" customHeight="1" x14ac:dyDescent="0.25">
      <c r="A1768" s="55">
        <v>2019</v>
      </c>
      <c r="B1768" s="56" t="s">
        <v>66</v>
      </c>
      <c r="C1768" s="56" t="s">
        <v>41</v>
      </c>
      <c r="D1768" s="56" t="s">
        <v>42</v>
      </c>
      <c r="E1768" s="56" t="s">
        <v>69</v>
      </c>
      <c r="F1768" s="56" t="s">
        <v>70</v>
      </c>
      <c r="G1768" s="57">
        <v>2717049760</v>
      </c>
      <c r="H1768" s="56" t="s">
        <v>68</v>
      </c>
      <c r="I1768" s="58" t="str">
        <f t="shared" si="134"/>
        <v>Qatar-Online Supplier-Direct</v>
      </c>
      <c r="J1768" s="40"/>
      <c r="K1768" s="59"/>
      <c r="L1768" s="35"/>
      <c r="M1768" s="35"/>
      <c r="N1768" s="35"/>
      <c r="O1768" s="35"/>
      <c r="P1768" s="35"/>
      <c r="Q1768" s="35"/>
      <c r="R1768" s="35"/>
      <c r="S1768" s="35"/>
      <c r="T1768" s="35"/>
      <c r="U1768" s="35"/>
      <c r="V1768" s="35"/>
      <c r="W1768" s="35"/>
      <c r="X1768" s="35"/>
      <c r="Y1768" s="35"/>
      <c r="Z1768" s="35"/>
      <c r="AA1768" s="35"/>
      <c r="AB1768" s="35"/>
      <c r="AC1768" s="35"/>
      <c r="AD1768" s="35"/>
      <c r="AE1768" s="35"/>
      <c r="AF1768" s="35"/>
      <c r="AG1768" s="35"/>
      <c r="AH1768" s="35"/>
      <c r="AI1768" s="35"/>
      <c r="AJ1768" s="35"/>
      <c r="AK1768" s="35"/>
      <c r="AL1768" s="35"/>
      <c r="AM1768" s="35"/>
      <c r="AN1768" s="35"/>
      <c r="AO1768" s="35"/>
      <c r="AP1768" s="35"/>
    </row>
    <row r="1769" spans="1:42" ht="17.25" customHeight="1" x14ac:dyDescent="0.25">
      <c r="A1769" s="60">
        <v>2019</v>
      </c>
      <c r="B1769" s="61" t="s">
        <v>66</v>
      </c>
      <c r="C1769" s="61" t="s">
        <v>41</v>
      </c>
      <c r="D1769" s="61" t="s">
        <v>42</v>
      </c>
      <c r="E1769" s="61" t="s">
        <v>69</v>
      </c>
      <c r="F1769" s="61" t="s">
        <v>71</v>
      </c>
      <c r="G1769" s="62">
        <v>1024416277</v>
      </c>
      <c r="H1769" s="61" t="s">
        <v>68</v>
      </c>
      <c r="I1769" s="63" t="str">
        <f t="shared" si="134"/>
        <v>Qatar-OTA</v>
      </c>
      <c r="J1769" s="47"/>
      <c r="K1769" s="54"/>
      <c r="L1769" s="35"/>
      <c r="M1769" s="35"/>
      <c r="N1769" s="35"/>
      <c r="O1769" s="35"/>
      <c r="P1769" s="35"/>
      <c r="Q1769" s="35"/>
      <c r="R1769" s="35"/>
      <c r="S1769" s="35"/>
      <c r="T1769" s="35"/>
      <c r="U1769" s="35"/>
      <c r="V1769" s="35"/>
      <c r="W1769" s="35"/>
      <c r="X1769" s="35"/>
      <c r="Y1769" s="35"/>
      <c r="Z1769" s="35"/>
      <c r="AA1769" s="35"/>
      <c r="AB1769" s="35"/>
      <c r="AC1769" s="35"/>
      <c r="AD1769" s="35"/>
      <c r="AE1769" s="35"/>
      <c r="AF1769" s="35"/>
      <c r="AG1769" s="35"/>
      <c r="AH1769" s="35"/>
      <c r="AI1769" s="35"/>
      <c r="AJ1769" s="35"/>
      <c r="AK1769" s="35"/>
      <c r="AL1769" s="35"/>
      <c r="AM1769" s="35"/>
      <c r="AN1769" s="35"/>
      <c r="AO1769" s="35"/>
      <c r="AP1769" s="35"/>
    </row>
    <row r="1770" spans="1:42" ht="17.25" customHeight="1" x14ac:dyDescent="0.25">
      <c r="A1770" s="55">
        <v>2019</v>
      </c>
      <c r="B1770" s="56" t="s">
        <v>66</v>
      </c>
      <c r="C1770" s="56" t="s">
        <v>17</v>
      </c>
      <c r="D1770" s="56" t="s">
        <v>22</v>
      </c>
      <c r="E1770" s="56" t="s">
        <v>67</v>
      </c>
      <c r="F1770" s="56" t="s">
        <v>67</v>
      </c>
      <c r="G1770" s="57">
        <v>1049086015</v>
      </c>
      <c r="H1770" s="56" t="s">
        <v>68</v>
      </c>
      <c r="I1770" s="58" t="str">
        <f t="shared" si="134"/>
        <v>Rest of Eastern Europe-Offline</v>
      </c>
      <c r="J1770" s="40"/>
      <c r="K1770" s="59"/>
      <c r="L1770" s="35"/>
      <c r="M1770" s="35"/>
      <c r="N1770" s="35"/>
      <c r="O1770" s="35"/>
      <c r="P1770" s="35"/>
      <c r="Q1770" s="35"/>
      <c r="R1770" s="35"/>
      <c r="S1770" s="35"/>
      <c r="T1770" s="35"/>
      <c r="U1770" s="35"/>
      <c r="V1770" s="35"/>
      <c r="W1770" s="35"/>
      <c r="X1770" s="35"/>
      <c r="Y1770" s="35"/>
      <c r="Z1770" s="35"/>
      <c r="AA1770" s="35"/>
      <c r="AB1770" s="35"/>
      <c r="AC1770" s="35"/>
      <c r="AD1770" s="35"/>
      <c r="AE1770" s="35"/>
      <c r="AF1770" s="35"/>
      <c r="AG1770" s="35"/>
      <c r="AH1770" s="35"/>
      <c r="AI1770" s="35"/>
      <c r="AJ1770" s="35"/>
      <c r="AK1770" s="35"/>
      <c r="AL1770" s="35"/>
      <c r="AM1770" s="35"/>
      <c r="AN1770" s="35"/>
      <c r="AO1770" s="35"/>
      <c r="AP1770" s="35"/>
    </row>
    <row r="1771" spans="1:42" ht="17.25" customHeight="1" x14ac:dyDescent="0.25">
      <c r="A1771" s="60">
        <v>2019</v>
      </c>
      <c r="B1771" s="61" t="s">
        <v>66</v>
      </c>
      <c r="C1771" s="61" t="s">
        <v>17</v>
      </c>
      <c r="D1771" s="61" t="s">
        <v>22</v>
      </c>
      <c r="E1771" s="61" t="s">
        <v>69</v>
      </c>
      <c r="F1771" s="61" t="s">
        <v>70</v>
      </c>
      <c r="G1771" s="62">
        <v>597422628</v>
      </c>
      <c r="H1771" s="61" t="s">
        <v>68</v>
      </c>
      <c r="I1771" s="63" t="str">
        <f t="shared" si="134"/>
        <v>Rest of Eastern Europe-Online Supplier-Direct</v>
      </c>
      <c r="J1771" s="47"/>
      <c r="K1771" s="54"/>
      <c r="L1771" s="35"/>
      <c r="M1771" s="35"/>
      <c r="N1771" s="35"/>
      <c r="O1771" s="35"/>
      <c r="P1771" s="35"/>
      <c r="Q1771" s="35"/>
      <c r="R1771" s="35"/>
      <c r="S1771" s="35"/>
      <c r="T1771" s="35"/>
      <c r="U1771" s="35"/>
      <c r="V1771" s="35"/>
      <c r="W1771" s="35"/>
      <c r="X1771" s="35"/>
      <c r="Y1771" s="35"/>
      <c r="Z1771" s="35"/>
      <c r="AA1771" s="35"/>
      <c r="AB1771" s="35"/>
      <c r="AC1771" s="35"/>
      <c r="AD1771" s="35"/>
      <c r="AE1771" s="35"/>
      <c r="AF1771" s="35"/>
      <c r="AG1771" s="35"/>
      <c r="AH1771" s="35"/>
      <c r="AI1771" s="35"/>
      <c r="AJ1771" s="35"/>
      <c r="AK1771" s="35"/>
      <c r="AL1771" s="35"/>
      <c r="AM1771" s="35"/>
      <c r="AN1771" s="35"/>
      <c r="AO1771" s="35"/>
      <c r="AP1771" s="35"/>
    </row>
    <row r="1772" spans="1:42" ht="17.25" customHeight="1" x14ac:dyDescent="0.25">
      <c r="A1772" s="55">
        <v>2019</v>
      </c>
      <c r="B1772" s="56" t="s">
        <v>66</v>
      </c>
      <c r="C1772" s="56" t="s">
        <v>17</v>
      </c>
      <c r="D1772" s="56" t="s">
        <v>22</v>
      </c>
      <c r="E1772" s="56" t="s">
        <v>69</v>
      </c>
      <c r="F1772" s="56" t="s">
        <v>71</v>
      </c>
      <c r="G1772" s="57">
        <v>439394444</v>
      </c>
      <c r="H1772" s="56" t="s">
        <v>68</v>
      </c>
      <c r="I1772" s="58" t="str">
        <f t="shared" si="134"/>
        <v>Rest of Eastern Europe-OTA</v>
      </c>
      <c r="J1772" s="40"/>
      <c r="K1772" s="59"/>
      <c r="L1772" s="35"/>
      <c r="M1772" s="35"/>
      <c r="N1772" s="35"/>
      <c r="O1772" s="35"/>
      <c r="P1772" s="35"/>
      <c r="Q1772" s="35"/>
      <c r="R1772" s="35"/>
      <c r="S1772" s="35"/>
      <c r="T1772" s="35"/>
      <c r="U1772" s="35"/>
      <c r="V1772" s="35"/>
      <c r="W1772" s="35"/>
      <c r="X1772" s="35"/>
      <c r="Y1772" s="35"/>
      <c r="Z1772" s="35"/>
      <c r="AA1772" s="35"/>
      <c r="AB1772" s="35"/>
      <c r="AC1772" s="35"/>
      <c r="AD1772" s="35"/>
      <c r="AE1772" s="35"/>
      <c r="AF1772" s="35"/>
      <c r="AG1772" s="35"/>
      <c r="AH1772" s="35"/>
      <c r="AI1772" s="35"/>
      <c r="AJ1772" s="35"/>
      <c r="AK1772" s="35"/>
      <c r="AL1772" s="35"/>
      <c r="AM1772" s="35"/>
      <c r="AN1772" s="35"/>
      <c r="AO1772" s="35"/>
      <c r="AP1772" s="35"/>
    </row>
    <row r="1773" spans="1:42" ht="17.25" customHeight="1" x14ac:dyDescent="0.25">
      <c r="A1773" s="60">
        <v>2019</v>
      </c>
      <c r="B1773" s="61" t="s">
        <v>66</v>
      </c>
      <c r="C1773" s="61" t="s">
        <v>27</v>
      </c>
      <c r="D1773" s="61" t="s">
        <v>30</v>
      </c>
      <c r="E1773" s="61" t="s">
        <v>67</v>
      </c>
      <c r="F1773" s="61" t="s">
        <v>67</v>
      </c>
      <c r="G1773" s="62">
        <v>32377290783</v>
      </c>
      <c r="H1773" s="61" t="s">
        <v>68</v>
      </c>
      <c r="I1773" s="63" t="str">
        <f t="shared" si="134"/>
        <v>Rest of Europe-Offline</v>
      </c>
      <c r="J1773" s="47"/>
      <c r="K1773" s="54"/>
      <c r="L1773" s="35"/>
      <c r="M1773" s="35"/>
      <c r="N1773" s="35"/>
      <c r="O1773" s="35"/>
      <c r="P1773" s="35"/>
      <c r="Q1773" s="35"/>
      <c r="R1773" s="35"/>
      <c r="S1773" s="35"/>
      <c r="T1773" s="35"/>
      <c r="U1773" s="35"/>
      <c r="V1773" s="35"/>
      <c r="W1773" s="35"/>
      <c r="X1773" s="35"/>
      <c r="Y1773" s="35"/>
      <c r="Z1773" s="35"/>
      <c r="AA1773" s="35"/>
      <c r="AB1773" s="35"/>
      <c r="AC1773" s="35"/>
      <c r="AD1773" s="35"/>
      <c r="AE1773" s="35"/>
      <c r="AF1773" s="35"/>
      <c r="AG1773" s="35"/>
      <c r="AH1773" s="35"/>
      <c r="AI1773" s="35"/>
      <c r="AJ1773" s="35"/>
      <c r="AK1773" s="35"/>
      <c r="AL1773" s="35"/>
      <c r="AM1773" s="35"/>
      <c r="AN1773" s="35"/>
      <c r="AO1773" s="35"/>
      <c r="AP1773" s="35"/>
    </row>
    <row r="1774" spans="1:42" ht="17.25" customHeight="1" x14ac:dyDescent="0.25">
      <c r="A1774" s="55">
        <v>2019</v>
      </c>
      <c r="B1774" s="56" t="s">
        <v>66</v>
      </c>
      <c r="C1774" s="56" t="s">
        <v>27</v>
      </c>
      <c r="D1774" s="56" t="s">
        <v>30</v>
      </c>
      <c r="E1774" s="56" t="s">
        <v>69</v>
      </c>
      <c r="F1774" s="56" t="s">
        <v>70</v>
      </c>
      <c r="G1774" s="57">
        <v>24361823119</v>
      </c>
      <c r="H1774" s="56" t="s">
        <v>68</v>
      </c>
      <c r="I1774" s="58" t="str">
        <f t="shared" si="134"/>
        <v>Rest of Europe-Online Supplier-Direct</v>
      </c>
      <c r="J1774" s="40"/>
      <c r="K1774" s="59"/>
      <c r="L1774" s="35"/>
      <c r="M1774" s="35"/>
      <c r="N1774" s="35"/>
      <c r="O1774" s="35"/>
      <c r="P1774" s="35"/>
      <c r="Q1774" s="35"/>
      <c r="R1774" s="35"/>
      <c r="S1774" s="35"/>
      <c r="T1774" s="35"/>
      <c r="U1774" s="35"/>
      <c r="V1774" s="35"/>
      <c r="W1774" s="35"/>
      <c r="X1774" s="35"/>
      <c r="Y1774" s="35"/>
      <c r="Z1774" s="35"/>
      <c r="AA1774" s="35"/>
      <c r="AB1774" s="35"/>
      <c r="AC1774" s="35"/>
      <c r="AD1774" s="35"/>
      <c r="AE1774" s="35"/>
      <c r="AF1774" s="35"/>
      <c r="AG1774" s="35"/>
      <c r="AH1774" s="35"/>
      <c r="AI1774" s="35"/>
      <c r="AJ1774" s="35"/>
      <c r="AK1774" s="35"/>
      <c r="AL1774" s="35"/>
      <c r="AM1774" s="35"/>
      <c r="AN1774" s="35"/>
      <c r="AO1774" s="35"/>
      <c r="AP1774" s="35"/>
    </row>
    <row r="1775" spans="1:42" ht="17.25" customHeight="1" x14ac:dyDescent="0.25">
      <c r="A1775" s="60">
        <v>2019</v>
      </c>
      <c r="B1775" s="61" t="s">
        <v>66</v>
      </c>
      <c r="C1775" s="61" t="s">
        <v>27</v>
      </c>
      <c r="D1775" s="61" t="s">
        <v>30</v>
      </c>
      <c r="E1775" s="61" t="s">
        <v>69</v>
      </c>
      <c r="F1775" s="61" t="s">
        <v>71</v>
      </c>
      <c r="G1775" s="62">
        <v>10483273630</v>
      </c>
      <c r="H1775" s="61" t="s">
        <v>68</v>
      </c>
      <c r="I1775" s="63" t="str">
        <f t="shared" si="134"/>
        <v>Rest of Europe-OTA</v>
      </c>
      <c r="J1775" s="47"/>
      <c r="K1775" s="54"/>
      <c r="L1775" s="35"/>
      <c r="M1775" s="35"/>
      <c r="N1775" s="35"/>
      <c r="O1775" s="35"/>
      <c r="P1775" s="35"/>
      <c r="Q1775" s="35"/>
      <c r="R1775" s="35"/>
      <c r="S1775" s="35"/>
      <c r="T1775" s="35"/>
      <c r="U1775" s="35"/>
      <c r="V1775" s="35"/>
      <c r="W1775" s="35"/>
      <c r="X1775" s="35"/>
      <c r="Y1775" s="35"/>
      <c r="Z1775" s="35"/>
      <c r="AA1775" s="35"/>
      <c r="AB1775" s="35"/>
      <c r="AC1775" s="35"/>
      <c r="AD1775" s="35"/>
      <c r="AE1775" s="35"/>
      <c r="AF1775" s="35"/>
      <c r="AG1775" s="35"/>
      <c r="AH1775" s="35"/>
      <c r="AI1775" s="35"/>
      <c r="AJ1775" s="35"/>
      <c r="AK1775" s="35"/>
      <c r="AL1775" s="35"/>
      <c r="AM1775" s="35"/>
      <c r="AN1775" s="35"/>
      <c r="AO1775" s="35"/>
      <c r="AP1775" s="35"/>
    </row>
    <row r="1776" spans="1:42" ht="17.25" customHeight="1" x14ac:dyDescent="0.25">
      <c r="A1776" s="55">
        <v>2019</v>
      </c>
      <c r="B1776" s="56" t="s">
        <v>66</v>
      </c>
      <c r="C1776" s="56" t="s">
        <v>41</v>
      </c>
      <c r="D1776" s="56" t="s">
        <v>43</v>
      </c>
      <c r="E1776" s="56" t="s">
        <v>67</v>
      </c>
      <c r="F1776" s="56" t="s">
        <v>67</v>
      </c>
      <c r="G1776" s="57">
        <v>8332915478</v>
      </c>
      <c r="H1776" s="56" t="s">
        <v>68</v>
      </c>
      <c r="I1776" s="58" t="str">
        <f t="shared" si="134"/>
        <v>Rest of Middle East-Offline</v>
      </c>
      <c r="J1776" s="40"/>
      <c r="K1776" s="59"/>
      <c r="L1776" s="35"/>
      <c r="M1776" s="35"/>
      <c r="N1776" s="35"/>
      <c r="O1776" s="35"/>
      <c r="P1776" s="35"/>
      <c r="Q1776" s="35"/>
      <c r="R1776" s="35"/>
      <c r="S1776" s="35"/>
      <c r="T1776" s="35"/>
      <c r="U1776" s="35"/>
      <c r="V1776" s="35"/>
      <c r="W1776" s="35"/>
      <c r="X1776" s="35"/>
      <c r="Y1776" s="35"/>
      <c r="Z1776" s="35"/>
      <c r="AA1776" s="35"/>
      <c r="AB1776" s="35"/>
      <c r="AC1776" s="35"/>
      <c r="AD1776" s="35"/>
      <c r="AE1776" s="35"/>
      <c r="AF1776" s="35"/>
      <c r="AG1776" s="35"/>
      <c r="AH1776" s="35"/>
      <c r="AI1776" s="35"/>
      <c r="AJ1776" s="35"/>
      <c r="AK1776" s="35"/>
      <c r="AL1776" s="35"/>
      <c r="AM1776" s="35"/>
      <c r="AN1776" s="35"/>
      <c r="AO1776" s="35"/>
      <c r="AP1776" s="35"/>
    </row>
    <row r="1777" spans="1:42" ht="17.25" customHeight="1" x14ac:dyDescent="0.25">
      <c r="A1777" s="60">
        <v>2019</v>
      </c>
      <c r="B1777" s="61" t="s">
        <v>66</v>
      </c>
      <c r="C1777" s="61" t="s">
        <v>41</v>
      </c>
      <c r="D1777" s="61" t="s">
        <v>43</v>
      </c>
      <c r="E1777" s="61" t="s">
        <v>69</v>
      </c>
      <c r="F1777" s="61" t="s">
        <v>70</v>
      </c>
      <c r="G1777" s="62">
        <v>1936412930</v>
      </c>
      <c r="H1777" s="61" t="s">
        <v>68</v>
      </c>
      <c r="I1777" s="63" t="str">
        <f t="shared" si="134"/>
        <v>Rest of Middle East-Online Supplier-Direct</v>
      </c>
      <c r="J1777" s="47"/>
      <c r="K1777" s="54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  <c r="AG1777" s="35"/>
      <c r="AH1777" s="35"/>
      <c r="AI1777" s="35"/>
      <c r="AJ1777" s="35"/>
      <c r="AK1777" s="35"/>
      <c r="AL1777" s="35"/>
      <c r="AM1777" s="35"/>
      <c r="AN1777" s="35"/>
      <c r="AO1777" s="35"/>
      <c r="AP1777" s="35"/>
    </row>
    <row r="1778" spans="1:42" ht="17.25" customHeight="1" x14ac:dyDescent="0.25">
      <c r="A1778" s="55">
        <v>2019</v>
      </c>
      <c r="B1778" s="56" t="s">
        <v>66</v>
      </c>
      <c r="C1778" s="56" t="s">
        <v>41</v>
      </c>
      <c r="D1778" s="56" t="s">
        <v>43</v>
      </c>
      <c r="E1778" s="56" t="s">
        <v>69</v>
      </c>
      <c r="F1778" s="56" t="s">
        <v>71</v>
      </c>
      <c r="G1778" s="57">
        <v>1931510115</v>
      </c>
      <c r="H1778" s="56" t="s">
        <v>68</v>
      </c>
      <c r="I1778" s="58" t="str">
        <f t="shared" si="134"/>
        <v>Rest of Middle East-OTA</v>
      </c>
      <c r="J1778" s="40"/>
      <c r="K1778" s="59"/>
      <c r="L1778" s="35"/>
      <c r="M1778" s="35"/>
      <c r="N1778" s="35"/>
      <c r="O1778" s="35"/>
      <c r="P1778" s="35"/>
      <c r="Q1778" s="35"/>
      <c r="R1778" s="35"/>
      <c r="S1778" s="35"/>
      <c r="T1778" s="35"/>
      <c r="U1778" s="35"/>
      <c r="V1778" s="35"/>
      <c r="W1778" s="35"/>
      <c r="X1778" s="35"/>
      <c r="Y1778" s="35"/>
      <c r="Z1778" s="35"/>
      <c r="AA1778" s="35"/>
      <c r="AB1778" s="35"/>
      <c r="AC1778" s="35"/>
      <c r="AD1778" s="35"/>
      <c r="AE1778" s="35"/>
      <c r="AF1778" s="35"/>
      <c r="AG1778" s="35"/>
      <c r="AH1778" s="35"/>
      <c r="AI1778" s="35"/>
      <c r="AJ1778" s="35"/>
      <c r="AK1778" s="35"/>
      <c r="AL1778" s="35"/>
      <c r="AM1778" s="35"/>
      <c r="AN1778" s="35"/>
      <c r="AO1778" s="35"/>
      <c r="AP1778" s="35"/>
    </row>
    <row r="1779" spans="1:42" ht="17.25" customHeight="1" x14ac:dyDescent="0.25">
      <c r="A1779" s="60">
        <v>2019</v>
      </c>
      <c r="B1779" s="61" t="s">
        <v>66</v>
      </c>
      <c r="C1779" s="61" t="s">
        <v>17</v>
      </c>
      <c r="D1779" s="61" t="s">
        <v>23</v>
      </c>
      <c r="E1779" s="61" t="s">
        <v>67</v>
      </c>
      <c r="F1779" s="61" t="s">
        <v>67</v>
      </c>
      <c r="G1779" s="62">
        <v>1232655508</v>
      </c>
      <c r="H1779" s="61" t="s">
        <v>68</v>
      </c>
      <c r="I1779" s="63" t="str">
        <f t="shared" si="134"/>
        <v>Romania-Offline</v>
      </c>
      <c r="J1779" s="47"/>
      <c r="K1779" s="54"/>
      <c r="L1779" s="35"/>
      <c r="M1779" s="35"/>
      <c r="N1779" s="35"/>
      <c r="O1779" s="35"/>
      <c r="P1779" s="35"/>
      <c r="Q1779" s="35"/>
      <c r="R1779" s="35"/>
      <c r="S1779" s="35"/>
      <c r="T1779" s="35"/>
      <c r="U1779" s="35"/>
      <c r="V1779" s="35"/>
      <c r="W1779" s="35"/>
      <c r="X1779" s="35"/>
      <c r="Y1779" s="35"/>
      <c r="Z1779" s="35"/>
      <c r="AA1779" s="35"/>
      <c r="AB1779" s="35"/>
      <c r="AC1779" s="35"/>
      <c r="AD1779" s="35"/>
      <c r="AE1779" s="35"/>
      <c r="AF1779" s="35"/>
      <c r="AG1779" s="35"/>
      <c r="AH1779" s="35"/>
      <c r="AI1779" s="35"/>
      <c r="AJ1779" s="35"/>
      <c r="AK1779" s="35"/>
      <c r="AL1779" s="35"/>
      <c r="AM1779" s="35"/>
      <c r="AN1779" s="35"/>
      <c r="AO1779" s="35"/>
      <c r="AP1779" s="35"/>
    </row>
    <row r="1780" spans="1:42" ht="17.25" customHeight="1" x14ac:dyDescent="0.25">
      <c r="A1780" s="55">
        <v>2019</v>
      </c>
      <c r="B1780" s="56" t="s">
        <v>66</v>
      </c>
      <c r="C1780" s="56" t="s">
        <v>17</v>
      </c>
      <c r="D1780" s="56" t="s">
        <v>23</v>
      </c>
      <c r="E1780" s="56" t="s">
        <v>69</v>
      </c>
      <c r="F1780" s="56" t="s">
        <v>70</v>
      </c>
      <c r="G1780" s="57">
        <v>192231941</v>
      </c>
      <c r="H1780" s="56" t="s">
        <v>68</v>
      </c>
      <c r="I1780" s="58" t="str">
        <f t="shared" si="134"/>
        <v>Romania-Online Supplier-Direct</v>
      </c>
      <c r="J1780" s="40"/>
      <c r="K1780" s="59"/>
      <c r="L1780" s="35"/>
      <c r="M1780" s="35"/>
      <c r="N1780" s="35"/>
      <c r="O1780" s="35"/>
      <c r="P1780" s="35"/>
      <c r="Q1780" s="35"/>
      <c r="R1780" s="35"/>
      <c r="S1780" s="35"/>
      <c r="T1780" s="35"/>
      <c r="U1780" s="35"/>
      <c r="V1780" s="35"/>
      <c r="W1780" s="35"/>
      <c r="X1780" s="35"/>
      <c r="Y1780" s="35"/>
      <c r="Z1780" s="35"/>
      <c r="AA1780" s="35"/>
      <c r="AB1780" s="35"/>
      <c r="AC1780" s="35"/>
      <c r="AD1780" s="35"/>
      <c r="AE1780" s="35"/>
      <c r="AF1780" s="35"/>
      <c r="AG1780" s="35"/>
      <c r="AH1780" s="35"/>
      <c r="AI1780" s="35"/>
      <c r="AJ1780" s="35"/>
      <c r="AK1780" s="35"/>
      <c r="AL1780" s="35"/>
      <c r="AM1780" s="35"/>
      <c r="AN1780" s="35"/>
      <c r="AO1780" s="35"/>
      <c r="AP1780" s="35"/>
    </row>
    <row r="1781" spans="1:42" ht="17.25" customHeight="1" x14ac:dyDescent="0.25">
      <c r="A1781" s="60">
        <v>2019</v>
      </c>
      <c r="B1781" s="61" t="s">
        <v>66</v>
      </c>
      <c r="C1781" s="61" t="s">
        <v>17</v>
      </c>
      <c r="D1781" s="61" t="s">
        <v>23</v>
      </c>
      <c r="E1781" s="61" t="s">
        <v>69</v>
      </c>
      <c r="F1781" s="61" t="s">
        <v>71</v>
      </c>
      <c r="G1781" s="62">
        <v>404404684</v>
      </c>
      <c r="H1781" s="61" t="s">
        <v>68</v>
      </c>
      <c r="I1781" s="63" t="str">
        <f t="shared" si="134"/>
        <v>Romania-OTA</v>
      </c>
      <c r="J1781" s="47"/>
      <c r="K1781" s="54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  <c r="AG1781" s="35"/>
      <c r="AH1781" s="35"/>
      <c r="AI1781" s="35"/>
      <c r="AJ1781" s="35"/>
      <c r="AK1781" s="35"/>
      <c r="AL1781" s="35"/>
      <c r="AM1781" s="35"/>
      <c r="AN1781" s="35"/>
      <c r="AO1781" s="35"/>
      <c r="AP1781" s="35"/>
    </row>
    <row r="1782" spans="1:42" ht="17.25" customHeight="1" x14ac:dyDescent="0.25">
      <c r="A1782" s="55">
        <v>2019</v>
      </c>
      <c r="B1782" s="56" t="s">
        <v>66</v>
      </c>
      <c r="C1782" s="56" t="s">
        <v>17</v>
      </c>
      <c r="D1782" s="56" t="s">
        <v>24</v>
      </c>
      <c r="E1782" s="56" t="s">
        <v>67</v>
      </c>
      <c r="F1782" s="56" t="s">
        <v>67</v>
      </c>
      <c r="G1782" s="57">
        <v>22825228796</v>
      </c>
      <c r="H1782" s="56" t="s">
        <v>68</v>
      </c>
      <c r="I1782" s="58" t="str">
        <f t="shared" si="134"/>
        <v>Russia-Offline</v>
      </c>
      <c r="J1782" s="40"/>
      <c r="K1782" s="59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  <c r="AG1782" s="35"/>
      <c r="AH1782" s="35"/>
      <c r="AI1782" s="35"/>
      <c r="AJ1782" s="35"/>
      <c r="AK1782" s="35"/>
      <c r="AL1782" s="35"/>
      <c r="AM1782" s="35"/>
      <c r="AN1782" s="35"/>
      <c r="AO1782" s="35"/>
      <c r="AP1782" s="35"/>
    </row>
    <row r="1783" spans="1:42" ht="17.25" customHeight="1" x14ac:dyDescent="0.25">
      <c r="A1783" s="60">
        <v>2019</v>
      </c>
      <c r="B1783" s="61" t="s">
        <v>66</v>
      </c>
      <c r="C1783" s="61" t="s">
        <v>17</v>
      </c>
      <c r="D1783" s="61" t="s">
        <v>24</v>
      </c>
      <c r="E1783" s="61" t="s">
        <v>69</v>
      </c>
      <c r="F1783" s="61" t="s">
        <v>70</v>
      </c>
      <c r="G1783" s="62">
        <v>8532453800</v>
      </c>
      <c r="H1783" s="61" t="s">
        <v>68</v>
      </c>
      <c r="I1783" s="63" t="str">
        <f t="shared" si="134"/>
        <v>Russia-Online Supplier-Direct</v>
      </c>
      <c r="J1783" s="47"/>
      <c r="K1783" s="54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  <c r="AG1783" s="35"/>
      <c r="AH1783" s="35"/>
      <c r="AI1783" s="35"/>
      <c r="AJ1783" s="35"/>
      <c r="AK1783" s="35"/>
      <c r="AL1783" s="35"/>
      <c r="AM1783" s="35"/>
      <c r="AN1783" s="35"/>
      <c r="AO1783" s="35"/>
      <c r="AP1783" s="35"/>
    </row>
    <row r="1784" spans="1:42" ht="17.25" customHeight="1" x14ac:dyDescent="0.25">
      <c r="A1784" s="55">
        <v>2019</v>
      </c>
      <c r="B1784" s="56" t="s">
        <v>66</v>
      </c>
      <c r="C1784" s="56" t="s">
        <v>17</v>
      </c>
      <c r="D1784" s="56" t="s">
        <v>24</v>
      </c>
      <c r="E1784" s="56" t="s">
        <v>69</v>
      </c>
      <c r="F1784" s="56" t="s">
        <v>71</v>
      </c>
      <c r="G1784" s="57">
        <v>5353171471</v>
      </c>
      <c r="H1784" s="56" t="s">
        <v>68</v>
      </c>
      <c r="I1784" s="58" t="str">
        <f t="shared" si="134"/>
        <v>Russia-OTA</v>
      </c>
      <c r="J1784" s="40"/>
      <c r="K1784" s="59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  <c r="AG1784" s="35"/>
      <c r="AH1784" s="35"/>
      <c r="AI1784" s="35"/>
      <c r="AJ1784" s="35"/>
      <c r="AK1784" s="35"/>
      <c r="AL1784" s="35"/>
      <c r="AM1784" s="35"/>
      <c r="AN1784" s="35"/>
      <c r="AO1784" s="35"/>
      <c r="AP1784" s="35"/>
    </row>
    <row r="1785" spans="1:42" ht="17.25" customHeight="1" x14ac:dyDescent="0.25">
      <c r="A1785" s="60">
        <v>2019</v>
      </c>
      <c r="B1785" s="61" t="s">
        <v>66</v>
      </c>
      <c r="C1785" s="61" t="s">
        <v>41</v>
      </c>
      <c r="D1785" s="61" t="s">
        <v>44</v>
      </c>
      <c r="E1785" s="61" t="s">
        <v>67</v>
      </c>
      <c r="F1785" s="61" t="s">
        <v>67</v>
      </c>
      <c r="G1785" s="62">
        <v>10276922655</v>
      </c>
      <c r="H1785" s="61" t="s">
        <v>68</v>
      </c>
      <c r="I1785" s="63" t="str">
        <f t="shared" si="134"/>
        <v>Saudi Arabia-Offline</v>
      </c>
      <c r="J1785" s="47"/>
      <c r="K1785" s="54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  <c r="AG1785" s="35"/>
      <c r="AH1785" s="35"/>
      <c r="AI1785" s="35"/>
      <c r="AJ1785" s="35"/>
      <c r="AK1785" s="35"/>
      <c r="AL1785" s="35"/>
      <c r="AM1785" s="35"/>
      <c r="AN1785" s="35"/>
      <c r="AO1785" s="35"/>
      <c r="AP1785" s="35"/>
    </row>
    <row r="1786" spans="1:42" ht="17.25" customHeight="1" x14ac:dyDescent="0.25">
      <c r="A1786" s="55">
        <v>2019</v>
      </c>
      <c r="B1786" s="56" t="s">
        <v>66</v>
      </c>
      <c r="C1786" s="56" t="s">
        <v>41</v>
      </c>
      <c r="D1786" s="56" t="s">
        <v>44</v>
      </c>
      <c r="E1786" s="56" t="s">
        <v>69</v>
      </c>
      <c r="F1786" s="56" t="s">
        <v>70</v>
      </c>
      <c r="G1786" s="57">
        <v>3354380764</v>
      </c>
      <c r="H1786" s="56" t="s">
        <v>68</v>
      </c>
      <c r="I1786" s="58" t="str">
        <f t="shared" si="134"/>
        <v>Saudi Arabia-Online Supplier-Direct</v>
      </c>
      <c r="J1786" s="40"/>
      <c r="K1786" s="59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  <c r="AG1786" s="35"/>
      <c r="AH1786" s="35"/>
      <c r="AI1786" s="35"/>
      <c r="AJ1786" s="35"/>
      <c r="AK1786" s="35"/>
      <c r="AL1786" s="35"/>
      <c r="AM1786" s="35"/>
      <c r="AN1786" s="35"/>
      <c r="AO1786" s="35"/>
      <c r="AP1786" s="35"/>
    </row>
    <row r="1787" spans="1:42" ht="17.25" customHeight="1" x14ac:dyDescent="0.25">
      <c r="A1787" s="60">
        <v>2019</v>
      </c>
      <c r="B1787" s="61" t="s">
        <v>66</v>
      </c>
      <c r="C1787" s="61" t="s">
        <v>41</v>
      </c>
      <c r="D1787" s="61" t="s">
        <v>44</v>
      </c>
      <c r="E1787" s="61" t="s">
        <v>69</v>
      </c>
      <c r="F1787" s="61" t="s">
        <v>71</v>
      </c>
      <c r="G1787" s="62">
        <v>2594804519</v>
      </c>
      <c r="H1787" s="61" t="s">
        <v>68</v>
      </c>
      <c r="I1787" s="63" t="str">
        <f t="shared" ref="I1787:I2041" si="135">D1787&amp;"-"&amp;F1787</f>
        <v>Saudi Arabia-OTA</v>
      </c>
      <c r="J1787" s="47"/>
      <c r="K1787" s="54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  <c r="AG1787" s="35"/>
      <c r="AH1787" s="35"/>
      <c r="AI1787" s="35"/>
      <c r="AJ1787" s="35"/>
      <c r="AK1787" s="35"/>
      <c r="AL1787" s="35"/>
      <c r="AM1787" s="35"/>
      <c r="AN1787" s="35"/>
      <c r="AO1787" s="35"/>
      <c r="AP1787" s="35"/>
    </row>
    <row r="1788" spans="1:42" ht="17.25" customHeight="1" x14ac:dyDescent="0.25">
      <c r="A1788" s="55">
        <v>2019</v>
      </c>
      <c r="B1788" s="56" t="s">
        <v>66</v>
      </c>
      <c r="C1788" s="56" t="s">
        <v>27</v>
      </c>
      <c r="D1788" s="56" t="s">
        <v>31</v>
      </c>
      <c r="E1788" s="56" t="s">
        <v>67</v>
      </c>
      <c r="F1788" s="56" t="s">
        <v>67</v>
      </c>
      <c r="G1788" s="57">
        <v>6428196829</v>
      </c>
      <c r="H1788" s="56" t="s">
        <v>68</v>
      </c>
      <c r="I1788" s="58" t="str">
        <f t="shared" si="135"/>
        <v>Scandinavia-Offline</v>
      </c>
      <c r="J1788" s="40"/>
      <c r="K1788" s="59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  <c r="AG1788" s="35"/>
      <c r="AH1788" s="35"/>
      <c r="AI1788" s="35"/>
      <c r="AJ1788" s="35"/>
      <c r="AK1788" s="35"/>
      <c r="AL1788" s="35"/>
      <c r="AM1788" s="35"/>
      <c r="AN1788" s="35"/>
      <c r="AO1788" s="35"/>
      <c r="AP1788" s="35"/>
    </row>
    <row r="1789" spans="1:42" ht="17.25" customHeight="1" x14ac:dyDescent="0.25">
      <c r="A1789" s="60">
        <v>2019</v>
      </c>
      <c r="B1789" s="61" t="s">
        <v>66</v>
      </c>
      <c r="C1789" s="61" t="s">
        <v>27</v>
      </c>
      <c r="D1789" s="61" t="s">
        <v>31</v>
      </c>
      <c r="E1789" s="61" t="s">
        <v>69</v>
      </c>
      <c r="F1789" s="61" t="s">
        <v>70</v>
      </c>
      <c r="G1789" s="62">
        <v>10765556097</v>
      </c>
      <c r="H1789" s="61" t="s">
        <v>68</v>
      </c>
      <c r="I1789" s="63" t="str">
        <f t="shared" si="135"/>
        <v>Scandinavia-Online Supplier-Direct</v>
      </c>
      <c r="J1789" s="47"/>
      <c r="K1789" s="54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  <c r="AG1789" s="35"/>
      <c r="AH1789" s="35"/>
      <c r="AI1789" s="35"/>
      <c r="AJ1789" s="35"/>
      <c r="AK1789" s="35"/>
      <c r="AL1789" s="35"/>
      <c r="AM1789" s="35"/>
      <c r="AN1789" s="35"/>
      <c r="AO1789" s="35"/>
      <c r="AP1789" s="35"/>
    </row>
    <row r="1790" spans="1:42" ht="17.25" customHeight="1" x14ac:dyDescent="0.25">
      <c r="A1790" s="55">
        <v>2019</v>
      </c>
      <c r="B1790" s="56" t="s">
        <v>66</v>
      </c>
      <c r="C1790" s="56" t="s">
        <v>27</v>
      </c>
      <c r="D1790" s="56" t="s">
        <v>31</v>
      </c>
      <c r="E1790" s="56" t="s">
        <v>69</v>
      </c>
      <c r="F1790" s="56" t="s">
        <v>71</v>
      </c>
      <c r="G1790" s="57">
        <v>4002104846</v>
      </c>
      <c r="H1790" s="56" t="s">
        <v>68</v>
      </c>
      <c r="I1790" s="58" t="str">
        <f t="shared" si="135"/>
        <v>Scandinavia-OTA</v>
      </c>
      <c r="J1790" s="40"/>
      <c r="K1790" s="59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  <c r="AG1790" s="35"/>
      <c r="AH1790" s="35"/>
      <c r="AI1790" s="35"/>
      <c r="AJ1790" s="35"/>
      <c r="AK1790" s="35"/>
      <c r="AL1790" s="35"/>
      <c r="AM1790" s="35"/>
      <c r="AN1790" s="35"/>
      <c r="AO1790" s="35"/>
      <c r="AP1790" s="35"/>
    </row>
    <row r="1791" spans="1:42" ht="17.25" customHeight="1" x14ac:dyDescent="0.25">
      <c r="A1791" s="60">
        <v>2019</v>
      </c>
      <c r="B1791" s="61" t="s">
        <v>66</v>
      </c>
      <c r="C1791" s="61" t="s">
        <v>4</v>
      </c>
      <c r="D1791" s="61" t="s">
        <v>12</v>
      </c>
      <c r="E1791" s="61" t="s">
        <v>67</v>
      </c>
      <c r="F1791" s="61" t="s">
        <v>67</v>
      </c>
      <c r="G1791" s="62">
        <v>7356876351</v>
      </c>
      <c r="H1791" s="61" t="s">
        <v>68</v>
      </c>
      <c r="I1791" s="63" t="str">
        <f t="shared" si="135"/>
        <v>Singapore-Offline</v>
      </c>
      <c r="J1791" s="47"/>
      <c r="K1791" s="54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  <c r="AG1791" s="35"/>
      <c r="AH1791" s="35"/>
      <c r="AI1791" s="35"/>
      <c r="AJ1791" s="35"/>
      <c r="AK1791" s="35"/>
      <c r="AL1791" s="35"/>
      <c r="AM1791" s="35"/>
      <c r="AN1791" s="35"/>
      <c r="AO1791" s="35"/>
      <c r="AP1791" s="35"/>
    </row>
    <row r="1792" spans="1:42" ht="17.25" customHeight="1" x14ac:dyDescent="0.25">
      <c r="A1792" s="55">
        <v>2019</v>
      </c>
      <c r="B1792" s="56" t="s">
        <v>66</v>
      </c>
      <c r="C1792" s="56" t="s">
        <v>4</v>
      </c>
      <c r="D1792" s="56" t="s">
        <v>12</v>
      </c>
      <c r="E1792" s="56" t="s">
        <v>69</v>
      </c>
      <c r="F1792" s="56" t="s">
        <v>70</v>
      </c>
      <c r="G1792" s="57">
        <v>3965185075</v>
      </c>
      <c r="H1792" s="56" t="s">
        <v>68</v>
      </c>
      <c r="I1792" s="58" t="str">
        <f t="shared" si="135"/>
        <v>Singapore-Online Supplier-Direct</v>
      </c>
      <c r="J1792" s="40"/>
      <c r="K1792" s="59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  <c r="AG1792" s="35"/>
      <c r="AH1792" s="35"/>
      <c r="AI1792" s="35"/>
      <c r="AJ1792" s="35"/>
      <c r="AK1792" s="35"/>
      <c r="AL1792" s="35"/>
      <c r="AM1792" s="35"/>
      <c r="AN1792" s="35"/>
      <c r="AO1792" s="35"/>
      <c r="AP1792" s="35"/>
    </row>
    <row r="1793" spans="1:42" ht="17.25" customHeight="1" x14ac:dyDescent="0.25">
      <c r="A1793" s="60">
        <v>2019</v>
      </c>
      <c r="B1793" s="61" t="s">
        <v>66</v>
      </c>
      <c r="C1793" s="61" t="s">
        <v>4</v>
      </c>
      <c r="D1793" s="61" t="s">
        <v>12</v>
      </c>
      <c r="E1793" s="61" t="s">
        <v>69</v>
      </c>
      <c r="F1793" s="61" t="s">
        <v>71</v>
      </c>
      <c r="G1793" s="62">
        <v>1679916197</v>
      </c>
      <c r="H1793" s="61" t="s">
        <v>68</v>
      </c>
      <c r="I1793" s="63" t="str">
        <f t="shared" si="135"/>
        <v>Singapore-OTA</v>
      </c>
      <c r="J1793" s="47"/>
      <c r="K1793" s="54"/>
      <c r="L1793" s="35"/>
      <c r="M1793" s="35"/>
      <c r="N1793" s="35"/>
      <c r="O1793" s="35"/>
      <c r="P1793" s="35"/>
      <c r="Q1793" s="35"/>
      <c r="R1793" s="35"/>
      <c r="S1793" s="35"/>
      <c r="T1793" s="35"/>
      <c r="U1793" s="35"/>
      <c r="V1793" s="35"/>
      <c r="W1793" s="35"/>
      <c r="X1793" s="35"/>
      <c r="Y1793" s="35"/>
      <c r="Z1793" s="35"/>
      <c r="AA1793" s="35"/>
      <c r="AB1793" s="35"/>
      <c r="AC1793" s="35"/>
      <c r="AD1793" s="35"/>
      <c r="AE1793" s="35"/>
      <c r="AF1793" s="35"/>
      <c r="AG1793" s="35"/>
      <c r="AH1793" s="35"/>
      <c r="AI1793" s="35"/>
      <c r="AJ1793" s="35"/>
      <c r="AK1793" s="35"/>
      <c r="AL1793" s="35"/>
      <c r="AM1793" s="35"/>
      <c r="AN1793" s="35"/>
      <c r="AO1793" s="35"/>
      <c r="AP1793" s="35"/>
    </row>
    <row r="1794" spans="1:42" ht="17.25" customHeight="1" x14ac:dyDescent="0.25">
      <c r="A1794" s="55">
        <v>2019</v>
      </c>
      <c r="B1794" s="56" t="s">
        <v>66</v>
      </c>
      <c r="C1794" s="56" t="s">
        <v>4</v>
      </c>
      <c r="D1794" s="56" t="s">
        <v>13</v>
      </c>
      <c r="E1794" s="56" t="s">
        <v>67</v>
      </c>
      <c r="F1794" s="56" t="s">
        <v>67</v>
      </c>
      <c r="G1794" s="57">
        <v>10571229986</v>
      </c>
      <c r="H1794" s="56" t="s">
        <v>68</v>
      </c>
      <c r="I1794" s="58" t="str">
        <f t="shared" si="135"/>
        <v>South Korea-Offline</v>
      </c>
      <c r="J1794" s="40"/>
      <c r="K1794" s="59"/>
      <c r="L1794" s="35"/>
      <c r="M1794" s="35"/>
      <c r="N1794" s="35"/>
      <c r="O1794" s="35"/>
      <c r="P1794" s="35"/>
      <c r="Q1794" s="35"/>
      <c r="R1794" s="35"/>
      <c r="S1794" s="35"/>
      <c r="T1794" s="35"/>
      <c r="U1794" s="35"/>
      <c r="V1794" s="35"/>
      <c r="W1794" s="35"/>
      <c r="X1794" s="35"/>
      <c r="Y1794" s="35"/>
      <c r="Z1794" s="35"/>
      <c r="AA1794" s="35"/>
      <c r="AB1794" s="35"/>
      <c r="AC1794" s="35"/>
      <c r="AD1794" s="35"/>
      <c r="AE1794" s="35"/>
      <c r="AF1794" s="35"/>
      <c r="AG1794" s="35"/>
      <c r="AH1794" s="35"/>
      <c r="AI1794" s="35"/>
      <c r="AJ1794" s="35"/>
      <c r="AK1794" s="35"/>
      <c r="AL1794" s="35"/>
      <c r="AM1794" s="35"/>
      <c r="AN1794" s="35"/>
      <c r="AO1794" s="35"/>
      <c r="AP1794" s="35"/>
    </row>
    <row r="1795" spans="1:42" ht="17.25" customHeight="1" x14ac:dyDescent="0.25">
      <c r="A1795" s="60">
        <v>2019</v>
      </c>
      <c r="B1795" s="61" t="s">
        <v>66</v>
      </c>
      <c r="C1795" s="61" t="s">
        <v>4</v>
      </c>
      <c r="D1795" s="61" t="s">
        <v>13</v>
      </c>
      <c r="E1795" s="61" t="s">
        <v>69</v>
      </c>
      <c r="F1795" s="61" t="s">
        <v>70</v>
      </c>
      <c r="G1795" s="62">
        <v>5958544225</v>
      </c>
      <c r="H1795" s="61" t="s">
        <v>68</v>
      </c>
      <c r="I1795" s="63" t="str">
        <f t="shared" si="135"/>
        <v>South Korea-Online Supplier-Direct</v>
      </c>
      <c r="J1795" s="47"/>
      <c r="K1795" s="54"/>
      <c r="L1795" s="35"/>
      <c r="M1795" s="35"/>
      <c r="N1795" s="35"/>
      <c r="O1795" s="35"/>
      <c r="P1795" s="35"/>
      <c r="Q1795" s="35"/>
      <c r="R1795" s="35"/>
      <c r="S1795" s="35"/>
      <c r="T1795" s="35"/>
      <c r="U1795" s="35"/>
      <c r="V1795" s="35"/>
      <c r="W1795" s="35"/>
      <c r="X1795" s="35"/>
      <c r="Y1795" s="35"/>
      <c r="Z1795" s="35"/>
      <c r="AA1795" s="35"/>
      <c r="AB1795" s="35"/>
      <c r="AC1795" s="35"/>
      <c r="AD1795" s="35"/>
      <c r="AE1795" s="35"/>
      <c r="AF1795" s="35"/>
      <c r="AG1795" s="35"/>
      <c r="AH1795" s="35"/>
      <c r="AI1795" s="35"/>
      <c r="AJ1795" s="35"/>
      <c r="AK1795" s="35"/>
      <c r="AL1795" s="35"/>
      <c r="AM1795" s="35"/>
      <c r="AN1795" s="35"/>
      <c r="AO1795" s="35"/>
      <c r="AP1795" s="35"/>
    </row>
    <row r="1796" spans="1:42" ht="17.25" customHeight="1" x14ac:dyDescent="0.25">
      <c r="A1796" s="55">
        <v>2019</v>
      </c>
      <c r="B1796" s="56" t="s">
        <v>66</v>
      </c>
      <c r="C1796" s="56" t="s">
        <v>4</v>
      </c>
      <c r="D1796" s="56" t="s">
        <v>13</v>
      </c>
      <c r="E1796" s="56" t="s">
        <v>69</v>
      </c>
      <c r="F1796" s="56" t="s">
        <v>71</v>
      </c>
      <c r="G1796" s="57">
        <v>2712671877</v>
      </c>
      <c r="H1796" s="56" t="s">
        <v>68</v>
      </c>
      <c r="I1796" s="58" t="str">
        <f t="shared" si="135"/>
        <v>South Korea-OTA</v>
      </c>
      <c r="J1796" s="40"/>
      <c r="K1796" s="59"/>
      <c r="L1796" s="35"/>
      <c r="M1796" s="35"/>
      <c r="N1796" s="35"/>
      <c r="O1796" s="35"/>
      <c r="P1796" s="35"/>
      <c r="Q1796" s="35"/>
      <c r="R1796" s="35"/>
      <c r="S1796" s="35"/>
      <c r="T1796" s="35"/>
      <c r="U1796" s="35"/>
      <c r="V1796" s="35"/>
      <c r="W1796" s="35"/>
      <c r="X1796" s="35"/>
      <c r="Y1796" s="35"/>
      <c r="Z1796" s="35"/>
      <c r="AA1796" s="35"/>
      <c r="AB1796" s="35"/>
      <c r="AC1796" s="35"/>
      <c r="AD1796" s="35"/>
      <c r="AE1796" s="35"/>
      <c r="AF1796" s="35"/>
      <c r="AG1796" s="35"/>
      <c r="AH1796" s="35"/>
      <c r="AI1796" s="35"/>
      <c r="AJ1796" s="35"/>
      <c r="AK1796" s="35"/>
      <c r="AL1796" s="35"/>
      <c r="AM1796" s="35"/>
      <c r="AN1796" s="35"/>
      <c r="AO1796" s="35"/>
      <c r="AP1796" s="35"/>
    </row>
    <row r="1797" spans="1:42" ht="17.25" customHeight="1" x14ac:dyDescent="0.25">
      <c r="A1797" s="60">
        <v>2019</v>
      </c>
      <c r="B1797" s="61" t="s">
        <v>66</v>
      </c>
      <c r="C1797" s="61" t="s">
        <v>27</v>
      </c>
      <c r="D1797" s="61" t="s">
        <v>32</v>
      </c>
      <c r="E1797" s="61" t="s">
        <v>67</v>
      </c>
      <c r="F1797" s="61" t="s">
        <v>67</v>
      </c>
      <c r="G1797" s="62">
        <v>18056256570</v>
      </c>
      <c r="H1797" s="61" t="s">
        <v>68</v>
      </c>
      <c r="I1797" s="63" t="str">
        <f t="shared" si="135"/>
        <v>Spain-Offline</v>
      </c>
      <c r="J1797" s="47"/>
      <c r="K1797" s="54"/>
      <c r="L1797" s="35"/>
      <c r="M1797" s="35"/>
      <c r="N1797" s="35"/>
      <c r="O1797" s="35"/>
      <c r="P1797" s="35"/>
      <c r="Q1797" s="35"/>
      <c r="R1797" s="35"/>
      <c r="S1797" s="35"/>
      <c r="T1797" s="35"/>
      <c r="U1797" s="35"/>
      <c r="V1797" s="35"/>
      <c r="W1797" s="35"/>
      <c r="X1797" s="35"/>
      <c r="Y1797" s="35"/>
      <c r="Z1797" s="35"/>
      <c r="AA1797" s="35"/>
      <c r="AB1797" s="35"/>
      <c r="AC1797" s="35"/>
      <c r="AD1797" s="35"/>
      <c r="AE1797" s="35"/>
      <c r="AF1797" s="35"/>
      <c r="AG1797" s="35"/>
      <c r="AH1797" s="35"/>
      <c r="AI1797" s="35"/>
      <c r="AJ1797" s="35"/>
      <c r="AK1797" s="35"/>
      <c r="AL1797" s="35"/>
      <c r="AM1797" s="35"/>
      <c r="AN1797" s="35"/>
      <c r="AO1797" s="35"/>
      <c r="AP1797" s="35"/>
    </row>
    <row r="1798" spans="1:42" ht="17.25" customHeight="1" x14ac:dyDescent="0.25">
      <c r="A1798" s="55">
        <v>2019</v>
      </c>
      <c r="B1798" s="56" t="s">
        <v>66</v>
      </c>
      <c r="C1798" s="56" t="s">
        <v>27</v>
      </c>
      <c r="D1798" s="56" t="s">
        <v>32</v>
      </c>
      <c r="E1798" s="56" t="s">
        <v>69</v>
      </c>
      <c r="F1798" s="56" t="s">
        <v>70</v>
      </c>
      <c r="G1798" s="57">
        <v>7699613413</v>
      </c>
      <c r="H1798" s="56" t="s">
        <v>68</v>
      </c>
      <c r="I1798" s="58" t="str">
        <f t="shared" si="135"/>
        <v>Spain-Online Supplier-Direct</v>
      </c>
      <c r="J1798" s="40"/>
      <c r="K1798" s="59"/>
      <c r="L1798" s="35"/>
      <c r="M1798" s="35"/>
      <c r="N1798" s="35"/>
      <c r="O1798" s="35"/>
      <c r="P1798" s="35"/>
      <c r="Q1798" s="35"/>
      <c r="R1798" s="35"/>
      <c r="S1798" s="35"/>
      <c r="T1798" s="35"/>
      <c r="U1798" s="35"/>
      <c r="V1798" s="35"/>
      <c r="W1798" s="35"/>
      <c r="X1798" s="35"/>
      <c r="Y1798" s="35"/>
      <c r="Z1798" s="35"/>
      <c r="AA1798" s="35"/>
      <c r="AB1798" s="35"/>
      <c r="AC1798" s="35"/>
      <c r="AD1798" s="35"/>
      <c r="AE1798" s="35"/>
      <c r="AF1798" s="35"/>
      <c r="AG1798" s="35"/>
      <c r="AH1798" s="35"/>
      <c r="AI1798" s="35"/>
      <c r="AJ1798" s="35"/>
      <c r="AK1798" s="35"/>
      <c r="AL1798" s="35"/>
      <c r="AM1798" s="35"/>
      <c r="AN1798" s="35"/>
      <c r="AO1798" s="35"/>
      <c r="AP1798" s="35"/>
    </row>
    <row r="1799" spans="1:42" ht="17.25" customHeight="1" x14ac:dyDescent="0.25">
      <c r="A1799" s="60">
        <v>2019</v>
      </c>
      <c r="B1799" s="61" t="s">
        <v>66</v>
      </c>
      <c r="C1799" s="61" t="s">
        <v>27</v>
      </c>
      <c r="D1799" s="61" t="s">
        <v>32</v>
      </c>
      <c r="E1799" s="61" t="s">
        <v>69</v>
      </c>
      <c r="F1799" s="61" t="s">
        <v>71</v>
      </c>
      <c r="G1799" s="62">
        <v>7425131412</v>
      </c>
      <c r="H1799" s="61" t="s">
        <v>68</v>
      </c>
      <c r="I1799" s="63" t="str">
        <f t="shared" si="135"/>
        <v>Spain-OTA</v>
      </c>
      <c r="J1799" s="47"/>
      <c r="K1799" s="54"/>
      <c r="L1799" s="35"/>
      <c r="M1799" s="35"/>
      <c r="N1799" s="35"/>
      <c r="O1799" s="35"/>
      <c r="P1799" s="35"/>
      <c r="Q1799" s="35"/>
      <c r="R1799" s="35"/>
      <c r="S1799" s="35"/>
      <c r="T1799" s="35"/>
      <c r="U1799" s="35"/>
      <c r="V1799" s="35"/>
      <c r="W1799" s="35"/>
      <c r="X1799" s="35"/>
      <c r="Y1799" s="35"/>
      <c r="Z1799" s="35"/>
      <c r="AA1799" s="35"/>
      <c r="AB1799" s="35"/>
      <c r="AC1799" s="35"/>
      <c r="AD1799" s="35"/>
      <c r="AE1799" s="35"/>
      <c r="AF1799" s="35"/>
      <c r="AG1799" s="35"/>
      <c r="AH1799" s="35"/>
      <c r="AI1799" s="35"/>
      <c r="AJ1799" s="35"/>
      <c r="AK1799" s="35"/>
      <c r="AL1799" s="35"/>
      <c r="AM1799" s="35"/>
      <c r="AN1799" s="35"/>
      <c r="AO1799" s="35"/>
      <c r="AP1799" s="35"/>
    </row>
    <row r="1800" spans="1:42" ht="17.25" customHeight="1" x14ac:dyDescent="0.25">
      <c r="A1800" s="55">
        <v>2019</v>
      </c>
      <c r="B1800" s="56" t="s">
        <v>66</v>
      </c>
      <c r="C1800" s="56" t="s">
        <v>4</v>
      </c>
      <c r="D1800" s="56" t="s">
        <v>14</v>
      </c>
      <c r="E1800" s="56" t="s">
        <v>67</v>
      </c>
      <c r="F1800" s="56" t="s">
        <v>67</v>
      </c>
      <c r="G1800" s="57">
        <v>8241041432</v>
      </c>
      <c r="H1800" s="56" t="s">
        <v>68</v>
      </c>
      <c r="I1800" s="58" t="str">
        <f t="shared" si="135"/>
        <v>Taiwan-Offline</v>
      </c>
      <c r="J1800" s="40"/>
      <c r="K1800" s="59"/>
      <c r="L1800" s="35"/>
      <c r="M1800" s="35"/>
      <c r="N1800" s="35"/>
      <c r="O1800" s="35"/>
      <c r="P1800" s="35"/>
      <c r="Q1800" s="35"/>
      <c r="R1800" s="35"/>
      <c r="S1800" s="35"/>
      <c r="T1800" s="35"/>
      <c r="U1800" s="35"/>
      <c r="V1800" s="35"/>
      <c r="W1800" s="35"/>
      <c r="X1800" s="35"/>
      <c r="Y1800" s="35"/>
      <c r="Z1800" s="35"/>
      <c r="AA1800" s="35"/>
      <c r="AB1800" s="35"/>
      <c r="AC1800" s="35"/>
      <c r="AD1800" s="35"/>
      <c r="AE1800" s="35"/>
      <c r="AF1800" s="35"/>
      <c r="AG1800" s="35"/>
      <c r="AH1800" s="35"/>
      <c r="AI1800" s="35"/>
      <c r="AJ1800" s="35"/>
      <c r="AK1800" s="35"/>
      <c r="AL1800" s="35"/>
      <c r="AM1800" s="35"/>
      <c r="AN1800" s="35"/>
      <c r="AO1800" s="35"/>
      <c r="AP1800" s="35"/>
    </row>
    <row r="1801" spans="1:42" ht="17.25" customHeight="1" x14ac:dyDescent="0.25">
      <c r="A1801" s="60">
        <v>2019</v>
      </c>
      <c r="B1801" s="61" t="s">
        <v>66</v>
      </c>
      <c r="C1801" s="61" t="s">
        <v>4</v>
      </c>
      <c r="D1801" s="61" t="s">
        <v>14</v>
      </c>
      <c r="E1801" s="61" t="s">
        <v>69</v>
      </c>
      <c r="F1801" s="61" t="s">
        <v>70</v>
      </c>
      <c r="G1801" s="62">
        <v>2400621498</v>
      </c>
      <c r="H1801" s="61" t="s">
        <v>68</v>
      </c>
      <c r="I1801" s="63" t="str">
        <f t="shared" si="135"/>
        <v>Taiwan-Online Supplier-Direct</v>
      </c>
      <c r="J1801" s="47"/>
      <c r="K1801" s="54"/>
      <c r="L1801" s="35"/>
      <c r="M1801" s="35"/>
      <c r="N1801" s="35"/>
      <c r="O1801" s="35"/>
      <c r="P1801" s="35"/>
      <c r="Q1801" s="35"/>
      <c r="R1801" s="35"/>
      <c r="S1801" s="35"/>
      <c r="T1801" s="35"/>
      <c r="U1801" s="35"/>
      <c r="V1801" s="35"/>
      <c r="W1801" s="35"/>
      <c r="X1801" s="35"/>
      <c r="Y1801" s="35"/>
      <c r="Z1801" s="35"/>
      <c r="AA1801" s="35"/>
      <c r="AB1801" s="35"/>
      <c r="AC1801" s="35"/>
      <c r="AD1801" s="35"/>
      <c r="AE1801" s="35"/>
      <c r="AF1801" s="35"/>
      <c r="AG1801" s="35"/>
      <c r="AH1801" s="35"/>
      <c r="AI1801" s="35"/>
      <c r="AJ1801" s="35"/>
      <c r="AK1801" s="35"/>
      <c r="AL1801" s="35"/>
      <c r="AM1801" s="35"/>
      <c r="AN1801" s="35"/>
      <c r="AO1801" s="35"/>
      <c r="AP1801" s="35"/>
    </row>
    <row r="1802" spans="1:42" ht="17.25" customHeight="1" x14ac:dyDescent="0.25">
      <c r="A1802" s="55">
        <v>2019</v>
      </c>
      <c r="B1802" s="56" t="s">
        <v>66</v>
      </c>
      <c r="C1802" s="56" t="s">
        <v>4</v>
      </c>
      <c r="D1802" s="56" t="s">
        <v>14</v>
      </c>
      <c r="E1802" s="56" t="s">
        <v>69</v>
      </c>
      <c r="F1802" s="56" t="s">
        <v>71</v>
      </c>
      <c r="G1802" s="57">
        <v>1129478730</v>
      </c>
      <c r="H1802" s="56" t="s">
        <v>68</v>
      </c>
      <c r="I1802" s="58" t="str">
        <f t="shared" si="135"/>
        <v>Taiwan-OTA</v>
      </c>
      <c r="J1802" s="40"/>
      <c r="K1802" s="59"/>
      <c r="L1802" s="35"/>
      <c r="M1802" s="35"/>
      <c r="N1802" s="35"/>
      <c r="O1802" s="35"/>
      <c r="P1802" s="35"/>
      <c r="Q1802" s="35"/>
      <c r="R1802" s="35"/>
      <c r="S1802" s="35"/>
      <c r="T1802" s="35"/>
      <c r="U1802" s="35"/>
      <c r="V1802" s="35"/>
      <c r="W1802" s="35"/>
      <c r="X1802" s="35"/>
      <c r="Y1802" s="35"/>
      <c r="Z1802" s="35"/>
      <c r="AA1802" s="35"/>
      <c r="AB1802" s="35"/>
      <c r="AC1802" s="35"/>
      <c r="AD1802" s="35"/>
      <c r="AE1802" s="35"/>
      <c r="AF1802" s="35"/>
      <c r="AG1802" s="35"/>
      <c r="AH1802" s="35"/>
      <c r="AI1802" s="35"/>
      <c r="AJ1802" s="35"/>
      <c r="AK1802" s="35"/>
      <c r="AL1802" s="35"/>
      <c r="AM1802" s="35"/>
      <c r="AN1802" s="35"/>
      <c r="AO1802" s="35"/>
      <c r="AP1802" s="35"/>
    </row>
    <row r="1803" spans="1:42" ht="17.25" customHeight="1" x14ac:dyDescent="0.25">
      <c r="A1803" s="60">
        <v>2019</v>
      </c>
      <c r="B1803" s="61" t="s">
        <v>66</v>
      </c>
      <c r="C1803" s="61" t="s">
        <v>4</v>
      </c>
      <c r="D1803" s="61" t="s">
        <v>15</v>
      </c>
      <c r="E1803" s="61" t="s">
        <v>67</v>
      </c>
      <c r="F1803" s="61" t="s">
        <v>67</v>
      </c>
      <c r="G1803" s="62">
        <v>10846513162</v>
      </c>
      <c r="H1803" s="61" t="s">
        <v>68</v>
      </c>
      <c r="I1803" s="63" t="str">
        <f t="shared" si="135"/>
        <v>Thailand-Offline</v>
      </c>
      <c r="J1803" s="47"/>
      <c r="K1803" s="54"/>
      <c r="L1803" s="35"/>
      <c r="M1803" s="35"/>
      <c r="N1803" s="35"/>
      <c r="O1803" s="35"/>
      <c r="P1803" s="35"/>
      <c r="Q1803" s="35"/>
      <c r="R1803" s="35"/>
      <c r="S1803" s="35"/>
      <c r="T1803" s="35"/>
      <c r="U1803" s="35"/>
      <c r="V1803" s="35"/>
      <c r="W1803" s="35"/>
      <c r="X1803" s="35"/>
      <c r="Y1803" s="35"/>
      <c r="Z1803" s="35"/>
      <c r="AA1803" s="35"/>
      <c r="AB1803" s="35"/>
      <c r="AC1803" s="35"/>
      <c r="AD1803" s="35"/>
      <c r="AE1803" s="35"/>
      <c r="AF1803" s="35"/>
      <c r="AG1803" s="35"/>
      <c r="AH1803" s="35"/>
      <c r="AI1803" s="35"/>
      <c r="AJ1803" s="35"/>
      <c r="AK1803" s="35"/>
      <c r="AL1803" s="35"/>
      <c r="AM1803" s="35"/>
      <c r="AN1803" s="35"/>
      <c r="AO1803" s="35"/>
      <c r="AP1803" s="35"/>
    </row>
    <row r="1804" spans="1:42" ht="17.25" customHeight="1" x14ac:dyDescent="0.25">
      <c r="A1804" s="55">
        <v>2019</v>
      </c>
      <c r="B1804" s="56" t="s">
        <v>66</v>
      </c>
      <c r="C1804" s="56" t="s">
        <v>4</v>
      </c>
      <c r="D1804" s="56" t="s">
        <v>15</v>
      </c>
      <c r="E1804" s="56" t="s">
        <v>69</v>
      </c>
      <c r="F1804" s="56" t="s">
        <v>70</v>
      </c>
      <c r="G1804" s="57">
        <v>2365734571</v>
      </c>
      <c r="H1804" s="56" t="s">
        <v>68</v>
      </c>
      <c r="I1804" s="58" t="str">
        <f t="shared" si="135"/>
        <v>Thailand-Online Supplier-Direct</v>
      </c>
      <c r="J1804" s="40"/>
      <c r="K1804" s="59"/>
      <c r="L1804" s="35"/>
      <c r="M1804" s="35"/>
      <c r="N1804" s="35"/>
      <c r="O1804" s="35"/>
      <c r="P1804" s="35"/>
      <c r="Q1804" s="35"/>
      <c r="R1804" s="35"/>
      <c r="S1804" s="35"/>
      <c r="T1804" s="35"/>
      <c r="U1804" s="35"/>
      <c r="V1804" s="35"/>
      <c r="W1804" s="35"/>
      <c r="X1804" s="35"/>
      <c r="Y1804" s="35"/>
      <c r="Z1804" s="35"/>
      <c r="AA1804" s="35"/>
      <c r="AB1804" s="35"/>
      <c r="AC1804" s="35"/>
      <c r="AD1804" s="35"/>
      <c r="AE1804" s="35"/>
      <c r="AF1804" s="35"/>
      <c r="AG1804" s="35"/>
      <c r="AH1804" s="35"/>
      <c r="AI1804" s="35"/>
      <c r="AJ1804" s="35"/>
      <c r="AK1804" s="35"/>
      <c r="AL1804" s="35"/>
      <c r="AM1804" s="35"/>
      <c r="AN1804" s="35"/>
      <c r="AO1804" s="35"/>
      <c r="AP1804" s="35"/>
    </row>
    <row r="1805" spans="1:42" ht="17.25" customHeight="1" x14ac:dyDescent="0.25">
      <c r="A1805" s="60">
        <v>2019</v>
      </c>
      <c r="B1805" s="61" t="s">
        <v>66</v>
      </c>
      <c r="C1805" s="61" t="s">
        <v>4</v>
      </c>
      <c r="D1805" s="61" t="s">
        <v>15</v>
      </c>
      <c r="E1805" s="61" t="s">
        <v>69</v>
      </c>
      <c r="F1805" s="61" t="s">
        <v>71</v>
      </c>
      <c r="G1805" s="62">
        <v>3825978515</v>
      </c>
      <c r="H1805" s="61" t="s">
        <v>68</v>
      </c>
      <c r="I1805" s="63" t="str">
        <f t="shared" si="135"/>
        <v>Thailand-OTA</v>
      </c>
      <c r="J1805" s="47"/>
      <c r="K1805" s="54"/>
      <c r="L1805" s="35"/>
      <c r="M1805" s="35"/>
      <c r="N1805" s="35"/>
      <c r="O1805" s="35"/>
      <c r="P1805" s="35"/>
      <c r="Q1805" s="35"/>
      <c r="R1805" s="35"/>
      <c r="S1805" s="35"/>
      <c r="T1805" s="35"/>
      <c r="U1805" s="35"/>
      <c r="V1805" s="35"/>
      <c r="W1805" s="35"/>
      <c r="X1805" s="35"/>
      <c r="Y1805" s="35"/>
      <c r="Z1805" s="35"/>
      <c r="AA1805" s="35"/>
      <c r="AB1805" s="35"/>
      <c r="AC1805" s="35"/>
      <c r="AD1805" s="35"/>
      <c r="AE1805" s="35"/>
      <c r="AF1805" s="35"/>
      <c r="AG1805" s="35"/>
      <c r="AH1805" s="35"/>
      <c r="AI1805" s="35"/>
      <c r="AJ1805" s="35"/>
      <c r="AK1805" s="35"/>
      <c r="AL1805" s="35"/>
      <c r="AM1805" s="35"/>
      <c r="AN1805" s="35"/>
      <c r="AO1805" s="35"/>
      <c r="AP1805" s="35"/>
    </row>
    <row r="1806" spans="1:42" ht="17.25" customHeight="1" x14ac:dyDescent="0.25">
      <c r="A1806" s="55">
        <v>2019</v>
      </c>
      <c r="B1806" s="56" t="s">
        <v>66</v>
      </c>
      <c r="C1806" s="56" t="s">
        <v>41</v>
      </c>
      <c r="D1806" s="56" t="s">
        <v>45</v>
      </c>
      <c r="E1806" s="56" t="s">
        <v>67</v>
      </c>
      <c r="F1806" s="56" t="s">
        <v>67</v>
      </c>
      <c r="G1806" s="57">
        <v>23479798040</v>
      </c>
      <c r="H1806" s="56" t="s">
        <v>68</v>
      </c>
      <c r="I1806" s="58" t="str">
        <f t="shared" si="135"/>
        <v>U.A.E.-Offline</v>
      </c>
      <c r="J1806" s="40"/>
      <c r="K1806" s="59"/>
      <c r="L1806" s="35"/>
      <c r="M1806" s="35"/>
      <c r="N1806" s="35"/>
      <c r="O1806" s="35"/>
      <c r="P1806" s="35"/>
      <c r="Q1806" s="35"/>
      <c r="R1806" s="35"/>
      <c r="S1806" s="35"/>
      <c r="T1806" s="35"/>
      <c r="U1806" s="35"/>
      <c r="V1806" s="35"/>
      <c r="W1806" s="35"/>
      <c r="X1806" s="35"/>
      <c r="Y1806" s="35"/>
      <c r="Z1806" s="35"/>
      <c r="AA1806" s="35"/>
      <c r="AB1806" s="35"/>
      <c r="AC1806" s="35"/>
      <c r="AD1806" s="35"/>
      <c r="AE1806" s="35"/>
      <c r="AF1806" s="35"/>
      <c r="AG1806" s="35"/>
      <c r="AH1806" s="35"/>
      <c r="AI1806" s="35"/>
      <c r="AJ1806" s="35"/>
      <c r="AK1806" s="35"/>
      <c r="AL1806" s="35"/>
      <c r="AM1806" s="35"/>
      <c r="AN1806" s="35"/>
      <c r="AO1806" s="35"/>
      <c r="AP1806" s="35"/>
    </row>
    <row r="1807" spans="1:42" ht="17.25" customHeight="1" x14ac:dyDescent="0.25">
      <c r="A1807" s="60">
        <v>2019</v>
      </c>
      <c r="B1807" s="61" t="s">
        <v>66</v>
      </c>
      <c r="C1807" s="61" t="s">
        <v>41</v>
      </c>
      <c r="D1807" s="61" t="s">
        <v>45</v>
      </c>
      <c r="E1807" s="61" t="s">
        <v>69</v>
      </c>
      <c r="F1807" s="61" t="s">
        <v>70</v>
      </c>
      <c r="G1807" s="62">
        <v>9600296520</v>
      </c>
      <c r="H1807" s="61" t="s">
        <v>68</v>
      </c>
      <c r="I1807" s="63" t="str">
        <f t="shared" si="135"/>
        <v>U.A.E.-Online Supplier-Direct</v>
      </c>
      <c r="J1807" s="47"/>
      <c r="K1807" s="54"/>
      <c r="L1807" s="35"/>
      <c r="M1807" s="35"/>
      <c r="N1807" s="35"/>
      <c r="O1807" s="35"/>
      <c r="P1807" s="35"/>
      <c r="Q1807" s="35"/>
      <c r="R1807" s="35"/>
      <c r="S1807" s="35"/>
      <c r="T1807" s="35"/>
      <c r="U1807" s="35"/>
      <c r="V1807" s="35"/>
      <c r="W1807" s="35"/>
      <c r="X1807" s="35"/>
      <c r="Y1807" s="35"/>
      <c r="Z1807" s="35"/>
      <c r="AA1807" s="35"/>
      <c r="AB1807" s="35"/>
      <c r="AC1807" s="35"/>
      <c r="AD1807" s="35"/>
      <c r="AE1807" s="35"/>
      <c r="AF1807" s="35"/>
      <c r="AG1807" s="35"/>
      <c r="AH1807" s="35"/>
      <c r="AI1807" s="35"/>
      <c r="AJ1807" s="35"/>
      <c r="AK1807" s="35"/>
      <c r="AL1807" s="35"/>
      <c r="AM1807" s="35"/>
      <c r="AN1807" s="35"/>
      <c r="AO1807" s="35"/>
      <c r="AP1807" s="35"/>
    </row>
    <row r="1808" spans="1:42" ht="17.25" customHeight="1" x14ac:dyDescent="0.25">
      <c r="A1808" s="55">
        <v>2019</v>
      </c>
      <c r="B1808" s="56" t="s">
        <v>66</v>
      </c>
      <c r="C1808" s="56" t="s">
        <v>41</v>
      </c>
      <c r="D1808" s="56" t="s">
        <v>45</v>
      </c>
      <c r="E1808" s="56" t="s">
        <v>69</v>
      </c>
      <c r="F1808" s="56" t="s">
        <v>71</v>
      </c>
      <c r="G1808" s="57">
        <v>4805320803</v>
      </c>
      <c r="H1808" s="56" t="s">
        <v>68</v>
      </c>
      <c r="I1808" s="58" t="str">
        <f t="shared" si="135"/>
        <v>U.A.E.-OTA</v>
      </c>
      <c r="J1808" s="40"/>
      <c r="K1808" s="59"/>
      <c r="L1808" s="35"/>
      <c r="M1808" s="35"/>
      <c r="N1808" s="35"/>
      <c r="O1808" s="35"/>
      <c r="P1808" s="35"/>
      <c r="Q1808" s="35"/>
      <c r="R1808" s="35"/>
      <c r="S1808" s="35"/>
      <c r="T1808" s="35"/>
      <c r="U1808" s="35"/>
      <c r="V1808" s="35"/>
      <c r="W1808" s="35"/>
      <c r="X1808" s="35"/>
      <c r="Y1808" s="35"/>
      <c r="Z1808" s="35"/>
      <c r="AA1808" s="35"/>
      <c r="AB1808" s="35"/>
      <c r="AC1808" s="35"/>
      <c r="AD1808" s="35"/>
      <c r="AE1808" s="35"/>
      <c r="AF1808" s="35"/>
      <c r="AG1808" s="35"/>
      <c r="AH1808" s="35"/>
      <c r="AI1808" s="35"/>
      <c r="AJ1808" s="35"/>
      <c r="AK1808" s="35"/>
      <c r="AL1808" s="35"/>
      <c r="AM1808" s="35"/>
      <c r="AN1808" s="35"/>
      <c r="AO1808" s="35"/>
      <c r="AP1808" s="35"/>
    </row>
    <row r="1809" spans="1:42" ht="17.25" customHeight="1" x14ac:dyDescent="0.25">
      <c r="A1809" s="60">
        <v>2019</v>
      </c>
      <c r="B1809" s="61" t="s">
        <v>66</v>
      </c>
      <c r="C1809" s="61" t="s">
        <v>27</v>
      </c>
      <c r="D1809" s="61" t="s">
        <v>33</v>
      </c>
      <c r="E1809" s="61" t="s">
        <v>67</v>
      </c>
      <c r="F1809" s="61" t="s">
        <v>67</v>
      </c>
      <c r="G1809" s="62">
        <v>16486360496</v>
      </c>
      <c r="H1809" s="61" t="s">
        <v>68</v>
      </c>
      <c r="I1809" s="63" t="str">
        <f t="shared" si="135"/>
        <v>U.K.-Offline</v>
      </c>
      <c r="J1809" s="47"/>
      <c r="K1809" s="54"/>
      <c r="L1809" s="35"/>
      <c r="M1809" s="35"/>
      <c r="N1809" s="35"/>
      <c r="O1809" s="35"/>
      <c r="P1809" s="35"/>
      <c r="Q1809" s="35"/>
      <c r="R1809" s="35"/>
      <c r="S1809" s="35"/>
      <c r="T1809" s="35"/>
      <c r="U1809" s="35"/>
      <c r="V1809" s="35"/>
      <c r="W1809" s="35"/>
      <c r="X1809" s="35"/>
      <c r="Y1809" s="35"/>
      <c r="Z1809" s="35"/>
      <c r="AA1809" s="35"/>
      <c r="AB1809" s="35"/>
      <c r="AC1809" s="35"/>
      <c r="AD1809" s="35"/>
      <c r="AE1809" s="35"/>
      <c r="AF1809" s="35"/>
      <c r="AG1809" s="35"/>
      <c r="AH1809" s="35"/>
      <c r="AI1809" s="35"/>
      <c r="AJ1809" s="35"/>
      <c r="AK1809" s="35"/>
      <c r="AL1809" s="35"/>
      <c r="AM1809" s="35"/>
      <c r="AN1809" s="35"/>
      <c r="AO1809" s="35"/>
      <c r="AP1809" s="35"/>
    </row>
    <row r="1810" spans="1:42" ht="17.25" customHeight="1" x14ac:dyDescent="0.25">
      <c r="A1810" s="55">
        <v>2019</v>
      </c>
      <c r="B1810" s="56" t="s">
        <v>66</v>
      </c>
      <c r="C1810" s="56" t="s">
        <v>27</v>
      </c>
      <c r="D1810" s="56" t="s">
        <v>33</v>
      </c>
      <c r="E1810" s="56" t="s">
        <v>69</v>
      </c>
      <c r="F1810" s="56" t="s">
        <v>70</v>
      </c>
      <c r="G1810" s="57">
        <v>34328014040</v>
      </c>
      <c r="H1810" s="56" t="s">
        <v>68</v>
      </c>
      <c r="I1810" s="58" t="str">
        <f t="shared" si="135"/>
        <v>U.K.-Online Supplier-Direct</v>
      </c>
      <c r="J1810" s="40"/>
      <c r="K1810" s="59"/>
      <c r="L1810" s="35"/>
      <c r="M1810" s="35"/>
      <c r="N1810" s="35"/>
      <c r="O1810" s="35"/>
      <c r="P1810" s="35"/>
      <c r="Q1810" s="35"/>
      <c r="R1810" s="35"/>
      <c r="S1810" s="35"/>
      <c r="T1810" s="35"/>
      <c r="U1810" s="35"/>
      <c r="V1810" s="35"/>
      <c r="W1810" s="35"/>
      <c r="X1810" s="35"/>
      <c r="Y1810" s="35"/>
      <c r="Z1810" s="35"/>
      <c r="AA1810" s="35"/>
      <c r="AB1810" s="35"/>
      <c r="AC1810" s="35"/>
      <c r="AD1810" s="35"/>
      <c r="AE1810" s="35"/>
      <c r="AF1810" s="35"/>
      <c r="AG1810" s="35"/>
      <c r="AH1810" s="35"/>
      <c r="AI1810" s="35"/>
      <c r="AJ1810" s="35"/>
      <c r="AK1810" s="35"/>
      <c r="AL1810" s="35"/>
      <c r="AM1810" s="35"/>
      <c r="AN1810" s="35"/>
      <c r="AO1810" s="35"/>
      <c r="AP1810" s="35"/>
    </row>
    <row r="1811" spans="1:42" ht="17.25" customHeight="1" x14ac:dyDescent="0.25">
      <c r="A1811" s="60">
        <v>2019</v>
      </c>
      <c r="B1811" s="61" t="s">
        <v>66</v>
      </c>
      <c r="C1811" s="61" t="s">
        <v>27</v>
      </c>
      <c r="D1811" s="61" t="s">
        <v>33</v>
      </c>
      <c r="E1811" s="61" t="s">
        <v>69</v>
      </c>
      <c r="F1811" s="61" t="s">
        <v>71</v>
      </c>
      <c r="G1811" s="62">
        <v>10081862465</v>
      </c>
      <c r="H1811" s="61" t="s">
        <v>68</v>
      </c>
      <c r="I1811" s="63" t="str">
        <f t="shared" si="135"/>
        <v>U.K.-OTA</v>
      </c>
      <c r="J1811" s="47"/>
      <c r="K1811" s="54"/>
      <c r="L1811" s="35"/>
      <c r="M1811" s="35"/>
      <c r="N1811" s="35"/>
      <c r="O1811" s="35"/>
      <c r="P1811" s="35"/>
      <c r="Q1811" s="35"/>
      <c r="R1811" s="35"/>
      <c r="S1811" s="35"/>
      <c r="T1811" s="35"/>
      <c r="U1811" s="35"/>
      <c r="V1811" s="35"/>
      <c r="W1811" s="35"/>
      <c r="X1811" s="35"/>
      <c r="Y1811" s="35"/>
      <c r="Z1811" s="35"/>
      <c r="AA1811" s="35"/>
      <c r="AB1811" s="35"/>
      <c r="AC1811" s="35"/>
      <c r="AD1811" s="35"/>
      <c r="AE1811" s="35"/>
      <c r="AF1811" s="35"/>
      <c r="AG1811" s="35"/>
      <c r="AH1811" s="35"/>
      <c r="AI1811" s="35"/>
      <c r="AJ1811" s="35"/>
      <c r="AK1811" s="35"/>
      <c r="AL1811" s="35"/>
      <c r="AM1811" s="35"/>
      <c r="AN1811" s="35"/>
      <c r="AO1811" s="35"/>
      <c r="AP1811" s="35"/>
    </row>
    <row r="1812" spans="1:42" ht="17.25" customHeight="1" x14ac:dyDescent="0.25">
      <c r="A1812" s="55">
        <v>2019</v>
      </c>
      <c r="B1812" s="56" t="s">
        <v>66</v>
      </c>
      <c r="C1812" s="56" t="s">
        <v>47</v>
      </c>
      <c r="D1812" s="56" t="s">
        <v>48</v>
      </c>
      <c r="E1812" s="56" t="s">
        <v>72</v>
      </c>
      <c r="F1812" s="56" t="s">
        <v>73</v>
      </c>
      <c r="G1812" s="57">
        <v>87704014651</v>
      </c>
      <c r="H1812" s="56" t="s">
        <v>68</v>
      </c>
      <c r="I1812" s="58" t="str">
        <f t="shared" si="135"/>
        <v>U.S.-Central Reservation</v>
      </c>
      <c r="J1812" s="40"/>
      <c r="K1812" s="59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  <c r="AG1812" s="35"/>
      <c r="AH1812" s="35"/>
      <c r="AI1812" s="35"/>
      <c r="AJ1812" s="35"/>
      <c r="AK1812" s="35"/>
      <c r="AL1812" s="35"/>
      <c r="AM1812" s="35"/>
      <c r="AN1812" s="35"/>
      <c r="AO1812" s="35"/>
      <c r="AP1812" s="35"/>
    </row>
    <row r="1813" spans="1:42" ht="17.25" customHeight="1" x14ac:dyDescent="0.25">
      <c r="A1813" s="60">
        <v>2019</v>
      </c>
      <c r="B1813" s="61" t="s">
        <v>66</v>
      </c>
      <c r="C1813" s="61" t="s">
        <v>47</v>
      </c>
      <c r="D1813" s="61" t="s">
        <v>48</v>
      </c>
      <c r="E1813" s="61" t="s">
        <v>67</v>
      </c>
      <c r="F1813" s="61" t="s">
        <v>74</v>
      </c>
      <c r="G1813" s="62">
        <v>103269768630</v>
      </c>
      <c r="H1813" s="61" t="s">
        <v>68</v>
      </c>
      <c r="I1813" s="63" t="str">
        <f t="shared" si="135"/>
        <v>U.S.-Travel Agency/TMC</v>
      </c>
      <c r="J1813" s="47"/>
      <c r="K1813" s="54"/>
      <c r="L1813" s="35"/>
      <c r="M1813" s="35"/>
      <c r="N1813" s="35"/>
      <c r="O1813" s="35"/>
      <c r="P1813" s="35"/>
      <c r="Q1813" s="35"/>
      <c r="R1813" s="35"/>
      <c r="S1813" s="35"/>
      <c r="T1813" s="35"/>
      <c r="U1813" s="35"/>
      <c r="V1813" s="35"/>
      <c r="W1813" s="35"/>
      <c r="X1813" s="35"/>
      <c r="Y1813" s="35"/>
      <c r="Z1813" s="35"/>
      <c r="AA1813" s="35"/>
      <c r="AB1813" s="35"/>
      <c r="AC1813" s="35"/>
      <c r="AD1813" s="35"/>
      <c r="AE1813" s="35"/>
      <c r="AF1813" s="35"/>
      <c r="AG1813" s="35"/>
      <c r="AH1813" s="35"/>
      <c r="AI1813" s="35"/>
      <c r="AJ1813" s="35"/>
      <c r="AK1813" s="35"/>
      <c r="AL1813" s="35"/>
      <c r="AM1813" s="35"/>
      <c r="AN1813" s="35"/>
      <c r="AO1813" s="35"/>
      <c r="AP1813" s="35"/>
    </row>
    <row r="1814" spans="1:42" ht="17.25" customHeight="1" x14ac:dyDescent="0.25">
      <c r="A1814" s="55">
        <v>2019</v>
      </c>
      <c r="B1814" s="56" t="s">
        <v>66</v>
      </c>
      <c r="C1814" s="56" t="s">
        <v>47</v>
      </c>
      <c r="D1814" s="56" t="s">
        <v>48</v>
      </c>
      <c r="E1814" s="56" t="s">
        <v>69</v>
      </c>
      <c r="F1814" s="56" t="s">
        <v>70</v>
      </c>
      <c r="G1814" s="57">
        <v>139289270174</v>
      </c>
      <c r="H1814" s="56" t="s">
        <v>68</v>
      </c>
      <c r="I1814" s="58" t="str">
        <f t="shared" si="135"/>
        <v>U.S.-Online Supplier-Direct</v>
      </c>
      <c r="J1814" s="40"/>
      <c r="K1814" s="59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  <c r="AG1814" s="35"/>
      <c r="AH1814" s="35"/>
      <c r="AI1814" s="35"/>
      <c r="AJ1814" s="35"/>
      <c r="AK1814" s="35"/>
      <c r="AL1814" s="35"/>
      <c r="AM1814" s="35"/>
      <c r="AN1814" s="35"/>
      <c r="AO1814" s="35"/>
      <c r="AP1814" s="35"/>
    </row>
    <row r="1815" spans="1:42" ht="17.25" customHeight="1" x14ac:dyDescent="0.25">
      <c r="A1815" s="60">
        <v>2019</v>
      </c>
      <c r="B1815" s="61" t="s">
        <v>66</v>
      </c>
      <c r="C1815" s="61" t="s">
        <v>47</v>
      </c>
      <c r="D1815" s="61" t="s">
        <v>48</v>
      </c>
      <c r="E1815" s="61" t="s">
        <v>69</v>
      </c>
      <c r="F1815" s="61" t="s">
        <v>71</v>
      </c>
      <c r="G1815" s="62">
        <v>75689045800</v>
      </c>
      <c r="H1815" s="61" t="s">
        <v>68</v>
      </c>
      <c r="I1815" s="63" t="str">
        <f t="shared" si="135"/>
        <v>U.S.-OTA</v>
      </c>
      <c r="J1815" s="47"/>
      <c r="K1815" s="54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  <c r="AG1815" s="35"/>
      <c r="AH1815" s="35"/>
      <c r="AI1815" s="35"/>
      <c r="AJ1815" s="35"/>
      <c r="AK1815" s="35"/>
      <c r="AL1815" s="35"/>
      <c r="AM1815" s="35"/>
      <c r="AN1815" s="35"/>
      <c r="AO1815" s="35"/>
      <c r="AP1815" s="35"/>
    </row>
    <row r="1816" spans="1:42" ht="17.25" customHeight="1" x14ac:dyDescent="0.25">
      <c r="A1816" s="55">
        <v>2019</v>
      </c>
      <c r="B1816" s="56" t="s">
        <v>66</v>
      </c>
      <c r="C1816" s="56" t="s">
        <v>17</v>
      </c>
      <c r="D1816" s="56" t="s">
        <v>25</v>
      </c>
      <c r="E1816" s="56" t="s">
        <v>67</v>
      </c>
      <c r="F1816" s="56" t="s">
        <v>67</v>
      </c>
      <c r="G1816" s="57">
        <v>1679201182</v>
      </c>
      <c r="H1816" s="56" t="s">
        <v>68</v>
      </c>
      <c r="I1816" s="58" t="str">
        <f t="shared" si="135"/>
        <v>Ukraine-Offline</v>
      </c>
      <c r="J1816" s="40"/>
      <c r="K1816" s="59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  <c r="AG1816" s="35"/>
      <c r="AH1816" s="35"/>
      <c r="AI1816" s="35"/>
      <c r="AJ1816" s="35"/>
      <c r="AK1816" s="35"/>
      <c r="AL1816" s="35"/>
      <c r="AM1816" s="35"/>
      <c r="AN1816" s="35"/>
      <c r="AO1816" s="35"/>
      <c r="AP1816" s="35"/>
    </row>
    <row r="1817" spans="1:42" ht="17.25" customHeight="1" x14ac:dyDescent="0.25">
      <c r="A1817" s="60">
        <v>2019</v>
      </c>
      <c r="B1817" s="61" t="s">
        <v>66</v>
      </c>
      <c r="C1817" s="61" t="s">
        <v>17</v>
      </c>
      <c r="D1817" s="61" t="s">
        <v>25</v>
      </c>
      <c r="E1817" s="61" t="s">
        <v>69</v>
      </c>
      <c r="F1817" s="61" t="s">
        <v>70</v>
      </c>
      <c r="G1817" s="62">
        <v>524039478</v>
      </c>
      <c r="H1817" s="61" t="s">
        <v>68</v>
      </c>
      <c r="I1817" s="63" t="str">
        <f t="shared" si="135"/>
        <v>Ukraine-Online Supplier-Direct</v>
      </c>
      <c r="J1817" s="47"/>
      <c r="K1817" s="54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  <c r="AG1817" s="35"/>
      <c r="AH1817" s="35"/>
      <c r="AI1817" s="35"/>
      <c r="AJ1817" s="35"/>
      <c r="AK1817" s="35"/>
      <c r="AL1817" s="35"/>
      <c r="AM1817" s="35"/>
      <c r="AN1817" s="35"/>
      <c r="AO1817" s="35"/>
      <c r="AP1817" s="35"/>
    </row>
    <row r="1818" spans="1:42" ht="17.25" customHeight="1" x14ac:dyDescent="0.25">
      <c r="A1818" s="55">
        <v>2019</v>
      </c>
      <c r="B1818" s="56" t="s">
        <v>66</v>
      </c>
      <c r="C1818" s="56" t="s">
        <v>17</v>
      </c>
      <c r="D1818" s="56" t="s">
        <v>25</v>
      </c>
      <c r="E1818" s="56" t="s">
        <v>69</v>
      </c>
      <c r="F1818" s="56" t="s">
        <v>71</v>
      </c>
      <c r="G1818" s="57">
        <v>363028117</v>
      </c>
      <c r="H1818" s="56" t="s">
        <v>68</v>
      </c>
      <c r="I1818" s="58" t="str">
        <f t="shared" si="135"/>
        <v>Ukraine-OTA</v>
      </c>
      <c r="J1818" s="40"/>
      <c r="K1818" s="59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  <c r="AG1818" s="35"/>
      <c r="AH1818" s="35"/>
      <c r="AI1818" s="35"/>
      <c r="AJ1818" s="35"/>
      <c r="AK1818" s="35"/>
      <c r="AL1818" s="35"/>
      <c r="AM1818" s="35"/>
      <c r="AN1818" s="35"/>
      <c r="AO1818" s="35"/>
      <c r="AP1818" s="35"/>
    </row>
    <row r="1819" spans="1:42" ht="17.25" customHeight="1" x14ac:dyDescent="0.25">
      <c r="A1819" s="60">
        <v>2020</v>
      </c>
      <c r="B1819" s="61" t="s">
        <v>66</v>
      </c>
      <c r="C1819" s="61" t="s">
        <v>35</v>
      </c>
      <c r="D1819" s="61" t="s">
        <v>34</v>
      </c>
      <c r="E1819" s="61" t="s">
        <v>67</v>
      </c>
      <c r="F1819" s="61" t="s">
        <v>67</v>
      </c>
      <c r="G1819" s="62">
        <v>1053777217</v>
      </c>
      <c r="H1819" s="61" t="s">
        <v>68</v>
      </c>
      <c r="I1819" s="63" t="str">
        <f t="shared" si="135"/>
        <v>Argentina-Offline</v>
      </c>
      <c r="J1819" s="47"/>
      <c r="K1819" s="54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  <c r="AG1819" s="35"/>
      <c r="AH1819" s="35"/>
      <c r="AI1819" s="35"/>
      <c r="AJ1819" s="35"/>
      <c r="AK1819" s="35"/>
      <c r="AL1819" s="35"/>
      <c r="AM1819" s="35"/>
      <c r="AN1819" s="35"/>
      <c r="AO1819" s="35"/>
      <c r="AP1819" s="35"/>
    </row>
    <row r="1820" spans="1:42" ht="17.25" customHeight="1" x14ac:dyDescent="0.25">
      <c r="A1820" s="55">
        <v>2020</v>
      </c>
      <c r="B1820" s="56" t="s">
        <v>66</v>
      </c>
      <c r="C1820" s="56" t="s">
        <v>35</v>
      </c>
      <c r="D1820" s="56" t="s">
        <v>34</v>
      </c>
      <c r="E1820" s="56" t="s">
        <v>69</v>
      </c>
      <c r="F1820" s="56" t="s">
        <v>70</v>
      </c>
      <c r="G1820" s="57">
        <v>258017281</v>
      </c>
      <c r="H1820" s="56" t="s">
        <v>68</v>
      </c>
      <c r="I1820" s="58" t="str">
        <f t="shared" si="135"/>
        <v>Argentina-Online Supplier-Direct</v>
      </c>
      <c r="J1820" s="40"/>
      <c r="K1820" s="59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  <c r="AG1820" s="35"/>
      <c r="AH1820" s="35"/>
      <c r="AI1820" s="35"/>
      <c r="AJ1820" s="35"/>
      <c r="AK1820" s="35"/>
      <c r="AL1820" s="35"/>
      <c r="AM1820" s="35"/>
      <c r="AN1820" s="35"/>
      <c r="AO1820" s="35"/>
      <c r="AP1820" s="35"/>
    </row>
    <row r="1821" spans="1:42" ht="17.25" customHeight="1" x14ac:dyDescent="0.25">
      <c r="A1821" s="60">
        <v>2020</v>
      </c>
      <c r="B1821" s="61" t="s">
        <v>66</v>
      </c>
      <c r="C1821" s="61" t="s">
        <v>35</v>
      </c>
      <c r="D1821" s="61" t="s">
        <v>34</v>
      </c>
      <c r="E1821" s="61" t="s">
        <v>69</v>
      </c>
      <c r="F1821" s="61" t="s">
        <v>71</v>
      </c>
      <c r="G1821" s="62">
        <v>277446938</v>
      </c>
      <c r="H1821" s="61" t="s">
        <v>68</v>
      </c>
      <c r="I1821" s="63" t="str">
        <f t="shared" si="135"/>
        <v>Argentina-OTA</v>
      </c>
      <c r="J1821" s="47"/>
      <c r="K1821" s="54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  <c r="AG1821" s="35"/>
      <c r="AH1821" s="35"/>
      <c r="AI1821" s="35"/>
      <c r="AJ1821" s="35"/>
      <c r="AK1821" s="35"/>
      <c r="AL1821" s="35"/>
      <c r="AM1821" s="35"/>
      <c r="AN1821" s="35"/>
      <c r="AO1821" s="35"/>
      <c r="AP1821" s="35"/>
    </row>
    <row r="1822" spans="1:42" ht="17.25" customHeight="1" x14ac:dyDescent="0.25">
      <c r="A1822" s="55">
        <v>2020</v>
      </c>
      <c r="B1822" s="56" t="s">
        <v>66</v>
      </c>
      <c r="C1822" s="56" t="s">
        <v>4</v>
      </c>
      <c r="D1822" s="56" t="s">
        <v>3</v>
      </c>
      <c r="E1822" s="56" t="s">
        <v>67</v>
      </c>
      <c r="F1822" s="56" t="s">
        <v>67</v>
      </c>
      <c r="G1822" s="57">
        <v>7128677020</v>
      </c>
      <c r="H1822" s="56" t="s">
        <v>68</v>
      </c>
      <c r="I1822" s="58" t="str">
        <f t="shared" si="135"/>
        <v>Australia-New Zealand-Offline</v>
      </c>
      <c r="J1822" s="40"/>
      <c r="K1822" s="59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  <c r="AG1822" s="35"/>
      <c r="AH1822" s="35"/>
      <c r="AI1822" s="35"/>
      <c r="AJ1822" s="35"/>
      <c r="AK1822" s="35"/>
      <c r="AL1822" s="35"/>
      <c r="AM1822" s="35"/>
      <c r="AN1822" s="35"/>
      <c r="AO1822" s="35"/>
      <c r="AP1822" s="35"/>
    </row>
    <row r="1823" spans="1:42" ht="17.25" customHeight="1" x14ac:dyDescent="0.25">
      <c r="A1823" s="60">
        <v>2020</v>
      </c>
      <c r="B1823" s="61" t="s">
        <v>66</v>
      </c>
      <c r="C1823" s="61" t="s">
        <v>4</v>
      </c>
      <c r="D1823" s="61" t="s">
        <v>3</v>
      </c>
      <c r="E1823" s="61" t="s">
        <v>69</v>
      </c>
      <c r="F1823" s="61" t="s">
        <v>70</v>
      </c>
      <c r="G1823" s="62">
        <v>4753546664</v>
      </c>
      <c r="H1823" s="61" t="s">
        <v>68</v>
      </c>
      <c r="I1823" s="63" t="str">
        <f t="shared" si="135"/>
        <v>Australia-New Zealand-Online Supplier-Direct</v>
      </c>
      <c r="J1823" s="47"/>
      <c r="K1823" s="54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  <c r="AG1823" s="35"/>
      <c r="AH1823" s="35"/>
      <c r="AI1823" s="35"/>
      <c r="AJ1823" s="35"/>
      <c r="AK1823" s="35"/>
      <c r="AL1823" s="35"/>
      <c r="AM1823" s="35"/>
      <c r="AN1823" s="35"/>
      <c r="AO1823" s="35"/>
      <c r="AP1823" s="35"/>
    </row>
    <row r="1824" spans="1:42" ht="17.25" customHeight="1" x14ac:dyDescent="0.25">
      <c r="A1824" s="55">
        <v>2020</v>
      </c>
      <c r="B1824" s="56" t="s">
        <v>66</v>
      </c>
      <c r="C1824" s="56" t="s">
        <v>4</v>
      </c>
      <c r="D1824" s="56" t="s">
        <v>3</v>
      </c>
      <c r="E1824" s="56" t="s">
        <v>69</v>
      </c>
      <c r="F1824" s="56" t="s">
        <v>71</v>
      </c>
      <c r="G1824" s="57">
        <v>2486063527</v>
      </c>
      <c r="H1824" s="56" t="s">
        <v>68</v>
      </c>
      <c r="I1824" s="58" t="str">
        <f t="shared" si="135"/>
        <v>Australia-New Zealand-OTA</v>
      </c>
      <c r="J1824" s="40"/>
      <c r="K1824" s="59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  <c r="AG1824" s="35"/>
      <c r="AH1824" s="35"/>
      <c r="AI1824" s="35"/>
      <c r="AJ1824" s="35"/>
      <c r="AK1824" s="35"/>
      <c r="AL1824" s="35"/>
      <c r="AM1824" s="35"/>
      <c r="AN1824" s="35"/>
      <c r="AO1824" s="35"/>
      <c r="AP1824" s="35"/>
    </row>
    <row r="1825" spans="1:42" ht="17.25" customHeight="1" x14ac:dyDescent="0.25">
      <c r="A1825" s="60">
        <v>2020</v>
      </c>
      <c r="B1825" s="61" t="s">
        <v>66</v>
      </c>
      <c r="C1825" s="61" t="s">
        <v>35</v>
      </c>
      <c r="D1825" s="61" t="s">
        <v>36</v>
      </c>
      <c r="E1825" s="61" t="s">
        <v>67</v>
      </c>
      <c r="F1825" s="61" t="s">
        <v>67</v>
      </c>
      <c r="G1825" s="62">
        <v>3889647429</v>
      </c>
      <c r="H1825" s="61" t="s">
        <v>68</v>
      </c>
      <c r="I1825" s="63" t="str">
        <f t="shared" si="135"/>
        <v>Brazil-Offline</v>
      </c>
      <c r="J1825" s="47"/>
      <c r="K1825" s="54"/>
      <c r="L1825" s="35"/>
      <c r="M1825" s="35"/>
      <c r="N1825" s="35"/>
      <c r="O1825" s="35"/>
      <c r="P1825" s="35"/>
      <c r="Q1825" s="35"/>
      <c r="R1825" s="35"/>
      <c r="S1825" s="35"/>
      <c r="T1825" s="35"/>
      <c r="U1825" s="35"/>
      <c r="V1825" s="35"/>
      <c r="W1825" s="35"/>
      <c r="X1825" s="35"/>
      <c r="Y1825" s="35"/>
      <c r="Z1825" s="35"/>
      <c r="AA1825" s="35"/>
      <c r="AB1825" s="35"/>
      <c r="AC1825" s="35"/>
      <c r="AD1825" s="35"/>
      <c r="AE1825" s="35"/>
      <c r="AF1825" s="35"/>
      <c r="AG1825" s="35"/>
      <c r="AH1825" s="35"/>
      <c r="AI1825" s="35"/>
      <c r="AJ1825" s="35"/>
      <c r="AK1825" s="35"/>
      <c r="AL1825" s="35"/>
      <c r="AM1825" s="35"/>
      <c r="AN1825" s="35"/>
      <c r="AO1825" s="35"/>
      <c r="AP1825" s="35"/>
    </row>
    <row r="1826" spans="1:42" ht="17.25" customHeight="1" x14ac:dyDescent="0.25">
      <c r="A1826" s="55">
        <v>2020</v>
      </c>
      <c r="B1826" s="56" t="s">
        <v>66</v>
      </c>
      <c r="C1826" s="56" t="s">
        <v>35</v>
      </c>
      <c r="D1826" s="56" t="s">
        <v>36</v>
      </c>
      <c r="E1826" s="56" t="s">
        <v>69</v>
      </c>
      <c r="F1826" s="56" t="s">
        <v>70</v>
      </c>
      <c r="G1826" s="57">
        <v>1430683431</v>
      </c>
      <c r="H1826" s="56" t="s">
        <v>68</v>
      </c>
      <c r="I1826" s="58" t="str">
        <f t="shared" si="135"/>
        <v>Brazil-Online Supplier-Direct</v>
      </c>
      <c r="J1826" s="40"/>
      <c r="K1826" s="59"/>
      <c r="L1826" s="35"/>
      <c r="M1826" s="35"/>
      <c r="N1826" s="35"/>
      <c r="O1826" s="35"/>
      <c r="P1826" s="35"/>
      <c r="Q1826" s="35"/>
      <c r="R1826" s="35"/>
      <c r="S1826" s="35"/>
      <c r="T1826" s="35"/>
      <c r="U1826" s="35"/>
      <c r="V1826" s="35"/>
      <c r="W1826" s="35"/>
      <c r="X1826" s="35"/>
      <c r="Y1826" s="35"/>
      <c r="Z1826" s="35"/>
      <c r="AA1826" s="35"/>
      <c r="AB1826" s="35"/>
      <c r="AC1826" s="35"/>
      <c r="AD1826" s="35"/>
      <c r="AE1826" s="35"/>
      <c r="AF1826" s="35"/>
      <c r="AG1826" s="35"/>
      <c r="AH1826" s="35"/>
      <c r="AI1826" s="35"/>
      <c r="AJ1826" s="35"/>
      <c r="AK1826" s="35"/>
      <c r="AL1826" s="35"/>
      <c r="AM1826" s="35"/>
      <c r="AN1826" s="35"/>
      <c r="AO1826" s="35"/>
      <c r="AP1826" s="35"/>
    </row>
    <row r="1827" spans="1:42" ht="17.25" customHeight="1" x14ac:dyDescent="0.25">
      <c r="A1827" s="60">
        <v>2020</v>
      </c>
      <c r="B1827" s="61" t="s">
        <v>66</v>
      </c>
      <c r="C1827" s="61" t="s">
        <v>35</v>
      </c>
      <c r="D1827" s="61" t="s">
        <v>36</v>
      </c>
      <c r="E1827" s="61" t="s">
        <v>69</v>
      </c>
      <c r="F1827" s="61" t="s">
        <v>71</v>
      </c>
      <c r="G1827" s="62">
        <v>1987911351</v>
      </c>
      <c r="H1827" s="61" t="s">
        <v>68</v>
      </c>
      <c r="I1827" s="63" t="str">
        <f t="shared" si="135"/>
        <v>Brazil-OTA</v>
      </c>
      <c r="J1827" s="47"/>
      <c r="K1827" s="54"/>
      <c r="L1827" s="35"/>
      <c r="M1827" s="35"/>
      <c r="N1827" s="35"/>
      <c r="O1827" s="35"/>
      <c r="P1827" s="35"/>
      <c r="Q1827" s="35"/>
      <c r="R1827" s="35"/>
      <c r="S1827" s="35"/>
      <c r="T1827" s="35"/>
      <c r="U1827" s="35"/>
      <c r="V1827" s="35"/>
      <c r="W1827" s="35"/>
      <c r="X1827" s="35"/>
      <c r="Y1827" s="35"/>
      <c r="Z1827" s="35"/>
      <c r="AA1827" s="35"/>
      <c r="AB1827" s="35"/>
      <c r="AC1827" s="35"/>
      <c r="AD1827" s="35"/>
      <c r="AE1827" s="35"/>
      <c r="AF1827" s="35"/>
      <c r="AG1827" s="35"/>
      <c r="AH1827" s="35"/>
      <c r="AI1827" s="35"/>
      <c r="AJ1827" s="35"/>
      <c r="AK1827" s="35"/>
      <c r="AL1827" s="35"/>
      <c r="AM1827" s="35"/>
      <c r="AN1827" s="35"/>
      <c r="AO1827" s="35"/>
      <c r="AP1827" s="35"/>
    </row>
    <row r="1828" spans="1:42" ht="17.25" customHeight="1" x14ac:dyDescent="0.25">
      <c r="A1828" s="55">
        <v>2020</v>
      </c>
      <c r="B1828" s="56" t="s">
        <v>66</v>
      </c>
      <c r="C1828" s="56" t="s">
        <v>17</v>
      </c>
      <c r="D1828" s="56" t="s">
        <v>16</v>
      </c>
      <c r="E1828" s="56" t="s">
        <v>67</v>
      </c>
      <c r="F1828" s="56" t="s">
        <v>67</v>
      </c>
      <c r="G1828" s="57">
        <v>293350546</v>
      </c>
      <c r="H1828" s="56" t="s">
        <v>68</v>
      </c>
      <c r="I1828" s="58" t="str">
        <f t="shared" si="135"/>
        <v>Bulgaria-Offline</v>
      </c>
      <c r="J1828" s="40"/>
      <c r="K1828" s="59"/>
      <c r="L1828" s="35"/>
      <c r="M1828" s="35"/>
      <c r="N1828" s="35"/>
      <c r="O1828" s="35"/>
      <c r="P1828" s="35"/>
      <c r="Q1828" s="35"/>
      <c r="R1828" s="35"/>
      <c r="S1828" s="35"/>
      <c r="T1828" s="35"/>
      <c r="U1828" s="35"/>
      <c r="V1828" s="35"/>
      <c r="W1828" s="35"/>
      <c r="X1828" s="35"/>
      <c r="Y1828" s="35"/>
      <c r="Z1828" s="35"/>
      <c r="AA1828" s="35"/>
      <c r="AB1828" s="35"/>
      <c r="AC1828" s="35"/>
      <c r="AD1828" s="35"/>
      <c r="AE1828" s="35"/>
      <c r="AF1828" s="35"/>
      <c r="AG1828" s="35"/>
      <c r="AH1828" s="35"/>
      <c r="AI1828" s="35"/>
      <c r="AJ1828" s="35"/>
      <c r="AK1828" s="35"/>
      <c r="AL1828" s="35"/>
      <c r="AM1828" s="35"/>
      <c r="AN1828" s="35"/>
      <c r="AO1828" s="35"/>
      <c r="AP1828" s="35"/>
    </row>
    <row r="1829" spans="1:42" ht="17.25" customHeight="1" x14ac:dyDescent="0.25">
      <c r="A1829" s="60">
        <v>2020</v>
      </c>
      <c r="B1829" s="61" t="s">
        <v>66</v>
      </c>
      <c r="C1829" s="61" t="s">
        <v>17</v>
      </c>
      <c r="D1829" s="61" t="s">
        <v>16</v>
      </c>
      <c r="E1829" s="61" t="s">
        <v>69</v>
      </c>
      <c r="F1829" s="61" t="s">
        <v>70</v>
      </c>
      <c r="G1829" s="62">
        <v>52756917</v>
      </c>
      <c r="H1829" s="61" t="s">
        <v>68</v>
      </c>
      <c r="I1829" s="63" t="str">
        <f t="shared" si="135"/>
        <v>Bulgaria-Online Supplier-Direct</v>
      </c>
      <c r="J1829" s="47"/>
      <c r="K1829" s="54"/>
      <c r="L1829" s="35"/>
      <c r="M1829" s="35"/>
      <c r="N1829" s="35"/>
      <c r="O1829" s="35"/>
      <c r="P1829" s="35"/>
      <c r="Q1829" s="35"/>
      <c r="R1829" s="35"/>
      <c r="S1829" s="35"/>
      <c r="T1829" s="35"/>
      <c r="U1829" s="35"/>
      <c r="V1829" s="35"/>
      <c r="W1829" s="35"/>
      <c r="X1829" s="35"/>
      <c r="Y1829" s="35"/>
      <c r="Z1829" s="35"/>
      <c r="AA1829" s="35"/>
      <c r="AB1829" s="35"/>
      <c r="AC1829" s="35"/>
      <c r="AD1829" s="35"/>
      <c r="AE1829" s="35"/>
      <c r="AF1829" s="35"/>
      <c r="AG1829" s="35"/>
      <c r="AH1829" s="35"/>
      <c r="AI1829" s="35"/>
      <c r="AJ1829" s="35"/>
      <c r="AK1829" s="35"/>
      <c r="AL1829" s="35"/>
      <c r="AM1829" s="35"/>
      <c r="AN1829" s="35"/>
      <c r="AO1829" s="35"/>
      <c r="AP1829" s="35"/>
    </row>
    <row r="1830" spans="1:42" ht="17.25" customHeight="1" x14ac:dyDescent="0.25">
      <c r="A1830" s="55">
        <v>2020</v>
      </c>
      <c r="B1830" s="56" t="s">
        <v>66</v>
      </c>
      <c r="C1830" s="56" t="s">
        <v>17</v>
      </c>
      <c r="D1830" s="56" t="s">
        <v>16</v>
      </c>
      <c r="E1830" s="56" t="s">
        <v>69</v>
      </c>
      <c r="F1830" s="56" t="s">
        <v>71</v>
      </c>
      <c r="G1830" s="57">
        <v>122200885</v>
      </c>
      <c r="H1830" s="56" t="s">
        <v>68</v>
      </c>
      <c r="I1830" s="58" t="str">
        <f t="shared" si="135"/>
        <v>Bulgaria-OTA</v>
      </c>
      <c r="J1830" s="40"/>
      <c r="K1830" s="59"/>
      <c r="L1830" s="35"/>
      <c r="M1830" s="35"/>
      <c r="N1830" s="35"/>
      <c r="O1830" s="35"/>
      <c r="P1830" s="35"/>
      <c r="Q1830" s="35"/>
      <c r="R1830" s="35"/>
      <c r="S1830" s="35"/>
      <c r="T1830" s="35"/>
      <c r="U1830" s="35"/>
      <c r="V1830" s="35"/>
      <c r="W1830" s="35"/>
      <c r="X1830" s="35"/>
      <c r="Y1830" s="35"/>
      <c r="Z1830" s="35"/>
      <c r="AA1830" s="35"/>
      <c r="AB1830" s="35"/>
      <c r="AC1830" s="35"/>
      <c r="AD1830" s="35"/>
      <c r="AE1830" s="35"/>
      <c r="AF1830" s="35"/>
      <c r="AG1830" s="35"/>
      <c r="AH1830" s="35"/>
      <c r="AI1830" s="35"/>
      <c r="AJ1830" s="35"/>
      <c r="AK1830" s="35"/>
      <c r="AL1830" s="35"/>
      <c r="AM1830" s="35"/>
      <c r="AN1830" s="35"/>
      <c r="AO1830" s="35"/>
      <c r="AP1830" s="35"/>
    </row>
    <row r="1831" spans="1:42" ht="17.25" customHeight="1" x14ac:dyDescent="0.25">
      <c r="A1831" s="60">
        <v>2020</v>
      </c>
      <c r="B1831" s="61" t="s">
        <v>66</v>
      </c>
      <c r="C1831" s="61" t="s">
        <v>47</v>
      </c>
      <c r="D1831" s="61" t="s">
        <v>46</v>
      </c>
      <c r="E1831" s="61" t="s">
        <v>72</v>
      </c>
      <c r="F1831" s="61" t="s">
        <v>73</v>
      </c>
      <c r="G1831" s="62">
        <v>4955054216</v>
      </c>
      <c r="H1831" s="61" t="s">
        <v>68</v>
      </c>
      <c r="I1831" s="63" t="str">
        <f t="shared" si="135"/>
        <v>Canada-Central Reservation</v>
      </c>
      <c r="J1831" s="47"/>
      <c r="K1831" s="54"/>
      <c r="L1831" s="35"/>
      <c r="M1831" s="35"/>
      <c r="N1831" s="35"/>
      <c r="O1831" s="35"/>
      <c r="P1831" s="35"/>
      <c r="Q1831" s="35"/>
      <c r="R1831" s="35"/>
      <c r="S1831" s="35"/>
      <c r="T1831" s="35"/>
      <c r="U1831" s="35"/>
      <c r="V1831" s="35"/>
      <c r="W1831" s="35"/>
      <c r="X1831" s="35"/>
      <c r="Y1831" s="35"/>
      <c r="Z1831" s="35"/>
      <c r="AA1831" s="35"/>
      <c r="AB1831" s="35"/>
      <c r="AC1831" s="35"/>
      <c r="AD1831" s="35"/>
      <c r="AE1831" s="35"/>
      <c r="AF1831" s="35"/>
      <c r="AG1831" s="35"/>
      <c r="AH1831" s="35"/>
      <c r="AI1831" s="35"/>
      <c r="AJ1831" s="35"/>
      <c r="AK1831" s="35"/>
      <c r="AL1831" s="35"/>
      <c r="AM1831" s="35"/>
      <c r="AN1831" s="35"/>
      <c r="AO1831" s="35"/>
      <c r="AP1831" s="35"/>
    </row>
    <row r="1832" spans="1:42" ht="17.25" customHeight="1" x14ac:dyDescent="0.25">
      <c r="A1832" s="55">
        <v>2020</v>
      </c>
      <c r="B1832" s="56" t="s">
        <v>66</v>
      </c>
      <c r="C1832" s="56" t="s">
        <v>47</v>
      </c>
      <c r="D1832" s="56" t="s">
        <v>46</v>
      </c>
      <c r="E1832" s="56" t="s">
        <v>67</v>
      </c>
      <c r="F1832" s="56" t="s">
        <v>74</v>
      </c>
      <c r="G1832" s="57">
        <v>2292809339</v>
      </c>
      <c r="H1832" s="56" t="s">
        <v>68</v>
      </c>
      <c r="I1832" s="58" t="str">
        <f t="shared" si="135"/>
        <v>Canada-Travel Agency/TMC</v>
      </c>
      <c r="J1832" s="40"/>
      <c r="K1832" s="59"/>
      <c r="L1832" s="35"/>
      <c r="M1832" s="35"/>
      <c r="N1832" s="35"/>
      <c r="O1832" s="35"/>
      <c r="P1832" s="35"/>
      <c r="Q1832" s="35"/>
      <c r="R1832" s="35"/>
      <c r="S1832" s="35"/>
      <c r="T1832" s="35"/>
      <c r="U1832" s="35"/>
      <c r="V1832" s="35"/>
      <c r="W1832" s="35"/>
      <c r="X1832" s="35"/>
      <c r="Y1832" s="35"/>
      <c r="Z1832" s="35"/>
      <c r="AA1832" s="35"/>
      <c r="AB1832" s="35"/>
      <c r="AC1832" s="35"/>
      <c r="AD1832" s="35"/>
      <c r="AE1832" s="35"/>
      <c r="AF1832" s="35"/>
      <c r="AG1832" s="35"/>
      <c r="AH1832" s="35"/>
      <c r="AI1832" s="35"/>
      <c r="AJ1832" s="35"/>
      <c r="AK1832" s="35"/>
      <c r="AL1832" s="35"/>
      <c r="AM1832" s="35"/>
      <c r="AN1832" s="35"/>
      <c r="AO1832" s="35"/>
      <c r="AP1832" s="35"/>
    </row>
    <row r="1833" spans="1:42" ht="17.25" customHeight="1" x14ac:dyDescent="0.25">
      <c r="A1833" s="60">
        <v>2020</v>
      </c>
      <c r="B1833" s="61" t="s">
        <v>66</v>
      </c>
      <c r="C1833" s="61" t="s">
        <v>47</v>
      </c>
      <c r="D1833" s="61" t="s">
        <v>46</v>
      </c>
      <c r="E1833" s="61" t="s">
        <v>69</v>
      </c>
      <c r="F1833" s="61" t="s">
        <v>70</v>
      </c>
      <c r="G1833" s="62">
        <v>4083763845</v>
      </c>
      <c r="H1833" s="61" t="s">
        <v>68</v>
      </c>
      <c r="I1833" s="63" t="str">
        <f t="shared" si="135"/>
        <v>Canada-Online Supplier-Direct</v>
      </c>
      <c r="J1833" s="47"/>
      <c r="K1833" s="54"/>
      <c r="L1833" s="35"/>
      <c r="M1833" s="35"/>
      <c r="N1833" s="35"/>
      <c r="O1833" s="35"/>
      <c r="P1833" s="35"/>
      <c r="Q1833" s="35"/>
      <c r="R1833" s="35"/>
      <c r="S1833" s="35"/>
      <c r="T1833" s="35"/>
      <c r="U1833" s="35"/>
      <c r="V1833" s="35"/>
      <c r="W1833" s="35"/>
      <c r="X1833" s="35"/>
      <c r="Y1833" s="35"/>
      <c r="Z1833" s="35"/>
      <c r="AA1833" s="35"/>
      <c r="AB1833" s="35"/>
      <c r="AC1833" s="35"/>
      <c r="AD1833" s="35"/>
      <c r="AE1833" s="35"/>
      <c r="AF1833" s="35"/>
      <c r="AG1833" s="35"/>
      <c r="AH1833" s="35"/>
      <c r="AI1833" s="35"/>
      <c r="AJ1833" s="35"/>
      <c r="AK1833" s="35"/>
      <c r="AL1833" s="35"/>
      <c r="AM1833" s="35"/>
      <c r="AN1833" s="35"/>
      <c r="AO1833" s="35"/>
      <c r="AP1833" s="35"/>
    </row>
    <row r="1834" spans="1:42" ht="17.25" customHeight="1" x14ac:dyDescent="0.25">
      <c r="A1834" s="55">
        <v>2020</v>
      </c>
      <c r="B1834" s="56" t="s">
        <v>66</v>
      </c>
      <c r="C1834" s="56" t="s">
        <v>47</v>
      </c>
      <c r="D1834" s="56" t="s">
        <v>46</v>
      </c>
      <c r="E1834" s="56" t="s">
        <v>69</v>
      </c>
      <c r="F1834" s="56" t="s">
        <v>71</v>
      </c>
      <c r="G1834" s="57">
        <v>3633998647</v>
      </c>
      <c r="H1834" s="56" t="s">
        <v>68</v>
      </c>
      <c r="I1834" s="58" t="str">
        <f t="shared" si="135"/>
        <v>Canada-OTA</v>
      </c>
      <c r="J1834" s="40"/>
      <c r="K1834" s="59"/>
      <c r="L1834" s="35"/>
      <c r="M1834" s="35"/>
      <c r="N1834" s="35"/>
      <c r="O1834" s="35"/>
      <c r="P1834" s="35"/>
      <c r="Q1834" s="35"/>
      <c r="R1834" s="35"/>
      <c r="S1834" s="35"/>
      <c r="T1834" s="35"/>
      <c r="U1834" s="35"/>
      <c r="V1834" s="35"/>
      <c r="W1834" s="35"/>
      <c r="X1834" s="35"/>
      <c r="Y1834" s="35"/>
      <c r="Z1834" s="35"/>
      <c r="AA1834" s="35"/>
      <c r="AB1834" s="35"/>
      <c r="AC1834" s="35"/>
      <c r="AD1834" s="35"/>
      <c r="AE1834" s="35"/>
      <c r="AF1834" s="35"/>
      <c r="AG1834" s="35"/>
      <c r="AH1834" s="35"/>
      <c r="AI1834" s="35"/>
      <c r="AJ1834" s="35"/>
      <c r="AK1834" s="35"/>
      <c r="AL1834" s="35"/>
      <c r="AM1834" s="35"/>
      <c r="AN1834" s="35"/>
      <c r="AO1834" s="35"/>
      <c r="AP1834" s="35"/>
    </row>
    <row r="1835" spans="1:42" ht="17.25" customHeight="1" x14ac:dyDescent="0.25">
      <c r="A1835" s="60">
        <v>2020</v>
      </c>
      <c r="B1835" s="61" t="s">
        <v>66</v>
      </c>
      <c r="C1835" s="61" t="s">
        <v>35</v>
      </c>
      <c r="D1835" s="61" t="s">
        <v>37</v>
      </c>
      <c r="E1835" s="61" t="s">
        <v>67</v>
      </c>
      <c r="F1835" s="61" t="s">
        <v>67</v>
      </c>
      <c r="G1835" s="62">
        <v>1339510120</v>
      </c>
      <c r="H1835" s="61" t="s">
        <v>68</v>
      </c>
      <c r="I1835" s="63" t="str">
        <f t="shared" si="135"/>
        <v>Chile-Offline</v>
      </c>
      <c r="J1835" s="47"/>
      <c r="K1835" s="54"/>
      <c r="L1835" s="35"/>
      <c r="M1835" s="35"/>
      <c r="N1835" s="35"/>
      <c r="O1835" s="35"/>
      <c r="P1835" s="35"/>
      <c r="Q1835" s="35"/>
      <c r="R1835" s="35"/>
      <c r="S1835" s="35"/>
      <c r="T1835" s="35"/>
      <c r="U1835" s="35"/>
      <c r="V1835" s="35"/>
      <c r="W1835" s="35"/>
      <c r="X1835" s="35"/>
      <c r="Y1835" s="35"/>
      <c r="Z1835" s="35"/>
      <c r="AA1835" s="35"/>
      <c r="AB1835" s="35"/>
      <c r="AC1835" s="35"/>
      <c r="AD1835" s="35"/>
      <c r="AE1835" s="35"/>
      <c r="AF1835" s="35"/>
      <c r="AG1835" s="35"/>
      <c r="AH1835" s="35"/>
      <c r="AI1835" s="35"/>
      <c r="AJ1835" s="35"/>
      <c r="AK1835" s="35"/>
      <c r="AL1835" s="35"/>
      <c r="AM1835" s="35"/>
      <c r="AN1835" s="35"/>
      <c r="AO1835" s="35"/>
      <c r="AP1835" s="35"/>
    </row>
    <row r="1836" spans="1:42" ht="17.25" customHeight="1" x14ac:dyDescent="0.25">
      <c r="A1836" s="55">
        <v>2020</v>
      </c>
      <c r="B1836" s="56" t="s">
        <v>66</v>
      </c>
      <c r="C1836" s="56" t="s">
        <v>35</v>
      </c>
      <c r="D1836" s="56" t="s">
        <v>37</v>
      </c>
      <c r="E1836" s="56" t="s">
        <v>69</v>
      </c>
      <c r="F1836" s="56" t="s">
        <v>70</v>
      </c>
      <c r="G1836" s="57">
        <v>503388251</v>
      </c>
      <c r="H1836" s="56" t="s">
        <v>68</v>
      </c>
      <c r="I1836" s="58" t="str">
        <f t="shared" si="135"/>
        <v>Chile-Online Supplier-Direct</v>
      </c>
      <c r="J1836" s="40"/>
      <c r="K1836" s="59"/>
      <c r="L1836" s="35"/>
      <c r="M1836" s="35"/>
      <c r="N1836" s="35"/>
      <c r="O1836" s="35"/>
      <c r="P1836" s="35"/>
      <c r="Q1836" s="35"/>
      <c r="R1836" s="35"/>
      <c r="S1836" s="35"/>
      <c r="T1836" s="35"/>
      <c r="U1836" s="35"/>
      <c r="V1836" s="35"/>
      <c r="W1836" s="35"/>
      <c r="X1836" s="35"/>
      <c r="Y1836" s="35"/>
      <c r="Z1836" s="35"/>
      <c r="AA1836" s="35"/>
      <c r="AB1836" s="35"/>
      <c r="AC1836" s="35"/>
      <c r="AD1836" s="35"/>
      <c r="AE1836" s="35"/>
      <c r="AF1836" s="35"/>
      <c r="AG1836" s="35"/>
      <c r="AH1836" s="35"/>
      <c r="AI1836" s="35"/>
      <c r="AJ1836" s="35"/>
      <c r="AK1836" s="35"/>
      <c r="AL1836" s="35"/>
      <c r="AM1836" s="35"/>
      <c r="AN1836" s="35"/>
      <c r="AO1836" s="35"/>
      <c r="AP1836" s="35"/>
    </row>
    <row r="1837" spans="1:42" ht="17.25" customHeight="1" x14ac:dyDescent="0.25">
      <c r="A1837" s="60">
        <v>2020</v>
      </c>
      <c r="B1837" s="61" t="s">
        <v>66</v>
      </c>
      <c r="C1837" s="61" t="s">
        <v>35</v>
      </c>
      <c r="D1837" s="61" t="s">
        <v>37</v>
      </c>
      <c r="E1837" s="61" t="s">
        <v>69</v>
      </c>
      <c r="F1837" s="61" t="s">
        <v>71</v>
      </c>
      <c r="G1837" s="62">
        <v>467783402</v>
      </c>
      <c r="H1837" s="61" t="s">
        <v>68</v>
      </c>
      <c r="I1837" s="63" t="str">
        <f t="shared" si="135"/>
        <v>Chile-OTA</v>
      </c>
      <c r="J1837" s="47"/>
      <c r="K1837" s="54"/>
      <c r="L1837" s="35"/>
      <c r="M1837" s="35"/>
      <c r="N1837" s="35"/>
      <c r="O1837" s="35"/>
      <c r="P1837" s="35"/>
      <c r="Q1837" s="35"/>
      <c r="R1837" s="35"/>
      <c r="S1837" s="35"/>
      <c r="T1837" s="35"/>
      <c r="U1837" s="35"/>
      <c r="V1837" s="35"/>
      <c r="W1837" s="35"/>
      <c r="X1837" s="35"/>
      <c r="Y1837" s="35"/>
      <c r="Z1837" s="35"/>
      <c r="AA1837" s="35"/>
      <c r="AB1837" s="35"/>
      <c r="AC1837" s="35"/>
      <c r="AD1837" s="35"/>
      <c r="AE1837" s="35"/>
      <c r="AF1837" s="35"/>
      <c r="AG1837" s="35"/>
      <c r="AH1837" s="35"/>
      <c r="AI1837" s="35"/>
      <c r="AJ1837" s="35"/>
      <c r="AK1837" s="35"/>
      <c r="AL1837" s="35"/>
      <c r="AM1837" s="35"/>
      <c r="AN1837" s="35"/>
      <c r="AO1837" s="35"/>
      <c r="AP1837" s="35"/>
    </row>
    <row r="1838" spans="1:42" ht="17.25" customHeight="1" x14ac:dyDescent="0.25">
      <c r="A1838" s="55">
        <v>2020</v>
      </c>
      <c r="B1838" s="56" t="s">
        <v>66</v>
      </c>
      <c r="C1838" s="56" t="s">
        <v>4</v>
      </c>
      <c r="D1838" s="56" t="s">
        <v>5</v>
      </c>
      <c r="E1838" s="56" t="s">
        <v>67</v>
      </c>
      <c r="F1838" s="56" t="s">
        <v>67</v>
      </c>
      <c r="G1838" s="57">
        <v>44145429399</v>
      </c>
      <c r="H1838" s="56" t="s">
        <v>68</v>
      </c>
      <c r="I1838" s="58" t="str">
        <f t="shared" si="135"/>
        <v>China-Offline</v>
      </c>
      <c r="J1838" s="40"/>
      <c r="K1838" s="59"/>
      <c r="L1838" s="35"/>
      <c r="M1838" s="35"/>
      <c r="N1838" s="35"/>
      <c r="O1838" s="35"/>
      <c r="P1838" s="35"/>
      <c r="Q1838" s="35"/>
      <c r="R1838" s="35"/>
      <c r="S1838" s="35"/>
      <c r="T1838" s="35"/>
      <c r="U1838" s="35"/>
      <c r="V1838" s="35"/>
      <c r="W1838" s="35"/>
      <c r="X1838" s="35"/>
      <c r="Y1838" s="35"/>
      <c r="Z1838" s="35"/>
      <c r="AA1838" s="35"/>
      <c r="AB1838" s="35"/>
      <c r="AC1838" s="35"/>
      <c r="AD1838" s="35"/>
      <c r="AE1838" s="35"/>
      <c r="AF1838" s="35"/>
      <c r="AG1838" s="35"/>
      <c r="AH1838" s="35"/>
      <c r="AI1838" s="35"/>
      <c r="AJ1838" s="35"/>
      <c r="AK1838" s="35"/>
      <c r="AL1838" s="35"/>
      <c r="AM1838" s="35"/>
      <c r="AN1838" s="35"/>
      <c r="AO1838" s="35"/>
      <c r="AP1838" s="35"/>
    </row>
    <row r="1839" spans="1:42" ht="17.25" customHeight="1" x14ac:dyDescent="0.25">
      <c r="A1839" s="60">
        <v>2020</v>
      </c>
      <c r="B1839" s="61" t="s">
        <v>66</v>
      </c>
      <c r="C1839" s="61" t="s">
        <v>4</v>
      </c>
      <c r="D1839" s="61" t="s">
        <v>5</v>
      </c>
      <c r="E1839" s="61" t="s">
        <v>69</v>
      </c>
      <c r="F1839" s="61" t="s">
        <v>70</v>
      </c>
      <c r="G1839" s="62">
        <v>36581157547</v>
      </c>
      <c r="H1839" s="61" t="s">
        <v>68</v>
      </c>
      <c r="I1839" s="63" t="str">
        <f t="shared" si="135"/>
        <v>China-Online Supplier-Direct</v>
      </c>
      <c r="J1839" s="47"/>
      <c r="K1839" s="54"/>
      <c r="L1839" s="35"/>
      <c r="M1839" s="35"/>
      <c r="N1839" s="35"/>
      <c r="O1839" s="35"/>
      <c r="P1839" s="35"/>
      <c r="Q1839" s="35"/>
      <c r="R1839" s="35"/>
      <c r="S1839" s="35"/>
      <c r="T1839" s="35"/>
      <c r="U1839" s="35"/>
      <c r="V1839" s="35"/>
      <c r="W1839" s="35"/>
      <c r="X1839" s="35"/>
      <c r="Y1839" s="35"/>
      <c r="Z1839" s="35"/>
      <c r="AA1839" s="35"/>
      <c r="AB1839" s="35"/>
      <c r="AC1839" s="35"/>
      <c r="AD1839" s="35"/>
      <c r="AE1839" s="35"/>
      <c r="AF1839" s="35"/>
      <c r="AG1839" s="35"/>
      <c r="AH1839" s="35"/>
      <c r="AI1839" s="35"/>
      <c r="AJ1839" s="35"/>
      <c r="AK1839" s="35"/>
      <c r="AL1839" s="35"/>
      <c r="AM1839" s="35"/>
      <c r="AN1839" s="35"/>
      <c r="AO1839" s="35"/>
      <c r="AP1839" s="35"/>
    </row>
    <row r="1840" spans="1:42" ht="17.25" customHeight="1" x14ac:dyDescent="0.25">
      <c r="A1840" s="55">
        <v>2020</v>
      </c>
      <c r="B1840" s="56" t="s">
        <v>66</v>
      </c>
      <c r="C1840" s="56" t="s">
        <v>4</v>
      </c>
      <c r="D1840" s="56" t="s">
        <v>5</v>
      </c>
      <c r="E1840" s="56" t="s">
        <v>69</v>
      </c>
      <c r="F1840" s="56" t="s">
        <v>71</v>
      </c>
      <c r="G1840" s="57">
        <v>36420924649</v>
      </c>
      <c r="H1840" s="56" t="s">
        <v>68</v>
      </c>
      <c r="I1840" s="58" t="str">
        <f t="shared" si="135"/>
        <v>China-OTA</v>
      </c>
      <c r="J1840" s="40"/>
      <c r="K1840" s="59"/>
      <c r="L1840" s="35"/>
      <c r="M1840" s="35"/>
      <c r="N1840" s="35"/>
      <c r="O1840" s="35"/>
      <c r="P1840" s="35"/>
      <c r="Q1840" s="35"/>
      <c r="R1840" s="35"/>
      <c r="S1840" s="35"/>
      <c r="T1840" s="35"/>
      <c r="U1840" s="35"/>
      <c r="V1840" s="35"/>
      <c r="W1840" s="35"/>
      <c r="X1840" s="35"/>
      <c r="Y1840" s="35"/>
      <c r="Z1840" s="35"/>
      <c r="AA1840" s="35"/>
      <c r="AB1840" s="35"/>
      <c r="AC1840" s="35"/>
      <c r="AD1840" s="35"/>
      <c r="AE1840" s="35"/>
      <c r="AF1840" s="35"/>
      <c r="AG1840" s="35"/>
      <c r="AH1840" s="35"/>
      <c r="AI1840" s="35"/>
      <c r="AJ1840" s="35"/>
      <c r="AK1840" s="35"/>
      <c r="AL1840" s="35"/>
      <c r="AM1840" s="35"/>
      <c r="AN1840" s="35"/>
      <c r="AO1840" s="35"/>
      <c r="AP1840" s="35"/>
    </row>
    <row r="1841" spans="1:42" ht="17.25" customHeight="1" x14ac:dyDescent="0.25">
      <c r="A1841" s="60">
        <v>2020</v>
      </c>
      <c r="B1841" s="61" t="s">
        <v>66</v>
      </c>
      <c r="C1841" s="61" t="s">
        <v>35</v>
      </c>
      <c r="D1841" s="61" t="s">
        <v>38</v>
      </c>
      <c r="E1841" s="61" t="s">
        <v>67</v>
      </c>
      <c r="F1841" s="61" t="s">
        <v>67</v>
      </c>
      <c r="G1841" s="62">
        <v>1324312828</v>
      </c>
      <c r="H1841" s="61" t="s">
        <v>68</v>
      </c>
      <c r="I1841" s="63" t="str">
        <f t="shared" si="135"/>
        <v>Colombia-Offline</v>
      </c>
      <c r="J1841" s="47"/>
      <c r="K1841" s="54"/>
      <c r="L1841" s="35"/>
      <c r="M1841" s="35"/>
      <c r="N1841" s="35"/>
      <c r="O1841" s="35"/>
      <c r="P1841" s="35"/>
      <c r="Q1841" s="35"/>
      <c r="R1841" s="35"/>
      <c r="S1841" s="35"/>
      <c r="T1841" s="35"/>
      <c r="U1841" s="35"/>
      <c r="V1841" s="35"/>
      <c r="W1841" s="35"/>
      <c r="X1841" s="35"/>
      <c r="Y1841" s="35"/>
      <c r="Z1841" s="35"/>
      <c r="AA1841" s="35"/>
      <c r="AB1841" s="35"/>
      <c r="AC1841" s="35"/>
      <c r="AD1841" s="35"/>
      <c r="AE1841" s="35"/>
      <c r="AF1841" s="35"/>
      <c r="AG1841" s="35"/>
      <c r="AH1841" s="35"/>
      <c r="AI1841" s="35"/>
      <c r="AJ1841" s="35"/>
      <c r="AK1841" s="35"/>
      <c r="AL1841" s="35"/>
      <c r="AM1841" s="35"/>
      <c r="AN1841" s="35"/>
      <c r="AO1841" s="35"/>
      <c r="AP1841" s="35"/>
    </row>
    <row r="1842" spans="1:42" ht="17.25" customHeight="1" x14ac:dyDescent="0.25">
      <c r="A1842" s="55">
        <v>2020</v>
      </c>
      <c r="B1842" s="56" t="s">
        <v>66</v>
      </c>
      <c r="C1842" s="56" t="s">
        <v>35</v>
      </c>
      <c r="D1842" s="56" t="s">
        <v>38</v>
      </c>
      <c r="E1842" s="56" t="s">
        <v>69</v>
      </c>
      <c r="F1842" s="56" t="s">
        <v>70</v>
      </c>
      <c r="G1842" s="57">
        <v>471505355</v>
      </c>
      <c r="H1842" s="56" t="s">
        <v>68</v>
      </c>
      <c r="I1842" s="58" t="str">
        <f t="shared" si="135"/>
        <v>Colombia-Online Supplier-Direct</v>
      </c>
      <c r="J1842" s="40"/>
      <c r="K1842" s="59"/>
      <c r="L1842" s="35"/>
      <c r="M1842" s="35"/>
      <c r="N1842" s="35"/>
      <c r="O1842" s="35"/>
      <c r="P1842" s="35"/>
      <c r="Q1842" s="35"/>
      <c r="R1842" s="35"/>
      <c r="S1842" s="35"/>
      <c r="T1842" s="35"/>
      <c r="U1842" s="35"/>
      <c r="V1842" s="35"/>
      <c r="W1842" s="35"/>
      <c r="X1842" s="35"/>
      <c r="Y1842" s="35"/>
      <c r="Z1842" s="35"/>
      <c r="AA1842" s="35"/>
      <c r="AB1842" s="35"/>
      <c r="AC1842" s="35"/>
      <c r="AD1842" s="35"/>
      <c r="AE1842" s="35"/>
      <c r="AF1842" s="35"/>
      <c r="AG1842" s="35"/>
      <c r="AH1842" s="35"/>
      <c r="AI1842" s="35"/>
      <c r="AJ1842" s="35"/>
      <c r="AK1842" s="35"/>
      <c r="AL1842" s="35"/>
      <c r="AM1842" s="35"/>
      <c r="AN1842" s="35"/>
      <c r="AO1842" s="35"/>
      <c r="AP1842" s="35"/>
    </row>
    <row r="1843" spans="1:42" ht="17.25" customHeight="1" x14ac:dyDescent="0.25">
      <c r="A1843" s="60">
        <v>2020</v>
      </c>
      <c r="B1843" s="61" t="s">
        <v>66</v>
      </c>
      <c r="C1843" s="61" t="s">
        <v>35</v>
      </c>
      <c r="D1843" s="61" t="s">
        <v>38</v>
      </c>
      <c r="E1843" s="61" t="s">
        <v>69</v>
      </c>
      <c r="F1843" s="61" t="s">
        <v>71</v>
      </c>
      <c r="G1843" s="62">
        <v>468985286</v>
      </c>
      <c r="H1843" s="61" t="s">
        <v>68</v>
      </c>
      <c r="I1843" s="63" t="str">
        <f t="shared" si="135"/>
        <v>Colombia-OTA</v>
      </c>
      <c r="J1843" s="47"/>
      <c r="K1843" s="54"/>
      <c r="L1843" s="35"/>
      <c r="M1843" s="35"/>
      <c r="N1843" s="35"/>
      <c r="O1843" s="35"/>
      <c r="P1843" s="35"/>
      <c r="Q1843" s="35"/>
      <c r="R1843" s="35"/>
      <c r="S1843" s="35"/>
      <c r="T1843" s="35"/>
      <c r="U1843" s="35"/>
      <c r="V1843" s="35"/>
      <c r="W1843" s="35"/>
      <c r="X1843" s="35"/>
      <c r="Y1843" s="35"/>
      <c r="Z1843" s="35"/>
      <c r="AA1843" s="35"/>
      <c r="AB1843" s="35"/>
      <c r="AC1843" s="35"/>
      <c r="AD1843" s="35"/>
      <c r="AE1843" s="35"/>
      <c r="AF1843" s="35"/>
      <c r="AG1843" s="35"/>
      <c r="AH1843" s="35"/>
      <c r="AI1843" s="35"/>
      <c r="AJ1843" s="35"/>
      <c r="AK1843" s="35"/>
      <c r="AL1843" s="35"/>
      <c r="AM1843" s="35"/>
      <c r="AN1843" s="35"/>
      <c r="AO1843" s="35"/>
      <c r="AP1843" s="35"/>
    </row>
    <row r="1844" spans="1:42" ht="17.25" customHeight="1" x14ac:dyDescent="0.25">
      <c r="A1844" s="55">
        <v>2020</v>
      </c>
      <c r="B1844" s="56" t="s">
        <v>66</v>
      </c>
      <c r="C1844" s="56" t="s">
        <v>17</v>
      </c>
      <c r="D1844" s="56" t="s">
        <v>18</v>
      </c>
      <c r="E1844" s="56" t="s">
        <v>67</v>
      </c>
      <c r="F1844" s="56" t="s">
        <v>67</v>
      </c>
      <c r="G1844" s="57">
        <v>828193750</v>
      </c>
      <c r="H1844" s="56" t="s">
        <v>68</v>
      </c>
      <c r="I1844" s="58" t="str">
        <f t="shared" si="135"/>
        <v>Czech Republic-Offline</v>
      </c>
      <c r="J1844" s="40"/>
      <c r="K1844" s="59"/>
      <c r="L1844" s="35"/>
      <c r="M1844" s="35"/>
      <c r="N1844" s="35"/>
      <c r="O1844" s="35"/>
      <c r="P1844" s="35"/>
      <c r="Q1844" s="35"/>
      <c r="R1844" s="35"/>
      <c r="S1844" s="35"/>
      <c r="T1844" s="35"/>
      <c r="U1844" s="35"/>
      <c r="V1844" s="35"/>
      <c r="W1844" s="35"/>
      <c r="X1844" s="35"/>
      <c r="Y1844" s="35"/>
      <c r="Z1844" s="35"/>
      <c r="AA1844" s="35"/>
      <c r="AB1844" s="35"/>
      <c r="AC1844" s="35"/>
      <c r="AD1844" s="35"/>
      <c r="AE1844" s="35"/>
      <c r="AF1844" s="35"/>
      <c r="AG1844" s="35"/>
      <c r="AH1844" s="35"/>
      <c r="AI1844" s="35"/>
      <c r="AJ1844" s="35"/>
      <c r="AK1844" s="35"/>
      <c r="AL1844" s="35"/>
      <c r="AM1844" s="35"/>
      <c r="AN1844" s="35"/>
      <c r="AO1844" s="35"/>
      <c r="AP1844" s="35"/>
    </row>
    <row r="1845" spans="1:42" ht="17.25" customHeight="1" x14ac:dyDescent="0.25">
      <c r="A1845" s="60">
        <v>2020</v>
      </c>
      <c r="B1845" s="61" t="s">
        <v>66</v>
      </c>
      <c r="C1845" s="61" t="s">
        <v>17</v>
      </c>
      <c r="D1845" s="61" t="s">
        <v>18</v>
      </c>
      <c r="E1845" s="61" t="s">
        <v>69</v>
      </c>
      <c r="F1845" s="61" t="s">
        <v>70</v>
      </c>
      <c r="G1845" s="62">
        <v>435278612</v>
      </c>
      <c r="H1845" s="61" t="s">
        <v>68</v>
      </c>
      <c r="I1845" s="63" t="str">
        <f t="shared" si="135"/>
        <v>Czech Republic-Online Supplier-Direct</v>
      </c>
      <c r="J1845" s="47"/>
      <c r="K1845" s="54"/>
      <c r="L1845" s="35"/>
      <c r="M1845" s="35"/>
      <c r="N1845" s="35"/>
      <c r="O1845" s="35"/>
      <c r="P1845" s="35"/>
      <c r="Q1845" s="35"/>
      <c r="R1845" s="35"/>
      <c r="S1845" s="35"/>
      <c r="T1845" s="35"/>
      <c r="U1845" s="35"/>
      <c r="V1845" s="35"/>
      <c r="W1845" s="35"/>
      <c r="X1845" s="35"/>
      <c r="Y1845" s="35"/>
      <c r="Z1845" s="35"/>
      <c r="AA1845" s="35"/>
      <c r="AB1845" s="35"/>
      <c r="AC1845" s="35"/>
      <c r="AD1845" s="35"/>
      <c r="AE1845" s="35"/>
      <c r="AF1845" s="35"/>
      <c r="AG1845" s="35"/>
      <c r="AH1845" s="35"/>
      <c r="AI1845" s="35"/>
      <c r="AJ1845" s="35"/>
      <c r="AK1845" s="35"/>
      <c r="AL1845" s="35"/>
      <c r="AM1845" s="35"/>
      <c r="AN1845" s="35"/>
      <c r="AO1845" s="35"/>
      <c r="AP1845" s="35"/>
    </row>
    <row r="1846" spans="1:42" ht="17.25" customHeight="1" x14ac:dyDescent="0.25">
      <c r="A1846" s="55">
        <v>2020</v>
      </c>
      <c r="B1846" s="56" t="s">
        <v>66</v>
      </c>
      <c r="C1846" s="56" t="s">
        <v>17</v>
      </c>
      <c r="D1846" s="56" t="s">
        <v>18</v>
      </c>
      <c r="E1846" s="56" t="s">
        <v>69</v>
      </c>
      <c r="F1846" s="56" t="s">
        <v>71</v>
      </c>
      <c r="G1846" s="57">
        <v>401981275</v>
      </c>
      <c r="H1846" s="56" t="s">
        <v>68</v>
      </c>
      <c r="I1846" s="58" t="str">
        <f t="shared" si="135"/>
        <v>Czech Republic-OTA</v>
      </c>
      <c r="J1846" s="40"/>
      <c r="K1846" s="59"/>
      <c r="L1846" s="35"/>
      <c r="M1846" s="35"/>
      <c r="N1846" s="35"/>
      <c r="O1846" s="35"/>
      <c r="P1846" s="35"/>
      <c r="Q1846" s="35"/>
      <c r="R1846" s="35"/>
      <c r="S1846" s="35"/>
      <c r="T1846" s="35"/>
      <c r="U1846" s="35"/>
      <c r="V1846" s="35"/>
      <c r="W1846" s="35"/>
      <c r="X1846" s="35"/>
      <c r="Y1846" s="35"/>
      <c r="Z1846" s="35"/>
      <c r="AA1846" s="35"/>
      <c r="AB1846" s="35"/>
      <c r="AC1846" s="35"/>
      <c r="AD1846" s="35"/>
      <c r="AE1846" s="35"/>
      <c r="AF1846" s="35"/>
      <c r="AG1846" s="35"/>
      <c r="AH1846" s="35"/>
      <c r="AI1846" s="35"/>
      <c r="AJ1846" s="35"/>
      <c r="AK1846" s="35"/>
      <c r="AL1846" s="35"/>
      <c r="AM1846" s="35"/>
      <c r="AN1846" s="35"/>
      <c r="AO1846" s="35"/>
      <c r="AP1846" s="35"/>
    </row>
    <row r="1847" spans="1:42" ht="17.25" customHeight="1" x14ac:dyDescent="0.25">
      <c r="A1847" s="60">
        <v>2020</v>
      </c>
      <c r="B1847" s="61" t="s">
        <v>66</v>
      </c>
      <c r="C1847" s="61" t="s">
        <v>41</v>
      </c>
      <c r="D1847" s="61" t="s">
        <v>40</v>
      </c>
      <c r="E1847" s="61" t="s">
        <v>67</v>
      </c>
      <c r="F1847" s="61" t="s">
        <v>67</v>
      </c>
      <c r="G1847" s="62">
        <v>1567240222</v>
      </c>
      <c r="H1847" s="61" t="s">
        <v>68</v>
      </c>
      <c r="I1847" s="63" t="str">
        <f t="shared" si="135"/>
        <v>Egypt-Offline</v>
      </c>
      <c r="J1847" s="47"/>
      <c r="K1847" s="54"/>
      <c r="L1847" s="35"/>
      <c r="M1847" s="35"/>
      <c r="N1847" s="35"/>
      <c r="O1847" s="35"/>
      <c r="P1847" s="35"/>
      <c r="Q1847" s="35"/>
      <c r="R1847" s="35"/>
      <c r="S1847" s="35"/>
      <c r="T1847" s="35"/>
      <c r="U1847" s="35"/>
      <c r="V1847" s="35"/>
      <c r="W1847" s="35"/>
      <c r="X1847" s="35"/>
      <c r="Y1847" s="35"/>
      <c r="Z1847" s="35"/>
      <c r="AA1847" s="35"/>
      <c r="AB1847" s="35"/>
      <c r="AC1847" s="35"/>
      <c r="AD1847" s="35"/>
      <c r="AE1847" s="35"/>
      <c r="AF1847" s="35"/>
      <c r="AG1847" s="35"/>
      <c r="AH1847" s="35"/>
      <c r="AI1847" s="35"/>
      <c r="AJ1847" s="35"/>
      <c r="AK1847" s="35"/>
      <c r="AL1847" s="35"/>
      <c r="AM1847" s="35"/>
      <c r="AN1847" s="35"/>
      <c r="AO1847" s="35"/>
      <c r="AP1847" s="35"/>
    </row>
    <row r="1848" spans="1:42" ht="17.25" customHeight="1" x14ac:dyDescent="0.25">
      <c r="A1848" s="55">
        <v>2020</v>
      </c>
      <c r="B1848" s="56" t="s">
        <v>66</v>
      </c>
      <c r="C1848" s="56" t="s">
        <v>41</v>
      </c>
      <c r="D1848" s="56" t="s">
        <v>40</v>
      </c>
      <c r="E1848" s="56" t="s">
        <v>69</v>
      </c>
      <c r="F1848" s="56" t="s">
        <v>70</v>
      </c>
      <c r="G1848" s="57">
        <v>485909187</v>
      </c>
      <c r="H1848" s="56" t="s">
        <v>68</v>
      </c>
      <c r="I1848" s="58" t="str">
        <f t="shared" si="135"/>
        <v>Egypt-Online Supplier-Direct</v>
      </c>
      <c r="J1848" s="40"/>
      <c r="K1848" s="59"/>
      <c r="L1848" s="35"/>
      <c r="M1848" s="35"/>
      <c r="N1848" s="35"/>
      <c r="O1848" s="35"/>
      <c r="P1848" s="35"/>
      <c r="Q1848" s="35"/>
      <c r="R1848" s="35"/>
      <c r="S1848" s="35"/>
      <c r="T1848" s="35"/>
      <c r="U1848" s="35"/>
      <c r="V1848" s="35"/>
      <c r="W1848" s="35"/>
      <c r="X1848" s="35"/>
      <c r="Y1848" s="35"/>
      <c r="Z1848" s="35"/>
      <c r="AA1848" s="35"/>
      <c r="AB1848" s="35"/>
      <c r="AC1848" s="35"/>
      <c r="AD1848" s="35"/>
      <c r="AE1848" s="35"/>
      <c r="AF1848" s="35"/>
      <c r="AG1848" s="35"/>
      <c r="AH1848" s="35"/>
      <c r="AI1848" s="35"/>
      <c r="AJ1848" s="35"/>
      <c r="AK1848" s="35"/>
      <c r="AL1848" s="35"/>
      <c r="AM1848" s="35"/>
      <c r="AN1848" s="35"/>
      <c r="AO1848" s="35"/>
      <c r="AP1848" s="35"/>
    </row>
    <row r="1849" spans="1:42" ht="17.25" customHeight="1" x14ac:dyDescent="0.25">
      <c r="A1849" s="60">
        <v>2020</v>
      </c>
      <c r="B1849" s="61" t="s">
        <v>66</v>
      </c>
      <c r="C1849" s="61" t="s">
        <v>41</v>
      </c>
      <c r="D1849" s="61" t="s">
        <v>40</v>
      </c>
      <c r="E1849" s="61" t="s">
        <v>69</v>
      </c>
      <c r="F1849" s="61" t="s">
        <v>71</v>
      </c>
      <c r="G1849" s="62">
        <v>279010236</v>
      </c>
      <c r="H1849" s="61" t="s">
        <v>68</v>
      </c>
      <c r="I1849" s="63" t="str">
        <f t="shared" si="135"/>
        <v>Egypt-OTA</v>
      </c>
      <c r="J1849" s="47"/>
      <c r="K1849" s="54"/>
      <c r="L1849" s="35"/>
      <c r="M1849" s="35"/>
      <c r="N1849" s="35"/>
      <c r="O1849" s="35"/>
      <c r="P1849" s="35"/>
      <c r="Q1849" s="35"/>
      <c r="R1849" s="35"/>
      <c r="S1849" s="35"/>
      <c r="T1849" s="35"/>
      <c r="U1849" s="35"/>
      <c r="V1849" s="35"/>
      <c r="W1849" s="35"/>
      <c r="X1849" s="35"/>
      <c r="Y1849" s="35"/>
      <c r="Z1849" s="35"/>
      <c r="AA1849" s="35"/>
      <c r="AB1849" s="35"/>
      <c r="AC1849" s="35"/>
      <c r="AD1849" s="35"/>
      <c r="AE1849" s="35"/>
      <c r="AF1849" s="35"/>
      <c r="AG1849" s="35"/>
      <c r="AH1849" s="35"/>
      <c r="AI1849" s="35"/>
      <c r="AJ1849" s="35"/>
      <c r="AK1849" s="35"/>
      <c r="AL1849" s="35"/>
      <c r="AM1849" s="35"/>
      <c r="AN1849" s="35"/>
      <c r="AO1849" s="35"/>
      <c r="AP1849" s="35"/>
    </row>
    <row r="1850" spans="1:42" ht="17.25" customHeight="1" x14ac:dyDescent="0.25">
      <c r="A1850" s="55">
        <v>2020</v>
      </c>
      <c r="B1850" s="56" t="s">
        <v>66</v>
      </c>
      <c r="C1850" s="56" t="s">
        <v>27</v>
      </c>
      <c r="D1850" s="56" t="s">
        <v>26</v>
      </c>
      <c r="E1850" s="56" t="s">
        <v>67</v>
      </c>
      <c r="F1850" s="56" t="s">
        <v>67</v>
      </c>
      <c r="G1850" s="57">
        <v>12764954057</v>
      </c>
      <c r="H1850" s="56" t="s">
        <v>68</v>
      </c>
      <c r="I1850" s="58" t="str">
        <f t="shared" si="135"/>
        <v>France-Offline</v>
      </c>
      <c r="J1850" s="40"/>
      <c r="K1850" s="59"/>
      <c r="L1850" s="35"/>
      <c r="M1850" s="35"/>
      <c r="N1850" s="35"/>
      <c r="O1850" s="35"/>
      <c r="P1850" s="35"/>
      <c r="Q1850" s="35"/>
      <c r="R1850" s="35"/>
      <c r="S1850" s="35"/>
      <c r="T1850" s="35"/>
      <c r="U1850" s="35"/>
      <c r="V1850" s="35"/>
      <c r="W1850" s="35"/>
      <c r="X1850" s="35"/>
      <c r="Y1850" s="35"/>
      <c r="Z1850" s="35"/>
      <c r="AA1850" s="35"/>
      <c r="AB1850" s="35"/>
      <c r="AC1850" s="35"/>
      <c r="AD1850" s="35"/>
      <c r="AE1850" s="35"/>
      <c r="AF1850" s="35"/>
      <c r="AG1850" s="35"/>
      <c r="AH1850" s="35"/>
      <c r="AI1850" s="35"/>
      <c r="AJ1850" s="35"/>
      <c r="AK1850" s="35"/>
      <c r="AL1850" s="35"/>
      <c r="AM1850" s="35"/>
      <c r="AN1850" s="35"/>
      <c r="AO1850" s="35"/>
      <c r="AP1850" s="35"/>
    </row>
    <row r="1851" spans="1:42" ht="17.25" customHeight="1" x14ac:dyDescent="0.25">
      <c r="A1851" s="60">
        <v>2020</v>
      </c>
      <c r="B1851" s="61" t="s">
        <v>66</v>
      </c>
      <c r="C1851" s="61" t="s">
        <v>27</v>
      </c>
      <c r="D1851" s="61" t="s">
        <v>26</v>
      </c>
      <c r="E1851" s="61" t="s">
        <v>69</v>
      </c>
      <c r="F1851" s="61" t="s">
        <v>70</v>
      </c>
      <c r="G1851" s="62">
        <v>8443382175</v>
      </c>
      <c r="H1851" s="61" t="s">
        <v>68</v>
      </c>
      <c r="I1851" s="63" t="str">
        <f t="shared" si="135"/>
        <v>France-Online Supplier-Direct</v>
      </c>
      <c r="J1851" s="47"/>
      <c r="K1851" s="54"/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  <c r="Z1851" s="35"/>
      <c r="AA1851" s="35"/>
      <c r="AB1851" s="35"/>
      <c r="AC1851" s="35"/>
      <c r="AD1851" s="35"/>
      <c r="AE1851" s="35"/>
      <c r="AF1851" s="35"/>
      <c r="AG1851" s="35"/>
      <c r="AH1851" s="35"/>
      <c r="AI1851" s="35"/>
      <c r="AJ1851" s="35"/>
      <c r="AK1851" s="35"/>
      <c r="AL1851" s="35"/>
      <c r="AM1851" s="35"/>
      <c r="AN1851" s="35"/>
      <c r="AO1851" s="35"/>
      <c r="AP1851" s="35"/>
    </row>
    <row r="1852" spans="1:42" ht="17.25" customHeight="1" x14ac:dyDescent="0.25">
      <c r="A1852" s="55">
        <v>2020</v>
      </c>
      <c r="B1852" s="56" t="s">
        <v>66</v>
      </c>
      <c r="C1852" s="56" t="s">
        <v>27</v>
      </c>
      <c r="D1852" s="56" t="s">
        <v>26</v>
      </c>
      <c r="E1852" s="56" t="s">
        <v>69</v>
      </c>
      <c r="F1852" s="56" t="s">
        <v>71</v>
      </c>
      <c r="G1852" s="57">
        <v>2866719347</v>
      </c>
      <c r="H1852" s="56" t="s">
        <v>68</v>
      </c>
      <c r="I1852" s="58" t="str">
        <f t="shared" si="135"/>
        <v>France-OTA</v>
      </c>
      <c r="J1852" s="40"/>
      <c r="K1852" s="59"/>
      <c r="L1852" s="35"/>
      <c r="M1852" s="35"/>
      <c r="N1852" s="35"/>
      <c r="O1852" s="35"/>
      <c r="P1852" s="35"/>
      <c r="Q1852" s="35"/>
      <c r="R1852" s="35"/>
      <c r="S1852" s="35"/>
      <c r="T1852" s="35"/>
      <c r="U1852" s="35"/>
      <c r="V1852" s="35"/>
      <c r="W1852" s="35"/>
      <c r="X1852" s="35"/>
      <c r="Y1852" s="35"/>
      <c r="Z1852" s="35"/>
      <c r="AA1852" s="35"/>
      <c r="AB1852" s="35"/>
      <c r="AC1852" s="35"/>
      <c r="AD1852" s="35"/>
      <c r="AE1852" s="35"/>
      <c r="AF1852" s="35"/>
      <c r="AG1852" s="35"/>
      <c r="AH1852" s="35"/>
      <c r="AI1852" s="35"/>
      <c r="AJ1852" s="35"/>
      <c r="AK1852" s="35"/>
      <c r="AL1852" s="35"/>
      <c r="AM1852" s="35"/>
      <c r="AN1852" s="35"/>
      <c r="AO1852" s="35"/>
      <c r="AP1852" s="35"/>
    </row>
    <row r="1853" spans="1:42" ht="17.25" customHeight="1" x14ac:dyDescent="0.25">
      <c r="A1853" s="60">
        <v>2020</v>
      </c>
      <c r="B1853" s="61" t="s">
        <v>66</v>
      </c>
      <c r="C1853" s="61" t="s">
        <v>27</v>
      </c>
      <c r="D1853" s="61" t="s">
        <v>28</v>
      </c>
      <c r="E1853" s="61" t="s">
        <v>67</v>
      </c>
      <c r="F1853" s="61" t="s">
        <v>67</v>
      </c>
      <c r="G1853" s="62">
        <v>14293254169</v>
      </c>
      <c r="H1853" s="61" t="s">
        <v>68</v>
      </c>
      <c r="I1853" s="63" t="str">
        <f t="shared" si="135"/>
        <v>Germany-Offline</v>
      </c>
      <c r="J1853" s="47"/>
      <c r="K1853" s="54"/>
      <c r="L1853" s="35"/>
      <c r="M1853" s="35"/>
      <c r="N1853" s="35"/>
      <c r="O1853" s="35"/>
      <c r="P1853" s="35"/>
      <c r="Q1853" s="35"/>
      <c r="R1853" s="35"/>
      <c r="S1853" s="35"/>
      <c r="T1853" s="35"/>
      <c r="U1853" s="35"/>
      <c r="V1853" s="35"/>
      <c r="W1853" s="35"/>
      <c r="X1853" s="35"/>
      <c r="Y1853" s="35"/>
      <c r="Z1853" s="35"/>
      <c r="AA1853" s="35"/>
      <c r="AB1853" s="35"/>
      <c r="AC1853" s="35"/>
      <c r="AD1853" s="35"/>
      <c r="AE1853" s="35"/>
      <c r="AF1853" s="35"/>
      <c r="AG1853" s="35"/>
      <c r="AH1853" s="35"/>
      <c r="AI1853" s="35"/>
      <c r="AJ1853" s="35"/>
      <c r="AK1853" s="35"/>
      <c r="AL1853" s="35"/>
      <c r="AM1853" s="35"/>
      <c r="AN1853" s="35"/>
      <c r="AO1853" s="35"/>
      <c r="AP1853" s="35"/>
    </row>
    <row r="1854" spans="1:42" ht="17.25" customHeight="1" x14ac:dyDescent="0.25">
      <c r="A1854" s="55">
        <v>2020</v>
      </c>
      <c r="B1854" s="56" t="s">
        <v>66</v>
      </c>
      <c r="C1854" s="56" t="s">
        <v>27</v>
      </c>
      <c r="D1854" s="56" t="s">
        <v>28</v>
      </c>
      <c r="E1854" s="56" t="s">
        <v>69</v>
      </c>
      <c r="F1854" s="56" t="s">
        <v>70</v>
      </c>
      <c r="G1854" s="57">
        <v>9968570251</v>
      </c>
      <c r="H1854" s="56" t="s">
        <v>68</v>
      </c>
      <c r="I1854" s="58" t="str">
        <f t="shared" si="135"/>
        <v>Germany-Online Supplier-Direct</v>
      </c>
      <c r="J1854" s="40"/>
      <c r="K1854" s="59"/>
      <c r="L1854" s="35"/>
      <c r="M1854" s="35"/>
      <c r="N1854" s="35"/>
      <c r="O1854" s="35"/>
      <c r="P1854" s="35"/>
      <c r="Q1854" s="35"/>
      <c r="R1854" s="35"/>
      <c r="S1854" s="35"/>
      <c r="T1854" s="35"/>
      <c r="U1854" s="35"/>
      <c r="V1854" s="35"/>
      <c r="W1854" s="35"/>
      <c r="X1854" s="35"/>
      <c r="Y1854" s="35"/>
      <c r="Z1854" s="35"/>
      <c r="AA1854" s="35"/>
      <c r="AB1854" s="35"/>
      <c r="AC1854" s="35"/>
      <c r="AD1854" s="35"/>
      <c r="AE1854" s="35"/>
      <c r="AF1854" s="35"/>
      <c r="AG1854" s="35"/>
      <c r="AH1854" s="35"/>
      <c r="AI1854" s="35"/>
      <c r="AJ1854" s="35"/>
      <c r="AK1854" s="35"/>
      <c r="AL1854" s="35"/>
      <c r="AM1854" s="35"/>
      <c r="AN1854" s="35"/>
      <c r="AO1854" s="35"/>
      <c r="AP1854" s="35"/>
    </row>
    <row r="1855" spans="1:42" ht="17.25" customHeight="1" x14ac:dyDescent="0.25">
      <c r="A1855" s="60">
        <v>2020</v>
      </c>
      <c r="B1855" s="61" t="s">
        <v>66</v>
      </c>
      <c r="C1855" s="61" t="s">
        <v>27</v>
      </c>
      <c r="D1855" s="61" t="s">
        <v>28</v>
      </c>
      <c r="E1855" s="61" t="s">
        <v>69</v>
      </c>
      <c r="F1855" s="61" t="s">
        <v>71</v>
      </c>
      <c r="G1855" s="62">
        <v>6269937470</v>
      </c>
      <c r="H1855" s="61" t="s">
        <v>68</v>
      </c>
      <c r="I1855" s="63" t="str">
        <f t="shared" si="135"/>
        <v>Germany-OTA</v>
      </c>
      <c r="J1855" s="47"/>
      <c r="K1855" s="54"/>
      <c r="L1855" s="35"/>
      <c r="M1855" s="35"/>
      <c r="N1855" s="35"/>
      <c r="O1855" s="35"/>
      <c r="P1855" s="35"/>
      <c r="Q1855" s="35"/>
      <c r="R1855" s="35"/>
      <c r="S1855" s="35"/>
      <c r="T1855" s="35"/>
      <c r="U1855" s="35"/>
      <c r="V1855" s="35"/>
      <c r="W1855" s="35"/>
      <c r="X1855" s="35"/>
      <c r="Y1855" s="35"/>
      <c r="Z1855" s="35"/>
      <c r="AA1855" s="35"/>
      <c r="AB1855" s="35"/>
      <c r="AC1855" s="35"/>
      <c r="AD1855" s="35"/>
      <c r="AE1855" s="35"/>
      <c r="AF1855" s="35"/>
      <c r="AG1855" s="35"/>
      <c r="AH1855" s="35"/>
      <c r="AI1855" s="35"/>
      <c r="AJ1855" s="35"/>
      <c r="AK1855" s="35"/>
      <c r="AL1855" s="35"/>
      <c r="AM1855" s="35"/>
      <c r="AN1855" s="35"/>
      <c r="AO1855" s="35"/>
      <c r="AP1855" s="35"/>
    </row>
    <row r="1856" spans="1:42" ht="17.25" customHeight="1" x14ac:dyDescent="0.25">
      <c r="A1856" s="55">
        <v>2020</v>
      </c>
      <c r="B1856" s="56" t="s">
        <v>66</v>
      </c>
      <c r="C1856" s="56" t="s">
        <v>17</v>
      </c>
      <c r="D1856" s="56" t="s">
        <v>19</v>
      </c>
      <c r="E1856" s="56" t="s">
        <v>67</v>
      </c>
      <c r="F1856" s="56" t="s">
        <v>67</v>
      </c>
      <c r="G1856" s="57">
        <v>1238763466</v>
      </c>
      <c r="H1856" s="56" t="s">
        <v>68</v>
      </c>
      <c r="I1856" s="58" t="str">
        <f t="shared" si="135"/>
        <v>Greece-Offline</v>
      </c>
      <c r="J1856" s="40"/>
      <c r="K1856" s="59"/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  <c r="Z1856" s="35"/>
      <c r="AA1856" s="35"/>
      <c r="AB1856" s="35"/>
      <c r="AC1856" s="35"/>
      <c r="AD1856" s="35"/>
      <c r="AE1856" s="35"/>
      <c r="AF1856" s="35"/>
      <c r="AG1856" s="35"/>
      <c r="AH1856" s="35"/>
      <c r="AI1856" s="35"/>
      <c r="AJ1856" s="35"/>
      <c r="AK1856" s="35"/>
      <c r="AL1856" s="35"/>
      <c r="AM1856" s="35"/>
      <c r="AN1856" s="35"/>
      <c r="AO1856" s="35"/>
      <c r="AP1856" s="35"/>
    </row>
    <row r="1857" spans="1:42" ht="17.25" customHeight="1" x14ac:dyDescent="0.25">
      <c r="A1857" s="60">
        <v>2020</v>
      </c>
      <c r="B1857" s="61" t="s">
        <v>66</v>
      </c>
      <c r="C1857" s="61" t="s">
        <v>17</v>
      </c>
      <c r="D1857" s="61" t="s">
        <v>19</v>
      </c>
      <c r="E1857" s="61" t="s">
        <v>69</v>
      </c>
      <c r="F1857" s="61" t="s">
        <v>70</v>
      </c>
      <c r="G1857" s="62">
        <v>301826281</v>
      </c>
      <c r="H1857" s="61" t="s">
        <v>68</v>
      </c>
      <c r="I1857" s="63" t="str">
        <f t="shared" si="135"/>
        <v>Greece-Online Supplier-Direct</v>
      </c>
      <c r="J1857" s="47"/>
      <c r="K1857" s="54"/>
      <c r="L1857" s="35"/>
      <c r="M1857" s="35"/>
      <c r="N1857" s="35"/>
      <c r="O1857" s="35"/>
      <c r="P1857" s="35"/>
      <c r="Q1857" s="35"/>
      <c r="R1857" s="35"/>
      <c r="S1857" s="35"/>
      <c r="T1857" s="35"/>
      <c r="U1857" s="35"/>
      <c r="V1857" s="35"/>
      <c r="W1857" s="35"/>
      <c r="X1857" s="35"/>
      <c r="Y1857" s="35"/>
      <c r="Z1857" s="35"/>
      <c r="AA1857" s="35"/>
      <c r="AB1857" s="35"/>
      <c r="AC1857" s="35"/>
      <c r="AD1857" s="35"/>
      <c r="AE1857" s="35"/>
      <c r="AF1857" s="35"/>
      <c r="AG1857" s="35"/>
      <c r="AH1857" s="35"/>
      <c r="AI1857" s="35"/>
      <c r="AJ1857" s="35"/>
      <c r="AK1857" s="35"/>
      <c r="AL1857" s="35"/>
      <c r="AM1857" s="35"/>
      <c r="AN1857" s="35"/>
      <c r="AO1857" s="35"/>
      <c r="AP1857" s="35"/>
    </row>
    <row r="1858" spans="1:42" ht="17.25" customHeight="1" x14ac:dyDescent="0.25">
      <c r="A1858" s="55">
        <v>2020</v>
      </c>
      <c r="B1858" s="56" t="s">
        <v>66</v>
      </c>
      <c r="C1858" s="56" t="s">
        <v>17</v>
      </c>
      <c r="D1858" s="56" t="s">
        <v>19</v>
      </c>
      <c r="E1858" s="56" t="s">
        <v>69</v>
      </c>
      <c r="F1858" s="56" t="s">
        <v>71</v>
      </c>
      <c r="G1858" s="57">
        <v>496976294</v>
      </c>
      <c r="H1858" s="56" t="s">
        <v>68</v>
      </c>
      <c r="I1858" s="58" t="str">
        <f t="shared" si="135"/>
        <v>Greece-OTA</v>
      </c>
      <c r="J1858" s="40"/>
      <c r="K1858" s="59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  <c r="Z1858" s="35"/>
      <c r="AA1858" s="35"/>
      <c r="AB1858" s="35"/>
      <c r="AC1858" s="35"/>
      <c r="AD1858" s="35"/>
      <c r="AE1858" s="35"/>
      <c r="AF1858" s="35"/>
      <c r="AG1858" s="35"/>
      <c r="AH1858" s="35"/>
      <c r="AI1858" s="35"/>
      <c r="AJ1858" s="35"/>
      <c r="AK1858" s="35"/>
      <c r="AL1858" s="35"/>
      <c r="AM1858" s="35"/>
      <c r="AN1858" s="35"/>
      <c r="AO1858" s="35"/>
      <c r="AP1858" s="35"/>
    </row>
    <row r="1859" spans="1:42" ht="17.25" customHeight="1" x14ac:dyDescent="0.25">
      <c r="A1859" s="60">
        <v>2020</v>
      </c>
      <c r="B1859" s="61" t="s">
        <v>66</v>
      </c>
      <c r="C1859" s="61" t="s">
        <v>4</v>
      </c>
      <c r="D1859" s="61" t="s">
        <v>6</v>
      </c>
      <c r="E1859" s="61" t="s">
        <v>67</v>
      </c>
      <c r="F1859" s="61" t="s">
        <v>67</v>
      </c>
      <c r="G1859" s="62">
        <v>2036024214</v>
      </c>
      <c r="H1859" s="61" t="s">
        <v>68</v>
      </c>
      <c r="I1859" s="63" t="str">
        <f t="shared" si="135"/>
        <v>Hong Kong-Offline</v>
      </c>
      <c r="J1859" s="47"/>
      <c r="K1859" s="54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  <c r="Z1859" s="35"/>
      <c r="AA1859" s="35"/>
      <c r="AB1859" s="35"/>
      <c r="AC1859" s="35"/>
      <c r="AD1859" s="35"/>
      <c r="AE1859" s="35"/>
      <c r="AF1859" s="35"/>
      <c r="AG1859" s="35"/>
      <c r="AH1859" s="35"/>
      <c r="AI1859" s="35"/>
      <c r="AJ1859" s="35"/>
      <c r="AK1859" s="35"/>
      <c r="AL1859" s="35"/>
      <c r="AM1859" s="35"/>
      <c r="AN1859" s="35"/>
      <c r="AO1859" s="35"/>
      <c r="AP1859" s="35"/>
    </row>
    <row r="1860" spans="1:42" ht="17.25" customHeight="1" x14ac:dyDescent="0.25">
      <c r="A1860" s="55">
        <v>2020</v>
      </c>
      <c r="B1860" s="56" t="s">
        <v>66</v>
      </c>
      <c r="C1860" s="56" t="s">
        <v>4</v>
      </c>
      <c r="D1860" s="56" t="s">
        <v>6</v>
      </c>
      <c r="E1860" s="56" t="s">
        <v>69</v>
      </c>
      <c r="F1860" s="56" t="s">
        <v>70</v>
      </c>
      <c r="G1860" s="57">
        <v>302104236</v>
      </c>
      <c r="H1860" s="56" t="s">
        <v>68</v>
      </c>
      <c r="I1860" s="58" t="str">
        <f t="shared" si="135"/>
        <v>Hong Kong-Online Supplier-Direct</v>
      </c>
      <c r="J1860" s="40"/>
      <c r="K1860" s="59"/>
      <c r="L1860" s="35"/>
      <c r="M1860" s="35"/>
      <c r="N1860" s="35"/>
      <c r="O1860" s="35"/>
      <c r="P1860" s="35"/>
      <c r="Q1860" s="35"/>
      <c r="R1860" s="35"/>
      <c r="S1860" s="35"/>
      <c r="T1860" s="35"/>
      <c r="U1860" s="35"/>
      <c r="V1860" s="35"/>
      <c r="W1860" s="35"/>
      <c r="X1860" s="35"/>
      <c r="Y1860" s="35"/>
      <c r="Z1860" s="35"/>
      <c r="AA1860" s="35"/>
      <c r="AB1860" s="35"/>
      <c r="AC1860" s="35"/>
      <c r="AD1860" s="35"/>
      <c r="AE1860" s="35"/>
      <c r="AF1860" s="35"/>
      <c r="AG1860" s="35"/>
      <c r="AH1860" s="35"/>
      <c r="AI1860" s="35"/>
      <c r="AJ1860" s="35"/>
      <c r="AK1860" s="35"/>
      <c r="AL1860" s="35"/>
      <c r="AM1860" s="35"/>
      <c r="AN1860" s="35"/>
      <c r="AO1860" s="35"/>
      <c r="AP1860" s="35"/>
    </row>
    <row r="1861" spans="1:42" ht="17.25" customHeight="1" x14ac:dyDescent="0.25">
      <c r="A1861" s="60">
        <v>2020</v>
      </c>
      <c r="B1861" s="61" t="s">
        <v>66</v>
      </c>
      <c r="C1861" s="61" t="s">
        <v>4</v>
      </c>
      <c r="D1861" s="61" t="s">
        <v>6</v>
      </c>
      <c r="E1861" s="61" t="s">
        <v>69</v>
      </c>
      <c r="F1861" s="61" t="s">
        <v>71</v>
      </c>
      <c r="G1861" s="62">
        <v>351169308</v>
      </c>
      <c r="H1861" s="61" t="s">
        <v>68</v>
      </c>
      <c r="I1861" s="63" t="str">
        <f t="shared" si="135"/>
        <v>Hong Kong-OTA</v>
      </c>
      <c r="J1861" s="47"/>
      <c r="K1861" s="54"/>
      <c r="L1861" s="35"/>
      <c r="M1861" s="35"/>
      <c r="N1861" s="35"/>
      <c r="O1861" s="35"/>
      <c r="P1861" s="35"/>
      <c r="Q1861" s="35"/>
      <c r="R1861" s="35"/>
      <c r="S1861" s="35"/>
      <c r="T1861" s="35"/>
      <c r="U1861" s="35"/>
      <c r="V1861" s="35"/>
      <c r="W1861" s="35"/>
      <c r="X1861" s="35"/>
      <c r="Y1861" s="35"/>
      <c r="Z1861" s="35"/>
      <c r="AA1861" s="35"/>
      <c r="AB1861" s="35"/>
      <c r="AC1861" s="35"/>
      <c r="AD1861" s="35"/>
      <c r="AE1861" s="35"/>
      <c r="AF1861" s="35"/>
      <c r="AG1861" s="35"/>
      <c r="AH1861" s="35"/>
      <c r="AI1861" s="35"/>
      <c r="AJ1861" s="35"/>
      <c r="AK1861" s="35"/>
      <c r="AL1861" s="35"/>
      <c r="AM1861" s="35"/>
      <c r="AN1861" s="35"/>
      <c r="AO1861" s="35"/>
      <c r="AP1861" s="35"/>
    </row>
    <row r="1862" spans="1:42" ht="17.25" customHeight="1" x14ac:dyDescent="0.25">
      <c r="A1862" s="55">
        <v>2020</v>
      </c>
      <c r="B1862" s="56" t="s">
        <v>66</v>
      </c>
      <c r="C1862" s="56" t="s">
        <v>17</v>
      </c>
      <c r="D1862" s="56" t="s">
        <v>20</v>
      </c>
      <c r="E1862" s="56" t="s">
        <v>67</v>
      </c>
      <c r="F1862" s="56" t="s">
        <v>67</v>
      </c>
      <c r="G1862" s="57">
        <v>351839630</v>
      </c>
      <c r="H1862" s="56" t="s">
        <v>68</v>
      </c>
      <c r="I1862" s="58" t="str">
        <f t="shared" si="135"/>
        <v>Hungary-Offline</v>
      </c>
      <c r="J1862" s="40"/>
      <c r="K1862" s="59"/>
      <c r="L1862" s="35"/>
      <c r="M1862" s="35"/>
      <c r="N1862" s="35"/>
      <c r="O1862" s="35"/>
      <c r="P1862" s="35"/>
      <c r="Q1862" s="35"/>
      <c r="R1862" s="35"/>
      <c r="S1862" s="35"/>
      <c r="T1862" s="35"/>
      <c r="U1862" s="35"/>
      <c r="V1862" s="35"/>
      <c r="W1862" s="35"/>
      <c r="X1862" s="35"/>
      <c r="Y1862" s="35"/>
      <c r="Z1862" s="35"/>
      <c r="AA1862" s="35"/>
      <c r="AB1862" s="35"/>
      <c r="AC1862" s="35"/>
      <c r="AD1862" s="35"/>
      <c r="AE1862" s="35"/>
      <c r="AF1862" s="35"/>
      <c r="AG1862" s="35"/>
      <c r="AH1862" s="35"/>
      <c r="AI1862" s="35"/>
      <c r="AJ1862" s="35"/>
      <c r="AK1862" s="35"/>
      <c r="AL1862" s="35"/>
      <c r="AM1862" s="35"/>
      <c r="AN1862" s="35"/>
      <c r="AO1862" s="35"/>
      <c r="AP1862" s="35"/>
    </row>
    <row r="1863" spans="1:42" ht="17.25" customHeight="1" x14ac:dyDescent="0.25">
      <c r="A1863" s="60">
        <v>2020</v>
      </c>
      <c r="B1863" s="61" t="s">
        <v>66</v>
      </c>
      <c r="C1863" s="61" t="s">
        <v>17</v>
      </c>
      <c r="D1863" s="61" t="s">
        <v>20</v>
      </c>
      <c r="E1863" s="61" t="s">
        <v>69</v>
      </c>
      <c r="F1863" s="61" t="s">
        <v>70</v>
      </c>
      <c r="G1863" s="62">
        <v>1246703177</v>
      </c>
      <c r="H1863" s="61" t="s">
        <v>68</v>
      </c>
      <c r="I1863" s="63" t="str">
        <f t="shared" si="135"/>
        <v>Hungary-Online Supplier-Direct</v>
      </c>
      <c r="J1863" s="47"/>
      <c r="K1863" s="54"/>
      <c r="L1863" s="35"/>
      <c r="M1863" s="35"/>
      <c r="N1863" s="35"/>
      <c r="O1863" s="35"/>
      <c r="P1863" s="35"/>
      <c r="Q1863" s="35"/>
      <c r="R1863" s="35"/>
      <c r="S1863" s="35"/>
      <c r="T1863" s="35"/>
      <c r="U1863" s="35"/>
      <c r="V1863" s="35"/>
      <c r="W1863" s="35"/>
      <c r="X1863" s="35"/>
      <c r="Y1863" s="35"/>
      <c r="Z1863" s="35"/>
      <c r="AA1863" s="35"/>
      <c r="AB1863" s="35"/>
      <c r="AC1863" s="35"/>
      <c r="AD1863" s="35"/>
      <c r="AE1863" s="35"/>
      <c r="AF1863" s="35"/>
      <c r="AG1863" s="35"/>
      <c r="AH1863" s="35"/>
      <c r="AI1863" s="35"/>
      <c r="AJ1863" s="35"/>
      <c r="AK1863" s="35"/>
      <c r="AL1863" s="35"/>
      <c r="AM1863" s="35"/>
      <c r="AN1863" s="35"/>
      <c r="AO1863" s="35"/>
      <c r="AP1863" s="35"/>
    </row>
    <row r="1864" spans="1:42" ht="17.25" customHeight="1" x14ac:dyDescent="0.25">
      <c r="A1864" s="55">
        <v>2020</v>
      </c>
      <c r="B1864" s="56" t="s">
        <v>66</v>
      </c>
      <c r="C1864" s="56" t="s">
        <v>17</v>
      </c>
      <c r="D1864" s="56" t="s">
        <v>20</v>
      </c>
      <c r="E1864" s="56" t="s">
        <v>69</v>
      </c>
      <c r="F1864" s="56" t="s">
        <v>71</v>
      </c>
      <c r="G1864" s="57">
        <v>230900967</v>
      </c>
      <c r="H1864" s="56" t="s">
        <v>68</v>
      </c>
      <c r="I1864" s="58" t="str">
        <f t="shared" si="135"/>
        <v>Hungary-OTA</v>
      </c>
      <c r="J1864" s="40"/>
      <c r="K1864" s="59"/>
      <c r="L1864" s="35"/>
      <c r="M1864" s="35"/>
      <c r="N1864" s="35"/>
      <c r="O1864" s="35"/>
      <c r="P1864" s="35"/>
      <c r="Q1864" s="35"/>
      <c r="R1864" s="35"/>
      <c r="S1864" s="35"/>
      <c r="T1864" s="35"/>
      <c r="U1864" s="35"/>
      <c r="V1864" s="35"/>
      <c r="W1864" s="35"/>
      <c r="X1864" s="35"/>
      <c r="Y1864" s="35"/>
      <c r="Z1864" s="35"/>
      <c r="AA1864" s="35"/>
      <c r="AB1864" s="35"/>
      <c r="AC1864" s="35"/>
      <c r="AD1864" s="35"/>
      <c r="AE1864" s="35"/>
      <c r="AF1864" s="35"/>
      <c r="AG1864" s="35"/>
      <c r="AH1864" s="35"/>
      <c r="AI1864" s="35"/>
      <c r="AJ1864" s="35"/>
      <c r="AK1864" s="35"/>
      <c r="AL1864" s="35"/>
      <c r="AM1864" s="35"/>
      <c r="AN1864" s="35"/>
      <c r="AO1864" s="35"/>
      <c r="AP1864" s="35"/>
    </row>
    <row r="1865" spans="1:42" ht="17.25" customHeight="1" x14ac:dyDescent="0.25">
      <c r="A1865" s="60">
        <v>2020</v>
      </c>
      <c r="B1865" s="61" t="s">
        <v>66</v>
      </c>
      <c r="C1865" s="61" t="s">
        <v>4</v>
      </c>
      <c r="D1865" s="61" t="s">
        <v>7</v>
      </c>
      <c r="E1865" s="61" t="s">
        <v>67</v>
      </c>
      <c r="F1865" s="61" t="s">
        <v>67</v>
      </c>
      <c r="G1865" s="62">
        <v>5318363414</v>
      </c>
      <c r="H1865" s="61" t="s">
        <v>68</v>
      </c>
      <c r="I1865" s="63" t="str">
        <f t="shared" si="135"/>
        <v>India-Offline</v>
      </c>
      <c r="J1865" s="47"/>
      <c r="K1865" s="54"/>
      <c r="L1865" s="35"/>
      <c r="M1865" s="35"/>
      <c r="N1865" s="35"/>
      <c r="O1865" s="35"/>
      <c r="P1865" s="35"/>
      <c r="Q1865" s="35"/>
      <c r="R1865" s="35"/>
      <c r="S1865" s="35"/>
      <c r="T1865" s="35"/>
      <c r="U1865" s="35"/>
      <c r="V1865" s="35"/>
      <c r="W1865" s="35"/>
      <c r="X1865" s="35"/>
      <c r="Y1865" s="35"/>
      <c r="Z1865" s="35"/>
      <c r="AA1865" s="35"/>
      <c r="AB1865" s="35"/>
      <c r="AC1865" s="35"/>
      <c r="AD1865" s="35"/>
      <c r="AE1865" s="35"/>
      <c r="AF1865" s="35"/>
      <c r="AG1865" s="35"/>
      <c r="AH1865" s="35"/>
      <c r="AI1865" s="35"/>
      <c r="AJ1865" s="35"/>
      <c r="AK1865" s="35"/>
      <c r="AL1865" s="35"/>
      <c r="AM1865" s="35"/>
      <c r="AN1865" s="35"/>
      <c r="AO1865" s="35"/>
      <c r="AP1865" s="35"/>
    </row>
    <row r="1866" spans="1:42" ht="17.25" customHeight="1" x14ac:dyDescent="0.25">
      <c r="A1866" s="55">
        <v>2020</v>
      </c>
      <c r="B1866" s="56" t="s">
        <v>66</v>
      </c>
      <c r="C1866" s="56" t="s">
        <v>4</v>
      </c>
      <c r="D1866" s="56" t="s">
        <v>7</v>
      </c>
      <c r="E1866" s="56" t="s">
        <v>69</v>
      </c>
      <c r="F1866" s="56" t="s">
        <v>70</v>
      </c>
      <c r="G1866" s="57">
        <v>2341185164</v>
      </c>
      <c r="H1866" s="56" t="s">
        <v>68</v>
      </c>
      <c r="I1866" s="58" t="str">
        <f t="shared" si="135"/>
        <v>India-Online Supplier-Direct</v>
      </c>
      <c r="J1866" s="40"/>
      <c r="K1866" s="59"/>
      <c r="L1866" s="35"/>
      <c r="M1866" s="35"/>
      <c r="N1866" s="35"/>
      <c r="O1866" s="35"/>
      <c r="P1866" s="35"/>
      <c r="Q1866" s="35"/>
      <c r="R1866" s="35"/>
      <c r="S1866" s="35"/>
      <c r="T1866" s="35"/>
      <c r="U1866" s="35"/>
      <c r="V1866" s="35"/>
      <c r="W1866" s="35"/>
      <c r="X1866" s="35"/>
      <c r="Y1866" s="35"/>
      <c r="Z1866" s="35"/>
      <c r="AA1866" s="35"/>
      <c r="AB1866" s="35"/>
      <c r="AC1866" s="35"/>
      <c r="AD1866" s="35"/>
      <c r="AE1866" s="35"/>
      <c r="AF1866" s="35"/>
      <c r="AG1866" s="35"/>
      <c r="AH1866" s="35"/>
      <c r="AI1866" s="35"/>
      <c r="AJ1866" s="35"/>
      <c r="AK1866" s="35"/>
      <c r="AL1866" s="35"/>
      <c r="AM1866" s="35"/>
      <c r="AN1866" s="35"/>
      <c r="AO1866" s="35"/>
      <c r="AP1866" s="35"/>
    </row>
    <row r="1867" spans="1:42" ht="17.25" customHeight="1" x14ac:dyDescent="0.25">
      <c r="A1867" s="60">
        <v>2020</v>
      </c>
      <c r="B1867" s="61" t="s">
        <v>66</v>
      </c>
      <c r="C1867" s="61" t="s">
        <v>4</v>
      </c>
      <c r="D1867" s="61" t="s">
        <v>7</v>
      </c>
      <c r="E1867" s="61" t="s">
        <v>69</v>
      </c>
      <c r="F1867" s="61" t="s">
        <v>71</v>
      </c>
      <c r="G1867" s="62">
        <v>2549625757</v>
      </c>
      <c r="H1867" s="61" t="s">
        <v>68</v>
      </c>
      <c r="I1867" s="63" t="str">
        <f t="shared" si="135"/>
        <v>India-OTA</v>
      </c>
      <c r="J1867" s="47"/>
      <c r="K1867" s="54"/>
      <c r="L1867" s="35"/>
      <c r="M1867" s="35"/>
      <c r="N1867" s="35"/>
      <c r="O1867" s="35"/>
      <c r="P1867" s="35"/>
      <c r="Q1867" s="35"/>
      <c r="R1867" s="35"/>
      <c r="S1867" s="35"/>
      <c r="T1867" s="35"/>
      <c r="U1867" s="35"/>
      <c r="V1867" s="35"/>
      <c r="W1867" s="35"/>
      <c r="X1867" s="35"/>
      <c r="Y1867" s="35"/>
      <c r="Z1867" s="35"/>
      <c r="AA1867" s="35"/>
      <c r="AB1867" s="35"/>
      <c r="AC1867" s="35"/>
      <c r="AD1867" s="35"/>
      <c r="AE1867" s="35"/>
      <c r="AF1867" s="35"/>
      <c r="AG1867" s="35"/>
      <c r="AH1867" s="35"/>
      <c r="AI1867" s="35"/>
      <c r="AJ1867" s="35"/>
      <c r="AK1867" s="35"/>
      <c r="AL1867" s="35"/>
      <c r="AM1867" s="35"/>
      <c r="AN1867" s="35"/>
      <c r="AO1867" s="35"/>
      <c r="AP1867" s="35"/>
    </row>
    <row r="1868" spans="1:42" ht="17.25" customHeight="1" x14ac:dyDescent="0.25">
      <c r="A1868" s="55">
        <v>2020</v>
      </c>
      <c r="B1868" s="56" t="s">
        <v>66</v>
      </c>
      <c r="C1868" s="56" t="s">
        <v>4</v>
      </c>
      <c r="D1868" s="56" t="s">
        <v>8</v>
      </c>
      <c r="E1868" s="56" t="s">
        <v>67</v>
      </c>
      <c r="F1868" s="56" t="s">
        <v>67</v>
      </c>
      <c r="G1868" s="57">
        <v>2915237149</v>
      </c>
      <c r="H1868" s="56" t="s">
        <v>68</v>
      </c>
      <c r="I1868" s="58" t="str">
        <f t="shared" si="135"/>
        <v>Indonesia-Offline</v>
      </c>
      <c r="J1868" s="40"/>
      <c r="K1868" s="59"/>
      <c r="L1868" s="35"/>
      <c r="M1868" s="35"/>
      <c r="N1868" s="35"/>
      <c r="O1868" s="35"/>
      <c r="P1868" s="35"/>
      <c r="Q1868" s="35"/>
      <c r="R1868" s="35"/>
      <c r="S1868" s="35"/>
      <c r="T1868" s="35"/>
      <c r="U1868" s="35"/>
      <c r="V1868" s="35"/>
      <c r="W1868" s="35"/>
      <c r="X1868" s="35"/>
      <c r="Y1868" s="35"/>
      <c r="Z1868" s="35"/>
      <c r="AA1868" s="35"/>
      <c r="AB1868" s="35"/>
      <c r="AC1868" s="35"/>
      <c r="AD1868" s="35"/>
      <c r="AE1868" s="35"/>
      <c r="AF1868" s="35"/>
      <c r="AG1868" s="35"/>
      <c r="AH1868" s="35"/>
      <c r="AI1868" s="35"/>
      <c r="AJ1868" s="35"/>
      <c r="AK1868" s="35"/>
      <c r="AL1868" s="35"/>
      <c r="AM1868" s="35"/>
      <c r="AN1868" s="35"/>
      <c r="AO1868" s="35"/>
      <c r="AP1868" s="35"/>
    </row>
    <row r="1869" spans="1:42" ht="17.25" customHeight="1" x14ac:dyDescent="0.25">
      <c r="A1869" s="60">
        <v>2020</v>
      </c>
      <c r="B1869" s="61" t="s">
        <v>66</v>
      </c>
      <c r="C1869" s="61" t="s">
        <v>4</v>
      </c>
      <c r="D1869" s="61" t="s">
        <v>8</v>
      </c>
      <c r="E1869" s="61" t="s">
        <v>69</v>
      </c>
      <c r="F1869" s="61" t="s">
        <v>70</v>
      </c>
      <c r="G1869" s="62">
        <v>594693666</v>
      </c>
      <c r="H1869" s="61" t="s">
        <v>68</v>
      </c>
      <c r="I1869" s="63" t="str">
        <f t="shared" si="135"/>
        <v>Indonesia-Online Supplier-Direct</v>
      </c>
      <c r="J1869" s="47"/>
      <c r="K1869" s="54"/>
      <c r="L1869" s="35"/>
      <c r="M1869" s="35"/>
      <c r="N1869" s="35"/>
      <c r="O1869" s="35"/>
      <c r="P1869" s="35"/>
      <c r="Q1869" s="35"/>
      <c r="R1869" s="35"/>
      <c r="S1869" s="35"/>
      <c r="T1869" s="35"/>
      <c r="U1869" s="35"/>
      <c r="V1869" s="35"/>
      <c r="W1869" s="35"/>
      <c r="X1869" s="35"/>
      <c r="Y1869" s="35"/>
      <c r="Z1869" s="35"/>
      <c r="AA1869" s="35"/>
      <c r="AB1869" s="35"/>
      <c r="AC1869" s="35"/>
      <c r="AD1869" s="35"/>
      <c r="AE1869" s="35"/>
      <c r="AF1869" s="35"/>
      <c r="AG1869" s="35"/>
      <c r="AH1869" s="35"/>
      <c r="AI1869" s="35"/>
      <c r="AJ1869" s="35"/>
      <c r="AK1869" s="35"/>
      <c r="AL1869" s="35"/>
      <c r="AM1869" s="35"/>
      <c r="AN1869" s="35"/>
      <c r="AO1869" s="35"/>
      <c r="AP1869" s="35"/>
    </row>
    <row r="1870" spans="1:42" ht="17.25" customHeight="1" x14ac:dyDescent="0.25">
      <c r="A1870" s="55">
        <v>2020</v>
      </c>
      <c r="B1870" s="56" t="s">
        <v>66</v>
      </c>
      <c r="C1870" s="56" t="s">
        <v>4</v>
      </c>
      <c r="D1870" s="56" t="s">
        <v>8</v>
      </c>
      <c r="E1870" s="56" t="s">
        <v>69</v>
      </c>
      <c r="F1870" s="56" t="s">
        <v>71</v>
      </c>
      <c r="G1870" s="57">
        <v>1568187156</v>
      </c>
      <c r="H1870" s="56" t="s">
        <v>68</v>
      </c>
      <c r="I1870" s="58" t="str">
        <f t="shared" si="135"/>
        <v>Indonesia-OTA</v>
      </c>
      <c r="J1870" s="40"/>
      <c r="K1870" s="59"/>
      <c r="L1870" s="35"/>
      <c r="M1870" s="35"/>
      <c r="N1870" s="35"/>
      <c r="O1870" s="35"/>
      <c r="P1870" s="35"/>
      <c r="Q1870" s="35"/>
      <c r="R1870" s="35"/>
      <c r="S1870" s="35"/>
      <c r="T1870" s="35"/>
      <c r="U1870" s="35"/>
      <c r="V1870" s="35"/>
      <c r="W1870" s="35"/>
      <c r="X1870" s="35"/>
      <c r="Y1870" s="35"/>
      <c r="Z1870" s="35"/>
      <c r="AA1870" s="35"/>
      <c r="AB1870" s="35"/>
      <c r="AC1870" s="35"/>
      <c r="AD1870" s="35"/>
      <c r="AE1870" s="35"/>
      <c r="AF1870" s="35"/>
      <c r="AG1870" s="35"/>
      <c r="AH1870" s="35"/>
      <c r="AI1870" s="35"/>
      <c r="AJ1870" s="35"/>
      <c r="AK1870" s="35"/>
      <c r="AL1870" s="35"/>
      <c r="AM1870" s="35"/>
      <c r="AN1870" s="35"/>
      <c r="AO1870" s="35"/>
      <c r="AP1870" s="35"/>
    </row>
    <row r="1871" spans="1:42" ht="17.25" customHeight="1" x14ac:dyDescent="0.25">
      <c r="A1871" s="60">
        <v>2020</v>
      </c>
      <c r="B1871" s="61" t="s">
        <v>66</v>
      </c>
      <c r="C1871" s="61" t="s">
        <v>27</v>
      </c>
      <c r="D1871" s="61" t="s">
        <v>29</v>
      </c>
      <c r="E1871" s="61" t="s">
        <v>67</v>
      </c>
      <c r="F1871" s="61" t="s">
        <v>67</v>
      </c>
      <c r="G1871" s="62">
        <v>4175886607</v>
      </c>
      <c r="H1871" s="61" t="s">
        <v>68</v>
      </c>
      <c r="I1871" s="63" t="str">
        <f t="shared" si="135"/>
        <v>Italy-Offline</v>
      </c>
      <c r="J1871" s="47"/>
      <c r="K1871" s="54"/>
      <c r="L1871" s="35"/>
      <c r="M1871" s="35"/>
      <c r="N1871" s="35"/>
      <c r="O1871" s="35"/>
      <c r="P1871" s="35"/>
      <c r="Q1871" s="35"/>
      <c r="R1871" s="35"/>
      <c r="S1871" s="35"/>
      <c r="T1871" s="35"/>
      <c r="U1871" s="35"/>
      <c r="V1871" s="35"/>
      <c r="W1871" s="35"/>
      <c r="X1871" s="35"/>
      <c r="Y1871" s="35"/>
      <c r="Z1871" s="35"/>
      <c r="AA1871" s="35"/>
      <c r="AB1871" s="35"/>
      <c r="AC1871" s="35"/>
      <c r="AD1871" s="35"/>
      <c r="AE1871" s="35"/>
      <c r="AF1871" s="35"/>
      <c r="AG1871" s="35"/>
      <c r="AH1871" s="35"/>
      <c r="AI1871" s="35"/>
      <c r="AJ1871" s="35"/>
      <c r="AK1871" s="35"/>
      <c r="AL1871" s="35"/>
      <c r="AM1871" s="35"/>
      <c r="AN1871" s="35"/>
      <c r="AO1871" s="35"/>
      <c r="AP1871" s="35"/>
    </row>
    <row r="1872" spans="1:42" ht="17.25" customHeight="1" x14ac:dyDescent="0.25">
      <c r="A1872" s="55">
        <v>2020</v>
      </c>
      <c r="B1872" s="56" t="s">
        <v>66</v>
      </c>
      <c r="C1872" s="56" t="s">
        <v>27</v>
      </c>
      <c r="D1872" s="56" t="s">
        <v>29</v>
      </c>
      <c r="E1872" s="56" t="s">
        <v>69</v>
      </c>
      <c r="F1872" s="56" t="s">
        <v>70</v>
      </c>
      <c r="G1872" s="57">
        <v>2412523124</v>
      </c>
      <c r="H1872" s="56" t="s">
        <v>68</v>
      </c>
      <c r="I1872" s="58" t="str">
        <f t="shared" si="135"/>
        <v>Italy-Online Supplier-Direct</v>
      </c>
      <c r="J1872" s="40"/>
      <c r="K1872" s="59"/>
      <c r="L1872" s="35"/>
      <c r="M1872" s="35"/>
      <c r="N1872" s="35"/>
      <c r="O1872" s="35"/>
      <c r="P1872" s="35"/>
      <c r="Q1872" s="35"/>
      <c r="R1872" s="35"/>
      <c r="S1872" s="35"/>
      <c r="T1872" s="35"/>
      <c r="U1872" s="35"/>
      <c r="V1872" s="35"/>
      <c r="W1872" s="35"/>
      <c r="X1872" s="35"/>
      <c r="Y1872" s="35"/>
      <c r="Z1872" s="35"/>
      <c r="AA1872" s="35"/>
      <c r="AB1872" s="35"/>
      <c r="AC1872" s="35"/>
      <c r="AD1872" s="35"/>
      <c r="AE1872" s="35"/>
      <c r="AF1872" s="35"/>
      <c r="AG1872" s="35"/>
      <c r="AH1872" s="35"/>
      <c r="AI1872" s="35"/>
      <c r="AJ1872" s="35"/>
      <c r="AK1872" s="35"/>
      <c r="AL1872" s="35"/>
      <c r="AM1872" s="35"/>
      <c r="AN1872" s="35"/>
      <c r="AO1872" s="35"/>
      <c r="AP1872" s="35"/>
    </row>
    <row r="1873" spans="1:42" ht="17.25" customHeight="1" x14ac:dyDescent="0.25">
      <c r="A1873" s="60">
        <v>2020</v>
      </c>
      <c r="B1873" s="61" t="s">
        <v>66</v>
      </c>
      <c r="C1873" s="61" t="s">
        <v>27</v>
      </c>
      <c r="D1873" s="61" t="s">
        <v>29</v>
      </c>
      <c r="E1873" s="61" t="s">
        <v>69</v>
      </c>
      <c r="F1873" s="61" t="s">
        <v>71</v>
      </c>
      <c r="G1873" s="62">
        <v>1516254741</v>
      </c>
      <c r="H1873" s="61" t="s">
        <v>68</v>
      </c>
      <c r="I1873" s="63" t="str">
        <f t="shared" si="135"/>
        <v>Italy-OTA</v>
      </c>
      <c r="J1873" s="47"/>
      <c r="K1873" s="54"/>
      <c r="L1873" s="35"/>
      <c r="M1873" s="35"/>
      <c r="N1873" s="35"/>
      <c r="O1873" s="35"/>
      <c r="P1873" s="35"/>
      <c r="Q1873" s="35"/>
      <c r="R1873" s="35"/>
      <c r="S1873" s="35"/>
      <c r="T1873" s="35"/>
      <c r="U1873" s="35"/>
      <c r="V1873" s="35"/>
      <c r="W1873" s="35"/>
      <c r="X1873" s="35"/>
      <c r="Y1873" s="35"/>
      <c r="Z1873" s="35"/>
      <c r="AA1873" s="35"/>
      <c r="AB1873" s="35"/>
      <c r="AC1873" s="35"/>
      <c r="AD1873" s="35"/>
      <c r="AE1873" s="35"/>
      <c r="AF1873" s="35"/>
      <c r="AG1873" s="35"/>
      <c r="AH1873" s="35"/>
      <c r="AI1873" s="35"/>
      <c r="AJ1873" s="35"/>
      <c r="AK1873" s="35"/>
      <c r="AL1873" s="35"/>
      <c r="AM1873" s="35"/>
      <c r="AN1873" s="35"/>
      <c r="AO1873" s="35"/>
      <c r="AP1873" s="35"/>
    </row>
    <row r="1874" spans="1:42" ht="17.25" customHeight="1" x14ac:dyDescent="0.25">
      <c r="A1874" s="55">
        <v>2020</v>
      </c>
      <c r="B1874" s="56" t="s">
        <v>66</v>
      </c>
      <c r="C1874" s="56" t="s">
        <v>4</v>
      </c>
      <c r="D1874" s="56" t="s">
        <v>9</v>
      </c>
      <c r="E1874" s="56" t="s">
        <v>67</v>
      </c>
      <c r="F1874" s="56" t="s">
        <v>67</v>
      </c>
      <c r="G1874" s="57">
        <v>27113920159</v>
      </c>
      <c r="H1874" s="56" t="s">
        <v>68</v>
      </c>
      <c r="I1874" s="58" t="str">
        <f t="shared" si="135"/>
        <v>Japan-Offline</v>
      </c>
      <c r="J1874" s="40"/>
      <c r="K1874" s="59"/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  <c r="Z1874" s="35"/>
      <c r="AA1874" s="35"/>
      <c r="AB1874" s="35"/>
      <c r="AC1874" s="35"/>
      <c r="AD1874" s="35"/>
      <c r="AE1874" s="35"/>
      <c r="AF1874" s="35"/>
      <c r="AG1874" s="35"/>
      <c r="AH1874" s="35"/>
      <c r="AI1874" s="35"/>
      <c r="AJ1874" s="35"/>
      <c r="AK1874" s="35"/>
      <c r="AL1874" s="35"/>
      <c r="AM1874" s="35"/>
      <c r="AN1874" s="35"/>
      <c r="AO1874" s="35"/>
      <c r="AP1874" s="35"/>
    </row>
    <row r="1875" spans="1:42" ht="17.25" customHeight="1" x14ac:dyDescent="0.25">
      <c r="A1875" s="60">
        <v>2020</v>
      </c>
      <c r="B1875" s="61" t="s">
        <v>66</v>
      </c>
      <c r="C1875" s="61" t="s">
        <v>4</v>
      </c>
      <c r="D1875" s="61" t="s">
        <v>9</v>
      </c>
      <c r="E1875" s="61" t="s">
        <v>69</v>
      </c>
      <c r="F1875" s="61" t="s">
        <v>70</v>
      </c>
      <c r="G1875" s="62">
        <v>12844613367</v>
      </c>
      <c r="H1875" s="61" t="s">
        <v>68</v>
      </c>
      <c r="I1875" s="63" t="str">
        <f t="shared" si="135"/>
        <v>Japan-Online Supplier-Direct</v>
      </c>
      <c r="J1875" s="47"/>
      <c r="K1875" s="54"/>
      <c r="L1875" s="35"/>
      <c r="M1875" s="35"/>
      <c r="N1875" s="35"/>
      <c r="O1875" s="35"/>
      <c r="P1875" s="35"/>
      <c r="Q1875" s="35"/>
      <c r="R1875" s="35"/>
      <c r="S1875" s="35"/>
      <c r="T1875" s="35"/>
      <c r="U1875" s="35"/>
      <c r="V1875" s="35"/>
      <c r="W1875" s="35"/>
      <c r="X1875" s="35"/>
      <c r="Y1875" s="35"/>
      <c r="Z1875" s="35"/>
      <c r="AA1875" s="35"/>
      <c r="AB1875" s="35"/>
      <c r="AC1875" s="35"/>
      <c r="AD1875" s="35"/>
      <c r="AE1875" s="35"/>
      <c r="AF1875" s="35"/>
      <c r="AG1875" s="35"/>
      <c r="AH1875" s="35"/>
      <c r="AI1875" s="35"/>
      <c r="AJ1875" s="35"/>
      <c r="AK1875" s="35"/>
      <c r="AL1875" s="35"/>
      <c r="AM1875" s="35"/>
      <c r="AN1875" s="35"/>
      <c r="AO1875" s="35"/>
      <c r="AP1875" s="35"/>
    </row>
    <row r="1876" spans="1:42" ht="17.25" customHeight="1" x14ac:dyDescent="0.25">
      <c r="A1876" s="55">
        <v>2020</v>
      </c>
      <c r="B1876" s="56" t="s">
        <v>66</v>
      </c>
      <c r="C1876" s="56" t="s">
        <v>4</v>
      </c>
      <c r="D1876" s="56" t="s">
        <v>9</v>
      </c>
      <c r="E1876" s="56" t="s">
        <v>69</v>
      </c>
      <c r="F1876" s="56" t="s">
        <v>71</v>
      </c>
      <c r="G1876" s="57">
        <v>10441803972</v>
      </c>
      <c r="H1876" s="56" t="s">
        <v>68</v>
      </c>
      <c r="I1876" s="58" t="str">
        <f t="shared" si="135"/>
        <v>Japan-OTA</v>
      </c>
      <c r="J1876" s="40"/>
      <c r="K1876" s="59"/>
      <c r="L1876" s="35"/>
      <c r="M1876" s="35"/>
      <c r="N1876" s="35"/>
      <c r="O1876" s="35"/>
      <c r="P1876" s="35"/>
      <c r="Q1876" s="35"/>
      <c r="R1876" s="35"/>
      <c r="S1876" s="35"/>
      <c r="T1876" s="35"/>
      <c r="U1876" s="35"/>
      <c r="V1876" s="35"/>
      <c r="W1876" s="35"/>
      <c r="X1876" s="35"/>
      <c r="Y1876" s="35"/>
      <c r="Z1876" s="35"/>
      <c r="AA1876" s="35"/>
      <c r="AB1876" s="35"/>
      <c r="AC1876" s="35"/>
      <c r="AD1876" s="35"/>
      <c r="AE1876" s="35"/>
      <c r="AF1876" s="35"/>
      <c r="AG1876" s="35"/>
      <c r="AH1876" s="35"/>
      <c r="AI1876" s="35"/>
      <c r="AJ1876" s="35"/>
      <c r="AK1876" s="35"/>
      <c r="AL1876" s="35"/>
      <c r="AM1876" s="35"/>
      <c r="AN1876" s="35"/>
      <c r="AO1876" s="35"/>
      <c r="AP1876" s="35"/>
    </row>
    <row r="1877" spans="1:42" ht="17.25" customHeight="1" x14ac:dyDescent="0.25">
      <c r="A1877" s="60">
        <v>2020</v>
      </c>
      <c r="B1877" s="61" t="s">
        <v>66</v>
      </c>
      <c r="C1877" s="61" t="s">
        <v>4</v>
      </c>
      <c r="D1877" s="61" t="s">
        <v>10</v>
      </c>
      <c r="E1877" s="61" t="s">
        <v>67</v>
      </c>
      <c r="F1877" s="61" t="s">
        <v>67</v>
      </c>
      <c r="G1877" s="62">
        <v>274112980</v>
      </c>
      <c r="H1877" s="61" t="s">
        <v>68</v>
      </c>
      <c r="I1877" s="63" t="str">
        <f t="shared" si="135"/>
        <v>Macau-Offline</v>
      </c>
      <c r="J1877" s="47"/>
      <c r="K1877" s="54"/>
      <c r="L1877" s="35"/>
      <c r="M1877" s="35"/>
      <c r="N1877" s="35"/>
      <c r="O1877" s="35"/>
      <c r="P1877" s="35"/>
      <c r="Q1877" s="35"/>
      <c r="R1877" s="35"/>
      <c r="S1877" s="35"/>
      <c r="T1877" s="35"/>
      <c r="U1877" s="35"/>
      <c r="V1877" s="35"/>
      <c r="W1877" s="35"/>
      <c r="X1877" s="35"/>
      <c r="Y1877" s="35"/>
      <c r="Z1877" s="35"/>
      <c r="AA1877" s="35"/>
      <c r="AB1877" s="35"/>
      <c r="AC1877" s="35"/>
      <c r="AD1877" s="35"/>
      <c r="AE1877" s="35"/>
      <c r="AF1877" s="35"/>
      <c r="AG1877" s="35"/>
      <c r="AH1877" s="35"/>
      <c r="AI1877" s="35"/>
      <c r="AJ1877" s="35"/>
      <c r="AK1877" s="35"/>
      <c r="AL1877" s="35"/>
      <c r="AM1877" s="35"/>
      <c r="AN1877" s="35"/>
      <c r="AO1877" s="35"/>
      <c r="AP1877" s="35"/>
    </row>
    <row r="1878" spans="1:42" ht="17.25" customHeight="1" x14ac:dyDescent="0.25">
      <c r="A1878" s="55">
        <v>2020</v>
      </c>
      <c r="B1878" s="56" t="s">
        <v>66</v>
      </c>
      <c r="C1878" s="56" t="s">
        <v>4</v>
      </c>
      <c r="D1878" s="56" t="s">
        <v>10</v>
      </c>
      <c r="E1878" s="56" t="s">
        <v>69</v>
      </c>
      <c r="F1878" s="56" t="s">
        <v>70</v>
      </c>
      <c r="G1878" s="57">
        <v>20679012</v>
      </c>
      <c r="H1878" s="56" t="s">
        <v>68</v>
      </c>
      <c r="I1878" s="58" t="str">
        <f t="shared" si="135"/>
        <v>Macau-Online Supplier-Direct</v>
      </c>
      <c r="J1878" s="40"/>
      <c r="K1878" s="59"/>
      <c r="L1878" s="35"/>
      <c r="M1878" s="35"/>
      <c r="N1878" s="35"/>
      <c r="O1878" s="35"/>
      <c r="P1878" s="35"/>
      <c r="Q1878" s="35"/>
      <c r="R1878" s="35"/>
      <c r="S1878" s="35"/>
      <c r="T1878" s="35"/>
      <c r="U1878" s="35"/>
      <c r="V1878" s="35"/>
      <c r="W1878" s="35"/>
      <c r="X1878" s="35"/>
      <c r="Y1878" s="35"/>
      <c r="Z1878" s="35"/>
      <c r="AA1878" s="35"/>
      <c r="AB1878" s="35"/>
      <c r="AC1878" s="35"/>
      <c r="AD1878" s="35"/>
      <c r="AE1878" s="35"/>
      <c r="AF1878" s="35"/>
      <c r="AG1878" s="35"/>
      <c r="AH1878" s="35"/>
      <c r="AI1878" s="35"/>
      <c r="AJ1878" s="35"/>
      <c r="AK1878" s="35"/>
      <c r="AL1878" s="35"/>
      <c r="AM1878" s="35"/>
      <c r="AN1878" s="35"/>
      <c r="AO1878" s="35"/>
      <c r="AP1878" s="35"/>
    </row>
    <row r="1879" spans="1:42" ht="17.25" customHeight="1" x14ac:dyDescent="0.25">
      <c r="A1879" s="60">
        <v>2020</v>
      </c>
      <c r="B1879" s="61" t="s">
        <v>66</v>
      </c>
      <c r="C1879" s="61" t="s">
        <v>4</v>
      </c>
      <c r="D1879" s="61" t="s">
        <v>10</v>
      </c>
      <c r="E1879" s="61" t="s">
        <v>69</v>
      </c>
      <c r="F1879" s="61" t="s">
        <v>71</v>
      </c>
      <c r="G1879" s="62">
        <v>151646086</v>
      </c>
      <c r="H1879" s="61" t="s">
        <v>68</v>
      </c>
      <c r="I1879" s="63" t="str">
        <f t="shared" si="135"/>
        <v>Macau-OTA</v>
      </c>
      <c r="J1879" s="47"/>
      <c r="K1879" s="54"/>
      <c r="L1879" s="35"/>
      <c r="M1879" s="35"/>
      <c r="N1879" s="35"/>
      <c r="O1879" s="35"/>
      <c r="P1879" s="35"/>
      <c r="Q1879" s="35"/>
      <c r="R1879" s="35"/>
      <c r="S1879" s="35"/>
      <c r="T1879" s="35"/>
      <c r="U1879" s="35"/>
      <c r="V1879" s="35"/>
      <c r="W1879" s="35"/>
      <c r="X1879" s="35"/>
      <c r="Y1879" s="35"/>
      <c r="Z1879" s="35"/>
      <c r="AA1879" s="35"/>
      <c r="AB1879" s="35"/>
      <c r="AC1879" s="35"/>
      <c r="AD1879" s="35"/>
      <c r="AE1879" s="35"/>
      <c r="AF1879" s="35"/>
      <c r="AG1879" s="35"/>
      <c r="AH1879" s="35"/>
      <c r="AI1879" s="35"/>
      <c r="AJ1879" s="35"/>
      <c r="AK1879" s="35"/>
      <c r="AL1879" s="35"/>
      <c r="AM1879" s="35"/>
      <c r="AN1879" s="35"/>
      <c r="AO1879" s="35"/>
      <c r="AP1879" s="35"/>
    </row>
    <row r="1880" spans="1:42" ht="17.25" customHeight="1" x14ac:dyDescent="0.25">
      <c r="A1880" s="55">
        <v>2020</v>
      </c>
      <c r="B1880" s="56" t="s">
        <v>66</v>
      </c>
      <c r="C1880" s="56" t="s">
        <v>4</v>
      </c>
      <c r="D1880" s="56" t="s">
        <v>11</v>
      </c>
      <c r="E1880" s="56" t="s">
        <v>67</v>
      </c>
      <c r="F1880" s="56" t="s">
        <v>67</v>
      </c>
      <c r="G1880" s="57">
        <v>1678364938</v>
      </c>
      <c r="H1880" s="56" t="s">
        <v>68</v>
      </c>
      <c r="I1880" s="58" t="str">
        <f t="shared" si="135"/>
        <v>Malaysia-Offline</v>
      </c>
      <c r="J1880" s="40"/>
      <c r="K1880" s="59"/>
      <c r="L1880" s="35"/>
      <c r="M1880" s="35"/>
      <c r="N1880" s="35"/>
      <c r="O1880" s="35"/>
      <c r="P1880" s="35"/>
      <c r="Q1880" s="35"/>
      <c r="R1880" s="35"/>
      <c r="S1880" s="35"/>
      <c r="T1880" s="35"/>
      <c r="U1880" s="35"/>
      <c r="V1880" s="35"/>
      <c r="W1880" s="35"/>
      <c r="X1880" s="35"/>
      <c r="Y1880" s="35"/>
      <c r="Z1880" s="35"/>
      <c r="AA1880" s="35"/>
      <c r="AB1880" s="35"/>
      <c r="AC1880" s="35"/>
      <c r="AD1880" s="35"/>
      <c r="AE1880" s="35"/>
      <c r="AF1880" s="35"/>
      <c r="AG1880" s="35"/>
      <c r="AH1880" s="35"/>
      <c r="AI1880" s="35"/>
      <c r="AJ1880" s="35"/>
      <c r="AK1880" s="35"/>
      <c r="AL1880" s="35"/>
      <c r="AM1880" s="35"/>
      <c r="AN1880" s="35"/>
      <c r="AO1880" s="35"/>
      <c r="AP1880" s="35"/>
    </row>
    <row r="1881" spans="1:42" ht="17.25" customHeight="1" x14ac:dyDescent="0.25">
      <c r="A1881" s="60">
        <v>2020</v>
      </c>
      <c r="B1881" s="61" t="s">
        <v>66</v>
      </c>
      <c r="C1881" s="61" t="s">
        <v>4</v>
      </c>
      <c r="D1881" s="61" t="s">
        <v>11</v>
      </c>
      <c r="E1881" s="61" t="s">
        <v>69</v>
      </c>
      <c r="F1881" s="61" t="s">
        <v>70</v>
      </c>
      <c r="G1881" s="62">
        <v>691158057</v>
      </c>
      <c r="H1881" s="61" t="s">
        <v>68</v>
      </c>
      <c r="I1881" s="63" t="str">
        <f t="shared" si="135"/>
        <v>Malaysia-Online Supplier-Direct</v>
      </c>
      <c r="J1881" s="47"/>
      <c r="K1881" s="54"/>
      <c r="L1881" s="35"/>
      <c r="M1881" s="35"/>
      <c r="N1881" s="35"/>
      <c r="O1881" s="35"/>
      <c r="P1881" s="35"/>
      <c r="Q1881" s="35"/>
      <c r="R1881" s="35"/>
      <c r="S1881" s="35"/>
      <c r="T1881" s="35"/>
      <c r="U1881" s="35"/>
      <c r="V1881" s="35"/>
      <c r="W1881" s="35"/>
      <c r="X1881" s="35"/>
      <c r="Y1881" s="35"/>
      <c r="Z1881" s="35"/>
      <c r="AA1881" s="35"/>
      <c r="AB1881" s="35"/>
      <c r="AC1881" s="35"/>
      <c r="AD1881" s="35"/>
      <c r="AE1881" s="35"/>
      <c r="AF1881" s="35"/>
      <c r="AG1881" s="35"/>
      <c r="AH1881" s="35"/>
      <c r="AI1881" s="35"/>
      <c r="AJ1881" s="35"/>
      <c r="AK1881" s="35"/>
      <c r="AL1881" s="35"/>
      <c r="AM1881" s="35"/>
      <c r="AN1881" s="35"/>
      <c r="AO1881" s="35"/>
      <c r="AP1881" s="35"/>
    </row>
    <row r="1882" spans="1:42" ht="17.25" customHeight="1" x14ac:dyDescent="0.25">
      <c r="A1882" s="55">
        <v>2020</v>
      </c>
      <c r="B1882" s="56" t="s">
        <v>66</v>
      </c>
      <c r="C1882" s="56" t="s">
        <v>4</v>
      </c>
      <c r="D1882" s="56" t="s">
        <v>11</v>
      </c>
      <c r="E1882" s="56" t="s">
        <v>69</v>
      </c>
      <c r="F1882" s="56" t="s">
        <v>71</v>
      </c>
      <c r="G1882" s="57">
        <v>549808333</v>
      </c>
      <c r="H1882" s="56" t="s">
        <v>68</v>
      </c>
      <c r="I1882" s="58" t="str">
        <f t="shared" si="135"/>
        <v>Malaysia-OTA</v>
      </c>
      <c r="J1882" s="40"/>
      <c r="K1882" s="59"/>
      <c r="L1882" s="35"/>
      <c r="M1882" s="35"/>
      <c r="N1882" s="35"/>
      <c r="O1882" s="35"/>
      <c r="P1882" s="35"/>
      <c r="Q1882" s="35"/>
      <c r="R1882" s="35"/>
      <c r="S1882" s="35"/>
      <c r="T1882" s="35"/>
      <c r="U1882" s="35"/>
      <c r="V1882" s="35"/>
      <c r="W1882" s="35"/>
      <c r="X1882" s="35"/>
      <c r="Y1882" s="35"/>
      <c r="Z1882" s="35"/>
      <c r="AA1882" s="35"/>
      <c r="AB1882" s="35"/>
      <c r="AC1882" s="35"/>
      <c r="AD1882" s="35"/>
      <c r="AE1882" s="35"/>
      <c r="AF1882" s="35"/>
      <c r="AG1882" s="35"/>
      <c r="AH1882" s="35"/>
      <c r="AI1882" s="35"/>
      <c r="AJ1882" s="35"/>
      <c r="AK1882" s="35"/>
      <c r="AL1882" s="35"/>
      <c r="AM1882" s="35"/>
      <c r="AN1882" s="35"/>
      <c r="AO1882" s="35"/>
      <c r="AP1882" s="35"/>
    </row>
    <row r="1883" spans="1:42" ht="17.25" customHeight="1" x14ac:dyDescent="0.25">
      <c r="A1883" s="60">
        <v>2020</v>
      </c>
      <c r="B1883" s="61" t="s">
        <v>66</v>
      </c>
      <c r="C1883" s="61" t="s">
        <v>35</v>
      </c>
      <c r="D1883" s="61" t="s">
        <v>39</v>
      </c>
      <c r="E1883" s="61" t="s">
        <v>67</v>
      </c>
      <c r="F1883" s="61" t="s">
        <v>67</v>
      </c>
      <c r="G1883" s="62">
        <v>6529425075</v>
      </c>
      <c r="H1883" s="61" t="s">
        <v>68</v>
      </c>
      <c r="I1883" s="63" t="str">
        <f t="shared" si="135"/>
        <v>Mexico-Offline</v>
      </c>
      <c r="J1883" s="47"/>
      <c r="K1883" s="54"/>
      <c r="L1883" s="35"/>
      <c r="M1883" s="35"/>
      <c r="N1883" s="35"/>
      <c r="O1883" s="35"/>
      <c r="P1883" s="35"/>
      <c r="Q1883" s="35"/>
      <c r="R1883" s="35"/>
      <c r="S1883" s="35"/>
      <c r="T1883" s="35"/>
      <c r="U1883" s="35"/>
      <c r="V1883" s="35"/>
      <c r="W1883" s="35"/>
      <c r="X1883" s="35"/>
      <c r="Y1883" s="35"/>
      <c r="Z1883" s="35"/>
      <c r="AA1883" s="35"/>
      <c r="AB1883" s="35"/>
      <c r="AC1883" s="35"/>
      <c r="AD1883" s="35"/>
      <c r="AE1883" s="35"/>
      <c r="AF1883" s="35"/>
      <c r="AG1883" s="35"/>
      <c r="AH1883" s="35"/>
      <c r="AI1883" s="35"/>
      <c r="AJ1883" s="35"/>
      <c r="AK1883" s="35"/>
      <c r="AL1883" s="35"/>
      <c r="AM1883" s="35"/>
      <c r="AN1883" s="35"/>
      <c r="AO1883" s="35"/>
      <c r="AP1883" s="35"/>
    </row>
    <row r="1884" spans="1:42" ht="17.25" customHeight="1" x14ac:dyDescent="0.25">
      <c r="A1884" s="55">
        <v>2020</v>
      </c>
      <c r="B1884" s="56" t="s">
        <v>66</v>
      </c>
      <c r="C1884" s="56" t="s">
        <v>35</v>
      </c>
      <c r="D1884" s="56" t="s">
        <v>39</v>
      </c>
      <c r="E1884" s="56" t="s">
        <v>69</v>
      </c>
      <c r="F1884" s="56" t="s">
        <v>70</v>
      </c>
      <c r="G1884" s="57">
        <v>2213563068</v>
      </c>
      <c r="H1884" s="56" t="s">
        <v>68</v>
      </c>
      <c r="I1884" s="58" t="str">
        <f t="shared" si="135"/>
        <v>Mexico-Online Supplier-Direct</v>
      </c>
      <c r="J1884" s="40"/>
      <c r="K1884" s="59"/>
      <c r="L1884" s="35"/>
      <c r="M1884" s="35"/>
      <c r="N1884" s="35"/>
      <c r="O1884" s="35"/>
      <c r="P1884" s="35"/>
      <c r="Q1884" s="35"/>
      <c r="R1884" s="35"/>
      <c r="S1884" s="35"/>
      <c r="T1884" s="35"/>
      <c r="U1884" s="35"/>
      <c r="V1884" s="35"/>
      <c r="W1884" s="35"/>
      <c r="X1884" s="35"/>
      <c r="Y1884" s="35"/>
      <c r="Z1884" s="35"/>
      <c r="AA1884" s="35"/>
      <c r="AB1884" s="35"/>
      <c r="AC1884" s="35"/>
      <c r="AD1884" s="35"/>
      <c r="AE1884" s="35"/>
      <c r="AF1884" s="35"/>
      <c r="AG1884" s="35"/>
      <c r="AH1884" s="35"/>
      <c r="AI1884" s="35"/>
      <c r="AJ1884" s="35"/>
      <c r="AK1884" s="35"/>
      <c r="AL1884" s="35"/>
      <c r="AM1884" s="35"/>
      <c r="AN1884" s="35"/>
      <c r="AO1884" s="35"/>
      <c r="AP1884" s="35"/>
    </row>
    <row r="1885" spans="1:42" ht="17.25" customHeight="1" x14ac:dyDescent="0.25">
      <c r="A1885" s="60">
        <v>2020</v>
      </c>
      <c r="B1885" s="61" t="s">
        <v>66</v>
      </c>
      <c r="C1885" s="61" t="s">
        <v>35</v>
      </c>
      <c r="D1885" s="61" t="s">
        <v>39</v>
      </c>
      <c r="E1885" s="61" t="s">
        <v>69</v>
      </c>
      <c r="F1885" s="61" t="s">
        <v>71</v>
      </c>
      <c r="G1885" s="62">
        <v>2618162523</v>
      </c>
      <c r="H1885" s="61" t="s">
        <v>68</v>
      </c>
      <c r="I1885" s="63" t="str">
        <f t="shared" si="135"/>
        <v>Mexico-OTA</v>
      </c>
      <c r="J1885" s="47"/>
      <c r="K1885" s="54"/>
      <c r="L1885" s="35"/>
      <c r="M1885" s="35"/>
      <c r="N1885" s="35"/>
      <c r="O1885" s="35"/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  <c r="Z1885" s="35"/>
      <c r="AA1885" s="35"/>
      <c r="AB1885" s="35"/>
      <c r="AC1885" s="35"/>
      <c r="AD1885" s="35"/>
      <c r="AE1885" s="35"/>
      <c r="AF1885" s="35"/>
      <c r="AG1885" s="35"/>
      <c r="AH1885" s="35"/>
      <c r="AI1885" s="35"/>
      <c r="AJ1885" s="35"/>
      <c r="AK1885" s="35"/>
      <c r="AL1885" s="35"/>
      <c r="AM1885" s="35"/>
      <c r="AN1885" s="35"/>
      <c r="AO1885" s="35"/>
      <c r="AP1885" s="35"/>
    </row>
    <row r="1886" spans="1:42" ht="17.25" customHeight="1" x14ac:dyDescent="0.25">
      <c r="A1886" s="55">
        <v>2020</v>
      </c>
      <c r="B1886" s="56" t="s">
        <v>66</v>
      </c>
      <c r="C1886" s="56" t="s">
        <v>17</v>
      </c>
      <c r="D1886" s="56" t="s">
        <v>21</v>
      </c>
      <c r="E1886" s="56" t="s">
        <v>67</v>
      </c>
      <c r="F1886" s="56" t="s">
        <v>67</v>
      </c>
      <c r="G1886" s="57">
        <v>1434385879</v>
      </c>
      <c r="H1886" s="56" t="s">
        <v>68</v>
      </c>
      <c r="I1886" s="58" t="str">
        <f t="shared" si="135"/>
        <v>Poland-Offline</v>
      </c>
      <c r="J1886" s="40"/>
      <c r="K1886" s="59"/>
      <c r="L1886" s="35"/>
      <c r="M1886" s="35"/>
      <c r="N1886" s="35"/>
      <c r="O1886" s="35"/>
      <c r="P1886" s="35"/>
      <c r="Q1886" s="35"/>
      <c r="R1886" s="35"/>
      <c r="S1886" s="35"/>
      <c r="T1886" s="35"/>
      <c r="U1886" s="35"/>
      <c r="V1886" s="35"/>
      <c r="W1886" s="35"/>
      <c r="X1886" s="35"/>
      <c r="Y1886" s="35"/>
      <c r="Z1886" s="35"/>
      <c r="AA1886" s="35"/>
      <c r="AB1886" s="35"/>
      <c r="AC1886" s="35"/>
      <c r="AD1886" s="35"/>
      <c r="AE1886" s="35"/>
      <c r="AF1886" s="35"/>
      <c r="AG1886" s="35"/>
      <c r="AH1886" s="35"/>
      <c r="AI1886" s="35"/>
      <c r="AJ1886" s="35"/>
      <c r="AK1886" s="35"/>
      <c r="AL1886" s="35"/>
      <c r="AM1886" s="35"/>
      <c r="AN1886" s="35"/>
      <c r="AO1886" s="35"/>
      <c r="AP1886" s="35"/>
    </row>
    <row r="1887" spans="1:42" ht="17.25" customHeight="1" x14ac:dyDescent="0.25">
      <c r="A1887" s="60">
        <v>2020</v>
      </c>
      <c r="B1887" s="61" t="s">
        <v>66</v>
      </c>
      <c r="C1887" s="61" t="s">
        <v>17</v>
      </c>
      <c r="D1887" s="61" t="s">
        <v>21</v>
      </c>
      <c r="E1887" s="61" t="s">
        <v>69</v>
      </c>
      <c r="F1887" s="61" t="s">
        <v>70</v>
      </c>
      <c r="G1887" s="62">
        <v>498532316</v>
      </c>
      <c r="H1887" s="61" t="s">
        <v>68</v>
      </c>
      <c r="I1887" s="63" t="str">
        <f t="shared" si="135"/>
        <v>Poland-Online Supplier-Direct</v>
      </c>
      <c r="J1887" s="47"/>
      <c r="K1887" s="54"/>
      <c r="L1887" s="35"/>
      <c r="M1887" s="35"/>
      <c r="N1887" s="35"/>
      <c r="O1887" s="35"/>
      <c r="P1887" s="35"/>
      <c r="Q1887" s="35"/>
      <c r="R1887" s="35"/>
      <c r="S1887" s="35"/>
      <c r="T1887" s="35"/>
      <c r="U1887" s="35"/>
      <c r="V1887" s="35"/>
      <c r="W1887" s="35"/>
      <c r="X1887" s="35"/>
      <c r="Y1887" s="35"/>
      <c r="Z1887" s="35"/>
      <c r="AA1887" s="35"/>
      <c r="AB1887" s="35"/>
      <c r="AC1887" s="35"/>
      <c r="AD1887" s="35"/>
      <c r="AE1887" s="35"/>
      <c r="AF1887" s="35"/>
      <c r="AG1887" s="35"/>
      <c r="AH1887" s="35"/>
      <c r="AI1887" s="35"/>
      <c r="AJ1887" s="35"/>
      <c r="AK1887" s="35"/>
      <c r="AL1887" s="35"/>
      <c r="AM1887" s="35"/>
      <c r="AN1887" s="35"/>
      <c r="AO1887" s="35"/>
      <c r="AP1887" s="35"/>
    </row>
    <row r="1888" spans="1:42" ht="17.25" customHeight="1" x14ac:dyDescent="0.25">
      <c r="A1888" s="55">
        <v>2020</v>
      </c>
      <c r="B1888" s="56" t="s">
        <v>66</v>
      </c>
      <c r="C1888" s="56" t="s">
        <v>17</v>
      </c>
      <c r="D1888" s="56" t="s">
        <v>21</v>
      </c>
      <c r="E1888" s="56" t="s">
        <v>69</v>
      </c>
      <c r="F1888" s="56" t="s">
        <v>71</v>
      </c>
      <c r="G1888" s="57">
        <v>481738230</v>
      </c>
      <c r="H1888" s="56" t="s">
        <v>68</v>
      </c>
      <c r="I1888" s="58" t="str">
        <f t="shared" si="135"/>
        <v>Poland-OTA</v>
      </c>
      <c r="J1888" s="40"/>
      <c r="K1888" s="59"/>
      <c r="L1888" s="35"/>
      <c r="M1888" s="35"/>
      <c r="N1888" s="35"/>
      <c r="O1888" s="35"/>
      <c r="P1888" s="35"/>
      <c r="Q1888" s="35"/>
      <c r="R1888" s="35"/>
      <c r="S1888" s="35"/>
      <c r="T1888" s="35"/>
      <c r="U1888" s="35"/>
      <c r="V1888" s="35"/>
      <c r="W1888" s="35"/>
      <c r="X1888" s="35"/>
      <c r="Y1888" s="35"/>
      <c r="Z1888" s="35"/>
      <c r="AA1888" s="35"/>
      <c r="AB1888" s="35"/>
      <c r="AC1888" s="35"/>
      <c r="AD1888" s="35"/>
      <c r="AE1888" s="35"/>
      <c r="AF1888" s="35"/>
      <c r="AG1888" s="35"/>
      <c r="AH1888" s="35"/>
      <c r="AI1888" s="35"/>
      <c r="AJ1888" s="35"/>
      <c r="AK1888" s="35"/>
      <c r="AL1888" s="35"/>
      <c r="AM1888" s="35"/>
      <c r="AN1888" s="35"/>
      <c r="AO1888" s="35"/>
      <c r="AP1888" s="35"/>
    </row>
    <row r="1889" spans="1:42" ht="17.25" customHeight="1" x14ac:dyDescent="0.25">
      <c r="A1889" s="60">
        <v>2020</v>
      </c>
      <c r="B1889" s="61" t="s">
        <v>66</v>
      </c>
      <c r="C1889" s="61" t="s">
        <v>41</v>
      </c>
      <c r="D1889" s="61" t="s">
        <v>42</v>
      </c>
      <c r="E1889" s="61" t="s">
        <v>67</v>
      </c>
      <c r="F1889" s="61" t="s">
        <v>67</v>
      </c>
      <c r="G1889" s="62">
        <v>1751894655</v>
      </c>
      <c r="H1889" s="61" t="s">
        <v>68</v>
      </c>
      <c r="I1889" s="63" t="str">
        <f t="shared" si="135"/>
        <v>Qatar-Offline</v>
      </c>
      <c r="J1889" s="47"/>
      <c r="K1889" s="54"/>
      <c r="L1889" s="35"/>
      <c r="M1889" s="35"/>
      <c r="N1889" s="35"/>
      <c r="O1889" s="35"/>
      <c r="P1889" s="35"/>
      <c r="Q1889" s="35"/>
      <c r="R1889" s="35"/>
      <c r="S1889" s="35"/>
      <c r="T1889" s="35"/>
      <c r="U1889" s="35"/>
      <c r="V1889" s="35"/>
      <c r="W1889" s="35"/>
      <c r="X1889" s="35"/>
      <c r="Y1889" s="35"/>
      <c r="Z1889" s="35"/>
      <c r="AA1889" s="35"/>
      <c r="AB1889" s="35"/>
      <c r="AC1889" s="35"/>
      <c r="AD1889" s="35"/>
      <c r="AE1889" s="35"/>
      <c r="AF1889" s="35"/>
      <c r="AG1889" s="35"/>
      <c r="AH1889" s="35"/>
      <c r="AI1889" s="35"/>
      <c r="AJ1889" s="35"/>
      <c r="AK1889" s="35"/>
      <c r="AL1889" s="35"/>
      <c r="AM1889" s="35"/>
      <c r="AN1889" s="35"/>
      <c r="AO1889" s="35"/>
      <c r="AP1889" s="35"/>
    </row>
    <row r="1890" spans="1:42" ht="17.25" customHeight="1" x14ac:dyDescent="0.25">
      <c r="A1890" s="55">
        <v>2020</v>
      </c>
      <c r="B1890" s="56" t="s">
        <v>66</v>
      </c>
      <c r="C1890" s="56" t="s">
        <v>41</v>
      </c>
      <c r="D1890" s="56" t="s">
        <v>42</v>
      </c>
      <c r="E1890" s="56" t="s">
        <v>69</v>
      </c>
      <c r="F1890" s="56" t="s">
        <v>70</v>
      </c>
      <c r="G1890" s="57">
        <v>736525695</v>
      </c>
      <c r="H1890" s="56" t="s">
        <v>68</v>
      </c>
      <c r="I1890" s="58" t="str">
        <f t="shared" si="135"/>
        <v>Qatar-Online Supplier-Direct</v>
      </c>
      <c r="J1890" s="40"/>
      <c r="K1890" s="59"/>
      <c r="L1890" s="35"/>
      <c r="M1890" s="35"/>
      <c r="N1890" s="35"/>
      <c r="O1890" s="35"/>
      <c r="P1890" s="35"/>
      <c r="Q1890" s="35"/>
      <c r="R1890" s="35"/>
      <c r="S1890" s="35"/>
      <c r="T1890" s="35"/>
      <c r="U1890" s="35"/>
      <c r="V1890" s="35"/>
      <c r="W1890" s="35"/>
      <c r="X1890" s="35"/>
      <c r="Y1890" s="35"/>
      <c r="Z1890" s="35"/>
      <c r="AA1890" s="35"/>
      <c r="AB1890" s="35"/>
      <c r="AC1890" s="35"/>
      <c r="AD1890" s="35"/>
      <c r="AE1890" s="35"/>
      <c r="AF1890" s="35"/>
      <c r="AG1890" s="35"/>
      <c r="AH1890" s="35"/>
      <c r="AI1890" s="35"/>
      <c r="AJ1890" s="35"/>
      <c r="AK1890" s="35"/>
      <c r="AL1890" s="35"/>
      <c r="AM1890" s="35"/>
      <c r="AN1890" s="35"/>
      <c r="AO1890" s="35"/>
      <c r="AP1890" s="35"/>
    </row>
    <row r="1891" spans="1:42" ht="17.25" customHeight="1" x14ac:dyDescent="0.25">
      <c r="A1891" s="60">
        <v>2020</v>
      </c>
      <c r="B1891" s="61" t="s">
        <v>66</v>
      </c>
      <c r="C1891" s="61" t="s">
        <v>41</v>
      </c>
      <c r="D1891" s="61" t="s">
        <v>42</v>
      </c>
      <c r="E1891" s="61" t="s">
        <v>69</v>
      </c>
      <c r="F1891" s="61" t="s">
        <v>71</v>
      </c>
      <c r="G1891" s="62">
        <v>294004305</v>
      </c>
      <c r="H1891" s="61" t="s">
        <v>68</v>
      </c>
      <c r="I1891" s="63" t="str">
        <f t="shared" si="135"/>
        <v>Qatar-OTA</v>
      </c>
      <c r="J1891" s="47"/>
      <c r="K1891" s="54"/>
      <c r="L1891" s="35"/>
      <c r="M1891" s="35"/>
      <c r="N1891" s="35"/>
      <c r="O1891" s="35"/>
      <c r="P1891" s="35"/>
      <c r="Q1891" s="35"/>
      <c r="R1891" s="35"/>
      <c r="S1891" s="35"/>
      <c r="T1891" s="35"/>
      <c r="U1891" s="35"/>
      <c r="V1891" s="35"/>
      <c r="W1891" s="35"/>
      <c r="X1891" s="35"/>
      <c r="Y1891" s="35"/>
      <c r="Z1891" s="35"/>
      <c r="AA1891" s="35"/>
      <c r="AB1891" s="35"/>
      <c r="AC1891" s="35"/>
      <c r="AD1891" s="35"/>
      <c r="AE1891" s="35"/>
      <c r="AF1891" s="35"/>
      <c r="AG1891" s="35"/>
      <c r="AH1891" s="35"/>
      <c r="AI1891" s="35"/>
      <c r="AJ1891" s="35"/>
      <c r="AK1891" s="35"/>
      <c r="AL1891" s="35"/>
      <c r="AM1891" s="35"/>
      <c r="AN1891" s="35"/>
      <c r="AO1891" s="35"/>
      <c r="AP1891" s="35"/>
    </row>
    <row r="1892" spans="1:42" ht="17.25" customHeight="1" x14ac:dyDescent="0.25">
      <c r="A1892" s="55">
        <v>2020</v>
      </c>
      <c r="B1892" s="56" t="s">
        <v>66</v>
      </c>
      <c r="C1892" s="56" t="s">
        <v>17</v>
      </c>
      <c r="D1892" s="56" t="s">
        <v>22</v>
      </c>
      <c r="E1892" s="56" t="s">
        <v>67</v>
      </c>
      <c r="F1892" s="56" t="s">
        <v>67</v>
      </c>
      <c r="G1892" s="57">
        <v>444357388</v>
      </c>
      <c r="H1892" s="56" t="s">
        <v>68</v>
      </c>
      <c r="I1892" s="58" t="str">
        <f t="shared" si="135"/>
        <v>Rest of Eastern Europe-Offline</v>
      </c>
      <c r="J1892" s="40"/>
      <c r="K1892" s="59"/>
      <c r="L1892" s="35"/>
      <c r="M1892" s="35"/>
      <c r="N1892" s="35"/>
      <c r="O1892" s="35"/>
      <c r="P1892" s="35"/>
      <c r="Q1892" s="35"/>
      <c r="R1892" s="35"/>
      <c r="S1892" s="35"/>
      <c r="T1892" s="35"/>
      <c r="U1892" s="35"/>
      <c r="V1892" s="35"/>
      <c r="W1892" s="35"/>
      <c r="X1892" s="35"/>
      <c r="Y1892" s="35"/>
      <c r="Z1892" s="35"/>
      <c r="AA1892" s="35"/>
      <c r="AB1892" s="35"/>
      <c r="AC1892" s="35"/>
      <c r="AD1892" s="35"/>
      <c r="AE1892" s="35"/>
      <c r="AF1892" s="35"/>
      <c r="AG1892" s="35"/>
      <c r="AH1892" s="35"/>
      <c r="AI1892" s="35"/>
      <c r="AJ1892" s="35"/>
      <c r="AK1892" s="35"/>
      <c r="AL1892" s="35"/>
      <c r="AM1892" s="35"/>
      <c r="AN1892" s="35"/>
      <c r="AO1892" s="35"/>
      <c r="AP1892" s="35"/>
    </row>
    <row r="1893" spans="1:42" ht="17.25" customHeight="1" x14ac:dyDescent="0.25">
      <c r="A1893" s="60">
        <v>2020</v>
      </c>
      <c r="B1893" s="61" t="s">
        <v>66</v>
      </c>
      <c r="C1893" s="61" t="s">
        <v>17</v>
      </c>
      <c r="D1893" s="61" t="s">
        <v>22</v>
      </c>
      <c r="E1893" s="61" t="s">
        <v>69</v>
      </c>
      <c r="F1893" s="61" t="s">
        <v>70</v>
      </c>
      <c r="G1893" s="62">
        <v>220097053</v>
      </c>
      <c r="H1893" s="61" t="s">
        <v>68</v>
      </c>
      <c r="I1893" s="63" t="str">
        <f t="shared" si="135"/>
        <v>Rest of Eastern Europe-Online Supplier-Direct</v>
      </c>
      <c r="J1893" s="47"/>
      <c r="K1893" s="54"/>
      <c r="L1893" s="35"/>
      <c r="M1893" s="35"/>
      <c r="N1893" s="35"/>
      <c r="O1893" s="35"/>
      <c r="P1893" s="35"/>
      <c r="Q1893" s="35"/>
      <c r="R1893" s="35"/>
      <c r="S1893" s="35"/>
      <c r="T1893" s="35"/>
      <c r="U1893" s="35"/>
      <c r="V1893" s="35"/>
      <c r="W1893" s="35"/>
      <c r="X1893" s="35"/>
      <c r="Y1893" s="35"/>
      <c r="Z1893" s="35"/>
      <c r="AA1893" s="35"/>
      <c r="AB1893" s="35"/>
      <c r="AC1893" s="35"/>
      <c r="AD1893" s="35"/>
      <c r="AE1893" s="35"/>
      <c r="AF1893" s="35"/>
      <c r="AG1893" s="35"/>
      <c r="AH1893" s="35"/>
      <c r="AI1893" s="35"/>
      <c r="AJ1893" s="35"/>
      <c r="AK1893" s="35"/>
      <c r="AL1893" s="35"/>
      <c r="AM1893" s="35"/>
      <c r="AN1893" s="35"/>
      <c r="AO1893" s="35"/>
      <c r="AP1893" s="35"/>
    </row>
    <row r="1894" spans="1:42" ht="17.25" customHeight="1" x14ac:dyDescent="0.25">
      <c r="A1894" s="55">
        <v>2020</v>
      </c>
      <c r="B1894" s="56" t="s">
        <v>66</v>
      </c>
      <c r="C1894" s="56" t="s">
        <v>17</v>
      </c>
      <c r="D1894" s="56" t="s">
        <v>22</v>
      </c>
      <c r="E1894" s="56" t="s">
        <v>69</v>
      </c>
      <c r="F1894" s="56" t="s">
        <v>71</v>
      </c>
      <c r="G1894" s="57">
        <v>249856241</v>
      </c>
      <c r="H1894" s="56" t="s">
        <v>68</v>
      </c>
      <c r="I1894" s="58" t="str">
        <f t="shared" si="135"/>
        <v>Rest of Eastern Europe-OTA</v>
      </c>
      <c r="J1894" s="40"/>
      <c r="K1894" s="59"/>
      <c r="L1894" s="35"/>
      <c r="M1894" s="35"/>
      <c r="N1894" s="35"/>
      <c r="O1894" s="35"/>
      <c r="P1894" s="35"/>
      <c r="Q1894" s="35"/>
      <c r="R1894" s="35"/>
      <c r="S1894" s="35"/>
      <c r="T1894" s="35"/>
      <c r="U1894" s="35"/>
      <c r="V1894" s="35"/>
      <c r="W1894" s="35"/>
      <c r="X1894" s="35"/>
      <c r="Y1894" s="35"/>
      <c r="Z1894" s="35"/>
      <c r="AA1894" s="35"/>
      <c r="AB1894" s="35"/>
      <c r="AC1894" s="35"/>
      <c r="AD1894" s="35"/>
      <c r="AE1894" s="35"/>
      <c r="AF1894" s="35"/>
      <c r="AG1894" s="35"/>
      <c r="AH1894" s="35"/>
      <c r="AI1894" s="35"/>
      <c r="AJ1894" s="35"/>
      <c r="AK1894" s="35"/>
      <c r="AL1894" s="35"/>
      <c r="AM1894" s="35"/>
      <c r="AN1894" s="35"/>
      <c r="AO1894" s="35"/>
      <c r="AP1894" s="35"/>
    </row>
    <row r="1895" spans="1:42" ht="17.25" customHeight="1" x14ac:dyDescent="0.25">
      <c r="A1895" s="60">
        <v>2020</v>
      </c>
      <c r="B1895" s="61" t="s">
        <v>66</v>
      </c>
      <c r="C1895" s="61" t="s">
        <v>27</v>
      </c>
      <c r="D1895" s="61" t="s">
        <v>30</v>
      </c>
      <c r="E1895" s="61" t="s">
        <v>67</v>
      </c>
      <c r="F1895" s="61" t="s">
        <v>67</v>
      </c>
      <c r="G1895" s="62">
        <v>14440085423</v>
      </c>
      <c r="H1895" s="61" t="s">
        <v>68</v>
      </c>
      <c r="I1895" s="63" t="str">
        <f t="shared" si="135"/>
        <v>Rest of Europe-Offline</v>
      </c>
      <c r="J1895" s="47"/>
      <c r="K1895" s="54"/>
      <c r="L1895" s="35"/>
      <c r="M1895" s="35"/>
      <c r="N1895" s="35"/>
      <c r="O1895" s="35"/>
      <c r="P1895" s="35"/>
      <c r="Q1895" s="35"/>
      <c r="R1895" s="35"/>
      <c r="S1895" s="35"/>
      <c r="T1895" s="35"/>
      <c r="U1895" s="35"/>
      <c r="V1895" s="35"/>
      <c r="W1895" s="35"/>
      <c r="X1895" s="35"/>
      <c r="Y1895" s="35"/>
      <c r="Z1895" s="35"/>
      <c r="AA1895" s="35"/>
      <c r="AB1895" s="35"/>
      <c r="AC1895" s="35"/>
      <c r="AD1895" s="35"/>
      <c r="AE1895" s="35"/>
      <c r="AF1895" s="35"/>
      <c r="AG1895" s="35"/>
      <c r="AH1895" s="35"/>
      <c r="AI1895" s="35"/>
      <c r="AJ1895" s="35"/>
      <c r="AK1895" s="35"/>
      <c r="AL1895" s="35"/>
      <c r="AM1895" s="35"/>
      <c r="AN1895" s="35"/>
      <c r="AO1895" s="35"/>
      <c r="AP1895" s="35"/>
    </row>
    <row r="1896" spans="1:42" ht="17.25" customHeight="1" x14ac:dyDescent="0.25">
      <c r="A1896" s="55">
        <v>2020</v>
      </c>
      <c r="B1896" s="56" t="s">
        <v>66</v>
      </c>
      <c r="C1896" s="56" t="s">
        <v>27</v>
      </c>
      <c r="D1896" s="56" t="s">
        <v>30</v>
      </c>
      <c r="E1896" s="56" t="s">
        <v>69</v>
      </c>
      <c r="F1896" s="56" t="s">
        <v>70</v>
      </c>
      <c r="G1896" s="57">
        <v>9519065666</v>
      </c>
      <c r="H1896" s="56" t="s">
        <v>68</v>
      </c>
      <c r="I1896" s="58" t="str">
        <f t="shared" si="135"/>
        <v>Rest of Europe-Online Supplier-Direct</v>
      </c>
      <c r="J1896" s="40"/>
      <c r="K1896" s="59"/>
      <c r="L1896" s="35"/>
      <c r="M1896" s="35"/>
      <c r="N1896" s="35"/>
      <c r="O1896" s="35"/>
      <c r="P1896" s="35"/>
      <c r="Q1896" s="35"/>
      <c r="R1896" s="35"/>
      <c r="S1896" s="35"/>
      <c r="T1896" s="35"/>
      <c r="U1896" s="35"/>
      <c r="V1896" s="35"/>
      <c r="W1896" s="35"/>
      <c r="X1896" s="35"/>
      <c r="Y1896" s="35"/>
      <c r="Z1896" s="35"/>
      <c r="AA1896" s="35"/>
      <c r="AB1896" s="35"/>
      <c r="AC1896" s="35"/>
      <c r="AD1896" s="35"/>
      <c r="AE1896" s="35"/>
      <c r="AF1896" s="35"/>
      <c r="AG1896" s="35"/>
      <c r="AH1896" s="35"/>
      <c r="AI1896" s="35"/>
      <c r="AJ1896" s="35"/>
      <c r="AK1896" s="35"/>
      <c r="AL1896" s="35"/>
      <c r="AM1896" s="35"/>
      <c r="AN1896" s="35"/>
      <c r="AO1896" s="35"/>
      <c r="AP1896" s="35"/>
    </row>
    <row r="1897" spans="1:42" ht="17.25" customHeight="1" x14ac:dyDescent="0.25">
      <c r="A1897" s="60">
        <v>2020</v>
      </c>
      <c r="B1897" s="61" t="s">
        <v>66</v>
      </c>
      <c r="C1897" s="61" t="s">
        <v>27</v>
      </c>
      <c r="D1897" s="61" t="s">
        <v>30</v>
      </c>
      <c r="E1897" s="61" t="s">
        <v>69</v>
      </c>
      <c r="F1897" s="61" t="s">
        <v>71</v>
      </c>
      <c r="G1897" s="62">
        <v>5412495267</v>
      </c>
      <c r="H1897" s="61" t="s">
        <v>68</v>
      </c>
      <c r="I1897" s="63" t="str">
        <f t="shared" si="135"/>
        <v>Rest of Europe-OTA</v>
      </c>
      <c r="J1897" s="47"/>
      <c r="K1897" s="54"/>
      <c r="L1897" s="35"/>
      <c r="M1897" s="35"/>
      <c r="N1897" s="35"/>
      <c r="O1897" s="35"/>
      <c r="P1897" s="35"/>
      <c r="Q1897" s="35"/>
      <c r="R1897" s="35"/>
      <c r="S1897" s="35"/>
      <c r="T1897" s="35"/>
      <c r="U1897" s="35"/>
      <c r="V1897" s="35"/>
      <c r="W1897" s="35"/>
      <c r="X1897" s="35"/>
      <c r="Y1897" s="35"/>
      <c r="Z1897" s="35"/>
      <c r="AA1897" s="35"/>
      <c r="AB1897" s="35"/>
      <c r="AC1897" s="35"/>
      <c r="AD1897" s="35"/>
      <c r="AE1897" s="35"/>
      <c r="AF1897" s="35"/>
      <c r="AG1897" s="35"/>
      <c r="AH1897" s="35"/>
      <c r="AI1897" s="35"/>
      <c r="AJ1897" s="35"/>
      <c r="AK1897" s="35"/>
      <c r="AL1897" s="35"/>
      <c r="AM1897" s="35"/>
      <c r="AN1897" s="35"/>
      <c r="AO1897" s="35"/>
      <c r="AP1897" s="35"/>
    </row>
    <row r="1898" spans="1:42" ht="17.25" customHeight="1" x14ac:dyDescent="0.25">
      <c r="A1898" s="55">
        <v>2020</v>
      </c>
      <c r="B1898" s="56" t="s">
        <v>66</v>
      </c>
      <c r="C1898" s="56" t="s">
        <v>41</v>
      </c>
      <c r="D1898" s="56" t="s">
        <v>43</v>
      </c>
      <c r="E1898" s="56" t="s">
        <v>67</v>
      </c>
      <c r="F1898" s="56" t="s">
        <v>67</v>
      </c>
      <c r="G1898" s="57">
        <v>2424035308</v>
      </c>
      <c r="H1898" s="56" t="s">
        <v>68</v>
      </c>
      <c r="I1898" s="58" t="str">
        <f t="shared" si="135"/>
        <v>Rest of Middle East-Offline</v>
      </c>
      <c r="J1898" s="40"/>
      <c r="K1898" s="59"/>
      <c r="L1898" s="35"/>
      <c r="M1898" s="35"/>
      <c r="N1898" s="35"/>
      <c r="O1898" s="35"/>
      <c r="P1898" s="35"/>
      <c r="Q1898" s="35"/>
      <c r="R1898" s="35"/>
      <c r="S1898" s="35"/>
      <c r="T1898" s="35"/>
      <c r="U1898" s="35"/>
      <c r="V1898" s="35"/>
      <c r="W1898" s="35"/>
      <c r="X1898" s="35"/>
      <c r="Y1898" s="35"/>
      <c r="Z1898" s="35"/>
      <c r="AA1898" s="35"/>
      <c r="AB1898" s="35"/>
      <c r="AC1898" s="35"/>
      <c r="AD1898" s="35"/>
      <c r="AE1898" s="35"/>
      <c r="AF1898" s="35"/>
      <c r="AG1898" s="35"/>
      <c r="AH1898" s="35"/>
      <c r="AI1898" s="35"/>
      <c r="AJ1898" s="35"/>
      <c r="AK1898" s="35"/>
      <c r="AL1898" s="35"/>
      <c r="AM1898" s="35"/>
      <c r="AN1898" s="35"/>
      <c r="AO1898" s="35"/>
      <c r="AP1898" s="35"/>
    </row>
    <row r="1899" spans="1:42" ht="17.25" customHeight="1" x14ac:dyDescent="0.25">
      <c r="A1899" s="60">
        <v>2020</v>
      </c>
      <c r="B1899" s="61" t="s">
        <v>66</v>
      </c>
      <c r="C1899" s="61" t="s">
        <v>41</v>
      </c>
      <c r="D1899" s="61" t="s">
        <v>43</v>
      </c>
      <c r="E1899" s="61" t="s">
        <v>69</v>
      </c>
      <c r="F1899" s="61" t="s">
        <v>70</v>
      </c>
      <c r="G1899" s="62">
        <v>649622619</v>
      </c>
      <c r="H1899" s="61" t="s">
        <v>68</v>
      </c>
      <c r="I1899" s="63" t="str">
        <f t="shared" si="135"/>
        <v>Rest of Middle East-Online Supplier-Direct</v>
      </c>
      <c r="J1899" s="47"/>
      <c r="K1899" s="54"/>
      <c r="L1899" s="35"/>
      <c r="M1899" s="35"/>
      <c r="N1899" s="35"/>
      <c r="O1899" s="35"/>
      <c r="P1899" s="35"/>
      <c r="Q1899" s="35"/>
      <c r="R1899" s="35"/>
      <c r="S1899" s="35"/>
      <c r="T1899" s="35"/>
      <c r="U1899" s="35"/>
      <c r="V1899" s="35"/>
      <c r="W1899" s="35"/>
      <c r="X1899" s="35"/>
      <c r="Y1899" s="35"/>
      <c r="Z1899" s="35"/>
      <c r="AA1899" s="35"/>
      <c r="AB1899" s="35"/>
      <c r="AC1899" s="35"/>
      <c r="AD1899" s="35"/>
      <c r="AE1899" s="35"/>
      <c r="AF1899" s="35"/>
      <c r="AG1899" s="35"/>
      <c r="AH1899" s="35"/>
      <c r="AI1899" s="35"/>
      <c r="AJ1899" s="35"/>
      <c r="AK1899" s="35"/>
      <c r="AL1899" s="35"/>
      <c r="AM1899" s="35"/>
      <c r="AN1899" s="35"/>
      <c r="AO1899" s="35"/>
      <c r="AP1899" s="35"/>
    </row>
    <row r="1900" spans="1:42" ht="17.25" customHeight="1" x14ac:dyDescent="0.25">
      <c r="A1900" s="55">
        <v>2020</v>
      </c>
      <c r="B1900" s="56" t="s">
        <v>66</v>
      </c>
      <c r="C1900" s="56" t="s">
        <v>41</v>
      </c>
      <c r="D1900" s="56" t="s">
        <v>43</v>
      </c>
      <c r="E1900" s="56" t="s">
        <v>69</v>
      </c>
      <c r="F1900" s="56" t="s">
        <v>71</v>
      </c>
      <c r="G1900" s="57">
        <v>632584985</v>
      </c>
      <c r="H1900" s="56" t="s">
        <v>68</v>
      </c>
      <c r="I1900" s="58" t="str">
        <f t="shared" si="135"/>
        <v>Rest of Middle East-OTA</v>
      </c>
      <c r="J1900" s="40"/>
      <c r="K1900" s="59"/>
      <c r="L1900" s="35"/>
      <c r="M1900" s="35"/>
      <c r="N1900" s="35"/>
      <c r="O1900" s="35"/>
      <c r="P1900" s="35"/>
      <c r="Q1900" s="35"/>
      <c r="R1900" s="35"/>
      <c r="S1900" s="35"/>
      <c r="T1900" s="35"/>
      <c r="U1900" s="35"/>
      <c r="V1900" s="35"/>
      <c r="W1900" s="35"/>
      <c r="X1900" s="35"/>
      <c r="Y1900" s="35"/>
      <c r="Z1900" s="35"/>
      <c r="AA1900" s="35"/>
      <c r="AB1900" s="35"/>
      <c r="AC1900" s="35"/>
      <c r="AD1900" s="35"/>
      <c r="AE1900" s="35"/>
      <c r="AF1900" s="35"/>
      <c r="AG1900" s="35"/>
      <c r="AH1900" s="35"/>
      <c r="AI1900" s="35"/>
      <c r="AJ1900" s="35"/>
      <c r="AK1900" s="35"/>
      <c r="AL1900" s="35"/>
      <c r="AM1900" s="35"/>
      <c r="AN1900" s="35"/>
      <c r="AO1900" s="35"/>
      <c r="AP1900" s="35"/>
    </row>
    <row r="1901" spans="1:42" ht="17.25" customHeight="1" x14ac:dyDescent="0.25">
      <c r="A1901" s="60">
        <v>2020</v>
      </c>
      <c r="B1901" s="61" t="s">
        <v>66</v>
      </c>
      <c r="C1901" s="61" t="s">
        <v>17</v>
      </c>
      <c r="D1901" s="61" t="s">
        <v>23</v>
      </c>
      <c r="E1901" s="61" t="s">
        <v>67</v>
      </c>
      <c r="F1901" s="61" t="s">
        <v>67</v>
      </c>
      <c r="G1901" s="62">
        <v>437900969</v>
      </c>
      <c r="H1901" s="61" t="s">
        <v>68</v>
      </c>
      <c r="I1901" s="63" t="str">
        <f t="shared" si="135"/>
        <v>Romania-Offline</v>
      </c>
      <c r="J1901" s="47"/>
      <c r="K1901" s="54"/>
      <c r="L1901" s="35"/>
      <c r="M1901" s="35"/>
      <c r="N1901" s="35"/>
      <c r="O1901" s="35"/>
      <c r="P1901" s="35"/>
      <c r="Q1901" s="35"/>
      <c r="R1901" s="35"/>
      <c r="S1901" s="35"/>
      <c r="T1901" s="35"/>
      <c r="U1901" s="35"/>
      <c r="V1901" s="35"/>
      <c r="W1901" s="35"/>
      <c r="X1901" s="35"/>
      <c r="Y1901" s="35"/>
      <c r="Z1901" s="35"/>
      <c r="AA1901" s="35"/>
      <c r="AB1901" s="35"/>
      <c r="AC1901" s="35"/>
      <c r="AD1901" s="35"/>
      <c r="AE1901" s="35"/>
      <c r="AF1901" s="35"/>
      <c r="AG1901" s="35"/>
      <c r="AH1901" s="35"/>
      <c r="AI1901" s="35"/>
      <c r="AJ1901" s="35"/>
      <c r="AK1901" s="35"/>
      <c r="AL1901" s="35"/>
      <c r="AM1901" s="35"/>
      <c r="AN1901" s="35"/>
      <c r="AO1901" s="35"/>
      <c r="AP1901" s="35"/>
    </row>
    <row r="1902" spans="1:42" ht="17.25" customHeight="1" x14ac:dyDescent="0.25">
      <c r="A1902" s="55">
        <v>2020</v>
      </c>
      <c r="B1902" s="56" t="s">
        <v>66</v>
      </c>
      <c r="C1902" s="56" t="s">
        <v>17</v>
      </c>
      <c r="D1902" s="56" t="s">
        <v>23</v>
      </c>
      <c r="E1902" s="56" t="s">
        <v>69</v>
      </c>
      <c r="F1902" s="56" t="s">
        <v>70</v>
      </c>
      <c r="G1902" s="57">
        <v>109137434</v>
      </c>
      <c r="H1902" s="56" t="s">
        <v>68</v>
      </c>
      <c r="I1902" s="58" t="str">
        <f t="shared" si="135"/>
        <v>Romania-Online Supplier-Direct</v>
      </c>
      <c r="J1902" s="40"/>
      <c r="K1902" s="59"/>
      <c r="L1902" s="35"/>
      <c r="M1902" s="35"/>
      <c r="N1902" s="35"/>
      <c r="O1902" s="35"/>
      <c r="P1902" s="35"/>
      <c r="Q1902" s="35"/>
      <c r="R1902" s="35"/>
      <c r="S1902" s="35"/>
      <c r="T1902" s="35"/>
      <c r="U1902" s="35"/>
      <c r="V1902" s="35"/>
      <c r="W1902" s="35"/>
      <c r="X1902" s="35"/>
      <c r="Y1902" s="35"/>
      <c r="Z1902" s="35"/>
      <c r="AA1902" s="35"/>
      <c r="AB1902" s="35"/>
      <c r="AC1902" s="35"/>
      <c r="AD1902" s="35"/>
      <c r="AE1902" s="35"/>
      <c r="AF1902" s="35"/>
      <c r="AG1902" s="35"/>
      <c r="AH1902" s="35"/>
      <c r="AI1902" s="35"/>
      <c r="AJ1902" s="35"/>
      <c r="AK1902" s="35"/>
      <c r="AL1902" s="35"/>
      <c r="AM1902" s="35"/>
      <c r="AN1902" s="35"/>
      <c r="AO1902" s="35"/>
      <c r="AP1902" s="35"/>
    </row>
    <row r="1903" spans="1:42" ht="17.25" customHeight="1" x14ac:dyDescent="0.25">
      <c r="A1903" s="60">
        <v>2020</v>
      </c>
      <c r="B1903" s="61" t="s">
        <v>66</v>
      </c>
      <c r="C1903" s="61" t="s">
        <v>17</v>
      </c>
      <c r="D1903" s="61" t="s">
        <v>23</v>
      </c>
      <c r="E1903" s="61" t="s">
        <v>69</v>
      </c>
      <c r="F1903" s="61" t="s">
        <v>71</v>
      </c>
      <c r="G1903" s="62">
        <v>185408209</v>
      </c>
      <c r="H1903" s="61" t="s">
        <v>68</v>
      </c>
      <c r="I1903" s="63" t="str">
        <f t="shared" si="135"/>
        <v>Romania-OTA</v>
      </c>
      <c r="J1903" s="47"/>
      <c r="K1903" s="54"/>
      <c r="L1903" s="35"/>
      <c r="M1903" s="35"/>
      <c r="N1903" s="35"/>
      <c r="O1903" s="35"/>
      <c r="P1903" s="35"/>
      <c r="Q1903" s="35"/>
      <c r="R1903" s="35"/>
      <c r="S1903" s="35"/>
      <c r="T1903" s="35"/>
      <c r="U1903" s="35"/>
      <c r="V1903" s="35"/>
      <c r="W1903" s="35"/>
      <c r="X1903" s="35"/>
      <c r="Y1903" s="35"/>
      <c r="Z1903" s="35"/>
      <c r="AA1903" s="35"/>
      <c r="AB1903" s="35"/>
      <c r="AC1903" s="35"/>
      <c r="AD1903" s="35"/>
      <c r="AE1903" s="35"/>
      <c r="AF1903" s="35"/>
      <c r="AG1903" s="35"/>
      <c r="AH1903" s="35"/>
      <c r="AI1903" s="35"/>
      <c r="AJ1903" s="35"/>
      <c r="AK1903" s="35"/>
      <c r="AL1903" s="35"/>
      <c r="AM1903" s="35"/>
      <c r="AN1903" s="35"/>
      <c r="AO1903" s="35"/>
      <c r="AP1903" s="35"/>
    </row>
    <row r="1904" spans="1:42" ht="17.25" customHeight="1" x14ac:dyDescent="0.25">
      <c r="A1904" s="55">
        <v>2020</v>
      </c>
      <c r="B1904" s="56" t="s">
        <v>66</v>
      </c>
      <c r="C1904" s="56" t="s">
        <v>17</v>
      </c>
      <c r="D1904" s="56" t="s">
        <v>24</v>
      </c>
      <c r="E1904" s="56" t="s">
        <v>67</v>
      </c>
      <c r="F1904" s="56" t="s">
        <v>67</v>
      </c>
      <c r="G1904" s="57">
        <v>9173998627</v>
      </c>
      <c r="H1904" s="56" t="s">
        <v>68</v>
      </c>
      <c r="I1904" s="58" t="str">
        <f t="shared" si="135"/>
        <v>Russia-Offline</v>
      </c>
      <c r="J1904" s="40"/>
      <c r="K1904" s="59"/>
      <c r="L1904" s="35"/>
      <c r="M1904" s="35"/>
      <c r="N1904" s="35"/>
      <c r="O1904" s="35"/>
      <c r="P1904" s="35"/>
      <c r="Q1904" s="35"/>
      <c r="R1904" s="35"/>
      <c r="S1904" s="35"/>
      <c r="T1904" s="35"/>
      <c r="U1904" s="35"/>
      <c r="V1904" s="35"/>
      <c r="W1904" s="35"/>
      <c r="X1904" s="35"/>
      <c r="Y1904" s="35"/>
      <c r="Z1904" s="35"/>
      <c r="AA1904" s="35"/>
      <c r="AB1904" s="35"/>
      <c r="AC1904" s="35"/>
      <c r="AD1904" s="35"/>
      <c r="AE1904" s="35"/>
      <c r="AF1904" s="35"/>
      <c r="AG1904" s="35"/>
      <c r="AH1904" s="35"/>
      <c r="AI1904" s="35"/>
      <c r="AJ1904" s="35"/>
      <c r="AK1904" s="35"/>
      <c r="AL1904" s="35"/>
      <c r="AM1904" s="35"/>
      <c r="AN1904" s="35"/>
      <c r="AO1904" s="35"/>
      <c r="AP1904" s="35"/>
    </row>
    <row r="1905" spans="1:42" ht="17.25" customHeight="1" x14ac:dyDescent="0.25">
      <c r="A1905" s="60">
        <v>2020</v>
      </c>
      <c r="B1905" s="61" t="s">
        <v>66</v>
      </c>
      <c r="C1905" s="61" t="s">
        <v>17</v>
      </c>
      <c r="D1905" s="61" t="s">
        <v>24</v>
      </c>
      <c r="E1905" s="61" t="s">
        <v>69</v>
      </c>
      <c r="F1905" s="61" t="s">
        <v>70</v>
      </c>
      <c r="G1905" s="62">
        <v>4131333189</v>
      </c>
      <c r="H1905" s="61" t="s">
        <v>68</v>
      </c>
      <c r="I1905" s="63" t="str">
        <f t="shared" si="135"/>
        <v>Russia-Online Supplier-Direct</v>
      </c>
      <c r="J1905" s="47"/>
      <c r="K1905" s="54"/>
      <c r="L1905" s="35"/>
      <c r="M1905" s="35"/>
      <c r="N1905" s="35"/>
      <c r="O1905" s="35"/>
      <c r="P1905" s="35"/>
      <c r="Q1905" s="35"/>
      <c r="R1905" s="35"/>
      <c r="S1905" s="35"/>
      <c r="T1905" s="35"/>
      <c r="U1905" s="35"/>
      <c r="V1905" s="35"/>
      <c r="W1905" s="35"/>
      <c r="X1905" s="35"/>
      <c r="Y1905" s="35"/>
      <c r="Z1905" s="35"/>
      <c r="AA1905" s="35"/>
      <c r="AB1905" s="35"/>
      <c r="AC1905" s="35"/>
      <c r="AD1905" s="35"/>
      <c r="AE1905" s="35"/>
      <c r="AF1905" s="35"/>
      <c r="AG1905" s="35"/>
      <c r="AH1905" s="35"/>
      <c r="AI1905" s="35"/>
      <c r="AJ1905" s="35"/>
      <c r="AK1905" s="35"/>
      <c r="AL1905" s="35"/>
      <c r="AM1905" s="35"/>
      <c r="AN1905" s="35"/>
      <c r="AO1905" s="35"/>
      <c r="AP1905" s="35"/>
    </row>
    <row r="1906" spans="1:42" ht="17.25" customHeight="1" x14ac:dyDescent="0.25">
      <c r="A1906" s="55">
        <v>2020</v>
      </c>
      <c r="B1906" s="56" t="s">
        <v>66</v>
      </c>
      <c r="C1906" s="56" t="s">
        <v>17</v>
      </c>
      <c r="D1906" s="56" t="s">
        <v>24</v>
      </c>
      <c r="E1906" s="56" t="s">
        <v>69</v>
      </c>
      <c r="F1906" s="56" t="s">
        <v>71</v>
      </c>
      <c r="G1906" s="57">
        <v>3913154941</v>
      </c>
      <c r="H1906" s="56" t="s">
        <v>68</v>
      </c>
      <c r="I1906" s="58" t="str">
        <f t="shared" si="135"/>
        <v>Russia-OTA</v>
      </c>
      <c r="J1906" s="40"/>
      <c r="K1906" s="59"/>
      <c r="L1906" s="35"/>
      <c r="M1906" s="35"/>
      <c r="N1906" s="35"/>
      <c r="O1906" s="35"/>
      <c r="P1906" s="35"/>
      <c r="Q1906" s="35"/>
      <c r="R1906" s="35"/>
      <c r="S1906" s="35"/>
      <c r="T1906" s="35"/>
      <c r="U1906" s="35"/>
      <c r="V1906" s="35"/>
      <c r="W1906" s="35"/>
      <c r="X1906" s="35"/>
      <c r="Y1906" s="35"/>
      <c r="Z1906" s="35"/>
      <c r="AA1906" s="35"/>
      <c r="AB1906" s="35"/>
      <c r="AC1906" s="35"/>
      <c r="AD1906" s="35"/>
      <c r="AE1906" s="35"/>
      <c r="AF1906" s="35"/>
      <c r="AG1906" s="35"/>
      <c r="AH1906" s="35"/>
      <c r="AI1906" s="35"/>
      <c r="AJ1906" s="35"/>
      <c r="AK1906" s="35"/>
      <c r="AL1906" s="35"/>
      <c r="AM1906" s="35"/>
      <c r="AN1906" s="35"/>
      <c r="AO1906" s="35"/>
      <c r="AP1906" s="35"/>
    </row>
    <row r="1907" spans="1:42" ht="17.25" customHeight="1" x14ac:dyDescent="0.25">
      <c r="A1907" s="60">
        <v>2020</v>
      </c>
      <c r="B1907" s="61" t="s">
        <v>66</v>
      </c>
      <c r="C1907" s="61" t="s">
        <v>41</v>
      </c>
      <c r="D1907" s="61" t="s">
        <v>44</v>
      </c>
      <c r="E1907" s="61" t="s">
        <v>67</v>
      </c>
      <c r="F1907" s="61" t="s">
        <v>67</v>
      </c>
      <c r="G1907" s="62">
        <v>3326376126</v>
      </c>
      <c r="H1907" s="61" t="s">
        <v>68</v>
      </c>
      <c r="I1907" s="63" t="str">
        <f t="shared" si="135"/>
        <v>Saudi Arabia-Offline</v>
      </c>
      <c r="J1907" s="47"/>
      <c r="K1907" s="54"/>
      <c r="L1907" s="35"/>
      <c r="M1907" s="35"/>
      <c r="N1907" s="35"/>
      <c r="O1907" s="35"/>
      <c r="P1907" s="35"/>
      <c r="Q1907" s="35"/>
      <c r="R1907" s="35"/>
      <c r="S1907" s="35"/>
      <c r="T1907" s="35"/>
      <c r="U1907" s="35"/>
      <c r="V1907" s="35"/>
      <c r="W1907" s="35"/>
      <c r="X1907" s="35"/>
      <c r="Y1907" s="35"/>
      <c r="Z1907" s="35"/>
      <c r="AA1907" s="35"/>
      <c r="AB1907" s="35"/>
      <c r="AC1907" s="35"/>
      <c r="AD1907" s="35"/>
      <c r="AE1907" s="35"/>
      <c r="AF1907" s="35"/>
      <c r="AG1907" s="35"/>
      <c r="AH1907" s="35"/>
      <c r="AI1907" s="35"/>
      <c r="AJ1907" s="35"/>
      <c r="AK1907" s="35"/>
      <c r="AL1907" s="35"/>
      <c r="AM1907" s="35"/>
      <c r="AN1907" s="35"/>
      <c r="AO1907" s="35"/>
      <c r="AP1907" s="35"/>
    </row>
    <row r="1908" spans="1:42" ht="17.25" customHeight="1" x14ac:dyDescent="0.25">
      <c r="A1908" s="55">
        <v>2020</v>
      </c>
      <c r="B1908" s="56" t="s">
        <v>66</v>
      </c>
      <c r="C1908" s="56" t="s">
        <v>41</v>
      </c>
      <c r="D1908" s="56" t="s">
        <v>44</v>
      </c>
      <c r="E1908" s="56" t="s">
        <v>69</v>
      </c>
      <c r="F1908" s="56" t="s">
        <v>70</v>
      </c>
      <c r="G1908" s="57">
        <v>1094490106</v>
      </c>
      <c r="H1908" s="56" t="s">
        <v>68</v>
      </c>
      <c r="I1908" s="58" t="str">
        <f t="shared" si="135"/>
        <v>Saudi Arabia-Online Supplier-Direct</v>
      </c>
      <c r="J1908" s="40"/>
      <c r="K1908" s="59"/>
      <c r="L1908" s="35"/>
      <c r="M1908" s="35"/>
      <c r="N1908" s="35"/>
      <c r="O1908" s="35"/>
      <c r="P1908" s="35"/>
      <c r="Q1908" s="35"/>
      <c r="R1908" s="35"/>
      <c r="S1908" s="35"/>
      <c r="T1908" s="35"/>
      <c r="U1908" s="35"/>
      <c r="V1908" s="35"/>
      <c r="W1908" s="35"/>
      <c r="X1908" s="35"/>
      <c r="Y1908" s="35"/>
      <c r="Z1908" s="35"/>
      <c r="AA1908" s="35"/>
      <c r="AB1908" s="35"/>
      <c r="AC1908" s="35"/>
      <c r="AD1908" s="35"/>
      <c r="AE1908" s="35"/>
      <c r="AF1908" s="35"/>
      <c r="AG1908" s="35"/>
      <c r="AH1908" s="35"/>
      <c r="AI1908" s="35"/>
      <c r="AJ1908" s="35"/>
      <c r="AK1908" s="35"/>
      <c r="AL1908" s="35"/>
      <c r="AM1908" s="35"/>
      <c r="AN1908" s="35"/>
      <c r="AO1908" s="35"/>
      <c r="AP1908" s="35"/>
    </row>
    <row r="1909" spans="1:42" ht="17.25" customHeight="1" x14ac:dyDescent="0.25">
      <c r="A1909" s="60">
        <v>2020</v>
      </c>
      <c r="B1909" s="61" t="s">
        <v>66</v>
      </c>
      <c r="C1909" s="61" t="s">
        <v>41</v>
      </c>
      <c r="D1909" s="61" t="s">
        <v>44</v>
      </c>
      <c r="E1909" s="61" t="s">
        <v>69</v>
      </c>
      <c r="F1909" s="61" t="s">
        <v>71</v>
      </c>
      <c r="G1909" s="62">
        <v>1068629496</v>
      </c>
      <c r="H1909" s="61" t="s">
        <v>68</v>
      </c>
      <c r="I1909" s="63" t="str">
        <f t="shared" si="135"/>
        <v>Saudi Arabia-OTA</v>
      </c>
      <c r="J1909" s="47"/>
      <c r="K1909" s="54"/>
      <c r="L1909" s="35"/>
      <c r="M1909" s="35"/>
      <c r="N1909" s="35"/>
      <c r="O1909" s="35"/>
      <c r="P1909" s="35"/>
      <c r="Q1909" s="35"/>
      <c r="R1909" s="35"/>
      <c r="S1909" s="35"/>
      <c r="T1909" s="35"/>
      <c r="U1909" s="35"/>
      <c r="V1909" s="35"/>
      <c r="W1909" s="35"/>
      <c r="X1909" s="35"/>
      <c r="Y1909" s="35"/>
      <c r="Z1909" s="35"/>
      <c r="AA1909" s="35"/>
      <c r="AB1909" s="35"/>
      <c r="AC1909" s="35"/>
      <c r="AD1909" s="35"/>
      <c r="AE1909" s="35"/>
      <c r="AF1909" s="35"/>
      <c r="AG1909" s="35"/>
      <c r="AH1909" s="35"/>
      <c r="AI1909" s="35"/>
      <c r="AJ1909" s="35"/>
      <c r="AK1909" s="35"/>
      <c r="AL1909" s="35"/>
      <c r="AM1909" s="35"/>
      <c r="AN1909" s="35"/>
      <c r="AO1909" s="35"/>
      <c r="AP1909" s="35"/>
    </row>
    <row r="1910" spans="1:42" ht="17.25" customHeight="1" x14ac:dyDescent="0.25">
      <c r="A1910" s="55">
        <v>2020</v>
      </c>
      <c r="B1910" s="56" t="s">
        <v>66</v>
      </c>
      <c r="C1910" s="56" t="s">
        <v>27</v>
      </c>
      <c r="D1910" s="56" t="s">
        <v>31</v>
      </c>
      <c r="E1910" s="56" t="s">
        <v>67</v>
      </c>
      <c r="F1910" s="56" t="s">
        <v>67</v>
      </c>
      <c r="G1910" s="57">
        <v>2606043074</v>
      </c>
      <c r="H1910" s="56" t="s">
        <v>68</v>
      </c>
      <c r="I1910" s="58" t="str">
        <f t="shared" si="135"/>
        <v>Scandinavia-Offline</v>
      </c>
      <c r="J1910" s="40"/>
      <c r="K1910" s="59"/>
      <c r="L1910" s="35"/>
      <c r="M1910" s="35"/>
      <c r="N1910" s="35"/>
      <c r="O1910" s="35"/>
      <c r="P1910" s="35"/>
      <c r="Q1910" s="35"/>
      <c r="R1910" s="35"/>
      <c r="S1910" s="35"/>
      <c r="T1910" s="35"/>
      <c r="U1910" s="35"/>
      <c r="V1910" s="35"/>
      <c r="W1910" s="35"/>
      <c r="X1910" s="35"/>
      <c r="Y1910" s="35"/>
      <c r="Z1910" s="35"/>
      <c r="AA1910" s="35"/>
      <c r="AB1910" s="35"/>
      <c r="AC1910" s="35"/>
      <c r="AD1910" s="35"/>
      <c r="AE1910" s="35"/>
      <c r="AF1910" s="35"/>
      <c r="AG1910" s="35"/>
      <c r="AH1910" s="35"/>
      <c r="AI1910" s="35"/>
      <c r="AJ1910" s="35"/>
      <c r="AK1910" s="35"/>
      <c r="AL1910" s="35"/>
      <c r="AM1910" s="35"/>
      <c r="AN1910" s="35"/>
      <c r="AO1910" s="35"/>
      <c r="AP1910" s="35"/>
    </row>
    <row r="1911" spans="1:42" ht="17.25" customHeight="1" x14ac:dyDescent="0.25">
      <c r="A1911" s="60">
        <v>2020</v>
      </c>
      <c r="B1911" s="61" t="s">
        <v>66</v>
      </c>
      <c r="C1911" s="61" t="s">
        <v>27</v>
      </c>
      <c r="D1911" s="61" t="s">
        <v>31</v>
      </c>
      <c r="E1911" s="61" t="s">
        <v>69</v>
      </c>
      <c r="F1911" s="61" t="s">
        <v>70</v>
      </c>
      <c r="G1911" s="62">
        <v>4715318098</v>
      </c>
      <c r="H1911" s="61" t="s">
        <v>68</v>
      </c>
      <c r="I1911" s="63" t="str">
        <f t="shared" si="135"/>
        <v>Scandinavia-Online Supplier-Direct</v>
      </c>
      <c r="J1911" s="47"/>
      <c r="K1911" s="54"/>
      <c r="L1911" s="35"/>
      <c r="M1911" s="35"/>
      <c r="N1911" s="35"/>
      <c r="O1911" s="35"/>
      <c r="P1911" s="35"/>
      <c r="Q1911" s="35"/>
      <c r="R1911" s="35"/>
      <c r="S1911" s="35"/>
      <c r="T1911" s="35"/>
      <c r="U1911" s="35"/>
      <c r="V1911" s="35"/>
      <c r="W1911" s="35"/>
      <c r="X1911" s="35"/>
      <c r="Y1911" s="35"/>
      <c r="Z1911" s="35"/>
      <c r="AA1911" s="35"/>
      <c r="AB1911" s="35"/>
      <c r="AC1911" s="35"/>
      <c r="AD1911" s="35"/>
      <c r="AE1911" s="35"/>
      <c r="AF1911" s="35"/>
      <c r="AG1911" s="35"/>
      <c r="AH1911" s="35"/>
      <c r="AI1911" s="35"/>
      <c r="AJ1911" s="35"/>
      <c r="AK1911" s="35"/>
      <c r="AL1911" s="35"/>
      <c r="AM1911" s="35"/>
      <c r="AN1911" s="35"/>
      <c r="AO1911" s="35"/>
      <c r="AP1911" s="35"/>
    </row>
    <row r="1912" spans="1:42" ht="17.25" customHeight="1" x14ac:dyDescent="0.25">
      <c r="A1912" s="55">
        <v>2020</v>
      </c>
      <c r="B1912" s="56" t="s">
        <v>66</v>
      </c>
      <c r="C1912" s="56" t="s">
        <v>27</v>
      </c>
      <c r="D1912" s="56" t="s">
        <v>31</v>
      </c>
      <c r="E1912" s="56" t="s">
        <v>69</v>
      </c>
      <c r="F1912" s="56" t="s">
        <v>71</v>
      </c>
      <c r="G1912" s="57">
        <v>1870461368</v>
      </c>
      <c r="H1912" s="56" t="s">
        <v>68</v>
      </c>
      <c r="I1912" s="58" t="str">
        <f t="shared" si="135"/>
        <v>Scandinavia-OTA</v>
      </c>
      <c r="J1912" s="40"/>
      <c r="K1912" s="59"/>
      <c r="L1912" s="35"/>
      <c r="M1912" s="35"/>
      <c r="N1912" s="35"/>
      <c r="O1912" s="35"/>
      <c r="P1912" s="35"/>
      <c r="Q1912" s="35"/>
      <c r="R1912" s="35"/>
      <c r="S1912" s="35"/>
      <c r="T1912" s="35"/>
      <c r="U1912" s="35"/>
      <c r="V1912" s="35"/>
      <c r="W1912" s="35"/>
      <c r="X1912" s="35"/>
      <c r="Y1912" s="35"/>
      <c r="Z1912" s="35"/>
      <c r="AA1912" s="35"/>
      <c r="AB1912" s="35"/>
      <c r="AC1912" s="35"/>
      <c r="AD1912" s="35"/>
      <c r="AE1912" s="35"/>
      <c r="AF1912" s="35"/>
      <c r="AG1912" s="35"/>
      <c r="AH1912" s="35"/>
      <c r="AI1912" s="35"/>
      <c r="AJ1912" s="35"/>
      <c r="AK1912" s="35"/>
      <c r="AL1912" s="35"/>
      <c r="AM1912" s="35"/>
      <c r="AN1912" s="35"/>
      <c r="AO1912" s="35"/>
      <c r="AP1912" s="35"/>
    </row>
    <row r="1913" spans="1:42" ht="17.25" customHeight="1" x14ac:dyDescent="0.25">
      <c r="A1913" s="60">
        <v>2020</v>
      </c>
      <c r="B1913" s="61" t="s">
        <v>66</v>
      </c>
      <c r="C1913" s="61" t="s">
        <v>4</v>
      </c>
      <c r="D1913" s="61" t="s">
        <v>12</v>
      </c>
      <c r="E1913" s="61" t="s">
        <v>67</v>
      </c>
      <c r="F1913" s="61" t="s">
        <v>67</v>
      </c>
      <c r="G1913" s="62">
        <v>1346702154</v>
      </c>
      <c r="H1913" s="61" t="s">
        <v>68</v>
      </c>
      <c r="I1913" s="63" t="str">
        <f t="shared" si="135"/>
        <v>Singapore-Offline</v>
      </c>
      <c r="J1913" s="47"/>
      <c r="K1913" s="54"/>
      <c r="L1913" s="35"/>
      <c r="M1913" s="35"/>
      <c r="N1913" s="35"/>
      <c r="O1913" s="35"/>
      <c r="P1913" s="35"/>
      <c r="Q1913" s="35"/>
      <c r="R1913" s="35"/>
      <c r="S1913" s="35"/>
      <c r="T1913" s="35"/>
      <c r="U1913" s="35"/>
      <c r="V1913" s="35"/>
      <c r="W1913" s="35"/>
      <c r="X1913" s="35"/>
      <c r="Y1913" s="35"/>
      <c r="Z1913" s="35"/>
      <c r="AA1913" s="35"/>
      <c r="AB1913" s="35"/>
      <c r="AC1913" s="35"/>
      <c r="AD1913" s="35"/>
      <c r="AE1913" s="35"/>
      <c r="AF1913" s="35"/>
      <c r="AG1913" s="35"/>
      <c r="AH1913" s="35"/>
      <c r="AI1913" s="35"/>
      <c r="AJ1913" s="35"/>
      <c r="AK1913" s="35"/>
      <c r="AL1913" s="35"/>
      <c r="AM1913" s="35"/>
      <c r="AN1913" s="35"/>
      <c r="AO1913" s="35"/>
      <c r="AP1913" s="35"/>
    </row>
    <row r="1914" spans="1:42" ht="17.25" customHeight="1" x14ac:dyDescent="0.25">
      <c r="A1914" s="55">
        <v>2020</v>
      </c>
      <c r="B1914" s="56" t="s">
        <v>66</v>
      </c>
      <c r="C1914" s="56" t="s">
        <v>4</v>
      </c>
      <c r="D1914" s="56" t="s">
        <v>12</v>
      </c>
      <c r="E1914" s="56" t="s">
        <v>69</v>
      </c>
      <c r="F1914" s="56" t="s">
        <v>70</v>
      </c>
      <c r="G1914" s="57">
        <v>883940880</v>
      </c>
      <c r="H1914" s="56" t="s">
        <v>68</v>
      </c>
      <c r="I1914" s="58" t="str">
        <f t="shared" si="135"/>
        <v>Singapore-Online Supplier-Direct</v>
      </c>
      <c r="J1914" s="40"/>
      <c r="K1914" s="59"/>
      <c r="L1914" s="35"/>
      <c r="M1914" s="35"/>
      <c r="N1914" s="35"/>
      <c r="O1914" s="35"/>
      <c r="P1914" s="35"/>
      <c r="Q1914" s="35"/>
      <c r="R1914" s="35"/>
      <c r="S1914" s="35"/>
      <c r="T1914" s="35"/>
      <c r="U1914" s="35"/>
      <c r="V1914" s="35"/>
      <c r="W1914" s="35"/>
      <c r="X1914" s="35"/>
      <c r="Y1914" s="35"/>
      <c r="Z1914" s="35"/>
      <c r="AA1914" s="35"/>
      <c r="AB1914" s="35"/>
      <c r="AC1914" s="35"/>
      <c r="AD1914" s="35"/>
      <c r="AE1914" s="35"/>
      <c r="AF1914" s="35"/>
      <c r="AG1914" s="35"/>
      <c r="AH1914" s="35"/>
      <c r="AI1914" s="35"/>
      <c r="AJ1914" s="35"/>
      <c r="AK1914" s="35"/>
      <c r="AL1914" s="35"/>
      <c r="AM1914" s="35"/>
      <c r="AN1914" s="35"/>
      <c r="AO1914" s="35"/>
      <c r="AP1914" s="35"/>
    </row>
    <row r="1915" spans="1:42" ht="17.25" customHeight="1" x14ac:dyDescent="0.25">
      <c r="A1915" s="60">
        <v>2020</v>
      </c>
      <c r="B1915" s="61" t="s">
        <v>66</v>
      </c>
      <c r="C1915" s="61" t="s">
        <v>4</v>
      </c>
      <c r="D1915" s="61" t="s">
        <v>12</v>
      </c>
      <c r="E1915" s="61" t="s">
        <v>69</v>
      </c>
      <c r="F1915" s="61" t="s">
        <v>71</v>
      </c>
      <c r="G1915" s="62">
        <v>605129094</v>
      </c>
      <c r="H1915" s="61" t="s">
        <v>68</v>
      </c>
      <c r="I1915" s="63" t="str">
        <f t="shared" si="135"/>
        <v>Singapore-OTA</v>
      </c>
      <c r="J1915" s="47"/>
      <c r="K1915" s="54"/>
      <c r="L1915" s="35"/>
      <c r="M1915" s="35"/>
      <c r="N1915" s="35"/>
      <c r="O1915" s="35"/>
      <c r="P1915" s="35"/>
      <c r="Q1915" s="35"/>
      <c r="R1915" s="35"/>
      <c r="S1915" s="35"/>
      <c r="T1915" s="35"/>
      <c r="U1915" s="35"/>
      <c r="V1915" s="35"/>
      <c r="W1915" s="35"/>
      <c r="X1915" s="35"/>
      <c r="Y1915" s="35"/>
      <c r="Z1915" s="35"/>
      <c r="AA1915" s="35"/>
      <c r="AB1915" s="35"/>
      <c r="AC1915" s="35"/>
      <c r="AD1915" s="35"/>
      <c r="AE1915" s="35"/>
      <c r="AF1915" s="35"/>
      <c r="AG1915" s="35"/>
      <c r="AH1915" s="35"/>
      <c r="AI1915" s="35"/>
      <c r="AJ1915" s="35"/>
      <c r="AK1915" s="35"/>
      <c r="AL1915" s="35"/>
      <c r="AM1915" s="35"/>
      <c r="AN1915" s="35"/>
      <c r="AO1915" s="35"/>
      <c r="AP1915" s="35"/>
    </row>
    <row r="1916" spans="1:42" ht="17.25" customHeight="1" x14ac:dyDescent="0.25">
      <c r="A1916" s="55">
        <v>2020</v>
      </c>
      <c r="B1916" s="56" t="s">
        <v>66</v>
      </c>
      <c r="C1916" s="56" t="s">
        <v>4</v>
      </c>
      <c r="D1916" s="56" t="s">
        <v>13</v>
      </c>
      <c r="E1916" s="56" t="s">
        <v>67</v>
      </c>
      <c r="F1916" s="56" t="s">
        <v>67</v>
      </c>
      <c r="G1916" s="57">
        <v>3089998732</v>
      </c>
      <c r="H1916" s="56" t="s">
        <v>68</v>
      </c>
      <c r="I1916" s="58" t="str">
        <f t="shared" si="135"/>
        <v>South Korea-Offline</v>
      </c>
      <c r="J1916" s="40"/>
      <c r="K1916" s="59"/>
      <c r="L1916" s="35"/>
      <c r="M1916" s="35"/>
      <c r="N1916" s="35"/>
      <c r="O1916" s="35"/>
      <c r="P1916" s="35"/>
      <c r="Q1916" s="35"/>
      <c r="R1916" s="35"/>
      <c r="S1916" s="35"/>
      <c r="T1916" s="35"/>
      <c r="U1916" s="35"/>
      <c r="V1916" s="35"/>
      <c r="W1916" s="35"/>
      <c r="X1916" s="35"/>
      <c r="Y1916" s="35"/>
      <c r="Z1916" s="35"/>
      <c r="AA1916" s="35"/>
      <c r="AB1916" s="35"/>
      <c r="AC1916" s="35"/>
      <c r="AD1916" s="35"/>
      <c r="AE1916" s="35"/>
      <c r="AF1916" s="35"/>
      <c r="AG1916" s="35"/>
      <c r="AH1916" s="35"/>
      <c r="AI1916" s="35"/>
      <c r="AJ1916" s="35"/>
      <c r="AK1916" s="35"/>
      <c r="AL1916" s="35"/>
      <c r="AM1916" s="35"/>
      <c r="AN1916" s="35"/>
      <c r="AO1916" s="35"/>
      <c r="AP1916" s="35"/>
    </row>
    <row r="1917" spans="1:42" ht="17.25" customHeight="1" x14ac:dyDescent="0.25">
      <c r="A1917" s="60">
        <v>2020</v>
      </c>
      <c r="B1917" s="61" t="s">
        <v>66</v>
      </c>
      <c r="C1917" s="61" t="s">
        <v>4</v>
      </c>
      <c r="D1917" s="61" t="s">
        <v>13</v>
      </c>
      <c r="E1917" s="61" t="s">
        <v>69</v>
      </c>
      <c r="F1917" s="61" t="s">
        <v>70</v>
      </c>
      <c r="G1917" s="62">
        <v>2632816368</v>
      </c>
      <c r="H1917" s="61" t="s">
        <v>68</v>
      </c>
      <c r="I1917" s="63" t="str">
        <f t="shared" si="135"/>
        <v>South Korea-Online Supplier-Direct</v>
      </c>
      <c r="J1917" s="47"/>
      <c r="K1917" s="54"/>
      <c r="L1917" s="35"/>
      <c r="M1917" s="35"/>
      <c r="N1917" s="35"/>
      <c r="O1917" s="35"/>
      <c r="P1917" s="35"/>
      <c r="Q1917" s="35"/>
      <c r="R1917" s="35"/>
      <c r="S1917" s="35"/>
      <c r="T1917" s="35"/>
      <c r="U1917" s="35"/>
      <c r="V1917" s="35"/>
      <c r="W1917" s="35"/>
      <c r="X1917" s="35"/>
      <c r="Y1917" s="35"/>
      <c r="Z1917" s="35"/>
      <c r="AA1917" s="35"/>
      <c r="AB1917" s="35"/>
      <c r="AC1917" s="35"/>
      <c r="AD1917" s="35"/>
      <c r="AE1917" s="35"/>
      <c r="AF1917" s="35"/>
      <c r="AG1917" s="35"/>
      <c r="AH1917" s="35"/>
      <c r="AI1917" s="35"/>
      <c r="AJ1917" s="35"/>
      <c r="AK1917" s="35"/>
      <c r="AL1917" s="35"/>
      <c r="AM1917" s="35"/>
      <c r="AN1917" s="35"/>
      <c r="AO1917" s="35"/>
      <c r="AP1917" s="35"/>
    </row>
    <row r="1918" spans="1:42" ht="17.25" customHeight="1" x14ac:dyDescent="0.25">
      <c r="A1918" s="55">
        <v>2020</v>
      </c>
      <c r="B1918" s="56" t="s">
        <v>66</v>
      </c>
      <c r="C1918" s="56" t="s">
        <v>4</v>
      </c>
      <c r="D1918" s="56" t="s">
        <v>13</v>
      </c>
      <c r="E1918" s="56" t="s">
        <v>69</v>
      </c>
      <c r="F1918" s="56" t="s">
        <v>71</v>
      </c>
      <c r="G1918" s="57">
        <v>873047087</v>
      </c>
      <c r="H1918" s="56" t="s">
        <v>68</v>
      </c>
      <c r="I1918" s="58" t="str">
        <f t="shared" si="135"/>
        <v>South Korea-OTA</v>
      </c>
      <c r="J1918" s="40"/>
      <c r="K1918" s="59"/>
      <c r="L1918" s="35"/>
      <c r="M1918" s="35"/>
      <c r="N1918" s="35"/>
      <c r="O1918" s="35"/>
      <c r="P1918" s="35"/>
      <c r="Q1918" s="35"/>
      <c r="R1918" s="35"/>
      <c r="S1918" s="35"/>
      <c r="T1918" s="35"/>
      <c r="U1918" s="35"/>
      <c r="V1918" s="35"/>
      <c r="W1918" s="35"/>
      <c r="X1918" s="35"/>
      <c r="Y1918" s="35"/>
      <c r="Z1918" s="35"/>
      <c r="AA1918" s="35"/>
      <c r="AB1918" s="35"/>
      <c r="AC1918" s="35"/>
      <c r="AD1918" s="35"/>
      <c r="AE1918" s="35"/>
      <c r="AF1918" s="35"/>
      <c r="AG1918" s="35"/>
      <c r="AH1918" s="35"/>
      <c r="AI1918" s="35"/>
      <c r="AJ1918" s="35"/>
      <c r="AK1918" s="35"/>
      <c r="AL1918" s="35"/>
      <c r="AM1918" s="35"/>
      <c r="AN1918" s="35"/>
      <c r="AO1918" s="35"/>
      <c r="AP1918" s="35"/>
    </row>
    <row r="1919" spans="1:42" ht="17.25" customHeight="1" x14ac:dyDescent="0.25">
      <c r="A1919" s="60">
        <v>2020</v>
      </c>
      <c r="B1919" s="61" t="s">
        <v>66</v>
      </c>
      <c r="C1919" s="61" t="s">
        <v>27</v>
      </c>
      <c r="D1919" s="61" t="s">
        <v>32</v>
      </c>
      <c r="E1919" s="61" t="s">
        <v>67</v>
      </c>
      <c r="F1919" s="61" t="s">
        <v>67</v>
      </c>
      <c r="G1919" s="62">
        <v>4569697632</v>
      </c>
      <c r="H1919" s="61" t="s">
        <v>68</v>
      </c>
      <c r="I1919" s="63" t="str">
        <f t="shared" si="135"/>
        <v>Spain-Offline</v>
      </c>
      <c r="J1919" s="47"/>
      <c r="K1919" s="54"/>
      <c r="L1919" s="35"/>
      <c r="M1919" s="35"/>
      <c r="N1919" s="35"/>
      <c r="O1919" s="35"/>
      <c r="P1919" s="35"/>
      <c r="Q1919" s="35"/>
      <c r="R1919" s="35"/>
      <c r="S1919" s="35"/>
      <c r="T1919" s="35"/>
      <c r="U1919" s="35"/>
      <c r="V1919" s="35"/>
      <c r="W1919" s="35"/>
      <c r="X1919" s="35"/>
      <c r="Y1919" s="35"/>
      <c r="Z1919" s="35"/>
      <c r="AA1919" s="35"/>
      <c r="AB1919" s="35"/>
      <c r="AC1919" s="35"/>
      <c r="AD1919" s="35"/>
      <c r="AE1919" s="35"/>
      <c r="AF1919" s="35"/>
      <c r="AG1919" s="35"/>
      <c r="AH1919" s="35"/>
      <c r="AI1919" s="35"/>
      <c r="AJ1919" s="35"/>
      <c r="AK1919" s="35"/>
      <c r="AL1919" s="35"/>
      <c r="AM1919" s="35"/>
      <c r="AN1919" s="35"/>
      <c r="AO1919" s="35"/>
      <c r="AP1919" s="35"/>
    </row>
    <row r="1920" spans="1:42" ht="17.25" customHeight="1" x14ac:dyDescent="0.25">
      <c r="A1920" s="55">
        <v>2020</v>
      </c>
      <c r="B1920" s="56" t="s">
        <v>66</v>
      </c>
      <c r="C1920" s="56" t="s">
        <v>27</v>
      </c>
      <c r="D1920" s="56" t="s">
        <v>32</v>
      </c>
      <c r="E1920" s="56" t="s">
        <v>69</v>
      </c>
      <c r="F1920" s="56" t="s">
        <v>70</v>
      </c>
      <c r="G1920" s="57">
        <v>2720525237</v>
      </c>
      <c r="H1920" s="56" t="s">
        <v>68</v>
      </c>
      <c r="I1920" s="58" t="str">
        <f t="shared" si="135"/>
        <v>Spain-Online Supplier-Direct</v>
      </c>
      <c r="J1920" s="40"/>
      <c r="K1920" s="59"/>
      <c r="L1920" s="35"/>
      <c r="M1920" s="35"/>
      <c r="N1920" s="35"/>
      <c r="O1920" s="35"/>
      <c r="P1920" s="35"/>
      <c r="Q1920" s="35"/>
      <c r="R1920" s="35"/>
      <c r="S1920" s="35"/>
      <c r="T1920" s="35"/>
      <c r="U1920" s="35"/>
      <c r="V1920" s="35"/>
      <c r="W1920" s="35"/>
      <c r="X1920" s="35"/>
      <c r="Y1920" s="35"/>
      <c r="Z1920" s="35"/>
      <c r="AA1920" s="35"/>
      <c r="AB1920" s="35"/>
      <c r="AC1920" s="35"/>
      <c r="AD1920" s="35"/>
      <c r="AE1920" s="35"/>
      <c r="AF1920" s="35"/>
      <c r="AG1920" s="35"/>
      <c r="AH1920" s="35"/>
      <c r="AI1920" s="35"/>
      <c r="AJ1920" s="35"/>
      <c r="AK1920" s="35"/>
      <c r="AL1920" s="35"/>
      <c r="AM1920" s="35"/>
      <c r="AN1920" s="35"/>
      <c r="AO1920" s="35"/>
      <c r="AP1920" s="35"/>
    </row>
    <row r="1921" spans="1:42" ht="17.25" customHeight="1" x14ac:dyDescent="0.25">
      <c r="A1921" s="60">
        <v>2020</v>
      </c>
      <c r="B1921" s="61" t="s">
        <v>66</v>
      </c>
      <c r="C1921" s="61" t="s">
        <v>27</v>
      </c>
      <c r="D1921" s="61" t="s">
        <v>32</v>
      </c>
      <c r="E1921" s="61" t="s">
        <v>69</v>
      </c>
      <c r="F1921" s="61" t="s">
        <v>71</v>
      </c>
      <c r="G1921" s="62">
        <v>1998145396</v>
      </c>
      <c r="H1921" s="61" t="s">
        <v>68</v>
      </c>
      <c r="I1921" s="63" t="str">
        <f t="shared" si="135"/>
        <v>Spain-OTA</v>
      </c>
      <c r="J1921" s="47"/>
      <c r="K1921" s="54"/>
      <c r="L1921" s="35"/>
      <c r="M1921" s="35"/>
      <c r="N1921" s="35"/>
      <c r="O1921" s="35"/>
      <c r="P1921" s="35"/>
      <c r="Q1921" s="35"/>
      <c r="R1921" s="35"/>
      <c r="S1921" s="35"/>
      <c r="T1921" s="35"/>
      <c r="U1921" s="35"/>
      <c r="V1921" s="35"/>
      <c r="W1921" s="35"/>
      <c r="X1921" s="35"/>
      <c r="Y1921" s="35"/>
      <c r="Z1921" s="35"/>
      <c r="AA1921" s="35"/>
      <c r="AB1921" s="35"/>
      <c r="AC1921" s="35"/>
      <c r="AD1921" s="35"/>
      <c r="AE1921" s="35"/>
      <c r="AF1921" s="35"/>
      <c r="AG1921" s="35"/>
      <c r="AH1921" s="35"/>
      <c r="AI1921" s="35"/>
      <c r="AJ1921" s="35"/>
      <c r="AK1921" s="35"/>
      <c r="AL1921" s="35"/>
      <c r="AM1921" s="35"/>
      <c r="AN1921" s="35"/>
      <c r="AO1921" s="35"/>
      <c r="AP1921" s="35"/>
    </row>
    <row r="1922" spans="1:42" ht="17.25" customHeight="1" x14ac:dyDescent="0.25">
      <c r="A1922" s="55">
        <v>2020</v>
      </c>
      <c r="B1922" s="56" t="s">
        <v>66</v>
      </c>
      <c r="C1922" s="56" t="s">
        <v>4</v>
      </c>
      <c r="D1922" s="56" t="s">
        <v>14</v>
      </c>
      <c r="E1922" s="56" t="s">
        <v>67</v>
      </c>
      <c r="F1922" s="56" t="s">
        <v>67</v>
      </c>
      <c r="G1922" s="57">
        <v>3644935232</v>
      </c>
      <c r="H1922" s="56" t="s">
        <v>68</v>
      </c>
      <c r="I1922" s="58" t="str">
        <f t="shared" si="135"/>
        <v>Taiwan-Offline</v>
      </c>
      <c r="J1922" s="40"/>
      <c r="K1922" s="59"/>
      <c r="L1922" s="35"/>
      <c r="M1922" s="35"/>
      <c r="N1922" s="35"/>
      <c r="O1922" s="35"/>
      <c r="P1922" s="35"/>
      <c r="Q1922" s="35"/>
      <c r="R1922" s="35"/>
      <c r="S1922" s="35"/>
      <c r="T1922" s="35"/>
      <c r="U1922" s="35"/>
      <c r="V1922" s="35"/>
      <c r="W1922" s="35"/>
      <c r="X1922" s="35"/>
      <c r="Y1922" s="35"/>
      <c r="Z1922" s="35"/>
      <c r="AA1922" s="35"/>
      <c r="AB1922" s="35"/>
      <c r="AC1922" s="35"/>
      <c r="AD1922" s="35"/>
      <c r="AE1922" s="35"/>
      <c r="AF1922" s="35"/>
      <c r="AG1922" s="35"/>
      <c r="AH1922" s="35"/>
      <c r="AI1922" s="35"/>
      <c r="AJ1922" s="35"/>
      <c r="AK1922" s="35"/>
      <c r="AL1922" s="35"/>
      <c r="AM1922" s="35"/>
      <c r="AN1922" s="35"/>
      <c r="AO1922" s="35"/>
      <c r="AP1922" s="35"/>
    </row>
    <row r="1923" spans="1:42" ht="17.25" customHeight="1" x14ac:dyDescent="0.25">
      <c r="A1923" s="60">
        <v>2020</v>
      </c>
      <c r="B1923" s="61" t="s">
        <v>66</v>
      </c>
      <c r="C1923" s="61" t="s">
        <v>4</v>
      </c>
      <c r="D1923" s="61" t="s">
        <v>14</v>
      </c>
      <c r="E1923" s="61" t="s">
        <v>69</v>
      </c>
      <c r="F1923" s="61" t="s">
        <v>70</v>
      </c>
      <c r="G1923" s="62">
        <v>1505303356</v>
      </c>
      <c r="H1923" s="61" t="s">
        <v>68</v>
      </c>
      <c r="I1923" s="63" t="str">
        <f t="shared" si="135"/>
        <v>Taiwan-Online Supplier-Direct</v>
      </c>
      <c r="J1923" s="47"/>
      <c r="K1923" s="54"/>
      <c r="L1923" s="35"/>
      <c r="M1923" s="35"/>
      <c r="N1923" s="35"/>
      <c r="O1923" s="35"/>
      <c r="P1923" s="35"/>
      <c r="Q1923" s="35"/>
      <c r="R1923" s="35"/>
      <c r="S1923" s="35"/>
      <c r="T1923" s="35"/>
      <c r="U1923" s="35"/>
      <c r="V1923" s="35"/>
      <c r="W1923" s="35"/>
      <c r="X1923" s="35"/>
      <c r="Y1923" s="35"/>
      <c r="Z1923" s="35"/>
      <c r="AA1923" s="35"/>
      <c r="AB1923" s="35"/>
      <c r="AC1923" s="35"/>
      <c r="AD1923" s="35"/>
      <c r="AE1923" s="35"/>
      <c r="AF1923" s="35"/>
      <c r="AG1923" s="35"/>
      <c r="AH1923" s="35"/>
      <c r="AI1923" s="35"/>
      <c r="AJ1923" s="35"/>
      <c r="AK1923" s="35"/>
      <c r="AL1923" s="35"/>
      <c r="AM1923" s="35"/>
      <c r="AN1923" s="35"/>
      <c r="AO1923" s="35"/>
      <c r="AP1923" s="35"/>
    </row>
    <row r="1924" spans="1:42" ht="17.25" customHeight="1" x14ac:dyDescent="0.25">
      <c r="A1924" s="55">
        <v>2020</v>
      </c>
      <c r="B1924" s="56" t="s">
        <v>66</v>
      </c>
      <c r="C1924" s="56" t="s">
        <v>4</v>
      </c>
      <c r="D1924" s="56" t="s">
        <v>14</v>
      </c>
      <c r="E1924" s="56" t="s">
        <v>69</v>
      </c>
      <c r="F1924" s="56" t="s">
        <v>71</v>
      </c>
      <c r="G1924" s="57">
        <v>612097221</v>
      </c>
      <c r="H1924" s="56" t="s">
        <v>68</v>
      </c>
      <c r="I1924" s="58" t="str">
        <f t="shared" si="135"/>
        <v>Taiwan-OTA</v>
      </c>
      <c r="J1924" s="40"/>
      <c r="K1924" s="59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  <c r="AG1924" s="35"/>
      <c r="AH1924" s="35"/>
      <c r="AI1924" s="35"/>
      <c r="AJ1924" s="35"/>
      <c r="AK1924" s="35"/>
      <c r="AL1924" s="35"/>
      <c r="AM1924" s="35"/>
      <c r="AN1924" s="35"/>
      <c r="AO1924" s="35"/>
      <c r="AP1924" s="35"/>
    </row>
    <row r="1925" spans="1:42" ht="17.25" customHeight="1" x14ac:dyDescent="0.25">
      <c r="A1925" s="60">
        <v>2020</v>
      </c>
      <c r="B1925" s="61" t="s">
        <v>66</v>
      </c>
      <c r="C1925" s="61" t="s">
        <v>4</v>
      </c>
      <c r="D1925" s="61" t="s">
        <v>15</v>
      </c>
      <c r="E1925" s="61" t="s">
        <v>67</v>
      </c>
      <c r="F1925" s="61" t="s">
        <v>67</v>
      </c>
      <c r="G1925" s="62">
        <v>2875625670</v>
      </c>
      <c r="H1925" s="61" t="s">
        <v>68</v>
      </c>
      <c r="I1925" s="63" t="str">
        <f t="shared" si="135"/>
        <v>Thailand-Offline</v>
      </c>
      <c r="J1925" s="47"/>
      <c r="K1925" s="54"/>
      <c r="L1925" s="35"/>
      <c r="M1925" s="35"/>
      <c r="N1925" s="35"/>
      <c r="O1925" s="35"/>
      <c r="P1925" s="35"/>
      <c r="Q1925" s="35"/>
      <c r="R1925" s="35"/>
      <c r="S1925" s="35"/>
      <c r="T1925" s="35"/>
      <c r="U1925" s="35"/>
      <c r="V1925" s="35"/>
      <c r="W1925" s="35"/>
      <c r="X1925" s="35"/>
      <c r="Y1925" s="35"/>
      <c r="Z1925" s="35"/>
      <c r="AA1925" s="35"/>
      <c r="AB1925" s="35"/>
      <c r="AC1925" s="35"/>
      <c r="AD1925" s="35"/>
      <c r="AE1925" s="35"/>
      <c r="AF1925" s="35"/>
      <c r="AG1925" s="35"/>
      <c r="AH1925" s="35"/>
      <c r="AI1925" s="35"/>
      <c r="AJ1925" s="35"/>
      <c r="AK1925" s="35"/>
      <c r="AL1925" s="35"/>
      <c r="AM1925" s="35"/>
      <c r="AN1925" s="35"/>
      <c r="AO1925" s="35"/>
      <c r="AP1925" s="35"/>
    </row>
    <row r="1926" spans="1:42" ht="17.25" customHeight="1" x14ac:dyDescent="0.25">
      <c r="A1926" s="55">
        <v>2020</v>
      </c>
      <c r="B1926" s="56" t="s">
        <v>66</v>
      </c>
      <c r="C1926" s="56" t="s">
        <v>4</v>
      </c>
      <c r="D1926" s="56" t="s">
        <v>15</v>
      </c>
      <c r="E1926" s="56" t="s">
        <v>69</v>
      </c>
      <c r="F1926" s="56" t="s">
        <v>70</v>
      </c>
      <c r="G1926" s="57">
        <v>596957997</v>
      </c>
      <c r="H1926" s="56" t="s">
        <v>68</v>
      </c>
      <c r="I1926" s="58" t="str">
        <f t="shared" si="135"/>
        <v>Thailand-Online Supplier-Direct</v>
      </c>
      <c r="J1926" s="40"/>
      <c r="K1926" s="59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  <c r="AG1926" s="35"/>
      <c r="AH1926" s="35"/>
      <c r="AI1926" s="35"/>
      <c r="AJ1926" s="35"/>
      <c r="AK1926" s="35"/>
      <c r="AL1926" s="35"/>
      <c r="AM1926" s="35"/>
      <c r="AN1926" s="35"/>
      <c r="AO1926" s="35"/>
      <c r="AP1926" s="35"/>
    </row>
    <row r="1927" spans="1:42" ht="17.25" customHeight="1" x14ac:dyDescent="0.25">
      <c r="A1927" s="60">
        <v>2020</v>
      </c>
      <c r="B1927" s="61" t="s">
        <v>66</v>
      </c>
      <c r="C1927" s="61" t="s">
        <v>4</v>
      </c>
      <c r="D1927" s="61" t="s">
        <v>15</v>
      </c>
      <c r="E1927" s="61" t="s">
        <v>69</v>
      </c>
      <c r="F1927" s="61" t="s">
        <v>71</v>
      </c>
      <c r="G1927" s="62">
        <v>1300086163</v>
      </c>
      <c r="H1927" s="61" t="s">
        <v>68</v>
      </c>
      <c r="I1927" s="63" t="str">
        <f t="shared" si="135"/>
        <v>Thailand-OTA</v>
      </c>
      <c r="J1927" s="47"/>
      <c r="K1927" s="54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  <c r="AG1927" s="35"/>
      <c r="AH1927" s="35"/>
      <c r="AI1927" s="35"/>
      <c r="AJ1927" s="35"/>
      <c r="AK1927" s="35"/>
      <c r="AL1927" s="35"/>
      <c r="AM1927" s="35"/>
      <c r="AN1927" s="35"/>
      <c r="AO1927" s="35"/>
      <c r="AP1927" s="35"/>
    </row>
    <row r="1928" spans="1:42" ht="17.25" customHeight="1" x14ac:dyDescent="0.25">
      <c r="A1928" s="55">
        <v>2020</v>
      </c>
      <c r="B1928" s="56" t="s">
        <v>66</v>
      </c>
      <c r="C1928" s="56" t="s">
        <v>41</v>
      </c>
      <c r="D1928" s="56" t="s">
        <v>45</v>
      </c>
      <c r="E1928" s="56" t="s">
        <v>67</v>
      </c>
      <c r="F1928" s="56" t="s">
        <v>67</v>
      </c>
      <c r="G1928" s="57">
        <v>5675723168</v>
      </c>
      <c r="H1928" s="56" t="s">
        <v>68</v>
      </c>
      <c r="I1928" s="58" t="str">
        <f t="shared" si="135"/>
        <v>U.A.E.-Offline</v>
      </c>
      <c r="J1928" s="40"/>
      <c r="K1928" s="59"/>
      <c r="L1928" s="35"/>
      <c r="M1928" s="35"/>
      <c r="N1928" s="35"/>
      <c r="O1928" s="35"/>
      <c r="P1928" s="35"/>
      <c r="Q1928" s="35"/>
      <c r="R1928" s="35"/>
      <c r="S1928" s="35"/>
      <c r="T1928" s="35"/>
      <c r="U1928" s="35"/>
      <c r="V1928" s="35"/>
      <c r="W1928" s="35"/>
      <c r="X1928" s="35"/>
      <c r="Y1928" s="35"/>
      <c r="Z1928" s="35"/>
      <c r="AA1928" s="35"/>
      <c r="AB1928" s="35"/>
      <c r="AC1928" s="35"/>
      <c r="AD1928" s="35"/>
      <c r="AE1928" s="35"/>
      <c r="AF1928" s="35"/>
      <c r="AG1928" s="35"/>
      <c r="AH1928" s="35"/>
      <c r="AI1928" s="35"/>
      <c r="AJ1928" s="35"/>
      <c r="AK1928" s="35"/>
      <c r="AL1928" s="35"/>
      <c r="AM1928" s="35"/>
      <c r="AN1928" s="35"/>
      <c r="AO1928" s="35"/>
      <c r="AP1928" s="35"/>
    </row>
    <row r="1929" spans="1:42" ht="17.25" customHeight="1" x14ac:dyDescent="0.25">
      <c r="A1929" s="60">
        <v>2020</v>
      </c>
      <c r="B1929" s="61" t="s">
        <v>66</v>
      </c>
      <c r="C1929" s="61" t="s">
        <v>41</v>
      </c>
      <c r="D1929" s="61" t="s">
        <v>45</v>
      </c>
      <c r="E1929" s="61" t="s">
        <v>69</v>
      </c>
      <c r="F1929" s="61" t="s">
        <v>70</v>
      </c>
      <c r="G1929" s="62">
        <v>2670271671</v>
      </c>
      <c r="H1929" s="61" t="s">
        <v>68</v>
      </c>
      <c r="I1929" s="63" t="str">
        <f t="shared" si="135"/>
        <v>U.A.E.-Online Supplier-Direct</v>
      </c>
      <c r="J1929" s="47"/>
      <c r="K1929" s="54"/>
      <c r="L1929" s="35"/>
      <c r="M1929" s="35"/>
      <c r="N1929" s="35"/>
      <c r="O1929" s="35"/>
      <c r="P1929" s="35"/>
      <c r="Q1929" s="35"/>
      <c r="R1929" s="35"/>
      <c r="S1929" s="35"/>
      <c r="T1929" s="35"/>
      <c r="U1929" s="35"/>
      <c r="V1929" s="35"/>
      <c r="W1929" s="35"/>
      <c r="X1929" s="35"/>
      <c r="Y1929" s="35"/>
      <c r="Z1929" s="35"/>
      <c r="AA1929" s="35"/>
      <c r="AB1929" s="35"/>
      <c r="AC1929" s="35"/>
      <c r="AD1929" s="35"/>
      <c r="AE1929" s="35"/>
      <c r="AF1929" s="35"/>
      <c r="AG1929" s="35"/>
      <c r="AH1929" s="35"/>
      <c r="AI1929" s="35"/>
      <c r="AJ1929" s="35"/>
      <c r="AK1929" s="35"/>
      <c r="AL1929" s="35"/>
      <c r="AM1929" s="35"/>
      <c r="AN1929" s="35"/>
      <c r="AO1929" s="35"/>
      <c r="AP1929" s="35"/>
    </row>
    <row r="1930" spans="1:42" ht="17.25" customHeight="1" x14ac:dyDescent="0.25">
      <c r="A1930" s="55">
        <v>2020</v>
      </c>
      <c r="B1930" s="56" t="s">
        <v>66</v>
      </c>
      <c r="C1930" s="56" t="s">
        <v>41</v>
      </c>
      <c r="D1930" s="56" t="s">
        <v>45</v>
      </c>
      <c r="E1930" s="56" t="s">
        <v>69</v>
      </c>
      <c r="F1930" s="56" t="s">
        <v>71</v>
      </c>
      <c r="G1930" s="57">
        <v>1881261588</v>
      </c>
      <c r="H1930" s="56" t="s">
        <v>68</v>
      </c>
      <c r="I1930" s="58" t="str">
        <f t="shared" si="135"/>
        <v>U.A.E.-OTA</v>
      </c>
      <c r="J1930" s="40"/>
      <c r="K1930" s="59"/>
      <c r="L1930" s="35"/>
      <c r="M1930" s="35"/>
      <c r="N1930" s="35"/>
      <c r="O1930" s="35"/>
      <c r="P1930" s="35"/>
      <c r="Q1930" s="35"/>
      <c r="R1930" s="35"/>
      <c r="S1930" s="35"/>
      <c r="T1930" s="35"/>
      <c r="U1930" s="35"/>
      <c r="V1930" s="35"/>
      <c r="W1930" s="35"/>
      <c r="X1930" s="35"/>
      <c r="Y1930" s="35"/>
      <c r="Z1930" s="35"/>
      <c r="AA1930" s="35"/>
      <c r="AB1930" s="35"/>
      <c r="AC1930" s="35"/>
      <c r="AD1930" s="35"/>
      <c r="AE1930" s="35"/>
      <c r="AF1930" s="35"/>
      <c r="AG1930" s="35"/>
      <c r="AH1930" s="35"/>
      <c r="AI1930" s="35"/>
      <c r="AJ1930" s="35"/>
      <c r="AK1930" s="35"/>
      <c r="AL1930" s="35"/>
      <c r="AM1930" s="35"/>
      <c r="AN1930" s="35"/>
      <c r="AO1930" s="35"/>
      <c r="AP1930" s="35"/>
    </row>
    <row r="1931" spans="1:42" ht="17.25" customHeight="1" x14ac:dyDescent="0.25">
      <c r="A1931" s="60">
        <v>2020</v>
      </c>
      <c r="B1931" s="61" t="s">
        <v>66</v>
      </c>
      <c r="C1931" s="61" t="s">
        <v>27</v>
      </c>
      <c r="D1931" s="61" t="s">
        <v>33</v>
      </c>
      <c r="E1931" s="61" t="s">
        <v>67</v>
      </c>
      <c r="F1931" s="61" t="s">
        <v>67</v>
      </c>
      <c r="G1931" s="62">
        <v>4836007759</v>
      </c>
      <c r="H1931" s="61" t="s">
        <v>68</v>
      </c>
      <c r="I1931" s="63" t="str">
        <f t="shared" si="135"/>
        <v>U.K.-Offline</v>
      </c>
      <c r="J1931" s="47"/>
      <c r="K1931" s="54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  <c r="AG1931" s="35"/>
      <c r="AH1931" s="35"/>
      <c r="AI1931" s="35"/>
      <c r="AJ1931" s="35"/>
      <c r="AK1931" s="35"/>
      <c r="AL1931" s="35"/>
      <c r="AM1931" s="35"/>
      <c r="AN1931" s="35"/>
      <c r="AO1931" s="35"/>
      <c r="AP1931" s="35"/>
    </row>
    <row r="1932" spans="1:42" ht="17.25" customHeight="1" x14ac:dyDescent="0.25">
      <c r="A1932" s="55">
        <v>2020</v>
      </c>
      <c r="B1932" s="56" t="s">
        <v>66</v>
      </c>
      <c r="C1932" s="56" t="s">
        <v>27</v>
      </c>
      <c r="D1932" s="56" t="s">
        <v>33</v>
      </c>
      <c r="E1932" s="56" t="s">
        <v>69</v>
      </c>
      <c r="F1932" s="56" t="s">
        <v>70</v>
      </c>
      <c r="G1932" s="57">
        <v>10330874825</v>
      </c>
      <c r="H1932" s="56" t="s">
        <v>68</v>
      </c>
      <c r="I1932" s="58" t="str">
        <f t="shared" si="135"/>
        <v>U.K.-Online Supplier-Direct</v>
      </c>
      <c r="J1932" s="40"/>
      <c r="K1932" s="59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  <c r="AG1932" s="35"/>
      <c r="AH1932" s="35"/>
      <c r="AI1932" s="35"/>
      <c r="AJ1932" s="35"/>
      <c r="AK1932" s="35"/>
      <c r="AL1932" s="35"/>
      <c r="AM1932" s="35"/>
      <c r="AN1932" s="35"/>
      <c r="AO1932" s="35"/>
      <c r="AP1932" s="35"/>
    </row>
    <row r="1933" spans="1:42" ht="17.25" customHeight="1" x14ac:dyDescent="0.25">
      <c r="A1933" s="60">
        <v>2020</v>
      </c>
      <c r="B1933" s="61" t="s">
        <v>66</v>
      </c>
      <c r="C1933" s="61" t="s">
        <v>27</v>
      </c>
      <c r="D1933" s="61" t="s">
        <v>33</v>
      </c>
      <c r="E1933" s="61" t="s">
        <v>69</v>
      </c>
      <c r="F1933" s="61" t="s">
        <v>71</v>
      </c>
      <c r="G1933" s="62">
        <v>3384883757</v>
      </c>
      <c r="H1933" s="61" t="s">
        <v>68</v>
      </c>
      <c r="I1933" s="63" t="str">
        <f t="shared" si="135"/>
        <v>U.K.-OTA</v>
      </c>
      <c r="J1933" s="47"/>
      <c r="K1933" s="54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  <c r="AG1933" s="35"/>
      <c r="AH1933" s="35"/>
      <c r="AI1933" s="35"/>
      <c r="AJ1933" s="35"/>
      <c r="AK1933" s="35"/>
      <c r="AL1933" s="35"/>
      <c r="AM1933" s="35"/>
      <c r="AN1933" s="35"/>
      <c r="AO1933" s="35"/>
      <c r="AP1933" s="35"/>
    </row>
    <row r="1934" spans="1:42" ht="17.25" customHeight="1" x14ac:dyDescent="0.25">
      <c r="A1934" s="55">
        <v>2020</v>
      </c>
      <c r="B1934" s="56" t="s">
        <v>66</v>
      </c>
      <c r="C1934" s="56" t="s">
        <v>47</v>
      </c>
      <c r="D1934" s="56" t="s">
        <v>48</v>
      </c>
      <c r="E1934" s="56" t="s">
        <v>72</v>
      </c>
      <c r="F1934" s="56" t="s">
        <v>73</v>
      </c>
      <c r="G1934" s="57">
        <v>44143412023</v>
      </c>
      <c r="H1934" s="56" t="s">
        <v>68</v>
      </c>
      <c r="I1934" s="58" t="str">
        <f t="shared" si="135"/>
        <v>U.S.-Central Reservation</v>
      </c>
      <c r="J1934" s="40"/>
      <c r="K1934" s="59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  <c r="AG1934" s="35"/>
      <c r="AH1934" s="35"/>
      <c r="AI1934" s="35"/>
      <c r="AJ1934" s="35"/>
      <c r="AK1934" s="35"/>
      <c r="AL1934" s="35"/>
      <c r="AM1934" s="35"/>
      <c r="AN1934" s="35"/>
      <c r="AO1934" s="35"/>
      <c r="AP1934" s="35"/>
    </row>
    <row r="1935" spans="1:42" ht="17.25" customHeight="1" x14ac:dyDescent="0.25">
      <c r="A1935" s="60">
        <v>2020</v>
      </c>
      <c r="B1935" s="61" t="s">
        <v>66</v>
      </c>
      <c r="C1935" s="61" t="s">
        <v>47</v>
      </c>
      <c r="D1935" s="61" t="s">
        <v>48</v>
      </c>
      <c r="E1935" s="61" t="s">
        <v>67</v>
      </c>
      <c r="F1935" s="61" t="s">
        <v>74</v>
      </c>
      <c r="G1935" s="62">
        <v>24664446105</v>
      </c>
      <c r="H1935" s="61" t="s">
        <v>68</v>
      </c>
      <c r="I1935" s="63" t="str">
        <f t="shared" si="135"/>
        <v>U.S.-Travel Agency/TMC</v>
      </c>
      <c r="J1935" s="47"/>
      <c r="K1935" s="54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  <c r="AG1935" s="35"/>
      <c r="AH1935" s="35"/>
      <c r="AI1935" s="35"/>
      <c r="AJ1935" s="35"/>
      <c r="AK1935" s="35"/>
      <c r="AL1935" s="35"/>
      <c r="AM1935" s="35"/>
      <c r="AN1935" s="35"/>
      <c r="AO1935" s="35"/>
      <c r="AP1935" s="35"/>
    </row>
    <row r="1936" spans="1:42" ht="17.25" customHeight="1" x14ac:dyDescent="0.25">
      <c r="A1936" s="55">
        <v>2020</v>
      </c>
      <c r="B1936" s="56" t="s">
        <v>66</v>
      </c>
      <c r="C1936" s="56" t="s">
        <v>47</v>
      </c>
      <c r="D1936" s="56" t="s">
        <v>48</v>
      </c>
      <c r="E1936" s="56" t="s">
        <v>69</v>
      </c>
      <c r="F1936" s="56" t="s">
        <v>70</v>
      </c>
      <c r="G1936" s="57">
        <v>62525117593</v>
      </c>
      <c r="H1936" s="56" t="s">
        <v>68</v>
      </c>
      <c r="I1936" s="58" t="str">
        <f t="shared" si="135"/>
        <v>U.S.-Online Supplier-Direct</v>
      </c>
      <c r="J1936" s="40"/>
      <c r="K1936" s="59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  <c r="AG1936" s="35"/>
      <c r="AH1936" s="35"/>
      <c r="AI1936" s="35"/>
      <c r="AJ1936" s="35"/>
      <c r="AK1936" s="35"/>
      <c r="AL1936" s="35"/>
      <c r="AM1936" s="35"/>
      <c r="AN1936" s="35"/>
      <c r="AO1936" s="35"/>
      <c r="AP1936" s="35"/>
    </row>
    <row r="1937" spans="1:42" ht="17.25" customHeight="1" x14ac:dyDescent="0.25">
      <c r="A1937" s="60">
        <v>2020</v>
      </c>
      <c r="B1937" s="61" t="s">
        <v>66</v>
      </c>
      <c r="C1937" s="61" t="s">
        <v>47</v>
      </c>
      <c r="D1937" s="61" t="s">
        <v>48</v>
      </c>
      <c r="E1937" s="61" t="s">
        <v>69</v>
      </c>
      <c r="F1937" s="61" t="s">
        <v>71</v>
      </c>
      <c r="G1937" s="62">
        <v>31882971871</v>
      </c>
      <c r="H1937" s="61" t="s">
        <v>68</v>
      </c>
      <c r="I1937" s="63" t="str">
        <f t="shared" si="135"/>
        <v>U.S.-OTA</v>
      </c>
      <c r="J1937" s="47"/>
      <c r="K1937" s="54"/>
      <c r="L1937" s="35"/>
      <c r="M1937" s="35"/>
      <c r="N1937" s="35"/>
      <c r="O1937" s="35"/>
      <c r="P1937" s="35"/>
      <c r="Q1937" s="35"/>
      <c r="R1937" s="35"/>
      <c r="S1937" s="35"/>
      <c r="T1937" s="35"/>
      <c r="U1937" s="35"/>
      <c r="V1937" s="35"/>
      <c r="W1937" s="35"/>
      <c r="X1937" s="35"/>
      <c r="Y1937" s="35"/>
      <c r="Z1937" s="35"/>
      <c r="AA1937" s="35"/>
      <c r="AB1937" s="35"/>
      <c r="AC1937" s="35"/>
      <c r="AD1937" s="35"/>
      <c r="AE1937" s="35"/>
      <c r="AF1937" s="35"/>
      <c r="AG1937" s="35"/>
      <c r="AH1937" s="35"/>
      <c r="AI1937" s="35"/>
      <c r="AJ1937" s="35"/>
      <c r="AK1937" s="35"/>
      <c r="AL1937" s="35"/>
      <c r="AM1937" s="35"/>
      <c r="AN1937" s="35"/>
      <c r="AO1937" s="35"/>
      <c r="AP1937" s="35"/>
    </row>
    <row r="1938" spans="1:42" ht="17.25" customHeight="1" x14ac:dyDescent="0.25">
      <c r="A1938" s="55">
        <v>2020</v>
      </c>
      <c r="B1938" s="56" t="s">
        <v>66</v>
      </c>
      <c r="C1938" s="56" t="s">
        <v>17</v>
      </c>
      <c r="D1938" s="56" t="s">
        <v>25</v>
      </c>
      <c r="E1938" s="56" t="s">
        <v>67</v>
      </c>
      <c r="F1938" s="56" t="s">
        <v>67</v>
      </c>
      <c r="G1938" s="57">
        <v>802707917</v>
      </c>
      <c r="H1938" s="56" t="s">
        <v>68</v>
      </c>
      <c r="I1938" s="58" t="str">
        <f t="shared" si="135"/>
        <v>Ukraine-Offline</v>
      </c>
      <c r="J1938" s="40"/>
      <c r="K1938" s="59"/>
      <c r="L1938" s="35"/>
      <c r="M1938" s="35"/>
      <c r="N1938" s="35"/>
      <c r="O1938" s="35"/>
      <c r="P1938" s="35"/>
      <c r="Q1938" s="35"/>
      <c r="R1938" s="35"/>
      <c r="S1938" s="35"/>
      <c r="T1938" s="35"/>
      <c r="U1938" s="35"/>
      <c r="V1938" s="35"/>
      <c r="W1938" s="35"/>
      <c r="X1938" s="35"/>
      <c r="Y1938" s="35"/>
      <c r="Z1938" s="35"/>
      <c r="AA1938" s="35"/>
      <c r="AB1938" s="35"/>
      <c r="AC1938" s="35"/>
      <c r="AD1938" s="35"/>
      <c r="AE1938" s="35"/>
      <c r="AF1938" s="35"/>
      <c r="AG1938" s="35"/>
      <c r="AH1938" s="35"/>
      <c r="AI1938" s="35"/>
      <c r="AJ1938" s="35"/>
      <c r="AK1938" s="35"/>
      <c r="AL1938" s="35"/>
      <c r="AM1938" s="35"/>
      <c r="AN1938" s="35"/>
      <c r="AO1938" s="35"/>
      <c r="AP1938" s="35"/>
    </row>
    <row r="1939" spans="1:42" ht="17.25" customHeight="1" x14ac:dyDescent="0.25">
      <c r="A1939" s="60">
        <v>2020</v>
      </c>
      <c r="B1939" s="61" t="s">
        <v>66</v>
      </c>
      <c r="C1939" s="61" t="s">
        <v>17</v>
      </c>
      <c r="D1939" s="61" t="s">
        <v>25</v>
      </c>
      <c r="E1939" s="61" t="s">
        <v>69</v>
      </c>
      <c r="F1939" s="61" t="s">
        <v>70</v>
      </c>
      <c r="G1939" s="62">
        <v>227954034</v>
      </c>
      <c r="H1939" s="61" t="s">
        <v>68</v>
      </c>
      <c r="I1939" s="63" t="str">
        <f t="shared" si="135"/>
        <v>Ukraine-Online Supplier-Direct</v>
      </c>
      <c r="J1939" s="47"/>
      <c r="K1939" s="54"/>
      <c r="L1939" s="35"/>
      <c r="M1939" s="35"/>
      <c r="N1939" s="35"/>
      <c r="O1939" s="35"/>
      <c r="P1939" s="35"/>
      <c r="Q1939" s="35"/>
      <c r="R1939" s="35"/>
      <c r="S1939" s="35"/>
      <c r="T1939" s="35"/>
      <c r="U1939" s="35"/>
      <c r="V1939" s="35"/>
      <c r="W1939" s="35"/>
      <c r="X1939" s="35"/>
      <c r="Y1939" s="35"/>
      <c r="Z1939" s="35"/>
      <c r="AA1939" s="35"/>
      <c r="AB1939" s="35"/>
      <c r="AC1939" s="35"/>
      <c r="AD1939" s="35"/>
      <c r="AE1939" s="35"/>
      <c r="AF1939" s="35"/>
      <c r="AG1939" s="35"/>
      <c r="AH1939" s="35"/>
      <c r="AI1939" s="35"/>
      <c r="AJ1939" s="35"/>
      <c r="AK1939" s="35"/>
      <c r="AL1939" s="35"/>
      <c r="AM1939" s="35"/>
      <c r="AN1939" s="35"/>
      <c r="AO1939" s="35"/>
      <c r="AP1939" s="35"/>
    </row>
    <row r="1940" spans="1:42" ht="17.25" customHeight="1" x14ac:dyDescent="0.25">
      <c r="A1940" s="55">
        <v>2020</v>
      </c>
      <c r="B1940" s="56" t="s">
        <v>66</v>
      </c>
      <c r="C1940" s="56" t="s">
        <v>17</v>
      </c>
      <c r="D1940" s="56" t="s">
        <v>25</v>
      </c>
      <c r="E1940" s="56" t="s">
        <v>69</v>
      </c>
      <c r="F1940" s="56" t="s">
        <v>71</v>
      </c>
      <c r="G1940" s="57">
        <v>260669162</v>
      </c>
      <c r="H1940" s="56" t="s">
        <v>68</v>
      </c>
      <c r="I1940" s="58" t="str">
        <f t="shared" si="135"/>
        <v>Ukraine-OTA</v>
      </c>
      <c r="J1940" s="40"/>
      <c r="K1940" s="59"/>
      <c r="L1940" s="35"/>
      <c r="M1940" s="35"/>
      <c r="N1940" s="35"/>
      <c r="O1940" s="35"/>
      <c r="P1940" s="35"/>
      <c r="Q1940" s="35"/>
      <c r="R1940" s="35"/>
      <c r="S1940" s="35"/>
      <c r="T1940" s="35"/>
      <c r="U1940" s="35"/>
      <c r="V1940" s="35"/>
      <c r="W1940" s="35"/>
      <c r="X1940" s="35"/>
      <c r="Y1940" s="35"/>
      <c r="Z1940" s="35"/>
      <c r="AA1940" s="35"/>
      <c r="AB1940" s="35"/>
      <c r="AC1940" s="35"/>
      <c r="AD1940" s="35"/>
      <c r="AE1940" s="35"/>
      <c r="AF1940" s="35"/>
      <c r="AG1940" s="35"/>
      <c r="AH1940" s="35"/>
      <c r="AI1940" s="35"/>
      <c r="AJ1940" s="35"/>
      <c r="AK1940" s="35"/>
      <c r="AL1940" s="35"/>
      <c r="AM1940" s="35"/>
      <c r="AN1940" s="35"/>
      <c r="AO1940" s="35"/>
      <c r="AP1940" s="35"/>
    </row>
    <row r="1941" spans="1:42" ht="17.25" customHeight="1" x14ac:dyDescent="0.25">
      <c r="A1941" s="60">
        <v>2021</v>
      </c>
      <c r="B1941" s="61" t="s">
        <v>66</v>
      </c>
      <c r="C1941" s="61" t="s">
        <v>35</v>
      </c>
      <c r="D1941" s="61" t="s">
        <v>34</v>
      </c>
      <c r="E1941" s="61" t="s">
        <v>67</v>
      </c>
      <c r="F1941" s="61" t="s">
        <v>67</v>
      </c>
      <c r="G1941" s="62">
        <v>1750507356</v>
      </c>
      <c r="H1941" s="61" t="s">
        <v>68</v>
      </c>
      <c r="I1941" s="63" t="str">
        <f t="shared" si="135"/>
        <v>Argentina-Offline</v>
      </c>
      <c r="J1941" s="47"/>
      <c r="K1941" s="54"/>
      <c r="L1941" s="35"/>
      <c r="M1941" s="35"/>
      <c r="N1941" s="35"/>
      <c r="O1941" s="35"/>
      <c r="P1941" s="35"/>
      <c r="Q1941" s="35"/>
      <c r="R1941" s="35"/>
      <c r="S1941" s="35"/>
      <c r="T1941" s="35"/>
      <c r="U1941" s="35"/>
      <c r="V1941" s="35"/>
      <c r="W1941" s="35"/>
      <c r="X1941" s="35"/>
      <c r="Y1941" s="35"/>
      <c r="Z1941" s="35"/>
      <c r="AA1941" s="35"/>
      <c r="AB1941" s="35"/>
      <c r="AC1941" s="35"/>
      <c r="AD1941" s="35"/>
      <c r="AE1941" s="35"/>
      <c r="AF1941" s="35"/>
      <c r="AG1941" s="35"/>
      <c r="AH1941" s="35"/>
      <c r="AI1941" s="35"/>
      <c r="AJ1941" s="35"/>
      <c r="AK1941" s="35"/>
      <c r="AL1941" s="35"/>
      <c r="AM1941" s="35"/>
      <c r="AN1941" s="35"/>
      <c r="AO1941" s="35"/>
      <c r="AP1941" s="35"/>
    </row>
    <row r="1942" spans="1:42" ht="17.25" customHeight="1" x14ac:dyDescent="0.25">
      <c r="A1942" s="55">
        <v>2021</v>
      </c>
      <c r="B1942" s="56" t="s">
        <v>66</v>
      </c>
      <c r="C1942" s="56" t="s">
        <v>35</v>
      </c>
      <c r="D1942" s="56" t="s">
        <v>34</v>
      </c>
      <c r="E1942" s="56" t="s">
        <v>69</v>
      </c>
      <c r="F1942" s="56" t="s">
        <v>70</v>
      </c>
      <c r="G1942" s="57">
        <v>460421254</v>
      </c>
      <c r="H1942" s="56" t="s">
        <v>68</v>
      </c>
      <c r="I1942" s="58" t="str">
        <f t="shared" si="135"/>
        <v>Argentina-Online Supplier-Direct</v>
      </c>
      <c r="J1942" s="40"/>
      <c r="K1942" s="59"/>
      <c r="L1942" s="35"/>
      <c r="M1942" s="35"/>
      <c r="N1942" s="35"/>
      <c r="O1942" s="35"/>
      <c r="P1942" s="35"/>
      <c r="Q1942" s="35"/>
      <c r="R1942" s="35"/>
      <c r="S1942" s="35"/>
      <c r="T1942" s="35"/>
      <c r="U1942" s="35"/>
      <c r="V1942" s="35"/>
      <c r="W1942" s="35"/>
      <c r="X1942" s="35"/>
      <c r="Y1942" s="35"/>
      <c r="Z1942" s="35"/>
      <c r="AA1942" s="35"/>
      <c r="AB1942" s="35"/>
      <c r="AC1942" s="35"/>
      <c r="AD1942" s="35"/>
      <c r="AE1942" s="35"/>
      <c r="AF1942" s="35"/>
      <c r="AG1942" s="35"/>
      <c r="AH1942" s="35"/>
      <c r="AI1942" s="35"/>
      <c r="AJ1942" s="35"/>
      <c r="AK1942" s="35"/>
      <c r="AL1942" s="35"/>
      <c r="AM1942" s="35"/>
      <c r="AN1942" s="35"/>
      <c r="AO1942" s="35"/>
      <c r="AP1942" s="35"/>
    </row>
    <row r="1943" spans="1:42" ht="17.25" customHeight="1" x14ac:dyDescent="0.25">
      <c r="A1943" s="60">
        <v>2021</v>
      </c>
      <c r="B1943" s="61" t="s">
        <v>66</v>
      </c>
      <c r="C1943" s="61" t="s">
        <v>35</v>
      </c>
      <c r="D1943" s="61" t="s">
        <v>34</v>
      </c>
      <c r="E1943" s="61" t="s">
        <v>69</v>
      </c>
      <c r="F1943" s="61" t="s">
        <v>71</v>
      </c>
      <c r="G1943" s="62">
        <v>490471631</v>
      </c>
      <c r="H1943" s="61" t="s">
        <v>68</v>
      </c>
      <c r="I1943" s="63" t="str">
        <f t="shared" si="135"/>
        <v>Argentina-OTA</v>
      </c>
      <c r="J1943" s="47"/>
      <c r="K1943" s="54"/>
      <c r="L1943" s="35"/>
      <c r="M1943" s="35"/>
      <c r="N1943" s="35"/>
      <c r="O1943" s="35"/>
      <c r="P1943" s="35"/>
      <c r="Q1943" s="35"/>
      <c r="R1943" s="35"/>
      <c r="S1943" s="35"/>
      <c r="T1943" s="35"/>
      <c r="U1943" s="35"/>
      <c r="V1943" s="35"/>
      <c r="W1943" s="35"/>
      <c r="X1943" s="35"/>
      <c r="Y1943" s="35"/>
      <c r="Z1943" s="35"/>
      <c r="AA1943" s="35"/>
      <c r="AB1943" s="35"/>
      <c r="AC1943" s="35"/>
      <c r="AD1943" s="35"/>
      <c r="AE1943" s="35"/>
      <c r="AF1943" s="35"/>
      <c r="AG1943" s="35"/>
      <c r="AH1943" s="35"/>
      <c r="AI1943" s="35"/>
      <c r="AJ1943" s="35"/>
      <c r="AK1943" s="35"/>
      <c r="AL1943" s="35"/>
      <c r="AM1943" s="35"/>
      <c r="AN1943" s="35"/>
      <c r="AO1943" s="35"/>
      <c r="AP1943" s="35"/>
    </row>
    <row r="1944" spans="1:42" ht="17.25" customHeight="1" x14ac:dyDescent="0.25">
      <c r="A1944" s="55">
        <v>2021</v>
      </c>
      <c r="B1944" s="56" t="s">
        <v>66</v>
      </c>
      <c r="C1944" s="56" t="s">
        <v>4</v>
      </c>
      <c r="D1944" s="56" t="s">
        <v>3</v>
      </c>
      <c r="E1944" s="56" t="s">
        <v>67</v>
      </c>
      <c r="F1944" s="56" t="s">
        <v>67</v>
      </c>
      <c r="G1944" s="57">
        <v>7249457809</v>
      </c>
      <c r="H1944" s="56" t="s">
        <v>68</v>
      </c>
      <c r="I1944" s="58" t="str">
        <f t="shared" si="135"/>
        <v>Australia-New Zealand-Offline</v>
      </c>
      <c r="J1944" s="40"/>
      <c r="K1944" s="59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  <c r="AG1944" s="35"/>
      <c r="AH1944" s="35"/>
      <c r="AI1944" s="35"/>
      <c r="AJ1944" s="35"/>
      <c r="AK1944" s="35"/>
      <c r="AL1944" s="35"/>
      <c r="AM1944" s="35"/>
      <c r="AN1944" s="35"/>
      <c r="AO1944" s="35"/>
      <c r="AP1944" s="35"/>
    </row>
    <row r="1945" spans="1:42" ht="17.25" customHeight="1" x14ac:dyDescent="0.25">
      <c r="A1945" s="60">
        <v>2021</v>
      </c>
      <c r="B1945" s="61" t="s">
        <v>66</v>
      </c>
      <c r="C1945" s="61" t="s">
        <v>4</v>
      </c>
      <c r="D1945" s="61" t="s">
        <v>3</v>
      </c>
      <c r="E1945" s="61" t="s">
        <v>69</v>
      </c>
      <c r="F1945" s="61" t="s">
        <v>70</v>
      </c>
      <c r="G1945" s="62">
        <v>5543727580</v>
      </c>
      <c r="H1945" s="61" t="s">
        <v>68</v>
      </c>
      <c r="I1945" s="63" t="str">
        <f t="shared" si="135"/>
        <v>Australia-New Zealand-Online Supplier-Direct</v>
      </c>
      <c r="J1945" s="47"/>
      <c r="K1945" s="54"/>
      <c r="L1945" s="35"/>
      <c r="M1945" s="35"/>
      <c r="N1945" s="35"/>
      <c r="O1945" s="35"/>
      <c r="P1945" s="35"/>
      <c r="Q1945" s="35"/>
      <c r="R1945" s="35"/>
      <c r="S1945" s="35"/>
      <c r="T1945" s="35"/>
      <c r="U1945" s="35"/>
      <c r="V1945" s="35"/>
      <c r="W1945" s="35"/>
      <c r="X1945" s="35"/>
      <c r="Y1945" s="35"/>
      <c r="Z1945" s="35"/>
      <c r="AA1945" s="35"/>
      <c r="AB1945" s="35"/>
      <c r="AC1945" s="35"/>
      <c r="AD1945" s="35"/>
      <c r="AE1945" s="35"/>
      <c r="AF1945" s="35"/>
      <c r="AG1945" s="35"/>
      <c r="AH1945" s="35"/>
      <c r="AI1945" s="35"/>
      <c r="AJ1945" s="35"/>
      <c r="AK1945" s="35"/>
      <c r="AL1945" s="35"/>
      <c r="AM1945" s="35"/>
      <c r="AN1945" s="35"/>
      <c r="AO1945" s="35"/>
      <c r="AP1945" s="35"/>
    </row>
    <row r="1946" spans="1:42" ht="17.25" customHeight="1" x14ac:dyDescent="0.25">
      <c r="A1946" s="55">
        <v>2021</v>
      </c>
      <c r="B1946" s="56" t="s">
        <v>66</v>
      </c>
      <c r="C1946" s="56" t="s">
        <v>4</v>
      </c>
      <c r="D1946" s="56" t="s">
        <v>3</v>
      </c>
      <c r="E1946" s="56" t="s">
        <v>69</v>
      </c>
      <c r="F1946" s="56" t="s">
        <v>71</v>
      </c>
      <c r="G1946" s="57">
        <v>3130485679</v>
      </c>
      <c r="H1946" s="56" t="s">
        <v>68</v>
      </c>
      <c r="I1946" s="58" t="str">
        <f t="shared" si="135"/>
        <v>Australia-New Zealand-OTA</v>
      </c>
      <c r="J1946" s="40"/>
      <c r="K1946" s="59"/>
      <c r="L1946" s="35"/>
      <c r="M1946" s="35"/>
      <c r="N1946" s="35"/>
      <c r="O1946" s="35"/>
      <c r="P1946" s="35"/>
      <c r="Q1946" s="35"/>
      <c r="R1946" s="35"/>
      <c r="S1946" s="35"/>
      <c r="T1946" s="35"/>
      <c r="U1946" s="35"/>
      <c r="V1946" s="35"/>
      <c r="W1946" s="35"/>
      <c r="X1946" s="35"/>
      <c r="Y1946" s="35"/>
      <c r="Z1946" s="35"/>
      <c r="AA1946" s="35"/>
      <c r="AB1946" s="35"/>
      <c r="AC1946" s="35"/>
      <c r="AD1946" s="35"/>
      <c r="AE1946" s="35"/>
      <c r="AF1946" s="35"/>
      <c r="AG1946" s="35"/>
      <c r="AH1946" s="35"/>
      <c r="AI1946" s="35"/>
      <c r="AJ1946" s="35"/>
      <c r="AK1946" s="35"/>
      <c r="AL1946" s="35"/>
      <c r="AM1946" s="35"/>
      <c r="AN1946" s="35"/>
      <c r="AO1946" s="35"/>
      <c r="AP1946" s="35"/>
    </row>
    <row r="1947" spans="1:42" ht="17.25" customHeight="1" x14ac:dyDescent="0.25">
      <c r="A1947" s="60">
        <v>2021</v>
      </c>
      <c r="B1947" s="61" t="s">
        <v>66</v>
      </c>
      <c r="C1947" s="61" t="s">
        <v>35</v>
      </c>
      <c r="D1947" s="61" t="s">
        <v>36</v>
      </c>
      <c r="E1947" s="61" t="s">
        <v>67</v>
      </c>
      <c r="F1947" s="61" t="s">
        <v>67</v>
      </c>
      <c r="G1947" s="62">
        <v>5154123250</v>
      </c>
      <c r="H1947" s="61" t="s">
        <v>68</v>
      </c>
      <c r="I1947" s="63" t="str">
        <f t="shared" si="135"/>
        <v>Brazil-Offline</v>
      </c>
      <c r="J1947" s="47"/>
      <c r="K1947" s="54"/>
      <c r="L1947" s="35"/>
      <c r="M1947" s="35"/>
      <c r="N1947" s="35"/>
      <c r="O1947" s="35"/>
      <c r="P1947" s="35"/>
      <c r="Q1947" s="35"/>
      <c r="R1947" s="35"/>
      <c r="S1947" s="35"/>
      <c r="T1947" s="35"/>
      <c r="U1947" s="35"/>
      <c r="V1947" s="35"/>
      <c r="W1947" s="35"/>
      <c r="X1947" s="35"/>
      <c r="Y1947" s="35"/>
      <c r="Z1947" s="35"/>
      <c r="AA1947" s="35"/>
      <c r="AB1947" s="35"/>
      <c r="AC1947" s="35"/>
      <c r="AD1947" s="35"/>
      <c r="AE1947" s="35"/>
      <c r="AF1947" s="35"/>
      <c r="AG1947" s="35"/>
      <c r="AH1947" s="35"/>
      <c r="AI1947" s="35"/>
      <c r="AJ1947" s="35"/>
      <c r="AK1947" s="35"/>
      <c r="AL1947" s="35"/>
      <c r="AM1947" s="35"/>
      <c r="AN1947" s="35"/>
      <c r="AO1947" s="35"/>
      <c r="AP1947" s="35"/>
    </row>
    <row r="1948" spans="1:42" ht="17.25" customHeight="1" x14ac:dyDescent="0.25">
      <c r="A1948" s="55">
        <v>2021</v>
      </c>
      <c r="B1948" s="56" t="s">
        <v>66</v>
      </c>
      <c r="C1948" s="56" t="s">
        <v>35</v>
      </c>
      <c r="D1948" s="56" t="s">
        <v>36</v>
      </c>
      <c r="E1948" s="56" t="s">
        <v>69</v>
      </c>
      <c r="F1948" s="56" t="s">
        <v>70</v>
      </c>
      <c r="G1948" s="57">
        <v>2025932140</v>
      </c>
      <c r="H1948" s="56" t="s">
        <v>68</v>
      </c>
      <c r="I1948" s="58" t="str">
        <f t="shared" si="135"/>
        <v>Brazil-Online Supplier-Direct</v>
      </c>
      <c r="J1948" s="40"/>
      <c r="K1948" s="59"/>
      <c r="L1948" s="35"/>
      <c r="M1948" s="35"/>
      <c r="N1948" s="35"/>
      <c r="O1948" s="35"/>
      <c r="P1948" s="35"/>
      <c r="Q1948" s="35"/>
      <c r="R1948" s="35"/>
      <c r="S1948" s="35"/>
      <c r="T1948" s="35"/>
      <c r="U1948" s="35"/>
      <c r="V1948" s="35"/>
      <c r="W1948" s="35"/>
      <c r="X1948" s="35"/>
      <c r="Y1948" s="35"/>
      <c r="Z1948" s="35"/>
      <c r="AA1948" s="35"/>
      <c r="AB1948" s="35"/>
      <c r="AC1948" s="35"/>
      <c r="AD1948" s="35"/>
      <c r="AE1948" s="35"/>
      <c r="AF1948" s="35"/>
      <c r="AG1948" s="35"/>
      <c r="AH1948" s="35"/>
      <c r="AI1948" s="35"/>
      <c r="AJ1948" s="35"/>
      <c r="AK1948" s="35"/>
      <c r="AL1948" s="35"/>
      <c r="AM1948" s="35"/>
      <c r="AN1948" s="35"/>
      <c r="AO1948" s="35"/>
      <c r="AP1948" s="35"/>
    </row>
    <row r="1949" spans="1:42" ht="17.25" customHeight="1" x14ac:dyDescent="0.25">
      <c r="A1949" s="60">
        <v>2021</v>
      </c>
      <c r="B1949" s="61" t="s">
        <v>66</v>
      </c>
      <c r="C1949" s="61" t="s">
        <v>35</v>
      </c>
      <c r="D1949" s="61" t="s">
        <v>36</v>
      </c>
      <c r="E1949" s="61" t="s">
        <v>69</v>
      </c>
      <c r="F1949" s="61" t="s">
        <v>71</v>
      </c>
      <c r="G1949" s="62">
        <v>2612156135</v>
      </c>
      <c r="H1949" s="61" t="s">
        <v>68</v>
      </c>
      <c r="I1949" s="63" t="str">
        <f t="shared" si="135"/>
        <v>Brazil-OTA</v>
      </c>
      <c r="J1949" s="47"/>
      <c r="K1949" s="54"/>
      <c r="L1949" s="35"/>
      <c r="M1949" s="35"/>
      <c r="N1949" s="35"/>
      <c r="O1949" s="35"/>
      <c r="P1949" s="35"/>
      <c r="Q1949" s="35"/>
      <c r="R1949" s="35"/>
      <c r="S1949" s="35"/>
      <c r="T1949" s="35"/>
      <c r="U1949" s="35"/>
      <c r="V1949" s="35"/>
      <c r="W1949" s="35"/>
      <c r="X1949" s="35"/>
      <c r="Y1949" s="35"/>
      <c r="Z1949" s="35"/>
      <c r="AA1949" s="35"/>
      <c r="AB1949" s="35"/>
      <c r="AC1949" s="35"/>
      <c r="AD1949" s="35"/>
      <c r="AE1949" s="35"/>
      <c r="AF1949" s="35"/>
      <c r="AG1949" s="35"/>
      <c r="AH1949" s="35"/>
      <c r="AI1949" s="35"/>
      <c r="AJ1949" s="35"/>
      <c r="AK1949" s="35"/>
      <c r="AL1949" s="35"/>
      <c r="AM1949" s="35"/>
      <c r="AN1949" s="35"/>
      <c r="AO1949" s="35"/>
      <c r="AP1949" s="35"/>
    </row>
    <row r="1950" spans="1:42" ht="17.25" customHeight="1" x14ac:dyDescent="0.25">
      <c r="A1950" s="55">
        <v>2021</v>
      </c>
      <c r="B1950" s="56" t="s">
        <v>66</v>
      </c>
      <c r="C1950" s="56" t="s">
        <v>17</v>
      </c>
      <c r="D1950" s="56" t="s">
        <v>16</v>
      </c>
      <c r="E1950" s="56" t="s">
        <v>67</v>
      </c>
      <c r="F1950" s="56" t="s">
        <v>67</v>
      </c>
      <c r="G1950" s="57">
        <v>388983991</v>
      </c>
      <c r="H1950" s="56" t="s">
        <v>68</v>
      </c>
      <c r="I1950" s="58" t="str">
        <f t="shared" si="135"/>
        <v>Bulgaria-Offline</v>
      </c>
      <c r="J1950" s="40"/>
      <c r="K1950" s="59"/>
      <c r="L1950" s="35"/>
      <c r="M1950" s="35"/>
      <c r="N1950" s="35"/>
      <c r="O1950" s="35"/>
      <c r="P1950" s="35"/>
      <c r="Q1950" s="35"/>
      <c r="R1950" s="35"/>
      <c r="S1950" s="35"/>
      <c r="T1950" s="35"/>
      <c r="U1950" s="35"/>
      <c r="V1950" s="35"/>
      <c r="W1950" s="35"/>
      <c r="X1950" s="35"/>
      <c r="Y1950" s="35"/>
      <c r="Z1950" s="35"/>
      <c r="AA1950" s="35"/>
      <c r="AB1950" s="35"/>
      <c r="AC1950" s="35"/>
      <c r="AD1950" s="35"/>
      <c r="AE1950" s="35"/>
      <c r="AF1950" s="35"/>
      <c r="AG1950" s="35"/>
      <c r="AH1950" s="35"/>
      <c r="AI1950" s="35"/>
      <c r="AJ1950" s="35"/>
      <c r="AK1950" s="35"/>
      <c r="AL1950" s="35"/>
      <c r="AM1950" s="35"/>
      <c r="AN1950" s="35"/>
      <c r="AO1950" s="35"/>
      <c r="AP1950" s="35"/>
    </row>
    <row r="1951" spans="1:42" ht="17.25" customHeight="1" x14ac:dyDescent="0.25">
      <c r="A1951" s="60">
        <v>2021</v>
      </c>
      <c r="B1951" s="61" t="s">
        <v>66</v>
      </c>
      <c r="C1951" s="61" t="s">
        <v>17</v>
      </c>
      <c r="D1951" s="61" t="s">
        <v>16</v>
      </c>
      <c r="E1951" s="61" t="s">
        <v>69</v>
      </c>
      <c r="F1951" s="61" t="s">
        <v>70</v>
      </c>
      <c r="G1951" s="62">
        <v>81007719</v>
      </c>
      <c r="H1951" s="61" t="s">
        <v>68</v>
      </c>
      <c r="I1951" s="63" t="str">
        <f t="shared" si="135"/>
        <v>Bulgaria-Online Supplier-Direct</v>
      </c>
      <c r="J1951" s="47"/>
      <c r="K1951" s="54"/>
      <c r="L1951" s="35"/>
      <c r="M1951" s="35"/>
      <c r="N1951" s="35"/>
      <c r="O1951" s="35"/>
      <c r="P1951" s="35"/>
      <c r="Q1951" s="35"/>
      <c r="R1951" s="35"/>
      <c r="S1951" s="35"/>
      <c r="T1951" s="35"/>
      <c r="U1951" s="35"/>
      <c r="V1951" s="35"/>
      <c r="W1951" s="35"/>
      <c r="X1951" s="35"/>
      <c r="Y1951" s="35"/>
      <c r="Z1951" s="35"/>
      <c r="AA1951" s="35"/>
      <c r="AB1951" s="35"/>
      <c r="AC1951" s="35"/>
      <c r="AD1951" s="35"/>
      <c r="AE1951" s="35"/>
      <c r="AF1951" s="35"/>
      <c r="AG1951" s="35"/>
      <c r="AH1951" s="35"/>
      <c r="AI1951" s="35"/>
      <c r="AJ1951" s="35"/>
      <c r="AK1951" s="35"/>
      <c r="AL1951" s="35"/>
      <c r="AM1951" s="35"/>
      <c r="AN1951" s="35"/>
      <c r="AO1951" s="35"/>
      <c r="AP1951" s="35"/>
    </row>
    <row r="1952" spans="1:42" ht="17.25" customHeight="1" x14ac:dyDescent="0.25">
      <c r="A1952" s="55">
        <v>2021</v>
      </c>
      <c r="B1952" s="56" t="s">
        <v>66</v>
      </c>
      <c r="C1952" s="56" t="s">
        <v>17</v>
      </c>
      <c r="D1952" s="56" t="s">
        <v>16</v>
      </c>
      <c r="E1952" s="56" t="s">
        <v>69</v>
      </c>
      <c r="F1952" s="56" t="s">
        <v>71</v>
      </c>
      <c r="G1952" s="57">
        <v>195508054</v>
      </c>
      <c r="H1952" s="56" t="s">
        <v>68</v>
      </c>
      <c r="I1952" s="58" t="str">
        <f t="shared" si="135"/>
        <v>Bulgaria-OTA</v>
      </c>
      <c r="J1952" s="40"/>
      <c r="K1952" s="59"/>
      <c r="L1952" s="35"/>
      <c r="M1952" s="35"/>
      <c r="N1952" s="35"/>
      <c r="O1952" s="35"/>
      <c r="P1952" s="35"/>
      <c r="Q1952" s="35"/>
      <c r="R1952" s="35"/>
      <c r="S1952" s="35"/>
      <c r="T1952" s="35"/>
      <c r="U1952" s="35"/>
      <c r="V1952" s="35"/>
      <c r="W1952" s="35"/>
      <c r="X1952" s="35"/>
      <c r="Y1952" s="35"/>
      <c r="Z1952" s="35"/>
      <c r="AA1952" s="35"/>
      <c r="AB1952" s="35"/>
      <c r="AC1952" s="35"/>
      <c r="AD1952" s="35"/>
      <c r="AE1952" s="35"/>
      <c r="AF1952" s="35"/>
      <c r="AG1952" s="35"/>
      <c r="AH1952" s="35"/>
      <c r="AI1952" s="35"/>
      <c r="AJ1952" s="35"/>
      <c r="AK1952" s="35"/>
      <c r="AL1952" s="35"/>
      <c r="AM1952" s="35"/>
      <c r="AN1952" s="35"/>
      <c r="AO1952" s="35"/>
      <c r="AP1952" s="35"/>
    </row>
    <row r="1953" spans="1:42" ht="17.25" customHeight="1" x14ac:dyDescent="0.25">
      <c r="A1953" s="60">
        <v>2021</v>
      </c>
      <c r="B1953" s="61" t="s">
        <v>66</v>
      </c>
      <c r="C1953" s="61" t="s">
        <v>47</v>
      </c>
      <c r="D1953" s="61" t="s">
        <v>46</v>
      </c>
      <c r="E1953" s="61" t="s">
        <v>72</v>
      </c>
      <c r="F1953" s="61" t="s">
        <v>73</v>
      </c>
      <c r="G1953" s="62">
        <v>5721941494</v>
      </c>
      <c r="H1953" s="61" t="s">
        <v>68</v>
      </c>
      <c r="I1953" s="63" t="str">
        <f t="shared" si="135"/>
        <v>Canada-Central Reservation</v>
      </c>
      <c r="J1953" s="47"/>
      <c r="K1953" s="54"/>
      <c r="L1953" s="35"/>
      <c r="M1953" s="35"/>
      <c r="N1953" s="35"/>
      <c r="O1953" s="35"/>
      <c r="P1953" s="35"/>
      <c r="Q1953" s="35"/>
      <c r="R1953" s="35"/>
      <c r="S1953" s="35"/>
      <c r="T1953" s="35"/>
      <c r="U1953" s="35"/>
      <c r="V1953" s="35"/>
      <c r="W1953" s="35"/>
      <c r="X1953" s="35"/>
      <c r="Y1953" s="35"/>
      <c r="Z1953" s="35"/>
      <c r="AA1953" s="35"/>
      <c r="AB1953" s="35"/>
      <c r="AC1953" s="35"/>
      <c r="AD1953" s="35"/>
      <c r="AE1953" s="35"/>
      <c r="AF1953" s="35"/>
      <c r="AG1953" s="35"/>
      <c r="AH1953" s="35"/>
      <c r="AI1953" s="35"/>
      <c r="AJ1953" s="35"/>
      <c r="AK1953" s="35"/>
      <c r="AL1953" s="35"/>
      <c r="AM1953" s="35"/>
      <c r="AN1953" s="35"/>
      <c r="AO1953" s="35"/>
      <c r="AP1953" s="35"/>
    </row>
    <row r="1954" spans="1:42" ht="17.25" customHeight="1" x14ac:dyDescent="0.25">
      <c r="A1954" s="55">
        <v>2021</v>
      </c>
      <c r="B1954" s="56" t="s">
        <v>66</v>
      </c>
      <c r="C1954" s="56" t="s">
        <v>47</v>
      </c>
      <c r="D1954" s="56" t="s">
        <v>46</v>
      </c>
      <c r="E1954" s="56" t="s">
        <v>67</v>
      </c>
      <c r="F1954" s="56" t="s">
        <v>74</v>
      </c>
      <c r="G1954" s="57">
        <v>1381302295</v>
      </c>
      <c r="H1954" s="56" t="s">
        <v>68</v>
      </c>
      <c r="I1954" s="58" t="str">
        <f t="shared" si="135"/>
        <v>Canada-Travel Agency/TMC</v>
      </c>
      <c r="J1954" s="40"/>
      <c r="K1954" s="59"/>
      <c r="L1954" s="35"/>
      <c r="M1954" s="35"/>
      <c r="N1954" s="35"/>
      <c r="O1954" s="35"/>
      <c r="P1954" s="35"/>
      <c r="Q1954" s="35"/>
      <c r="R1954" s="35"/>
      <c r="S1954" s="35"/>
      <c r="T1954" s="35"/>
      <c r="U1954" s="35"/>
      <c r="V1954" s="35"/>
      <c r="W1954" s="35"/>
      <c r="X1954" s="35"/>
      <c r="Y1954" s="35"/>
      <c r="Z1954" s="35"/>
      <c r="AA1954" s="35"/>
      <c r="AB1954" s="35"/>
      <c r="AC1954" s="35"/>
      <c r="AD1954" s="35"/>
      <c r="AE1954" s="35"/>
      <c r="AF1954" s="35"/>
      <c r="AG1954" s="35"/>
      <c r="AH1954" s="35"/>
      <c r="AI1954" s="35"/>
      <c r="AJ1954" s="35"/>
      <c r="AK1954" s="35"/>
      <c r="AL1954" s="35"/>
      <c r="AM1954" s="35"/>
      <c r="AN1954" s="35"/>
      <c r="AO1954" s="35"/>
      <c r="AP1954" s="35"/>
    </row>
    <row r="1955" spans="1:42" ht="17.25" customHeight="1" x14ac:dyDescent="0.25">
      <c r="A1955" s="60">
        <v>2021</v>
      </c>
      <c r="B1955" s="61" t="s">
        <v>66</v>
      </c>
      <c r="C1955" s="61" t="s">
        <v>47</v>
      </c>
      <c r="D1955" s="61" t="s">
        <v>46</v>
      </c>
      <c r="E1955" s="61" t="s">
        <v>69</v>
      </c>
      <c r="F1955" s="61" t="s">
        <v>70</v>
      </c>
      <c r="G1955" s="62">
        <v>4768089696</v>
      </c>
      <c r="H1955" s="61" t="s">
        <v>68</v>
      </c>
      <c r="I1955" s="63" t="str">
        <f t="shared" si="135"/>
        <v>Canada-Online Supplier-Direct</v>
      </c>
      <c r="J1955" s="47"/>
      <c r="K1955" s="54"/>
      <c r="L1955" s="35"/>
      <c r="M1955" s="35"/>
      <c r="N1955" s="35"/>
      <c r="O1955" s="35"/>
      <c r="P1955" s="35"/>
      <c r="Q1955" s="35"/>
      <c r="R1955" s="35"/>
      <c r="S1955" s="35"/>
      <c r="T1955" s="35"/>
      <c r="U1955" s="35"/>
      <c r="V1955" s="35"/>
      <c r="W1955" s="35"/>
      <c r="X1955" s="35"/>
      <c r="Y1955" s="35"/>
      <c r="Z1955" s="35"/>
      <c r="AA1955" s="35"/>
      <c r="AB1955" s="35"/>
      <c r="AC1955" s="35"/>
      <c r="AD1955" s="35"/>
      <c r="AE1955" s="35"/>
      <c r="AF1955" s="35"/>
      <c r="AG1955" s="35"/>
      <c r="AH1955" s="35"/>
      <c r="AI1955" s="35"/>
      <c r="AJ1955" s="35"/>
      <c r="AK1955" s="35"/>
      <c r="AL1955" s="35"/>
      <c r="AM1955" s="35"/>
      <c r="AN1955" s="35"/>
      <c r="AO1955" s="35"/>
      <c r="AP1955" s="35"/>
    </row>
    <row r="1956" spans="1:42" ht="17.25" customHeight="1" x14ac:dyDescent="0.25">
      <c r="A1956" s="55">
        <v>2021</v>
      </c>
      <c r="B1956" s="56" t="s">
        <v>66</v>
      </c>
      <c r="C1956" s="56" t="s">
        <v>47</v>
      </c>
      <c r="D1956" s="56" t="s">
        <v>46</v>
      </c>
      <c r="E1956" s="56" t="s">
        <v>69</v>
      </c>
      <c r="F1956" s="56" t="s">
        <v>71</v>
      </c>
      <c r="G1956" s="57">
        <v>3975668896</v>
      </c>
      <c r="H1956" s="56" t="s">
        <v>68</v>
      </c>
      <c r="I1956" s="58" t="str">
        <f t="shared" si="135"/>
        <v>Canada-OTA</v>
      </c>
      <c r="J1956" s="40"/>
      <c r="K1956" s="59"/>
      <c r="L1956" s="35"/>
      <c r="M1956" s="35"/>
      <c r="N1956" s="35"/>
      <c r="O1956" s="35"/>
      <c r="P1956" s="35"/>
      <c r="Q1956" s="35"/>
      <c r="R1956" s="35"/>
      <c r="S1956" s="35"/>
      <c r="T1956" s="35"/>
      <c r="U1956" s="35"/>
      <c r="V1956" s="35"/>
      <c r="W1956" s="35"/>
      <c r="X1956" s="35"/>
      <c r="Y1956" s="35"/>
      <c r="Z1956" s="35"/>
      <c r="AA1956" s="35"/>
      <c r="AB1956" s="35"/>
      <c r="AC1956" s="35"/>
      <c r="AD1956" s="35"/>
      <c r="AE1956" s="35"/>
      <c r="AF1956" s="35"/>
      <c r="AG1956" s="35"/>
      <c r="AH1956" s="35"/>
      <c r="AI1956" s="35"/>
      <c r="AJ1956" s="35"/>
      <c r="AK1956" s="35"/>
      <c r="AL1956" s="35"/>
      <c r="AM1956" s="35"/>
      <c r="AN1956" s="35"/>
      <c r="AO1956" s="35"/>
      <c r="AP1956" s="35"/>
    </row>
    <row r="1957" spans="1:42" ht="17.25" customHeight="1" x14ac:dyDescent="0.25">
      <c r="A1957" s="60">
        <v>2021</v>
      </c>
      <c r="B1957" s="61" t="s">
        <v>66</v>
      </c>
      <c r="C1957" s="61" t="s">
        <v>35</v>
      </c>
      <c r="D1957" s="61" t="s">
        <v>37</v>
      </c>
      <c r="E1957" s="61" t="s">
        <v>67</v>
      </c>
      <c r="F1957" s="61" t="s">
        <v>67</v>
      </c>
      <c r="G1957" s="62">
        <v>1469751589</v>
      </c>
      <c r="H1957" s="61" t="s">
        <v>68</v>
      </c>
      <c r="I1957" s="63" t="str">
        <f t="shared" si="135"/>
        <v>Chile-Offline</v>
      </c>
      <c r="J1957" s="47"/>
      <c r="K1957" s="54"/>
      <c r="L1957" s="35"/>
      <c r="M1957" s="35"/>
      <c r="N1957" s="35"/>
      <c r="O1957" s="35"/>
      <c r="P1957" s="35"/>
      <c r="Q1957" s="35"/>
      <c r="R1957" s="35"/>
      <c r="S1957" s="35"/>
      <c r="T1957" s="35"/>
      <c r="U1957" s="35"/>
      <c r="V1957" s="35"/>
      <c r="W1957" s="35"/>
      <c r="X1957" s="35"/>
      <c r="Y1957" s="35"/>
      <c r="Z1957" s="35"/>
      <c r="AA1957" s="35"/>
      <c r="AB1957" s="35"/>
      <c r="AC1957" s="35"/>
      <c r="AD1957" s="35"/>
      <c r="AE1957" s="35"/>
      <c r="AF1957" s="35"/>
      <c r="AG1957" s="35"/>
      <c r="AH1957" s="35"/>
      <c r="AI1957" s="35"/>
      <c r="AJ1957" s="35"/>
      <c r="AK1957" s="35"/>
      <c r="AL1957" s="35"/>
      <c r="AM1957" s="35"/>
      <c r="AN1957" s="35"/>
      <c r="AO1957" s="35"/>
      <c r="AP1957" s="35"/>
    </row>
    <row r="1958" spans="1:42" ht="17.25" customHeight="1" x14ac:dyDescent="0.25">
      <c r="A1958" s="55">
        <v>2021</v>
      </c>
      <c r="B1958" s="56" t="s">
        <v>66</v>
      </c>
      <c r="C1958" s="56" t="s">
        <v>35</v>
      </c>
      <c r="D1958" s="56" t="s">
        <v>37</v>
      </c>
      <c r="E1958" s="56" t="s">
        <v>69</v>
      </c>
      <c r="F1958" s="56" t="s">
        <v>70</v>
      </c>
      <c r="G1958" s="57">
        <v>578826046</v>
      </c>
      <c r="H1958" s="56" t="s">
        <v>68</v>
      </c>
      <c r="I1958" s="58" t="str">
        <f t="shared" si="135"/>
        <v>Chile-Online Supplier-Direct</v>
      </c>
      <c r="J1958" s="40"/>
      <c r="K1958" s="59"/>
      <c r="L1958" s="35"/>
      <c r="M1958" s="35"/>
      <c r="N1958" s="35"/>
      <c r="O1958" s="35"/>
      <c r="P1958" s="35"/>
      <c r="Q1958" s="35"/>
      <c r="R1958" s="35"/>
      <c r="S1958" s="35"/>
      <c r="T1958" s="35"/>
      <c r="U1958" s="35"/>
      <c r="V1958" s="35"/>
      <c r="W1958" s="35"/>
      <c r="X1958" s="35"/>
      <c r="Y1958" s="35"/>
      <c r="Z1958" s="35"/>
      <c r="AA1958" s="35"/>
      <c r="AB1958" s="35"/>
      <c r="AC1958" s="35"/>
      <c r="AD1958" s="35"/>
      <c r="AE1958" s="35"/>
      <c r="AF1958" s="35"/>
      <c r="AG1958" s="35"/>
      <c r="AH1958" s="35"/>
      <c r="AI1958" s="35"/>
      <c r="AJ1958" s="35"/>
      <c r="AK1958" s="35"/>
      <c r="AL1958" s="35"/>
      <c r="AM1958" s="35"/>
      <c r="AN1958" s="35"/>
      <c r="AO1958" s="35"/>
      <c r="AP1958" s="35"/>
    </row>
    <row r="1959" spans="1:42" ht="17.25" customHeight="1" x14ac:dyDescent="0.25">
      <c r="A1959" s="60">
        <v>2021</v>
      </c>
      <c r="B1959" s="61" t="s">
        <v>66</v>
      </c>
      <c r="C1959" s="61" t="s">
        <v>35</v>
      </c>
      <c r="D1959" s="61" t="s">
        <v>37</v>
      </c>
      <c r="E1959" s="61" t="s">
        <v>69</v>
      </c>
      <c r="F1959" s="61" t="s">
        <v>71</v>
      </c>
      <c r="G1959" s="62">
        <v>538053460</v>
      </c>
      <c r="H1959" s="61" t="s">
        <v>68</v>
      </c>
      <c r="I1959" s="63" t="str">
        <f t="shared" si="135"/>
        <v>Chile-OTA</v>
      </c>
      <c r="J1959" s="47"/>
      <c r="K1959" s="54"/>
      <c r="L1959" s="35"/>
      <c r="M1959" s="35"/>
      <c r="N1959" s="35"/>
      <c r="O1959" s="35"/>
      <c r="P1959" s="35"/>
      <c r="Q1959" s="35"/>
      <c r="R1959" s="35"/>
      <c r="S1959" s="35"/>
      <c r="T1959" s="35"/>
      <c r="U1959" s="35"/>
      <c r="V1959" s="35"/>
      <c r="W1959" s="35"/>
      <c r="X1959" s="35"/>
      <c r="Y1959" s="35"/>
      <c r="Z1959" s="35"/>
      <c r="AA1959" s="35"/>
      <c r="AB1959" s="35"/>
      <c r="AC1959" s="35"/>
      <c r="AD1959" s="35"/>
      <c r="AE1959" s="35"/>
      <c r="AF1959" s="35"/>
      <c r="AG1959" s="35"/>
      <c r="AH1959" s="35"/>
      <c r="AI1959" s="35"/>
      <c r="AJ1959" s="35"/>
      <c r="AK1959" s="35"/>
      <c r="AL1959" s="35"/>
      <c r="AM1959" s="35"/>
      <c r="AN1959" s="35"/>
      <c r="AO1959" s="35"/>
      <c r="AP1959" s="35"/>
    </row>
    <row r="1960" spans="1:42" ht="17.25" customHeight="1" x14ac:dyDescent="0.25">
      <c r="A1960" s="55">
        <v>2021</v>
      </c>
      <c r="B1960" s="56" t="s">
        <v>66</v>
      </c>
      <c r="C1960" s="56" t="s">
        <v>4</v>
      </c>
      <c r="D1960" s="56" t="s">
        <v>5</v>
      </c>
      <c r="E1960" s="56" t="s">
        <v>67</v>
      </c>
      <c r="F1960" s="56" t="s">
        <v>67</v>
      </c>
      <c r="G1960" s="57">
        <v>40209564241</v>
      </c>
      <c r="H1960" s="56" t="s">
        <v>68</v>
      </c>
      <c r="I1960" s="58" t="str">
        <f t="shared" si="135"/>
        <v>China-Offline</v>
      </c>
      <c r="J1960" s="40"/>
      <c r="K1960" s="59"/>
      <c r="L1960" s="35"/>
      <c r="M1960" s="35"/>
      <c r="N1960" s="35"/>
      <c r="O1960" s="35"/>
      <c r="P1960" s="35"/>
      <c r="Q1960" s="35"/>
      <c r="R1960" s="35"/>
      <c r="S1960" s="35"/>
      <c r="T1960" s="35"/>
      <c r="U1960" s="35"/>
      <c r="V1960" s="35"/>
      <c r="W1960" s="35"/>
      <c r="X1960" s="35"/>
      <c r="Y1960" s="35"/>
      <c r="Z1960" s="35"/>
      <c r="AA1960" s="35"/>
      <c r="AB1960" s="35"/>
      <c r="AC1960" s="35"/>
      <c r="AD1960" s="35"/>
      <c r="AE1960" s="35"/>
      <c r="AF1960" s="35"/>
      <c r="AG1960" s="35"/>
      <c r="AH1960" s="35"/>
      <c r="AI1960" s="35"/>
      <c r="AJ1960" s="35"/>
      <c r="AK1960" s="35"/>
      <c r="AL1960" s="35"/>
      <c r="AM1960" s="35"/>
      <c r="AN1960" s="35"/>
      <c r="AO1960" s="35"/>
      <c r="AP1960" s="35"/>
    </row>
    <row r="1961" spans="1:42" ht="17.25" customHeight="1" x14ac:dyDescent="0.25">
      <c r="A1961" s="60">
        <v>2021</v>
      </c>
      <c r="B1961" s="61" t="s">
        <v>66</v>
      </c>
      <c r="C1961" s="61" t="s">
        <v>4</v>
      </c>
      <c r="D1961" s="61" t="s">
        <v>5</v>
      </c>
      <c r="E1961" s="61" t="s">
        <v>69</v>
      </c>
      <c r="F1961" s="61" t="s">
        <v>70</v>
      </c>
      <c r="G1961" s="62">
        <v>36570851715</v>
      </c>
      <c r="H1961" s="61" t="s">
        <v>68</v>
      </c>
      <c r="I1961" s="63" t="str">
        <f t="shared" si="135"/>
        <v>China-Online Supplier-Direct</v>
      </c>
      <c r="J1961" s="47"/>
      <c r="K1961" s="54"/>
      <c r="L1961" s="35"/>
      <c r="M1961" s="35"/>
      <c r="N1961" s="35"/>
      <c r="O1961" s="35"/>
      <c r="P1961" s="35"/>
      <c r="Q1961" s="35"/>
      <c r="R1961" s="35"/>
      <c r="S1961" s="35"/>
      <c r="T1961" s="35"/>
      <c r="U1961" s="35"/>
      <c r="V1961" s="35"/>
      <c r="W1961" s="35"/>
      <c r="X1961" s="35"/>
      <c r="Y1961" s="35"/>
      <c r="Z1961" s="35"/>
      <c r="AA1961" s="35"/>
      <c r="AB1961" s="35"/>
      <c r="AC1961" s="35"/>
      <c r="AD1961" s="35"/>
      <c r="AE1961" s="35"/>
      <c r="AF1961" s="35"/>
      <c r="AG1961" s="35"/>
      <c r="AH1961" s="35"/>
      <c r="AI1961" s="35"/>
      <c r="AJ1961" s="35"/>
      <c r="AK1961" s="35"/>
      <c r="AL1961" s="35"/>
      <c r="AM1961" s="35"/>
      <c r="AN1961" s="35"/>
      <c r="AO1961" s="35"/>
      <c r="AP1961" s="35"/>
    </row>
    <row r="1962" spans="1:42" ht="17.25" customHeight="1" x14ac:dyDescent="0.25">
      <c r="A1962" s="55">
        <v>2021</v>
      </c>
      <c r="B1962" s="56" t="s">
        <v>66</v>
      </c>
      <c r="C1962" s="56" t="s">
        <v>4</v>
      </c>
      <c r="D1962" s="56" t="s">
        <v>5</v>
      </c>
      <c r="E1962" s="56" t="s">
        <v>69</v>
      </c>
      <c r="F1962" s="56" t="s">
        <v>71</v>
      </c>
      <c r="G1962" s="57">
        <v>37224296462</v>
      </c>
      <c r="H1962" s="56" t="s">
        <v>68</v>
      </c>
      <c r="I1962" s="58" t="str">
        <f t="shared" si="135"/>
        <v>China-OTA</v>
      </c>
      <c r="J1962" s="40"/>
      <c r="K1962" s="59"/>
      <c r="L1962" s="35"/>
      <c r="M1962" s="35"/>
      <c r="N1962" s="35"/>
      <c r="O1962" s="35"/>
      <c r="P1962" s="35"/>
      <c r="Q1962" s="35"/>
      <c r="R1962" s="35"/>
      <c r="S1962" s="35"/>
      <c r="T1962" s="35"/>
      <c r="U1962" s="35"/>
      <c r="V1962" s="35"/>
      <c r="W1962" s="35"/>
      <c r="X1962" s="35"/>
      <c r="Y1962" s="35"/>
      <c r="Z1962" s="35"/>
      <c r="AA1962" s="35"/>
      <c r="AB1962" s="35"/>
      <c r="AC1962" s="35"/>
      <c r="AD1962" s="35"/>
      <c r="AE1962" s="35"/>
      <c r="AF1962" s="35"/>
      <c r="AG1962" s="35"/>
      <c r="AH1962" s="35"/>
      <c r="AI1962" s="35"/>
      <c r="AJ1962" s="35"/>
      <c r="AK1962" s="35"/>
      <c r="AL1962" s="35"/>
      <c r="AM1962" s="35"/>
      <c r="AN1962" s="35"/>
      <c r="AO1962" s="35"/>
      <c r="AP1962" s="35"/>
    </row>
    <row r="1963" spans="1:42" ht="17.25" customHeight="1" x14ac:dyDescent="0.25">
      <c r="A1963" s="60">
        <v>2021</v>
      </c>
      <c r="B1963" s="61" t="s">
        <v>66</v>
      </c>
      <c r="C1963" s="61" t="s">
        <v>35</v>
      </c>
      <c r="D1963" s="61" t="s">
        <v>38</v>
      </c>
      <c r="E1963" s="61" t="s">
        <v>67</v>
      </c>
      <c r="F1963" s="61" t="s">
        <v>67</v>
      </c>
      <c r="G1963" s="62">
        <v>2006015002</v>
      </c>
      <c r="H1963" s="61" t="s">
        <v>68</v>
      </c>
      <c r="I1963" s="63" t="str">
        <f t="shared" si="135"/>
        <v>Colombia-Offline</v>
      </c>
      <c r="J1963" s="47"/>
      <c r="K1963" s="54"/>
      <c r="L1963" s="35"/>
      <c r="M1963" s="35"/>
      <c r="N1963" s="35"/>
      <c r="O1963" s="35"/>
      <c r="P1963" s="35"/>
      <c r="Q1963" s="35"/>
      <c r="R1963" s="35"/>
      <c r="S1963" s="35"/>
      <c r="T1963" s="35"/>
      <c r="U1963" s="35"/>
      <c r="V1963" s="35"/>
      <c r="W1963" s="35"/>
      <c r="X1963" s="35"/>
      <c r="Y1963" s="35"/>
      <c r="Z1963" s="35"/>
      <c r="AA1963" s="35"/>
      <c r="AB1963" s="35"/>
      <c r="AC1963" s="35"/>
      <c r="AD1963" s="35"/>
      <c r="AE1963" s="35"/>
      <c r="AF1963" s="35"/>
      <c r="AG1963" s="35"/>
      <c r="AH1963" s="35"/>
      <c r="AI1963" s="35"/>
      <c r="AJ1963" s="35"/>
      <c r="AK1963" s="35"/>
      <c r="AL1963" s="35"/>
      <c r="AM1963" s="35"/>
      <c r="AN1963" s="35"/>
      <c r="AO1963" s="35"/>
      <c r="AP1963" s="35"/>
    </row>
    <row r="1964" spans="1:42" ht="17.25" customHeight="1" x14ac:dyDescent="0.25">
      <c r="A1964" s="55">
        <v>2021</v>
      </c>
      <c r="B1964" s="56" t="s">
        <v>66</v>
      </c>
      <c r="C1964" s="56" t="s">
        <v>35</v>
      </c>
      <c r="D1964" s="56" t="s">
        <v>38</v>
      </c>
      <c r="E1964" s="56" t="s">
        <v>69</v>
      </c>
      <c r="F1964" s="56" t="s">
        <v>70</v>
      </c>
      <c r="G1964" s="57">
        <v>791299486</v>
      </c>
      <c r="H1964" s="56" t="s">
        <v>68</v>
      </c>
      <c r="I1964" s="58" t="str">
        <f t="shared" si="135"/>
        <v>Colombia-Online Supplier-Direct</v>
      </c>
      <c r="J1964" s="40"/>
      <c r="K1964" s="59"/>
      <c r="L1964" s="35"/>
      <c r="M1964" s="35"/>
      <c r="N1964" s="35"/>
      <c r="O1964" s="35"/>
      <c r="P1964" s="35"/>
      <c r="Q1964" s="35"/>
      <c r="R1964" s="35"/>
      <c r="S1964" s="35"/>
      <c r="T1964" s="35"/>
      <c r="U1964" s="35"/>
      <c r="V1964" s="35"/>
      <c r="W1964" s="35"/>
      <c r="X1964" s="35"/>
      <c r="Y1964" s="35"/>
      <c r="Z1964" s="35"/>
      <c r="AA1964" s="35"/>
      <c r="AB1964" s="35"/>
      <c r="AC1964" s="35"/>
      <c r="AD1964" s="35"/>
      <c r="AE1964" s="35"/>
      <c r="AF1964" s="35"/>
      <c r="AG1964" s="35"/>
      <c r="AH1964" s="35"/>
      <c r="AI1964" s="35"/>
      <c r="AJ1964" s="35"/>
      <c r="AK1964" s="35"/>
      <c r="AL1964" s="35"/>
      <c r="AM1964" s="35"/>
      <c r="AN1964" s="35"/>
      <c r="AO1964" s="35"/>
      <c r="AP1964" s="35"/>
    </row>
    <row r="1965" spans="1:42" ht="17.25" customHeight="1" x14ac:dyDescent="0.25">
      <c r="A1965" s="60">
        <v>2021</v>
      </c>
      <c r="B1965" s="61" t="s">
        <v>66</v>
      </c>
      <c r="C1965" s="61" t="s">
        <v>35</v>
      </c>
      <c r="D1965" s="61" t="s">
        <v>38</v>
      </c>
      <c r="E1965" s="61" t="s">
        <v>69</v>
      </c>
      <c r="F1965" s="61" t="s">
        <v>71</v>
      </c>
      <c r="G1965" s="62">
        <v>682595516</v>
      </c>
      <c r="H1965" s="61" t="s">
        <v>68</v>
      </c>
      <c r="I1965" s="63" t="str">
        <f t="shared" si="135"/>
        <v>Colombia-OTA</v>
      </c>
      <c r="J1965" s="47"/>
      <c r="K1965" s="54"/>
      <c r="L1965" s="35"/>
      <c r="M1965" s="35"/>
      <c r="N1965" s="35"/>
      <c r="O1965" s="35"/>
      <c r="P1965" s="35"/>
      <c r="Q1965" s="35"/>
      <c r="R1965" s="35"/>
      <c r="S1965" s="35"/>
      <c r="T1965" s="35"/>
      <c r="U1965" s="35"/>
      <c r="V1965" s="35"/>
      <c r="W1965" s="35"/>
      <c r="X1965" s="35"/>
      <c r="Y1965" s="35"/>
      <c r="Z1965" s="35"/>
      <c r="AA1965" s="35"/>
      <c r="AB1965" s="35"/>
      <c r="AC1965" s="35"/>
      <c r="AD1965" s="35"/>
      <c r="AE1965" s="35"/>
      <c r="AF1965" s="35"/>
      <c r="AG1965" s="35"/>
      <c r="AH1965" s="35"/>
      <c r="AI1965" s="35"/>
      <c r="AJ1965" s="35"/>
      <c r="AK1965" s="35"/>
      <c r="AL1965" s="35"/>
      <c r="AM1965" s="35"/>
      <c r="AN1965" s="35"/>
      <c r="AO1965" s="35"/>
      <c r="AP1965" s="35"/>
    </row>
    <row r="1966" spans="1:42" ht="17.25" customHeight="1" x14ac:dyDescent="0.25">
      <c r="A1966" s="55">
        <v>2021</v>
      </c>
      <c r="B1966" s="56" t="s">
        <v>66</v>
      </c>
      <c r="C1966" s="56" t="s">
        <v>17</v>
      </c>
      <c r="D1966" s="56" t="s">
        <v>18</v>
      </c>
      <c r="E1966" s="56" t="s">
        <v>67</v>
      </c>
      <c r="F1966" s="56" t="s">
        <v>67</v>
      </c>
      <c r="G1966" s="57">
        <v>760499298</v>
      </c>
      <c r="H1966" s="56" t="s">
        <v>68</v>
      </c>
      <c r="I1966" s="58" t="str">
        <f t="shared" si="135"/>
        <v>Czech Republic-Offline</v>
      </c>
      <c r="J1966" s="40"/>
      <c r="K1966" s="59"/>
      <c r="L1966" s="35"/>
      <c r="M1966" s="35"/>
      <c r="N1966" s="35"/>
      <c r="O1966" s="35"/>
      <c r="P1966" s="35"/>
      <c r="Q1966" s="35"/>
      <c r="R1966" s="35"/>
      <c r="S1966" s="35"/>
      <c r="T1966" s="35"/>
      <c r="U1966" s="35"/>
      <c r="V1966" s="35"/>
      <c r="W1966" s="35"/>
      <c r="X1966" s="35"/>
      <c r="Y1966" s="35"/>
      <c r="Z1966" s="35"/>
      <c r="AA1966" s="35"/>
      <c r="AB1966" s="35"/>
      <c r="AC1966" s="35"/>
      <c r="AD1966" s="35"/>
      <c r="AE1966" s="35"/>
      <c r="AF1966" s="35"/>
      <c r="AG1966" s="35"/>
      <c r="AH1966" s="35"/>
      <c r="AI1966" s="35"/>
      <c r="AJ1966" s="35"/>
      <c r="AK1966" s="35"/>
      <c r="AL1966" s="35"/>
      <c r="AM1966" s="35"/>
      <c r="AN1966" s="35"/>
      <c r="AO1966" s="35"/>
      <c r="AP1966" s="35"/>
    </row>
    <row r="1967" spans="1:42" ht="17.25" customHeight="1" x14ac:dyDescent="0.25">
      <c r="A1967" s="60">
        <v>2021</v>
      </c>
      <c r="B1967" s="61" t="s">
        <v>66</v>
      </c>
      <c r="C1967" s="61" t="s">
        <v>17</v>
      </c>
      <c r="D1967" s="61" t="s">
        <v>18</v>
      </c>
      <c r="E1967" s="61" t="s">
        <v>69</v>
      </c>
      <c r="F1967" s="61" t="s">
        <v>70</v>
      </c>
      <c r="G1967" s="62">
        <v>557653115</v>
      </c>
      <c r="H1967" s="61" t="s">
        <v>68</v>
      </c>
      <c r="I1967" s="63" t="str">
        <f t="shared" si="135"/>
        <v>Czech Republic-Online Supplier-Direct</v>
      </c>
      <c r="J1967" s="47"/>
      <c r="K1967" s="54"/>
      <c r="L1967" s="35"/>
      <c r="M1967" s="35"/>
      <c r="N1967" s="35"/>
      <c r="O1967" s="35"/>
      <c r="P1967" s="35"/>
      <c r="Q1967" s="35"/>
      <c r="R1967" s="35"/>
      <c r="S1967" s="35"/>
      <c r="T1967" s="35"/>
      <c r="U1967" s="35"/>
      <c r="V1967" s="35"/>
      <c r="W1967" s="35"/>
      <c r="X1967" s="35"/>
      <c r="Y1967" s="35"/>
      <c r="Z1967" s="35"/>
      <c r="AA1967" s="35"/>
      <c r="AB1967" s="35"/>
      <c r="AC1967" s="35"/>
      <c r="AD1967" s="35"/>
      <c r="AE1967" s="35"/>
      <c r="AF1967" s="35"/>
      <c r="AG1967" s="35"/>
      <c r="AH1967" s="35"/>
      <c r="AI1967" s="35"/>
      <c r="AJ1967" s="35"/>
      <c r="AK1967" s="35"/>
      <c r="AL1967" s="35"/>
      <c r="AM1967" s="35"/>
      <c r="AN1967" s="35"/>
      <c r="AO1967" s="35"/>
      <c r="AP1967" s="35"/>
    </row>
    <row r="1968" spans="1:42" ht="17.25" customHeight="1" x14ac:dyDescent="0.25">
      <c r="A1968" s="55">
        <v>2021</v>
      </c>
      <c r="B1968" s="56" t="s">
        <v>66</v>
      </c>
      <c r="C1968" s="56" t="s">
        <v>17</v>
      </c>
      <c r="D1968" s="56" t="s">
        <v>18</v>
      </c>
      <c r="E1968" s="56" t="s">
        <v>69</v>
      </c>
      <c r="F1968" s="56" t="s">
        <v>71</v>
      </c>
      <c r="G1968" s="57">
        <v>488580461</v>
      </c>
      <c r="H1968" s="56" t="s">
        <v>68</v>
      </c>
      <c r="I1968" s="58" t="str">
        <f t="shared" si="135"/>
        <v>Czech Republic-OTA</v>
      </c>
      <c r="J1968" s="40"/>
      <c r="K1968" s="59"/>
      <c r="L1968" s="35"/>
      <c r="M1968" s="35"/>
      <c r="N1968" s="35"/>
      <c r="O1968" s="35"/>
      <c r="P1968" s="35"/>
      <c r="Q1968" s="35"/>
      <c r="R1968" s="35"/>
      <c r="S1968" s="35"/>
      <c r="T1968" s="35"/>
      <c r="U1968" s="35"/>
      <c r="V1968" s="35"/>
      <c r="W1968" s="35"/>
      <c r="X1968" s="35"/>
      <c r="Y1968" s="35"/>
      <c r="Z1968" s="35"/>
      <c r="AA1968" s="35"/>
      <c r="AB1968" s="35"/>
      <c r="AC1968" s="35"/>
      <c r="AD1968" s="35"/>
      <c r="AE1968" s="35"/>
      <c r="AF1968" s="35"/>
      <c r="AG1968" s="35"/>
      <c r="AH1968" s="35"/>
      <c r="AI1968" s="35"/>
      <c r="AJ1968" s="35"/>
      <c r="AK1968" s="35"/>
      <c r="AL1968" s="35"/>
      <c r="AM1968" s="35"/>
      <c r="AN1968" s="35"/>
      <c r="AO1968" s="35"/>
      <c r="AP1968" s="35"/>
    </row>
    <row r="1969" spans="1:42" ht="17.25" customHeight="1" x14ac:dyDescent="0.25">
      <c r="A1969" s="60">
        <v>2021</v>
      </c>
      <c r="B1969" s="61" t="s">
        <v>66</v>
      </c>
      <c r="C1969" s="61" t="s">
        <v>41</v>
      </c>
      <c r="D1969" s="61" t="s">
        <v>40</v>
      </c>
      <c r="E1969" s="61" t="s">
        <v>67</v>
      </c>
      <c r="F1969" s="61" t="s">
        <v>67</v>
      </c>
      <c r="G1969" s="62">
        <v>1257720109</v>
      </c>
      <c r="H1969" s="61" t="s">
        <v>68</v>
      </c>
      <c r="I1969" s="63" t="str">
        <f t="shared" si="135"/>
        <v>Egypt-Offline</v>
      </c>
      <c r="J1969" s="47"/>
      <c r="K1969" s="54"/>
      <c r="L1969" s="35"/>
      <c r="M1969" s="35"/>
      <c r="N1969" s="35"/>
      <c r="O1969" s="35"/>
      <c r="P1969" s="35"/>
      <c r="Q1969" s="35"/>
      <c r="R1969" s="35"/>
      <c r="S1969" s="35"/>
      <c r="T1969" s="35"/>
      <c r="U1969" s="35"/>
      <c r="V1969" s="35"/>
      <c r="W1969" s="35"/>
      <c r="X1969" s="35"/>
      <c r="Y1969" s="35"/>
      <c r="Z1969" s="35"/>
      <c r="AA1969" s="35"/>
      <c r="AB1969" s="35"/>
      <c r="AC1969" s="35"/>
      <c r="AD1969" s="35"/>
      <c r="AE1969" s="35"/>
      <c r="AF1969" s="35"/>
      <c r="AG1969" s="35"/>
      <c r="AH1969" s="35"/>
      <c r="AI1969" s="35"/>
      <c r="AJ1969" s="35"/>
      <c r="AK1969" s="35"/>
      <c r="AL1969" s="35"/>
      <c r="AM1969" s="35"/>
      <c r="AN1969" s="35"/>
      <c r="AO1969" s="35"/>
      <c r="AP1969" s="35"/>
    </row>
    <row r="1970" spans="1:42" ht="17.25" customHeight="1" x14ac:dyDescent="0.25">
      <c r="A1970" s="55">
        <v>2021</v>
      </c>
      <c r="B1970" s="56" t="s">
        <v>66</v>
      </c>
      <c r="C1970" s="56" t="s">
        <v>41</v>
      </c>
      <c r="D1970" s="56" t="s">
        <v>40</v>
      </c>
      <c r="E1970" s="56" t="s">
        <v>69</v>
      </c>
      <c r="F1970" s="56" t="s">
        <v>70</v>
      </c>
      <c r="G1970" s="57">
        <v>302687968</v>
      </c>
      <c r="H1970" s="56" t="s">
        <v>68</v>
      </c>
      <c r="I1970" s="58" t="str">
        <f t="shared" si="135"/>
        <v>Egypt-Online Supplier-Direct</v>
      </c>
      <c r="J1970" s="40"/>
      <c r="K1970" s="59"/>
      <c r="L1970" s="35"/>
      <c r="M1970" s="35"/>
      <c r="N1970" s="35"/>
      <c r="O1970" s="35"/>
      <c r="P1970" s="35"/>
      <c r="Q1970" s="35"/>
      <c r="R1970" s="35"/>
      <c r="S1970" s="35"/>
      <c r="T1970" s="35"/>
      <c r="U1970" s="35"/>
      <c r="V1970" s="35"/>
      <c r="W1970" s="35"/>
      <c r="X1970" s="35"/>
      <c r="Y1970" s="35"/>
      <c r="Z1970" s="35"/>
      <c r="AA1970" s="35"/>
      <c r="AB1970" s="35"/>
      <c r="AC1970" s="35"/>
      <c r="AD1970" s="35"/>
      <c r="AE1970" s="35"/>
      <c r="AF1970" s="35"/>
      <c r="AG1970" s="35"/>
      <c r="AH1970" s="35"/>
      <c r="AI1970" s="35"/>
      <c r="AJ1970" s="35"/>
      <c r="AK1970" s="35"/>
      <c r="AL1970" s="35"/>
      <c r="AM1970" s="35"/>
      <c r="AN1970" s="35"/>
      <c r="AO1970" s="35"/>
      <c r="AP1970" s="35"/>
    </row>
    <row r="1971" spans="1:42" ht="17.25" customHeight="1" x14ac:dyDescent="0.25">
      <c r="A1971" s="60">
        <v>2021</v>
      </c>
      <c r="B1971" s="61" t="s">
        <v>66</v>
      </c>
      <c r="C1971" s="61" t="s">
        <v>41</v>
      </c>
      <c r="D1971" s="61" t="s">
        <v>40</v>
      </c>
      <c r="E1971" s="61" t="s">
        <v>69</v>
      </c>
      <c r="F1971" s="61" t="s">
        <v>71</v>
      </c>
      <c r="G1971" s="62">
        <v>276974680</v>
      </c>
      <c r="H1971" s="61" t="s">
        <v>68</v>
      </c>
      <c r="I1971" s="63" t="str">
        <f t="shared" si="135"/>
        <v>Egypt-OTA</v>
      </c>
      <c r="J1971" s="47"/>
      <c r="K1971" s="54"/>
      <c r="L1971" s="35"/>
      <c r="M1971" s="35"/>
      <c r="N1971" s="35"/>
      <c r="O1971" s="35"/>
      <c r="P1971" s="35"/>
      <c r="Q1971" s="35"/>
      <c r="R1971" s="35"/>
      <c r="S1971" s="35"/>
      <c r="T1971" s="35"/>
      <c r="U1971" s="35"/>
      <c r="V1971" s="35"/>
      <c r="W1971" s="35"/>
      <c r="X1971" s="35"/>
      <c r="Y1971" s="35"/>
      <c r="Z1971" s="35"/>
      <c r="AA1971" s="35"/>
      <c r="AB1971" s="35"/>
      <c r="AC1971" s="35"/>
      <c r="AD1971" s="35"/>
      <c r="AE1971" s="35"/>
      <c r="AF1971" s="35"/>
      <c r="AG1971" s="35"/>
      <c r="AH1971" s="35"/>
      <c r="AI1971" s="35"/>
      <c r="AJ1971" s="35"/>
      <c r="AK1971" s="35"/>
      <c r="AL1971" s="35"/>
      <c r="AM1971" s="35"/>
      <c r="AN1971" s="35"/>
      <c r="AO1971" s="35"/>
      <c r="AP1971" s="35"/>
    </row>
    <row r="1972" spans="1:42" ht="17.25" customHeight="1" x14ac:dyDescent="0.25">
      <c r="A1972" s="55">
        <v>2021</v>
      </c>
      <c r="B1972" s="56" t="s">
        <v>66</v>
      </c>
      <c r="C1972" s="56" t="s">
        <v>27</v>
      </c>
      <c r="D1972" s="56" t="s">
        <v>26</v>
      </c>
      <c r="E1972" s="56" t="s">
        <v>67</v>
      </c>
      <c r="F1972" s="56" t="s">
        <v>67</v>
      </c>
      <c r="G1972" s="57">
        <v>18821891574</v>
      </c>
      <c r="H1972" s="56" t="s">
        <v>68</v>
      </c>
      <c r="I1972" s="58" t="str">
        <f t="shared" si="135"/>
        <v>France-Offline</v>
      </c>
      <c r="J1972" s="40"/>
      <c r="K1972" s="59"/>
      <c r="L1972" s="35"/>
      <c r="M1972" s="35"/>
      <c r="N1972" s="35"/>
      <c r="O1972" s="35"/>
      <c r="P1972" s="35"/>
      <c r="Q1972" s="35"/>
      <c r="R1972" s="35"/>
      <c r="S1972" s="35"/>
      <c r="T1972" s="35"/>
      <c r="U1972" s="35"/>
      <c r="V1972" s="35"/>
      <c r="W1972" s="35"/>
      <c r="X1972" s="35"/>
      <c r="Y1972" s="35"/>
      <c r="Z1972" s="35"/>
      <c r="AA1972" s="35"/>
      <c r="AB1972" s="35"/>
      <c r="AC1972" s="35"/>
      <c r="AD1972" s="35"/>
      <c r="AE1972" s="35"/>
      <c r="AF1972" s="35"/>
      <c r="AG1972" s="35"/>
      <c r="AH1972" s="35"/>
      <c r="AI1972" s="35"/>
      <c r="AJ1972" s="35"/>
      <c r="AK1972" s="35"/>
      <c r="AL1972" s="35"/>
      <c r="AM1972" s="35"/>
      <c r="AN1972" s="35"/>
      <c r="AO1972" s="35"/>
      <c r="AP1972" s="35"/>
    </row>
    <row r="1973" spans="1:42" ht="17.25" customHeight="1" x14ac:dyDescent="0.25">
      <c r="A1973" s="60">
        <v>2021</v>
      </c>
      <c r="B1973" s="61" t="s">
        <v>66</v>
      </c>
      <c r="C1973" s="61" t="s">
        <v>27</v>
      </c>
      <c r="D1973" s="61" t="s">
        <v>26</v>
      </c>
      <c r="E1973" s="61" t="s">
        <v>69</v>
      </c>
      <c r="F1973" s="61" t="s">
        <v>70</v>
      </c>
      <c r="G1973" s="62">
        <v>12597616885</v>
      </c>
      <c r="H1973" s="61" t="s">
        <v>68</v>
      </c>
      <c r="I1973" s="63" t="str">
        <f t="shared" si="135"/>
        <v>France-Online Supplier-Direct</v>
      </c>
      <c r="J1973" s="47"/>
      <c r="K1973" s="54"/>
      <c r="L1973" s="35"/>
      <c r="M1973" s="35"/>
      <c r="N1973" s="35"/>
      <c r="O1973" s="35"/>
      <c r="P1973" s="35"/>
      <c r="Q1973" s="35"/>
      <c r="R1973" s="35"/>
      <c r="S1973" s="35"/>
      <c r="T1973" s="35"/>
      <c r="U1973" s="35"/>
      <c r="V1973" s="35"/>
      <c r="W1973" s="35"/>
      <c r="X1973" s="35"/>
      <c r="Y1973" s="35"/>
      <c r="Z1973" s="35"/>
      <c r="AA1973" s="35"/>
      <c r="AB1973" s="35"/>
      <c r="AC1973" s="35"/>
      <c r="AD1973" s="35"/>
      <c r="AE1973" s="35"/>
      <c r="AF1973" s="35"/>
      <c r="AG1973" s="35"/>
      <c r="AH1973" s="35"/>
      <c r="AI1973" s="35"/>
      <c r="AJ1973" s="35"/>
      <c r="AK1973" s="35"/>
      <c r="AL1973" s="35"/>
      <c r="AM1973" s="35"/>
      <c r="AN1973" s="35"/>
      <c r="AO1973" s="35"/>
      <c r="AP1973" s="35"/>
    </row>
    <row r="1974" spans="1:42" ht="17.25" customHeight="1" x14ac:dyDescent="0.25">
      <c r="A1974" s="55">
        <v>2021</v>
      </c>
      <c r="B1974" s="56" t="s">
        <v>66</v>
      </c>
      <c r="C1974" s="56" t="s">
        <v>27</v>
      </c>
      <c r="D1974" s="56" t="s">
        <v>26</v>
      </c>
      <c r="E1974" s="56" t="s">
        <v>69</v>
      </c>
      <c r="F1974" s="56" t="s">
        <v>71</v>
      </c>
      <c r="G1974" s="57">
        <v>4307716500</v>
      </c>
      <c r="H1974" s="56" t="s">
        <v>68</v>
      </c>
      <c r="I1974" s="58" t="str">
        <f t="shared" si="135"/>
        <v>France-OTA</v>
      </c>
      <c r="J1974" s="40"/>
      <c r="K1974" s="59"/>
      <c r="L1974" s="35"/>
      <c r="M1974" s="35"/>
      <c r="N1974" s="35"/>
      <c r="O1974" s="35"/>
      <c r="P1974" s="35"/>
      <c r="Q1974" s="35"/>
      <c r="R1974" s="35"/>
      <c r="S1974" s="35"/>
      <c r="T1974" s="35"/>
      <c r="U1974" s="35"/>
      <c r="V1974" s="35"/>
      <c r="W1974" s="35"/>
      <c r="X1974" s="35"/>
      <c r="Y1974" s="35"/>
      <c r="Z1974" s="35"/>
      <c r="AA1974" s="35"/>
      <c r="AB1974" s="35"/>
      <c r="AC1974" s="35"/>
      <c r="AD1974" s="35"/>
      <c r="AE1974" s="35"/>
      <c r="AF1974" s="35"/>
      <c r="AG1974" s="35"/>
      <c r="AH1974" s="35"/>
      <c r="AI1974" s="35"/>
      <c r="AJ1974" s="35"/>
      <c r="AK1974" s="35"/>
      <c r="AL1974" s="35"/>
      <c r="AM1974" s="35"/>
      <c r="AN1974" s="35"/>
      <c r="AO1974" s="35"/>
      <c r="AP1974" s="35"/>
    </row>
    <row r="1975" spans="1:42" ht="17.25" customHeight="1" x14ac:dyDescent="0.25">
      <c r="A1975" s="60">
        <v>2021</v>
      </c>
      <c r="B1975" s="61" t="s">
        <v>66</v>
      </c>
      <c r="C1975" s="61" t="s">
        <v>27</v>
      </c>
      <c r="D1975" s="61" t="s">
        <v>28</v>
      </c>
      <c r="E1975" s="61" t="s">
        <v>67</v>
      </c>
      <c r="F1975" s="61" t="s">
        <v>67</v>
      </c>
      <c r="G1975" s="62">
        <v>15242555552</v>
      </c>
      <c r="H1975" s="61" t="s">
        <v>68</v>
      </c>
      <c r="I1975" s="63" t="str">
        <f t="shared" si="135"/>
        <v>Germany-Offline</v>
      </c>
      <c r="J1975" s="47"/>
      <c r="K1975" s="54"/>
      <c r="L1975" s="35"/>
      <c r="M1975" s="35"/>
      <c r="N1975" s="35"/>
      <c r="O1975" s="35"/>
      <c r="P1975" s="35"/>
      <c r="Q1975" s="35"/>
      <c r="R1975" s="35"/>
      <c r="S1975" s="35"/>
      <c r="T1975" s="35"/>
      <c r="U1975" s="35"/>
      <c r="V1975" s="35"/>
      <c r="W1975" s="35"/>
      <c r="X1975" s="35"/>
      <c r="Y1975" s="35"/>
      <c r="Z1975" s="35"/>
      <c r="AA1975" s="35"/>
      <c r="AB1975" s="35"/>
      <c r="AC1975" s="35"/>
      <c r="AD1975" s="35"/>
      <c r="AE1975" s="35"/>
      <c r="AF1975" s="35"/>
      <c r="AG1975" s="35"/>
      <c r="AH1975" s="35"/>
      <c r="AI1975" s="35"/>
      <c r="AJ1975" s="35"/>
      <c r="AK1975" s="35"/>
      <c r="AL1975" s="35"/>
      <c r="AM1975" s="35"/>
      <c r="AN1975" s="35"/>
      <c r="AO1975" s="35"/>
      <c r="AP1975" s="35"/>
    </row>
    <row r="1976" spans="1:42" ht="17.25" customHeight="1" x14ac:dyDescent="0.25">
      <c r="A1976" s="55">
        <v>2021</v>
      </c>
      <c r="B1976" s="56" t="s">
        <v>66</v>
      </c>
      <c r="C1976" s="56" t="s">
        <v>27</v>
      </c>
      <c r="D1976" s="56" t="s">
        <v>28</v>
      </c>
      <c r="E1976" s="56" t="s">
        <v>69</v>
      </c>
      <c r="F1976" s="56" t="s">
        <v>70</v>
      </c>
      <c r="G1976" s="57">
        <v>12436641849</v>
      </c>
      <c r="H1976" s="56" t="s">
        <v>68</v>
      </c>
      <c r="I1976" s="58" t="str">
        <f t="shared" si="135"/>
        <v>Germany-Online Supplier-Direct</v>
      </c>
      <c r="J1976" s="40"/>
      <c r="K1976" s="59"/>
      <c r="L1976" s="35"/>
      <c r="M1976" s="35"/>
      <c r="N1976" s="35"/>
      <c r="O1976" s="35"/>
      <c r="P1976" s="35"/>
      <c r="Q1976" s="35"/>
      <c r="R1976" s="35"/>
      <c r="S1976" s="35"/>
      <c r="T1976" s="35"/>
      <c r="U1976" s="35"/>
      <c r="V1976" s="35"/>
      <c r="W1976" s="35"/>
      <c r="X1976" s="35"/>
      <c r="Y1976" s="35"/>
      <c r="Z1976" s="35"/>
      <c r="AA1976" s="35"/>
      <c r="AB1976" s="35"/>
      <c r="AC1976" s="35"/>
      <c r="AD1976" s="35"/>
      <c r="AE1976" s="35"/>
      <c r="AF1976" s="35"/>
      <c r="AG1976" s="35"/>
      <c r="AH1976" s="35"/>
      <c r="AI1976" s="35"/>
      <c r="AJ1976" s="35"/>
      <c r="AK1976" s="35"/>
      <c r="AL1976" s="35"/>
      <c r="AM1976" s="35"/>
      <c r="AN1976" s="35"/>
      <c r="AO1976" s="35"/>
      <c r="AP1976" s="35"/>
    </row>
    <row r="1977" spans="1:42" ht="17.25" customHeight="1" x14ac:dyDescent="0.25">
      <c r="A1977" s="60">
        <v>2021</v>
      </c>
      <c r="B1977" s="61" t="s">
        <v>66</v>
      </c>
      <c r="C1977" s="61" t="s">
        <v>27</v>
      </c>
      <c r="D1977" s="61" t="s">
        <v>28</v>
      </c>
      <c r="E1977" s="61" t="s">
        <v>69</v>
      </c>
      <c r="F1977" s="61" t="s">
        <v>71</v>
      </c>
      <c r="G1977" s="62">
        <v>6887097009</v>
      </c>
      <c r="H1977" s="61" t="s">
        <v>68</v>
      </c>
      <c r="I1977" s="63" t="str">
        <f t="shared" si="135"/>
        <v>Germany-OTA</v>
      </c>
      <c r="J1977" s="47"/>
      <c r="K1977" s="54"/>
      <c r="L1977" s="35"/>
      <c r="M1977" s="35"/>
      <c r="N1977" s="35"/>
      <c r="O1977" s="35"/>
      <c r="P1977" s="35"/>
      <c r="Q1977" s="35"/>
      <c r="R1977" s="35"/>
      <c r="S1977" s="35"/>
      <c r="T1977" s="35"/>
      <c r="U1977" s="35"/>
      <c r="V1977" s="35"/>
      <c r="W1977" s="35"/>
      <c r="X1977" s="35"/>
      <c r="Y1977" s="35"/>
      <c r="Z1977" s="35"/>
      <c r="AA1977" s="35"/>
      <c r="AB1977" s="35"/>
      <c r="AC1977" s="35"/>
      <c r="AD1977" s="35"/>
      <c r="AE1977" s="35"/>
      <c r="AF1977" s="35"/>
      <c r="AG1977" s="35"/>
      <c r="AH1977" s="35"/>
      <c r="AI1977" s="35"/>
      <c r="AJ1977" s="35"/>
      <c r="AK1977" s="35"/>
      <c r="AL1977" s="35"/>
      <c r="AM1977" s="35"/>
      <c r="AN1977" s="35"/>
      <c r="AO1977" s="35"/>
      <c r="AP1977" s="35"/>
    </row>
    <row r="1978" spans="1:42" ht="17.25" customHeight="1" x14ac:dyDescent="0.25">
      <c r="A1978" s="55">
        <v>2021</v>
      </c>
      <c r="B1978" s="56" t="s">
        <v>66</v>
      </c>
      <c r="C1978" s="56" t="s">
        <v>17</v>
      </c>
      <c r="D1978" s="56" t="s">
        <v>19</v>
      </c>
      <c r="E1978" s="56" t="s">
        <v>67</v>
      </c>
      <c r="F1978" s="56" t="s">
        <v>67</v>
      </c>
      <c r="G1978" s="57">
        <v>2112508004</v>
      </c>
      <c r="H1978" s="56" t="s">
        <v>68</v>
      </c>
      <c r="I1978" s="58" t="str">
        <f t="shared" si="135"/>
        <v>Greece-Offline</v>
      </c>
      <c r="J1978" s="40"/>
      <c r="K1978" s="59"/>
      <c r="L1978" s="35"/>
      <c r="M1978" s="35"/>
      <c r="N1978" s="35"/>
      <c r="O1978" s="35"/>
      <c r="P1978" s="35"/>
      <c r="Q1978" s="35"/>
      <c r="R1978" s="35"/>
      <c r="S1978" s="35"/>
      <c r="T1978" s="35"/>
      <c r="U1978" s="35"/>
      <c r="V1978" s="35"/>
      <c r="W1978" s="35"/>
      <c r="X1978" s="35"/>
      <c r="Y1978" s="35"/>
      <c r="Z1978" s="35"/>
      <c r="AA1978" s="35"/>
      <c r="AB1978" s="35"/>
      <c r="AC1978" s="35"/>
      <c r="AD1978" s="35"/>
      <c r="AE1978" s="35"/>
      <c r="AF1978" s="35"/>
      <c r="AG1978" s="35"/>
      <c r="AH1978" s="35"/>
      <c r="AI1978" s="35"/>
      <c r="AJ1978" s="35"/>
      <c r="AK1978" s="35"/>
      <c r="AL1978" s="35"/>
      <c r="AM1978" s="35"/>
      <c r="AN1978" s="35"/>
      <c r="AO1978" s="35"/>
      <c r="AP1978" s="35"/>
    </row>
    <row r="1979" spans="1:42" ht="17.25" customHeight="1" x14ac:dyDescent="0.25">
      <c r="A1979" s="60">
        <v>2021</v>
      </c>
      <c r="B1979" s="61" t="s">
        <v>66</v>
      </c>
      <c r="C1979" s="61" t="s">
        <v>17</v>
      </c>
      <c r="D1979" s="61" t="s">
        <v>19</v>
      </c>
      <c r="E1979" s="61" t="s">
        <v>69</v>
      </c>
      <c r="F1979" s="61" t="s">
        <v>70</v>
      </c>
      <c r="G1979" s="62">
        <v>681031418</v>
      </c>
      <c r="H1979" s="61" t="s">
        <v>68</v>
      </c>
      <c r="I1979" s="63" t="str">
        <f t="shared" si="135"/>
        <v>Greece-Online Supplier-Direct</v>
      </c>
      <c r="J1979" s="47"/>
      <c r="K1979" s="54"/>
      <c r="L1979" s="35"/>
      <c r="M1979" s="35"/>
      <c r="N1979" s="35"/>
      <c r="O1979" s="35"/>
      <c r="P1979" s="35"/>
      <c r="Q1979" s="35"/>
      <c r="R1979" s="35"/>
      <c r="S1979" s="35"/>
      <c r="T1979" s="35"/>
      <c r="U1979" s="35"/>
      <c r="V1979" s="35"/>
      <c r="W1979" s="35"/>
      <c r="X1979" s="35"/>
      <c r="Y1979" s="35"/>
      <c r="Z1979" s="35"/>
      <c r="AA1979" s="35"/>
      <c r="AB1979" s="35"/>
      <c r="AC1979" s="35"/>
      <c r="AD1979" s="35"/>
      <c r="AE1979" s="35"/>
      <c r="AF1979" s="35"/>
      <c r="AG1979" s="35"/>
      <c r="AH1979" s="35"/>
      <c r="AI1979" s="35"/>
      <c r="AJ1979" s="35"/>
      <c r="AK1979" s="35"/>
      <c r="AL1979" s="35"/>
      <c r="AM1979" s="35"/>
      <c r="AN1979" s="35"/>
      <c r="AO1979" s="35"/>
      <c r="AP1979" s="35"/>
    </row>
    <row r="1980" spans="1:42" ht="17.25" customHeight="1" x14ac:dyDescent="0.25">
      <c r="A1980" s="55">
        <v>2021</v>
      </c>
      <c r="B1980" s="56" t="s">
        <v>66</v>
      </c>
      <c r="C1980" s="56" t="s">
        <v>17</v>
      </c>
      <c r="D1980" s="56" t="s">
        <v>19</v>
      </c>
      <c r="E1980" s="56" t="s">
        <v>69</v>
      </c>
      <c r="F1980" s="56" t="s">
        <v>71</v>
      </c>
      <c r="G1980" s="57">
        <v>1171651634</v>
      </c>
      <c r="H1980" s="56" t="s">
        <v>68</v>
      </c>
      <c r="I1980" s="58" t="str">
        <f t="shared" si="135"/>
        <v>Greece-OTA</v>
      </c>
      <c r="J1980" s="40"/>
      <c r="K1980" s="59"/>
      <c r="L1980" s="35"/>
      <c r="M1980" s="35"/>
      <c r="N1980" s="35"/>
      <c r="O1980" s="35"/>
      <c r="P1980" s="35"/>
      <c r="Q1980" s="35"/>
      <c r="R1980" s="35"/>
      <c r="S1980" s="35"/>
      <c r="T1980" s="35"/>
      <c r="U1980" s="35"/>
      <c r="V1980" s="35"/>
      <c r="W1980" s="35"/>
      <c r="X1980" s="35"/>
      <c r="Y1980" s="35"/>
      <c r="Z1980" s="35"/>
      <c r="AA1980" s="35"/>
      <c r="AB1980" s="35"/>
      <c r="AC1980" s="35"/>
      <c r="AD1980" s="35"/>
      <c r="AE1980" s="35"/>
      <c r="AF1980" s="35"/>
      <c r="AG1980" s="35"/>
      <c r="AH1980" s="35"/>
      <c r="AI1980" s="35"/>
      <c r="AJ1980" s="35"/>
      <c r="AK1980" s="35"/>
      <c r="AL1980" s="35"/>
      <c r="AM1980" s="35"/>
      <c r="AN1980" s="35"/>
      <c r="AO1980" s="35"/>
      <c r="AP1980" s="35"/>
    </row>
    <row r="1981" spans="1:42" ht="17.25" customHeight="1" x14ac:dyDescent="0.25">
      <c r="A1981" s="60">
        <v>2021</v>
      </c>
      <c r="B1981" s="61" t="s">
        <v>66</v>
      </c>
      <c r="C1981" s="61" t="s">
        <v>4</v>
      </c>
      <c r="D1981" s="61" t="s">
        <v>6</v>
      </c>
      <c r="E1981" s="61" t="s">
        <v>67</v>
      </c>
      <c r="F1981" s="61" t="s">
        <v>67</v>
      </c>
      <c r="G1981" s="62">
        <v>1712972447</v>
      </c>
      <c r="H1981" s="61" t="s">
        <v>68</v>
      </c>
      <c r="I1981" s="63" t="str">
        <f t="shared" si="135"/>
        <v>Hong Kong-Offline</v>
      </c>
      <c r="J1981" s="47"/>
      <c r="K1981" s="54"/>
      <c r="L1981" s="35"/>
      <c r="M1981" s="35"/>
      <c r="N1981" s="35"/>
      <c r="O1981" s="35"/>
      <c r="P1981" s="35"/>
      <c r="Q1981" s="35"/>
      <c r="R1981" s="35"/>
      <c r="S1981" s="35"/>
      <c r="T1981" s="35"/>
      <c r="U1981" s="35"/>
      <c r="V1981" s="35"/>
      <c r="W1981" s="35"/>
      <c r="X1981" s="35"/>
      <c r="Y1981" s="35"/>
      <c r="Z1981" s="35"/>
      <c r="AA1981" s="35"/>
      <c r="AB1981" s="35"/>
      <c r="AC1981" s="35"/>
      <c r="AD1981" s="35"/>
      <c r="AE1981" s="35"/>
      <c r="AF1981" s="35"/>
      <c r="AG1981" s="35"/>
      <c r="AH1981" s="35"/>
      <c r="AI1981" s="35"/>
      <c r="AJ1981" s="35"/>
      <c r="AK1981" s="35"/>
      <c r="AL1981" s="35"/>
      <c r="AM1981" s="35"/>
      <c r="AN1981" s="35"/>
      <c r="AO1981" s="35"/>
      <c r="AP1981" s="35"/>
    </row>
    <row r="1982" spans="1:42" ht="17.25" customHeight="1" x14ac:dyDescent="0.25">
      <c r="A1982" s="55">
        <v>2021</v>
      </c>
      <c r="B1982" s="56" t="s">
        <v>66</v>
      </c>
      <c r="C1982" s="56" t="s">
        <v>4</v>
      </c>
      <c r="D1982" s="56" t="s">
        <v>6</v>
      </c>
      <c r="E1982" s="56" t="s">
        <v>69</v>
      </c>
      <c r="F1982" s="56" t="s">
        <v>70</v>
      </c>
      <c r="G1982" s="57">
        <v>220287224</v>
      </c>
      <c r="H1982" s="56" t="s">
        <v>68</v>
      </c>
      <c r="I1982" s="58" t="str">
        <f t="shared" si="135"/>
        <v>Hong Kong-Online Supplier-Direct</v>
      </c>
      <c r="J1982" s="40"/>
      <c r="K1982" s="59"/>
      <c r="L1982" s="35"/>
      <c r="M1982" s="35"/>
      <c r="N1982" s="35"/>
      <c r="O1982" s="35"/>
      <c r="P1982" s="35"/>
      <c r="Q1982" s="35"/>
      <c r="R1982" s="35"/>
      <c r="S1982" s="35"/>
      <c r="T1982" s="35"/>
      <c r="U1982" s="35"/>
      <c r="V1982" s="35"/>
      <c r="W1982" s="35"/>
      <c r="X1982" s="35"/>
      <c r="Y1982" s="35"/>
      <c r="Z1982" s="35"/>
      <c r="AA1982" s="35"/>
      <c r="AB1982" s="35"/>
      <c r="AC1982" s="35"/>
      <c r="AD1982" s="35"/>
      <c r="AE1982" s="35"/>
      <c r="AF1982" s="35"/>
      <c r="AG1982" s="35"/>
      <c r="AH1982" s="35"/>
      <c r="AI1982" s="35"/>
      <c r="AJ1982" s="35"/>
      <c r="AK1982" s="35"/>
      <c r="AL1982" s="35"/>
      <c r="AM1982" s="35"/>
      <c r="AN1982" s="35"/>
      <c r="AO1982" s="35"/>
      <c r="AP1982" s="35"/>
    </row>
    <row r="1983" spans="1:42" ht="17.25" customHeight="1" x14ac:dyDescent="0.25">
      <c r="A1983" s="60">
        <v>2021</v>
      </c>
      <c r="B1983" s="61" t="s">
        <v>66</v>
      </c>
      <c r="C1983" s="61" t="s">
        <v>4</v>
      </c>
      <c r="D1983" s="61" t="s">
        <v>6</v>
      </c>
      <c r="E1983" s="61" t="s">
        <v>69</v>
      </c>
      <c r="F1983" s="61" t="s">
        <v>71</v>
      </c>
      <c r="G1983" s="62">
        <v>380523877</v>
      </c>
      <c r="H1983" s="61" t="s">
        <v>68</v>
      </c>
      <c r="I1983" s="63" t="str">
        <f t="shared" si="135"/>
        <v>Hong Kong-OTA</v>
      </c>
      <c r="J1983" s="47"/>
      <c r="K1983" s="54"/>
      <c r="L1983" s="35"/>
      <c r="M1983" s="35"/>
      <c r="N1983" s="35"/>
      <c r="O1983" s="35"/>
      <c r="P1983" s="35"/>
      <c r="Q1983" s="35"/>
      <c r="R1983" s="35"/>
      <c r="S1983" s="35"/>
      <c r="T1983" s="35"/>
      <c r="U1983" s="35"/>
      <c r="V1983" s="35"/>
      <c r="W1983" s="35"/>
      <c r="X1983" s="35"/>
      <c r="Y1983" s="35"/>
      <c r="Z1983" s="35"/>
      <c r="AA1983" s="35"/>
      <c r="AB1983" s="35"/>
      <c r="AC1983" s="35"/>
      <c r="AD1983" s="35"/>
      <c r="AE1983" s="35"/>
      <c r="AF1983" s="35"/>
      <c r="AG1983" s="35"/>
      <c r="AH1983" s="35"/>
      <c r="AI1983" s="35"/>
      <c r="AJ1983" s="35"/>
      <c r="AK1983" s="35"/>
      <c r="AL1983" s="35"/>
      <c r="AM1983" s="35"/>
      <c r="AN1983" s="35"/>
      <c r="AO1983" s="35"/>
      <c r="AP1983" s="35"/>
    </row>
    <row r="1984" spans="1:42" ht="17.25" customHeight="1" x14ac:dyDescent="0.25">
      <c r="A1984" s="55">
        <v>2021</v>
      </c>
      <c r="B1984" s="56" t="s">
        <v>66</v>
      </c>
      <c r="C1984" s="56" t="s">
        <v>17</v>
      </c>
      <c r="D1984" s="56" t="s">
        <v>20</v>
      </c>
      <c r="E1984" s="56" t="s">
        <v>67</v>
      </c>
      <c r="F1984" s="56" t="s">
        <v>67</v>
      </c>
      <c r="G1984" s="57">
        <v>419275273</v>
      </c>
      <c r="H1984" s="56" t="s">
        <v>68</v>
      </c>
      <c r="I1984" s="58" t="str">
        <f t="shared" si="135"/>
        <v>Hungary-Offline</v>
      </c>
      <c r="J1984" s="40"/>
      <c r="K1984" s="59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  <c r="Z1984" s="35"/>
      <c r="AA1984" s="35"/>
      <c r="AB1984" s="35"/>
      <c r="AC1984" s="35"/>
      <c r="AD1984" s="35"/>
      <c r="AE1984" s="35"/>
      <c r="AF1984" s="35"/>
      <c r="AG1984" s="35"/>
      <c r="AH1984" s="35"/>
      <c r="AI1984" s="35"/>
      <c r="AJ1984" s="35"/>
      <c r="AK1984" s="35"/>
      <c r="AL1984" s="35"/>
      <c r="AM1984" s="35"/>
      <c r="AN1984" s="35"/>
      <c r="AO1984" s="35"/>
      <c r="AP1984" s="35"/>
    </row>
    <row r="1985" spans="1:42" ht="17.25" customHeight="1" x14ac:dyDescent="0.25">
      <c r="A1985" s="60">
        <v>2021</v>
      </c>
      <c r="B1985" s="61" t="s">
        <v>66</v>
      </c>
      <c r="C1985" s="61" t="s">
        <v>17</v>
      </c>
      <c r="D1985" s="61" t="s">
        <v>20</v>
      </c>
      <c r="E1985" s="61" t="s">
        <v>69</v>
      </c>
      <c r="F1985" s="61" t="s">
        <v>70</v>
      </c>
      <c r="G1985" s="62">
        <v>1794106616</v>
      </c>
      <c r="H1985" s="61" t="s">
        <v>68</v>
      </c>
      <c r="I1985" s="63" t="str">
        <f t="shared" si="135"/>
        <v>Hungary-Online Supplier-Direct</v>
      </c>
      <c r="J1985" s="47"/>
      <c r="K1985" s="54"/>
      <c r="L1985" s="35"/>
      <c r="M1985" s="35"/>
      <c r="N1985" s="35"/>
      <c r="O1985" s="35"/>
      <c r="P1985" s="35"/>
      <c r="Q1985" s="35"/>
      <c r="R1985" s="35"/>
      <c r="S1985" s="35"/>
      <c r="T1985" s="35"/>
      <c r="U1985" s="35"/>
      <c r="V1985" s="35"/>
      <c r="W1985" s="35"/>
      <c r="X1985" s="35"/>
      <c r="Y1985" s="35"/>
      <c r="Z1985" s="35"/>
      <c r="AA1985" s="35"/>
      <c r="AB1985" s="35"/>
      <c r="AC1985" s="35"/>
      <c r="AD1985" s="35"/>
      <c r="AE1985" s="35"/>
      <c r="AF1985" s="35"/>
      <c r="AG1985" s="35"/>
      <c r="AH1985" s="35"/>
      <c r="AI1985" s="35"/>
      <c r="AJ1985" s="35"/>
      <c r="AK1985" s="35"/>
      <c r="AL1985" s="35"/>
      <c r="AM1985" s="35"/>
      <c r="AN1985" s="35"/>
      <c r="AO1985" s="35"/>
      <c r="AP1985" s="35"/>
    </row>
    <row r="1986" spans="1:42" ht="17.25" customHeight="1" x14ac:dyDescent="0.25">
      <c r="A1986" s="55">
        <v>2021</v>
      </c>
      <c r="B1986" s="56" t="s">
        <v>66</v>
      </c>
      <c r="C1986" s="56" t="s">
        <v>17</v>
      </c>
      <c r="D1986" s="56" t="s">
        <v>20</v>
      </c>
      <c r="E1986" s="56" t="s">
        <v>69</v>
      </c>
      <c r="F1986" s="56" t="s">
        <v>71</v>
      </c>
      <c r="G1986" s="57">
        <v>338221693</v>
      </c>
      <c r="H1986" s="56" t="s">
        <v>68</v>
      </c>
      <c r="I1986" s="58" t="str">
        <f t="shared" si="135"/>
        <v>Hungary-OTA</v>
      </c>
      <c r="J1986" s="40"/>
      <c r="K1986" s="59"/>
      <c r="L1986" s="35"/>
      <c r="M1986" s="35"/>
      <c r="N1986" s="35"/>
      <c r="O1986" s="35"/>
      <c r="P1986" s="35"/>
      <c r="Q1986" s="35"/>
      <c r="R1986" s="35"/>
      <c r="S1986" s="35"/>
      <c r="T1986" s="35"/>
      <c r="U1986" s="35"/>
      <c r="V1986" s="35"/>
      <c r="W1986" s="35"/>
      <c r="X1986" s="35"/>
      <c r="Y1986" s="35"/>
      <c r="Z1986" s="35"/>
      <c r="AA1986" s="35"/>
      <c r="AB1986" s="35"/>
      <c r="AC1986" s="35"/>
      <c r="AD1986" s="35"/>
      <c r="AE1986" s="35"/>
      <c r="AF1986" s="35"/>
      <c r="AG1986" s="35"/>
      <c r="AH1986" s="35"/>
      <c r="AI1986" s="35"/>
      <c r="AJ1986" s="35"/>
      <c r="AK1986" s="35"/>
      <c r="AL1986" s="35"/>
      <c r="AM1986" s="35"/>
      <c r="AN1986" s="35"/>
      <c r="AO1986" s="35"/>
      <c r="AP1986" s="35"/>
    </row>
    <row r="1987" spans="1:42" ht="17.25" customHeight="1" x14ac:dyDescent="0.25">
      <c r="A1987" s="60">
        <v>2021</v>
      </c>
      <c r="B1987" s="61" t="s">
        <v>66</v>
      </c>
      <c r="C1987" s="61" t="s">
        <v>4</v>
      </c>
      <c r="D1987" s="61" t="s">
        <v>7</v>
      </c>
      <c r="E1987" s="61" t="s">
        <v>67</v>
      </c>
      <c r="F1987" s="61" t="s">
        <v>67</v>
      </c>
      <c r="G1987" s="62">
        <v>9065567488</v>
      </c>
      <c r="H1987" s="61" t="s">
        <v>68</v>
      </c>
      <c r="I1987" s="63" t="str">
        <f t="shared" si="135"/>
        <v>India-Offline</v>
      </c>
      <c r="J1987" s="47"/>
      <c r="K1987" s="54"/>
      <c r="L1987" s="35"/>
      <c r="M1987" s="35"/>
      <c r="N1987" s="35"/>
      <c r="O1987" s="35"/>
      <c r="P1987" s="35"/>
      <c r="Q1987" s="35"/>
      <c r="R1987" s="35"/>
      <c r="S1987" s="35"/>
      <c r="T1987" s="35"/>
      <c r="U1987" s="35"/>
      <c r="V1987" s="35"/>
      <c r="W1987" s="35"/>
      <c r="X1987" s="35"/>
      <c r="Y1987" s="35"/>
      <c r="Z1987" s="35"/>
      <c r="AA1987" s="35"/>
      <c r="AB1987" s="35"/>
      <c r="AC1987" s="35"/>
      <c r="AD1987" s="35"/>
      <c r="AE1987" s="35"/>
      <c r="AF1987" s="35"/>
      <c r="AG1987" s="35"/>
      <c r="AH1987" s="35"/>
      <c r="AI1987" s="35"/>
      <c r="AJ1987" s="35"/>
      <c r="AK1987" s="35"/>
      <c r="AL1987" s="35"/>
      <c r="AM1987" s="35"/>
      <c r="AN1987" s="35"/>
      <c r="AO1987" s="35"/>
      <c r="AP1987" s="35"/>
    </row>
    <row r="1988" spans="1:42" ht="17.25" customHeight="1" x14ac:dyDescent="0.25">
      <c r="A1988" s="55">
        <v>2021</v>
      </c>
      <c r="B1988" s="56" t="s">
        <v>66</v>
      </c>
      <c r="C1988" s="56" t="s">
        <v>4</v>
      </c>
      <c r="D1988" s="56" t="s">
        <v>7</v>
      </c>
      <c r="E1988" s="56" t="s">
        <v>69</v>
      </c>
      <c r="F1988" s="56" t="s">
        <v>70</v>
      </c>
      <c r="G1988" s="57">
        <v>5129276625</v>
      </c>
      <c r="H1988" s="56" t="s">
        <v>68</v>
      </c>
      <c r="I1988" s="58" t="str">
        <f t="shared" si="135"/>
        <v>India-Online Supplier-Direct</v>
      </c>
      <c r="J1988" s="40"/>
      <c r="K1988" s="59"/>
      <c r="L1988" s="35"/>
      <c r="M1988" s="35"/>
      <c r="N1988" s="35"/>
      <c r="O1988" s="35"/>
      <c r="P1988" s="35"/>
      <c r="Q1988" s="35"/>
      <c r="R1988" s="35"/>
      <c r="S1988" s="35"/>
      <c r="T1988" s="35"/>
      <c r="U1988" s="35"/>
      <c r="V1988" s="35"/>
      <c r="W1988" s="35"/>
      <c r="X1988" s="35"/>
      <c r="Y1988" s="35"/>
      <c r="Z1988" s="35"/>
      <c r="AA1988" s="35"/>
      <c r="AB1988" s="35"/>
      <c r="AC1988" s="35"/>
      <c r="AD1988" s="35"/>
      <c r="AE1988" s="35"/>
      <c r="AF1988" s="35"/>
      <c r="AG1988" s="35"/>
      <c r="AH1988" s="35"/>
      <c r="AI1988" s="35"/>
      <c r="AJ1988" s="35"/>
      <c r="AK1988" s="35"/>
      <c r="AL1988" s="35"/>
      <c r="AM1988" s="35"/>
      <c r="AN1988" s="35"/>
      <c r="AO1988" s="35"/>
      <c r="AP1988" s="35"/>
    </row>
    <row r="1989" spans="1:42" ht="17.25" customHeight="1" x14ac:dyDescent="0.25">
      <c r="A1989" s="60">
        <v>2021</v>
      </c>
      <c r="B1989" s="61" t="s">
        <v>66</v>
      </c>
      <c r="C1989" s="61" t="s">
        <v>4</v>
      </c>
      <c r="D1989" s="61" t="s">
        <v>7</v>
      </c>
      <c r="E1989" s="61" t="s">
        <v>69</v>
      </c>
      <c r="F1989" s="61" t="s">
        <v>71</v>
      </c>
      <c r="G1989" s="62">
        <v>5463647151</v>
      </c>
      <c r="H1989" s="61" t="s">
        <v>68</v>
      </c>
      <c r="I1989" s="63" t="str">
        <f t="shared" si="135"/>
        <v>India-OTA</v>
      </c>
      <c r="J1989" s="47"/>
      <c r="K1989" s="54"/>
      <c r="L1989" s="35"/>
      <c r="M1989" s="35"/>
      <c r="N1989" s="35"/>
      <c r="O1989" s="35"/>
      <c r="P1989" s="35"/>
      <c r="Q1989" s="35"/>
      <c r="R1989" s="35"/>
      <c r="S1989" s="35"/>
      <c r="T1989" s="35"/>
      <c r="U1989" s="35"/>
      <c r="V1989" s="35"/>
      <c r="W1989" s="35"/>
      <c r="X1989" s="35"/>
      <c r="Y1989" s="35"/>
      <c r="Z1989" s="35"/>
      <c r="AA1989" s="35"/>
      <c r="AB1989" s="35"/>
      <c r="AC1989" s="35"/>
      <c r="AD1989" s="35"/>
      <c r="AE1989" s="35"/>
      <c r="AF1989" s="35"/>
      <c r="AG1989" s="35"/>
      <c r="AH1989" s="35"/>
      <c r="AI1989" s="35"/>
      <c r="AJ1989" s="35"/>
      <c r="AK1989" s="35"/>
      <c r="AL1989" s="35"/>
      <c r="AM1989" s="35"/>
      <c r="AN1989" s="35"/>
      <c r="AO1989" s="35"/>
      <c r="AP1989" s="35"/>
    </row>
    <row r="1990" spans="1:42" ht="17.25" customHeight="1" x14ac:dyDescent="0.25">
      <c r="A1990" s="55">
        <v>2021</v>
      </c>
      <c r="B1990" s="56" t="s">
        <v>66</v>
      </c>
      <c r="C1990" s="56" t="s">
        <v>4</v>
      </c>
      <c r="D1990" s="56" t="s">
        <v>8</v>
      </c>
      <c r="E1990" s="56" t="s">
        <v>67</v>
      </c>
      <c r="F1990" s="56" t="s">
        <v>67</v>
      </c>
      <c r="G1990" s="57">
        <v>2345969688</v>
      </c>
      <c r="H1990" s="56" t="s">
        <v>68</v>
      </c>
      <c r="I1990" s="58" t="str">
        <f t="shared" si="135"/>
        <v>Indonesia-Offline</v>
      </c>
      <c r="J1990" s="40"/>
      <c r="K1990" s="59"/>
      <c r="L1990" s="35"/>
      <c r="M1990" s="35"/>
      <c r="N1990" s="35"/>
      <c r="O1990" s="35"/>
      <c r="P1990" s="35"/>
      <c r="Q1990" s="35"/>
      <c r="R1990" s="35"/>
      <c r="S1990" s="35"/>
      <c r="T1990" s="35"/>
      <c r="U1990" s="35"/>
      <c r="V1990" s="35"/>
      <c r="W1990" s="35"/>
      <c r="X1990" s="35"/>
      <c r="Y1990" s="35"/>
      <c r="Z1990" s="35"/>
      <c r="AA1990" s="35"/>
      <c r="AB1990" s="35"/>
      <c r="AC1990" s="35"/>
      <c r="AD1990" s="35"/>
      <c r="AE1990" s="35"/>
      <c r="AF1990" s="35"/>
      <c r="AG1990" s="35"/>
      <c r="AH1990" s="35"/>
      <c r="AI1990" s="35"/>
      <c r="AJ1990" s="35"/>
      <c r="AK1990" s="35"/>
      <c r="AL1990" s="35"/>
      <c r="AM1990" s="35"/>
      <c r="AN1990" s="35"/>
      <c r="AO1990" s="35"/>
      <c r="AP1990" s="35"/>
    </row>
    <row r="1991" spans="1:42" ht="17.25" customHeight="1" x14ac:dyDescent="0.25">
      <c r="A1991" s="60">
        <v>2021</v>
      </c>
      <c r="B1991" s="61" t="s">
        <v>66</v>
      </c>
      <c r="C1991" s="61" t="s">
        <v>4</v>
      </c>
      <c r="D1991" s="61" t="s">
        <v>8</v>
      </c>
      <c r="E1991" s="61" t="s">
        <v>69</v>
      </c>
      <c r="F1991" s="61" t="s">
        <v>70</v>
      </c>
      <c r="G1991" s="62">
        <v>538901083</v>
      </c>
      <c r="H1991" s="61" t="s">
        <v>68</v>
      </c>
      <c r="I1991" s="63" t="str">
        <f t="shared" si="135"/>
        <v>Indonesia-Online Supplier-Direct</v>
      </c>
      <c r="J1991" s="47"/>
      <c r="K1991" s="54"/>
      <c r="L1991" s="35"/>
      <c r="M1991" s="35"/>
      <c r="N1991" s="35"/>
      <c r="O1991" s="35"/>
      <c r="P1991" s="35"/>
      <c r="Q1991" s="35"/>
      <c r="R1991" s="35"/>
      <c r="S1991" s="35"/>
      <c r="T1991" s="35"/>
      <c r="U1991" s="35"/>
      <c r="V1991" s="35"/>
      <c r="W1991" s="35"/>
      <c r="X1991" s="35"/>
      <c r="Y1991" s="35"/>
      <c r="Z1991" s="35"/>
      <c r="AA1991" s="35"/>
      <c r="AB1991" s="35"/>
      <c r="AC1991" s="35"/>
      <c r="AD1991" s="35"/>
      <c r="AE1991" s="35"/>
      <c r="AF1991" s="35"/>
      <c r="AG1991" s="35"/>
      <c r="AH1991" s="35"/>
      <c r="AI1991" s="35"/>
      <c r="AJ1991" s="35"/>
      <c r="AK1991" s="35"/>
      <c r="AL1991" s="35"/>
      <c r="AM1991" s="35"/>
      <c r="AN1991" s="35"/>
      <c r="AO1991" s="35"/>
      <c r="AP1991" s="35"/>
    </row>
    <row r="1992" spans="1:42" ht="17.25" customHeight="1" x14ac:dyDescent="0.25">
      <c r="A1992" s="55">
        <v>2021</v>
      </c>
      <c r="B1992" s="56" t="s">
        <v>66</v>
      </c>
      <c r="C1992" s="56" t="s">
        <v>4</v>
      </c>
      <c r="D1992" s="56" t="s">
        <v>8</v>
      </c>
      <c r="E1992" s="56" t="s">
        <v>69</v>
      </c>
      <c r="F1992" s="56" t="s">
        <v>71</v>
      </c>
      <c r="G1992" s="57">
        <v>1381879196</v>
      </c>
      <c r="H1992" s="56" t="s">
        <v>68</v>
      </c>
      <c r="I1992" s="58" t="str">
        <f t="shared" si="135"/>
        <v>Indonesia-OTA</v>
      </c>
      <c r="J1992" s="40"/>
      <c r="K1992" s="59"/>
      <c r="L1992" s="35"/>
      <c r="M1992" s="35"/>
      <c r="N1992" s="35"/>
      <c r="O1992" s="35"/>
      <c r="P1992" s="35"/>
      <c r="Q1992" s="35"/>
      <c r="R1992" s="35"/>
      <c r="S1992" s="35"/>
      <c r="T1992" s="35"/>
      <c r="U1992" s="35"/>
      <c r="V1992" s="35"/>
      <c r="W1992" s="35"/>
      <c r="X1992" s="35"/>
      <c r="Y1992" s="35"/>
      <c r="Z1992" s="35"/>
      <c r="AA1992" s="35"/>
      <c r="AB1992" s="35"/>
      <c r="AC1992" s="35"/>
      <c r="AD1992" s="35"/>
      <c r="AE1992" s="35"/>
      <c r="AF1992" s="35"/>
      <c r="AG1992" s="35"/>
      <c r="AH1992" s="35"/>
      <c r="AI1992" s="35"/>
      <c r="AJ1992" s="35"/>
      <c r="AK1992" s="35"/>
      <c r="AL1992" s="35"/>
      <c r="AM1992" s="35"/>
      <c r="AN1992" s="35"/>
      <c r="AO1992" s="35"/>
      <c r="AP1992" s="35"/>
    </row>
    <row r="1993" spans="1:42" ht="17.25" customHeight="1" x14ac:dyDescent="0.25">
      <c r="A1993" s="60">
        <v>2021</v>
      </c>
      <c r="B1993" s="61" t="s">
        <v>66</v>
      </c>
      <c r="C1993" s="61" t="s">
        <v>27</v>
      </c>
      <c r="D1993" s="61" t="s">
        <v>29</v>
      </c>
      <c r="E1993" s="61" t="s">
        <v>67</v>
      </c>
      <c r="F1993" s="61" t="s">
        <v>67</v>
      </c>
      <c r="G1993" s="62">
        <v>6969188992</v>
      </c>
      <c r="H1993" s="61" t="s">
        <v>68</v>
      </c>
      <c r="I1993" s="63" t="str">
        <f t="shared" si="135"/>
        <v>Italy-Offline</v>
      </c>
      <c r="J1993" s="47"/>
      <c r="K1993" s="54"/>
      <c r="L1993" s="35"/>
      <c r="M1993" s="35"/>
      <c r="N1993" s="35"/>
      <c r="O1993" s="35"/>
      <c r="P1993" s="35"/>
      <c r="Q1993" s="35"/>
      <c r="R1993" s="35"/>
      <c r="S1993" s="35"/>
      <c r="T1993" s="35"/>
      <c r="U1993" s="35"/>
      <c r="V1993" s="35"/>
      <c r="W1993" s="35"/>
      <c r="X1993" s="35"/>
      <c r="Y1993" s="35"/>
      <c r="Z1993" s="35"/>
      <c r="AA1993" s="35"/>
      <c r="AB1993" s="35"/>
      <c r="AC1993" s="35"/>
      <c r="AD1993" s="35"/>
      <c r="AE1993" s="35"/>
      <c r="AF1993" s="35"/>
      <c r="AG1993" s="35"/>
      <c r="AH1993" s="35"/>
      <c r="AI1993" s="35"/>
      <c r="AJ1993" s="35"/>
      <c r="AK1993" s="35"/>
      <c r="AL1993" s="35"/>
      <c r="AM1993" s="35"/>
      <c r="AN1993" s="35"/>
      <c r="AO1993" s="35"/>
      <c r="AP1993" s="35"/>
    </row>
    <row r="1994" spans="1:42" ht="17.25" customHeight="1" x14ac:dyDescent="0.25">
      <c r="A1994" s="55">
        <v>2021</v>
      </c>
      <c r="B1994" s="56" t="s">
        <v>66</v>
      </c>
      <c r="C1994" s="56" t="s">
        <v>27</v>
      </c>
      <c r="D1994" s="56" t="s">
        <v>29</v>
      </c>
      <c r="E1994" s="56" t="s">
        <v>69</v>
      </c>
      <c r="F1994" s="56" t="s">
        <v>70</v>
      </c>
      <c r="G1994" s="57">
        <v>4222546878</v>
      </c>
      <c r="H1994" s="56" t="s">
        <v>68</v>
      </c>
      <c r="I1994" s="58" t="str">
        <f t="shared" si="135"/>
        <v>Italy-Online Supplier-Direct</v>
      </c>
      <c r="J1994" s="40"/>
      <c r="K1994" s="59"/>
      <c r="L1994" s="35"/>
      <c r="M1994" s="35"/>
      <c r="N1994" s="35"/>
      <c r="O1994" s="35"/>
      <c r="P1994" s="35"/>
      <c r="Q1994" s="35"/>
      <c r="R1994" s="35"/>
      <c r="S1994" s="35"/>
      <c r="T1994" s="35"/>
      <c r="U1994" s="35"/>
      <c r="V1994" s="35"/>
      <c r="W1994" s="35"/>
      <c r="X1994" s="35"/>
      <c r="Y1994" s="35"/>
      <c r="Z1994" s="35"/>
      <c r="AA1994" s="35"/>
      <c r="AB1994" s="35"/>
      <c r="AC1994" s="35"/>
      <c r="AD1994" s="35"/>
      <c r="AE1994" s="35"/>
      <c r="AF1994" s="35"/>
      <c r="AG1994" s="35"/>
      <c r="AH1994" s="35"/>
      <c r="AI1994" s="35"/>
      <c r="AJ1994" s="35"/>
      <c r="AK1994" s="35"/>
      <c r="AL1994" s="35"/>
      <c r="AM1994" s="35"/>
      <c r="AN1994" s="35"/>
      <c r="AO1994" s="35"/>
      <c r="AP1994" s="35"/>
    </row>
    <row r="1995" spans="1:42" ht="17.25" customHeight="1" x14ac:dyDescent="0.25">
      <c r="A1995" s="60">
        <v>2021</v>
      </c>
      <c r="B1995" s="61" t="s">
        <v>66</v>
      </c>
      <c r="C1995" s="61" t="s">
        <v>27</v>
      </c>
      <c r="D1995" s="61" t="s">
        <v>29</v>
      </c>
      <c r="E1995" s="61" t="s">
        <v>69</v>
      </c>
      <c r="F1995" s="61" t="s">
        <v>71</v>
      </c>
      <c r="G1995" s="62">
        <v>3062564104</v>
      </c>
      <c r="H1995" s="61" t="s">
        <v>68</v>
      </c>
      <c r="I1995" s="63" t="str">
        <f t="shared" si="135"/>
        <v>Italy-OTA</v>
      </c>
      <c r="J1995" s="47"/>
      <c r="K1995" s="54"/>
      <c r="L1995" s="35"/>
      <c r="M1995" s="35"/>
      <c r="N1995" s="35"/>
      <c r="O1995" s="35"/>
      <c r="P1995" s="35"/>
      <c r="Q1995" s="35"/>
      <c r="R1995" s="35"/>
      <c r="S1995" s="35"/>
      <c r="T1995" s="35"/>
      <c r="U1995" s="35"/>
      <c r="V1995" s="35"/>
      <c r="W1995" s="35"/>
      <c r="X1995" s="35"/>
      <c r="Y1995" s="35"/>
      <c r="Z1995" s="35"/>
      <c r="AA1995" s="35"/>
      <c r="AB1995" s="35"/>
      <c r="AC1995" s="35"/>
      <c r="AD1995" s="35"/>
      <c r="AE1995" s="35"/>
      <c r="AF1995" s="35"/>
      <c r="AG1995" s="35"/>
      <c r="AH1995" s="35"/>
      <c r="AI1995" s="35"/>
      <c r="AJ1995" s="35"/>
      <c r="AK1995" s="35"/>
      <c r="AL1995" s="35"/>
      <c r="AM1995" s="35"/>
      <c r="AN1995" s="35"/>
      <c r="AO1995" s="35"/>
      <c r="AP1995" s="35"/>
    </row>
    <row r="1996" spans="1:42" ht="17.25" customHeight="1" x14ac:dyDescent="0.25">
      <c r="A1996" s="55">
        <v>2021</v>
      </c>
      <c r="B1996" s="56" t="s">
        <v>66</v>
      </c>
      <c r="C1996" s="56" t="s">
        <v>4</v>
      </c>
      <c r="D1996" s="56" t="s">
        <v>9</v>
      </c>
      <c r="E1996" s="56" t="s">
        <v>67</v>
      </c>
      <c r="F1996" s="56" t="s">
        <v>67</v>
      </c>
      <c r="G1996" s="57">
        <v>20636219924</v>
      </c>
      <c r="H1996" s="56" t="s">
        <v>68</v>
      </c>
      <c r="I1996" s="58" t="str">
        <f t="shared" si="135"/>
        <v>Japan-Offline</v>
      </c>
      <c r="J1996" s="40"/>
      <c r="K1996" s="59"/>
      <c r="L1996" s="35"/>
      <c r="M1996" s="35"/>
      <c r="N1996" s="35"/>
      <c r="O1996" s="35"/>
      <c r="P1996" s="35"/>
      <c r="Q1996" s="35"/>
      <c r="R1996" s="35"/>
      <c r="S1996" s="35"/>
      <c r="T1996" s="35"/>
      <c r="U1996" s="35"/>
      <c r="V1996" s="35"/>
      <c r="W1996" s="35"/>
      <c r="X1996" s="35"/>
      <c r="Y1996" s="35"/>
      <c r="Z1996" s="35"/>
      <c r="AA1996" s="35"/>
      <c r="AB1996" s="35"/>
      <c r="AC1996" s="35"/>
      <c r="AD1996" s="35"/>
      <c r="AE1996" s="35"/>
      <c r="AF1996" s="35"/>
      <c r="AG1996" s="35"/>
      <c r="AH1996" s="35"/>
      <c r="AI1996" s="35"/>
      <c r="AJ1996" s="35"/>
      <c r="AK1996" s="35"/>
      <c r="AL1996" s="35"/>
      <c r="AM1996" s="35"/>
      <c r="AN1996" s="35"/>
      <c r="AO1996" s="35"/>
      <c r="AP1996" s="35"/>
    </row>
    <row r="1997" spans="1:42" ht="17.25" customHeight="1" x14ac:dyDescent="0.25">
      <c r="A1997" s="60">
        <v>2021</v>
      </c>
      <c r="B1997" s="61" t="s">
        <v>66</v>
      </c>
      <c r="C1997" s="61" t="s">
        <v>4</v>
      </c>
      <c r="D1997" s="61" t="s">
        <v>9</v>
      </c>
      <c r="E1997" s="61" t="s">
        <v>69</v>
      </c>
      <c r="F1997" s="61" t="s">
        <v>70</v>
      </c>
      <c r="G1997" s="62">
        <v>11798173167</v>
      </c>
      <c r="H1997" s="61" t="s">
        <v>68</v>
      </c>
      <c r="I1997" s="63" t="str">
        <f t="shared" si="135"/>
        <v>Japan-Online Supplier-Direct</v>
      </c>
      <c r="J1997" s="47"/>
      <c r="K1997" s="54"/>
      <c r="L1997" s="35"/>
      <c r="M1997" s="35"/>
      <c r="N1997" s="35"/>
      <c r="O1997" s="35"/>
      <c r="P1997" s="35"/>
      <c r="Q1997" s="35"/>
      <c r="R1997" s="35"/>
      <c r="S1997" s="35"/>
      <c r="T1997" s="35"/>
      <c r="U1997" s="35"/>
      <c r="V1997" s="35"/>
      <c r="W1997" s="35"/>
      <c r="X1997" s="35"/>
      <c r="Y1997" s="35"/>
      <c r="Z1997" s="35"/>
      <c r="AA1997" s="35"/>
      <c r="AB1997" s="35"/>
      <c r="AC1997" s="35"/>
      <c r="AD1997" s="35"/>
      <c r="AE1997" s="35"/>
      <c r="AF1997" s="35"/>
      <c r="AG1997" s="35"/>
      <c r="AH1997" s="35"/>
      <c r="AI1997" s="35"/>
      <c r="AJ1997" s="35"/>
      <c r="AK1997" s="35"/>
      <c r="AL1997" s="35"/>
      <c r="AM1997" s="35"/>
      <c r="AN1997" s="35"/>
      <c r="AO1997" s="35"/>
      <c r="AP1997" s="35"/>
    </row>
    <row r="1998" spans="1:42" ht="17.25" customHeight="1" x14ac:dyDescent="0.25">
      <c r="A1998" s="55">
        <v>2021</v>
      </c>
      <c r="B1998" s="56" t="s">
        <v>66</v>
      </c>
      <c r="C1998" s="56" t="s">
        <v>4</v>
      </c>
      <c r="D1998" s="56" t="s">
        <v>9</v>
      </c>
      <c r="E1998" s="56" t="s">
        <v>69</v>
      </c>
      <c r="F1998" s="56" t="s">
        <v>71</v>
      </c>
      <c r="G1998" s="57">
        <v>8547014422</v>
      </c>
      <c r="H1998" s="56" t="s">
        <v>68</v>
      </c>
      <c r="I1998" s="58" t="str">
        <f t="shared" si="135"/>
        <v>Japan-OTA</v>
      </c>
      <c r="J1998" s="40"/>
      <c r="K1998" s="59"/>
      <c r="L1998" s="35"/>
      <c r="M1998" s="35"/>
      <c r="N1998" s="35"/>
      <c r="O1998" s="35"/>
      <c r="P1998" s="35"/>
      <c r="Q1998" s="35"/>
      <c r="R1998" s="35"/>
      <c r="S1998" s="35"/>
      <c r="T1998" s="35"/>
      <c r="U1998" s="35"/>
      <c r="V1998" s="35"/>
      <c r="W1998" s="35"/>
      <c r="X1998" s="35"/>
      <c r="Y1998" s="35"/>
      <c r="Z1998" s="35"/>
      <c r="AA1998" s="35"/>
      <c r="AB1998" s="35"/>
      <c r="AC1998" s="35"/>
      <c r="AD1998" s="35"/>
      <c r="AE1998" s="35"/>
      <c r="AF1998" s="35"/>
      <c r="AG1998" s="35"/>
      <c r="AH1998" s="35"/>
      <c r="AI1998" s="35"/>
      <c r="AJ1998" s="35"/>
      <c r="AK1998" s="35"/>
      <c r="AL1998" s="35"/>
      <c r="AM1998" s="35"/>
      <c r="AN1998" s="35"/>
      <c r="AO1998" s="35"/>
      <c r="AP1998" s="35"/>
    </row>
    <row r="1999" spans="1:42" ht="17.25" customHeight="1" x14ac:dyDescent="0.25">
      <c r="A1999" s="60">
        <v>2021</v>
      </c>
      <c r="B1999" s="61" t="s">
        <v>66</v>
      </c>
      <c r="C1999" s="61" t="s">
        <v>4</v>
      </c>
      <c r="D1999" s="61" t="s">
        <v>10</v>
      </c>
      <c r="E1999" s="61" t="s">
        <v>67</v>
      </c>
      <c r="F1999" s="61" t="s">
        <v>67</v>
      </c>
      <c r="G1999" s="62">
        <v>414388763</v>
      </c>
      <c r="H1999" s="61" t="s">
        <v>68</v>
      </c>
      <c r="I1999" s="63" t="str">
        <f t="shared" si="135"/>
        <v>Macau-Offline</v>
      </c>
      <c r="J1999" s="47"/>
      <c r="K1999" s="54"/>
      <c r="L1999" s="35"/>
      <c r="M1999" s="35"/>
      <c r="N1999" s="35"/>
      <c r="O1999" s="35"/>
      <c r="P1999" s="35"/>
      <c r="Q1999" s="35"/>
      <c r="R1999" s="35"/>
      <c r="S1999" s="35"/>
      <c r="T1999" s="35"/>
      <c r="U1999" s="35"/>
      <c r="V1999" s="35"/>
      <c r="W1999" s="35"/>
      <c r="X1999" s="35"/>
      <c r="Y1999" s="35"/>
      <c r="Z1999" s="35"/>
      <c r="AA1999" s="35"/>
      <c r="AB1999" s="35"/>
      <c r="AC1999" s="35"/>
      <c r="AD1999" s="35"/>
      <c r="AE1999" s="35"/>
      <c r="AF1999" s="35"/>
      <c r="AG1999" s="35"/>
      <c r="AH1999" s="35"/>
      <c r="AI1999" s="35"/>
      <c r="AJ1999" s="35"/>
      <c r="AK1999" s="35"/>
      <c r="AL1999" s="35"/>
      <c r="AM1999" s="35"/>
      <c r="AN1999" s="35"/>
      <c r="AO1999" s="35"/>
      <c r="AP1999" s="35"/>
    </row>
    <row r="2000" spans="1:42" ht="17.25" customHeight="1" x14ac:dyDescent="0.25">
      <c r="A2000" s="55">
        <v>2021</v>
      </c>
      <c r="B2000" s="56" t="s">
        <v>66</v>
      </c>
      <c r="C2000" s="56" t="s">
        <v>4</v>
      </c>
      <c r="D2000" s="56" t="s">
        <v>10</v>
      </c>
      <c r="E2000" s="56" t="s">
        <v>69</v>
      </c>
      <c r="F2000" s="56" t="s">
        <v>70</v>
      </c>
      <c r="G2000" s="57">
        <v>38129623</v>
      </c>
      <c r="H2000" s="56" t="s">
        <v>68</v>
      </c>
      <c r="I2000" s="58" t="str">
        <f t="shared" si="135"/>
        <v>Macau-Online Supplier-Direct</v>
      </c>
      <c r="J2000" s="40"/>
      <c r="K2000" s="59"/>
      <c r="L2000" s="35"/>
      <c r="M2000" s="35"/>
      <c r="N2000" s="35"/>
      <c r="O2000" s="35"/>
      <c r="P2000" s="35"/>
      <c r="Q2000" s="35"/>
      <c r="R2000" s="35"/>
      <c r="S2000" s="35"/>
      <c r="T2000" s="35"/>
      <c r="U2000" s="35"/>
      <c r="V2000" s="35"/>
      <c r="W2000" s="35"/>
      <c r="X2000" s="35"/>
      <c r="Y2000" s="35"/>
      <c r="Z2000" s="35"/>
      <c r="AA2000" s="35"/>
      <c r="AB2000" s="35"/>
      <c r="AC2000" s="35"/>
      <c r="AD2000" s="35"/>
      <c r="AE2000" s="35"/>
      <c r="AF2000" s="35"/>
      <c r="AG2000" s="35"/>
      <c r="AH2000" s="35"/>
      <c r="AI2000" s="35"/>
      <c r="AJ2000" s="35"/>
      <c r="AK2000" s="35"/>
      <c r="AL2000" s="35"/>
      <c r="AM2000" s="35"/>
      <c r="AN2000" s="35"/>
      <c r="AO2000" s="35"/>
      <c r="AP2000" s="35"/>
    </row>
    <row r="2001" spans="1:42" ht="17.25" customHeight="1" x14ac:dyDescent="0.25">
      <c r="A2001" s="60">
        <v>2021</v>
      </c>
      <c r="B2001" s="61" t="s">
        <v>66</v>
      </c>
      <c r="C2001" s="61" t="s">
        <v>4</v>
      </c>
      <c r="D2001" s="61" t="s">
        <v>10</v>
      </c>
      <c r="E2001" s="61" t="s">
        <v>69</v>
      </c>
      <c r="F2001" s="61" t="s">
        <v>71</v>
      </c>
      <c r="G2001" s="62">
        <v>279617237</v>
      </c>
      <c r="H2001" s="61" t="s">
        <v>68</v>
      </c>
      <c r="I2001" s="63" t="str">
        <f t="shared" si="135"/>
        <v>Macau-OTA</v>
      </c>
      <c r="J2001" s="47"/>
      <c r="K2001" s="54"/>
      <c r="L2001" s="35"/>
      <c r="M2001" s="35"/>
      <c r="N2001" s="35"/>
      <c r="O2001" s="35"/>
      <c r="P2001" s="35"/>
      <c r="Q2001" s="35"/>
      <c r="R2001" s="35"/>
      <c r="S2001" s="35"/>
      <c r="T2001" s="35"/>
      <c r="U2001" s="35"/>
      <c r="V2001" s="35"/>
      <c r="W2001" s="35"/>
      <c r="X2001" s="35"/>
      <c r="Y2001" s="35"/>
      <c r="Z2001" s="35"/>
      <c r="AA2001" s="35"/>
      <c r="AB2001" s="35"/>
      <c r="AC2001" s="35"/>
      <c r="AD2001" s="35"/>
      <c r="AE2001" s="35"/>
      <c r="AF2001" s="35"/>
      <c r="AG2001" s="35"/>
      <c r="AH2001" s="35"/>
      <c r="AI2001" s="35"/>
      <c r="AJ2001" s="35"/>
      <c r="AK2001" s="35"/>
      <c r="AL2001" s="35"/>
      <c r="AM2001" s="35"/>
      <c r="AN2001" s="35"/>
      <c r="AO2001" s="35"/>
      <c r="AP2001" s="35"/>
    </row>
    <row r="2002" spans="1:42" ht="17.25" customHeight="1" x14ac:dyDescent="0.25">
      <c r="A2002" s="55">
        <v>2021</v>
      </c>
      <c r="B2002" s="56" t="s">
        <v>66</v>
      </c>
      <c r="C2002" s="56" t="s">
        <v>4</v>
      </c>
      <c r="D2002" s="56" t="s">
        <v>11</v>
      </c>
      <c r="E2002" s="56" t="s">
        <v>67</v>
      </c>
      <c r="F2002" s="56" t="s">
        <v>67</v>
      </c>
      <c r="G2002" s="57">
        <v>1106204565</v>
      </c>
      <c r="H2002" s="56" t="s">
        <v>68</v>
      </c>
      <c r="I2002" s="58" t="str">
        <f t="shared" si="135"/>
        <v>Malaysia-Offline</v>
      </c>
      <c r="J2002" s="40"/>
      <c r="K2002" s="59"/>
      <c r="L2002" s="35"/>
      <c r="M2002" s="35"/>
      <c r="N2002" s="35"/>
      <c r="O2002" s="35"/>
      <c r="P2002" s="35"/>
      <c r="Q2002" s="35"/>
      <c r="R2002" s="35"/>
      <c r="S2002" s="35"/>
      <c r="T2002" s="35"/>
      <c r="U2002" s="35"/>
      <c r="V2002" s="35"/>
      <c r="W2002" s="35"/>
      <c r="X2002" s="35"/>
      <c r="Y2002" s="35"/>
      <c r="Z2002" s="35"/>
      <c r="AA2002" s="35"/>
      <c r="AB2002" s="35"/>
      <c r="AC2002" s="35"/>
      <c r="AD2002" s="35"/>
      <c r="AE2002" s="35"/>
      <c r="AF2002" s="35"/>
      <c r="AG2002" s="35"/>
      <c r="AH2002" s="35"/>
      <c r="AI2002" s="35"/>
      <c r="AJ2002" s="35"/>
      <c r="AK2002" s="35"/>
      <c r="AL2002" s="35"/>
      <c r="AM2002" s="35"/>
      <c r="AN2002" s="35"/>
      <c r="AO2002" s="35"/>
      <c r="AP2002" s="35"/>
    </row>
    <row r="2003" spans="1:42" ht="17.25" customHeight="1" x14ac:dyDescent="0.25">
      <c r="A2003" s="60">
        <v>2021</v>
      </c>
      <c r="B2003" s="61" t="s">
        <v>66</v>
      </c>
      <c r="C2003" s="61" t="s">
        <v>4</v>
      </c>
      <c r="D2003" s="61" t="s">
        <v>11</v>
      </c>
      <c r="E2003" s="61" t="s">
        <v>69</v>
      </c>
      <c r="F2003" s="61" t="s">
        <v>70</v>
      </c>
      <c r="G2003" s="62">
        <v>356723035</v>
      </c>
      <c r="H2003" s="61" t="s">
        <v>68</v>
      </c>
      <c r="I2003" s="63" t="str">
        <f t="shared" si="135"/>
        <v>Malaysia-Online Supplier-Direct</v>
      </c>
      <c r="J2003" s="47"/>
      <c r="K2003" s="54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  <c r="Z2003" s="35"/>
      <c r="AA2003" s="35"/>
      <c r="AB2003" s="35"/>
      <c r="AC2003" s="35"/>
      <c r="AD2003" s="35"/>
      <c r="AE2003" s="35"/>
      <c r="AF2003" s="35"/>
      <c r="AG2003" s="35"/>
      <c r="AH2003" s="35"/>
      <c r="AI2003" s="35"/>
      <c r="AJ2003" s="35"/>
      <c r="AK2003" s="35"/>
      <c r="AL2003" s="35"/>
      <c r="AM2003" s="35"/>
      <c r="AN2003" s="35"/>
      <c r="AO2003" s="35"/>
      <c r="AP2003" s="35"/>
    </row>
    <row r="2004" spans="1:42" ht="17.25" customHeight="1" x14ac:dyDescent="0.25">
      <c r="A2004" s="55">
        <v>2021</v>
      </c>
      <c r="B2004" s="56" t="s">
        <v>66</v>
      </c>
      <c r="C2004" s="56" t="s">
        <v>4</v>
      </c>
      <c r="D2004" s="56" t="s">
        <v>11</v>
      </c>
      <c r="E2004" s="56" t="s">
        <v>69</v>
      </c>
      <c r="F2004" s="56" t="s">
        <v>71</v>
      </c>
      <c r="G2004" s="57">
        <v>478699435</v>
      </c>
      <c r="H2004" s="56" t="s">
        <v>68</v>
      </c>
      <c r="I2004" s="58" t="str">
        <f t="shared" si="135"/>
        <v>Malaysia-OTA</v>
      </c>
      <c r="J2004" s="40"/>
      <c r="K2004" s="59"/>
      <c r="L2004" s="35"/>
      <c r="M2004" s="35"/>
      <c r="N2004" s="35"/>
      <c r="O2004" s="35"/>
      <c r="P2004" s="35"/>
      <c r="Q2004" s="35"/>
      <c r="R2004" s="35"/>
      <c r="S2004" s="35"/>
      <c r="T2004" s="35"/>
      <c r="U2004" s="35"/>
      <c r="V2004" s="35"/>
      <c r="W2004" s="35"/>
      <c r="X2004" s="35"/>
      <c r="Y2004" s="35"/>
      <c r="Z2004" s="35"/>
      <c r="AA2004" s="35"/>
      <c r="AB2004" s="35"/>
      <c r="AC2004" s="35"/>
      <c r="AD2004" s="35"/>
      <c r="AE2004" s="35"/>
      <c r="AF2004" s="35"/>
      <c r="AG2004" s="35"/>
      <c r="AH2004" s="35"/>
      <c r="AI2004" s="35"/>
      <c r="AJ2004" s="35"/>
      <c r="AK2004" s="35"/>
      <c r="AL2004" s="35"/>
      <c r="AM2004" s="35"/>
      <c r="AN2004" s="35"/>
      <c r="AO2004" s="35"/>
      <c r="AP2004" s="35"/>
    </row>
    <row r="2005" spans="1:42" ht="17.25" customHeight="1" x14ac:dyDescent="0.25">
      <c r="A2005" s="60">
        <v>2021</v>
      </c>
      <c r="B2005" s="61" t="s">
        <v>66</v>
      </c>
      <c r="C2005" s="61" t="s">
        <v>35</v>
      </c>
      <c r="D2005" s="61" t="s">
        <v>39</v>
      </c>
      <c r="E2005" s="61" t="s">
        <v>67</v>
      </c>
      <c r="F2005" s="61" t="s">
        <v>67</v>
      </c>
      <c r="G2005" s="62">
        <v>10331268148</v>
      </c>
      <c r="H2005" s="61" t="s">
        <v>68</v>
      </c>
      <c r="I2005" s="63" t="str">
        <f t="shared" si="135"/>
        <v>Mexico-Offline</v>
      </c>
      <c r="J2005" s="47"/>
      <c r="K2005" s="54"/>
      <c r="L2005" s="35"/>
      <c r="M2005" s="35"/>
      <c r="N2005" s="35"/>
      <c r="O2005" s="35"/>
      <c r="P2005" s="35"/>
      <c r="Q2005" s="35"/>
      <c r="R2005" s="35"/>
      <c r="S2005" s="35"/>
      <c r="T2005" s="35"/>
      <c r="U2005" s="35"/>
      <c r="V2005" s="35"/>
      <c r="W2005" s="35"/>
      <c r="X2005" s="35"/>
      <c r="Y2005" s="35"/>
      <c r="Z2005" s="35"/>
      <c r="AA2005" s="35"/>
      <c r="AB2005" s="35"/>
      <c r="AC2005" s="35"/>
      <c r="AD2005" s="35"/>
      <c r="AE2005" s="35"/>
      <c r="AF2005" s="35"/>
      <c r="AG2005" s="35"/>
      <c r="AH2005" s="35"/>
      <c r="AI2005" s="35"/>
      <c r="AJ2005" s="35"/>
      <c r="AK2005" s="35"/>
      <c r="AL2005" s="35"/>
      <c r="AM2005" s="35"/>
      <c r="AN2005" s="35"/>
      <c r="AO2005" s="35"/>
      <c r="AP2005" s="35"/>
    </row>
    <row r="2006" spans="1:42" ht="17.25" customHeight="1" x14ac:dyDescent="0.25">
      <c r="A2006" s="55">
        <v>2021</v>
      </c>
      <c r="B2006" s="56" t="s">
        <v>66</v>
      </c>
      <c r="C2006" s="56" t="s">
        <v>35</v>
      </c>
      <c r="D2006" s="56" t="s">
        <v>39</v>
      </c>
      <c r="E2006" s="56" t="s">
        <v>69</v>
      </c>
      <c r="F2006" s="56" t="s">
        <v>70</v>
      </c>
      <c r="G2006" s="57">
        <v>4132944722</v>
      </c>
      <c r="H2006" s="56" t="s">
        <v>68</v>
      </c>
      <c r="I2006" s="58" t="str">
        <f t="shared" si="135"/>
        <v>Mexico-Online Supplier-Direct</v>
      </c>
      <c r="J2006" s="40"/>
      <c r="K2006" s="59"/>
      <c r="L2006" s="35"/>
      <c r="M2006" s="35"/>
      <c r="N2006" s="35"/>
      <c r="O2006" s="35"/>
      <c r="P2006" s="35"/>
      <c r="Q2006" s="35"/>
      <c r="R2006" s="35"/>
      <c r="S2006" s="35"/>
      <c r="T2006" s="35"/>
      <c r="U2006" s="35"/>
      <c r="V2006" s="35"/>
      <c r="W2006" s="35"/>
      <c r="X2006" s="35"/>
      <c r="Y2006" s="35"/>
      <c r="Z2006" s="35"/>
      <c r="AA2006" s="35"/>
      <c r="AB2006" s="35"/>
      <c r="AC2006" s="35"/>
      <c r="AD2006" s="35"/>
      <c r="AE2006" s="35"/>
      <c r="AF2006" s="35"/>
      <c r="AG2006" s="35"/>
      <c r="AH2006" s="35"/>
      <c r="AI2006" s="35"/>
      <c r="AJ2006" s="35"/>
      <c r="AK2006" s="35"/>
      <c r="AL2006" s="35"/>
      <c r="AM2006" s="35"/>
      <c r="AN2006" s="35"/>
      <c r="AO2006" s="35"/>
      <c r="AP2006" s="35"/>
    </row>
    <row r="2007" spans="1:42" ht="17.25" customHeight="1" x14ac:dyDescent="0.25">
      <c r="A2007" s="60">
        <v>2021</v>
      </c>
      <c r="B2007" s="61" t="s">
        <v>66</v>
      </c>
      <c r="C2007" s="61" t="s">
        <v>35</v>
      </c>
      <c r="D2007" s="61" t="s">
        <v>39</v>
      </c>
      <c r="E2007" s="61" t="s">
        <v>69</v>
      </c>
      <c r="F2007" s="61" t="s">
        <v>71</v>
      </c>
      <c r="G2007" s="62">
        <v>4719493922</v>
      </c>
      <c r="H2007" s="61" t="s">
        <v>68</v>
      </c>
      <c r="I2007" s="63" t="str">
        <f t="shared" si="135"/>
        <v>Mexico-OTA</v>
      </c>
      <c r="J2007" s="47"/>
      <c r="K2007" s="54"/>
      <c r="L2007" s="35"/>
      <c r="M2007" s="35"/>
      <c r="N2007" s="35"/>
      <c r="O2007" s="35"/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  <c r="Z2007" s="35"/>
      <c r="AA2007" s="35"/>
      <c r="AB2007" s="35"/>
      <c r="AC2007" s="35"/>
      <c r="AD2007" s="35"/>
      <c r="AE2007" s="35"/>
      <c r="AF2007" s="35"/>
      <c r="AG2007" s="35"/>
      <c r="AH2007" s="35"/>
      <c r="AI2007" s="35"/>
      <c r="AJ2007" s="35"/>
      <c r="AK2007" s="35"/>
      <c r="AL2007" s="35"/>
      <c r="AM2007" s="35"/>
      <c r="AN2007" s="35"/>
      <c r="AO2007" s="35"/>
      <c r="AP2007" s="35"/>
    </row>
    <row r="2008" spans="1:42" ht="17.25" customHeight="1" x14ac:dyDescent="0.25">
      <c r="A2008" s="55">
        <v>2021</v>
      </c>
      <c r="B2008" s="56" t="s">
        <v>66</v>
      </c>
      <c r="C2008" s="56" t="s">
        <v>17</v>
      </c>
      <c r="D2008" s="56" t="s">
        <v>21</v>
      </c>
      <c r="E2008" s="56" t="s">
        <v>67</v>
      </c>
      <c r="F2008" s="56" t="s">
        <v>67</v>
      </c>
      <c r="G2008" s="57">
        <v>1593735190</v>
      </c>
      <c r="H2008" s="56" t="s">
        <v>68</v>
      </c>
      <c r="I2008" s="58" t="str">
        <f t="shared" si="135"/>
        <v>Poland-Offline</v>
      </c>
      <c r="J2008" s="40"/>
      <c r="K2008" s="59"/>
      <c r="L2008" s="35"/>
      <c r="M2008" s="35"/>
      <c r="N2008" s="35"/>
      <c r="O2008" s="35"/>
      <c r="P2008" s="35"/>
      <c r="Q2008" s="35"/>
      <c r="R2008" s="35"/>
      <c r="S2008" s="35"/>
      <c r="T2008" s="35"/>
      <c r="U2008" s="35"/>
      <c r="V2008" s="35"/>
      <c r="W2008" s="35"/>
      <c r="X2008" s="35"/>
      <c r="Y2008" s="35"/>
      <c r="Z2008" s="35"/>
      <c r="AA2008" s="35"/>
      <c r="AB2008" s="35"/>
      <c r="AC2008" s="35"/>
      <c r="AD2008" s="35"/>
      <c r="AE2008" s="35"/>
      <c r="AF2008" s="35"/>
      <c r="AG2008" s="35"/>
      <c r="AH2008" s="35"/>
      <c r="AI2008" s="35"/>
      <c r="AJ2008" s="35"/>
      <c r="AK2008" s="35"/>
      <c r="AL2008" s="35"/>
      <c r="AM2008" s="35"/>
      <c r="AN2008" s="35"/>
      <c r="AO2008" s="35"/>
      <c r="AP2008" s="35"/>
    </row>
    <row r="2009" spans="1:42" ht="17.25" customHeight="1" x14ac:dyDescent="0.25">
      <c r="A2009" s="60">
        <v>2021</v>
      </c>
      <c r="B2009" s="61" t="s">
        <v>66</v>
      </c>
      <c r="C2009" s="61" t="s">
        <v>17</v>
      </c>
      <c r="D2009" s="61" t="s">
        <v>21</v>
      </c>
      <c r="E2009" s="61" t="s">
        <v>69</v>
      </c>
      <c r="F2009" s="61" t="s">
        <v>70</v>
      </c>
      <c r="G2009" s="62">
        <v>714687044</v>
      </c>
      <c r="H2009" s="61" t="s">
        <v>68</v>
      </c>
      <c r="I2009" s="63" t="str">
        <f t="shared" si="135"/>
        <v>Poland-Online Supplier-Direct</v>
      </c>
      <c r="J2009" s="47"/>
      <c r="K2009" s="54"/>
      <c r="L2009" s="35"/>
      <c r="M2009" s="35"/>
      <c r="N2009" s="35"/>
      <c r="O2009" s="35"/>
      <c r="P2009" s="35"/>
      <c r="Q2009" s="35"/>
      <c r="R2009" s="35"/>
      <c r="S2009" s="35"/>
      <c r="T2009" s="35"/>
      <c r="U2009" s="35"/>
      <c r="V2009" s="35"/>
      <c r="W2009" s="35"/>
      <c r="X2009" s="35"/>
      <c r="Y2009" s="35"/>
      <c r="Z2009" s="35"/>
      <c r="AA2009" s="35"/>
      <c r="AB2009" s="35"/>
      <c r="AC2009" s="35"/>
      <c r="AD2009" s="35"/>
      <c r="AE2009" s="35"/>
      <c r="AF2009" s="35"/>
      <c r="AG2009" s="35"/>
      <c r="AH2009" s="35"/>
      <c r="AI2009" s="35"/>
      <c r="AJ2009" s="35"/>
      <c r="AK2009" s="35"/>
      <c r="AL2009" s="35"/>
      <c r="AM2009" s="35"/>
      <c r="AN2009" s="35"/>
      <c r="AO2009" s="35"/>
      <c r="AP2009" s="35"/>
    </row>
    <row r="2010" spans="1:42" ht="17.25" customHeight="1" x14ac:dyDescent="0.25">
      <c r="A2010" s="55">
        <v>2021</v>
      </c>
      <c r="B2010" s="56" t="s">
        <v>66</v>
      </c>
      <c r="C2010" s="56" t="s">
        <v>17</v>
      </c>
      <c r="D2010" s="56" t="s">
        <v>21</v>
      </c>
      <c r="E2010" s="56" t="s">
        <v>69</v>
      </c>
      <c r="F2010" s="56" t="s">
        <v>71</v>
      </c>
      <c r="G2010" s="57">
        <v>638054890</v>
      </c>
      <c r="H2010" s="56" t="s">
        <v>68</v>
      </c>
      <c r="I2010" s="58" t="str">
        <f t="shared" si="135"/>
        <v>Poland-OTA</v>
      </c>
      <c r="J2010" s="40"/>
      <c r="K2010" s="59"/>
      <c r="L2010" s="35"/>
      <c r="M2010" s="35"/>
      <c r="N2010" s="35"/>
      <c r="O2010" s="35"/>
      <c r="P2010" s="35"/>
      <c r="Q2010" s="35"/>
      <c r="R2010" s="35"/>
      <c r="S2010" s="35"/>
      <c r="T2010" s="35"/>
      <c r="U2010" s="35"/>
      <c r="V2010" s="35"/>
      <c r="W2010" s="35"/>
      <c r="X2010" s="35"/>
      <c r="Y2010" s="35"/>
      <c r="Z2010" s="35"/>
      <c r="AA2010" s="35"/>
      <c r="AB2010" s="35"/>
      <c r="AC2010" s="35"/>
      <c r="AD2010" s="35"/>
      <c r="AE2010" s="35"/>
      <c r="AF2010" s="35"/>
      <c r="AG2010" s="35"/>
      <c r="AH2010" s="35"/>
      <c r="AI2010" s="35"/>
      <c r="AJ2010" s="35"/>
      <c r="AK2010" s="35"/>
      <c r="AL2010" s="35"/>
      <c r="AM2010" s="35"/>
      <c r="AN2010" s="35"/>
      <c r="AO2010" s="35"/>
      <c r="AP2010" s="35"/>
    </row>
    <row r="2011" spans="1:42" ht="17.25" customHeight="1" x14ac:dyDescent="0.25">
      <c r="A2011" s="60">
        <v>2021</v>
      </c>
      <c r="B2011" s="61" t="s">
        <v>66</v>
      </c>
      <c r="C2011" s="61" t="s">
        <v>41</v>
      </c>
      <c r="D2011" s="61" t="s">
        <v>42</v>
      </c>
      <c r="E2011" s="61" t="s">
        <v>67</v>
      </c>
      <c r="F2011" s="61" t="s">
        <v>67</v>
      </c>
      <c r="G2011" s="62">
        <v>4561149107</v>
      </c>
      <c r="H2011" s="61" t="s">
        <v>68</v>
      </c>
      <c r="I2011" s="63" t="str">
        <f t="shared" si="135"/>
        <v>Qatar-Offline</v>
      </c>
      <c r="J2011" s="47"/>
      <c r="K2011" s="54"/>
      <c r="L2011" s="35"/>
      <c r="M2011" s="35"/>
      <c r="N2011" s="35"/>
      <c r="O2011" s="35"/>
      <c r="P2011" s="35"/>
      <c r="Q2011" s="35"/>
      <c r="R2011" s="35"/>
      <c r="S2011" s="35"/>
      <c r="T2011" s="35"/>
      <c r="U2011" s="35"/>
      <c r="V2011" s="35"/>
      <c r="W2011" s="35"/>
      <c r="X2011" s="35"/>
      <c r="Y2011" s="35"/>
      <c r="Z2011" s="35"/>
      <c r="AA2011" s="35"/>
      <c r="AB2011" s="35"/>
      <c r="AC2011" s="35"/>
      <c r="AD2011" s="35"/>
      <c r="AE2011" s="35"/>
      <c r="AF2011" s="35"/>
      <c r="AG2011" s="35"/>
      <c r="AH2011" s="35"/>
      <c r="AI2011" s="35"/>
      <c r="AJ2011" s="35"/>
      <c r="AK2011" s="35"/>
      <c r="AL2011" s="35"/>
      <c r="AM2011" s="35"/>
      <c r="AN2011" s="35"/>
      <c r="AO2011" s="35"/>
      <c r="AP2011" s="35"/>
    </row>
    <row r="2012" spans="1:42" ht="17.25" customHeight="1" x14ac:dyDescent="0.25">
      <c r="A2012" s="55">
        <v>2021</v>
      </c>
      <c r="B2012" s="56" t="s">
        <v>66</v>
      </c>
      <c r="C2012" s="56" t="s">
        <v>41</v>
      </c>
      <c r="D2012" s="56" t="s">
        <v>42</v>
      </c>
      <c r="E2012" s="56" t="s">
        <v>69</v>
      </c>
      <c r="F2012" s="56" t="s">
        <v>70</v>
      </c>
      <c r="G2012" s="57">
        <v>2244004809</v>
      </c>
      <c r="H2012" s="56" t="s">
        <v>68</v>
      </c>
      <c r="I2012" s="58" t="str">
        <f t="shared" si="135"/>
        <v>Qatar-Online Supplier-Direct</v>
      </c>
      <c r="J2012" s="40"/>
      <c r="K2012" s="59"/>
      <c r="L2012" s="35"/>
      <c r="M2012" s="35"/>
      <c r="N2012" s="35"/>
      <c r="O2012" s="35"/>
      <c r="P2012" s="35"/>
      <c r="Q2012" s="35"/>
      <c r="R2012" s="35"/>
      <c r="S2012" s="35"/>
      <c r="T2012" s="35"/>
      <c r="U2012" s="35"/>
      <c r="V2012" s="35"/>
      <c r="W2012" s="35"/>
      <c r="X2012" s="35"/>
      <c r="Y2012" s="35"/>
      <c r="Z2012" s="35"/>
      <c r="AA2012" s="35"/>
      <c r="AB2012" s="35"/>
      <c r="AC2012" s="35"/>
      <c r="AD2012" s="35"/>
      <c r="AE2012" s="35"/>
      <c r="AF2012" s="35"/>
      <c r="AG2012" s="35"/>
      <c r="AH2012" s="35"/>
      <c r="AI2012" s="35"/>
      <c r="AJ2012" s="35"/>
      <c r="AK2012" s="35"/>
      <c r="AL2012" s="35"/>
      <c r="AM2012" s="35"/>
      <c r="AN2012" s="35"/>
      <c r="AO2012" s="35"/>
      <c r="AP2012" s="35"/>
    </row>
    <row r="2013" spans="1:42" ht="17.25" customHeight="1" x14ac:dyDescent="0.25">
      <c r="A2013" s="60">
        <v>2021</v>
      </c>
      <c r="B2013" s="61" t="s">
        <v>66</v>
      </c>
      <c r="C2013" s="61" t="s">
        <v>41</v>
      </c>
      <c r="D2013" s="61" t="s">
        <v>42</v>
      </c>
      <c r="E2013" s="61" t="s">
        <v>69</v>
      </c>
      <c r="F2013" s="61" t="s">
        <v>71</v>
      </c>
      <c r="G2013" s="62">
        <v>707657423</v>
      </c>
      <c r="H2013" s="61" t="s">
        <v>68</v>
      </c>
      <c r="I2013" s="63" t="str">
        <f t="shared" si="135"/>
        <v>Qatar-OTA</v>
      </c>
      <c r="J2013" s="47"/>
      <c r="K2013" s="54"/>
      <c r="L2013" s="35"/>
      <c r="M2013" s="35"/>
      <c r="N2013" s="35"/>
      <c r="O2013" s="35"/>
      <c r="P2013" s="35"/>
      <c r="Q2013" s="35"/>
      <c r="R2013" s="35"/>
      <c r="S2013" s="35"/>
      <c r="T2013" s="35"/>
      <c r="U2013" s="35"/>
      <c r="V2013" s="35"/>
      <c r="W2013" s="35"/>
      <c r="X2013" s="35"/>
      <c r="Y2013" s="35"/>
      <c r="Z2013" s="35"/>
      <c r="AA2013" s="35"/>
      <c r="AB2013" s="35"/>
      <c r="AC2013" s="35"/>
      <c r="AD2013" s="35"/>
      <c r="AE2013" s="35"/>
      <c r="AF2013" s="35"/>
      <c r="AG2013" s="35"/>
      <c r="AH2013" s="35"/>
      <c r="AI2013" s="35"/>
      <c r="AJ2013" s="35"/>
      <c r="AK2013" s="35"/>
      <c r="AL2013" s="35"/>
      <c r="AM2013" s="35"/>
      <c r="AN2013" s="35"/>
      <c r="AO2013" s="35"/>
      <c r="AP2013" s="35"/>
    </row>
    <row r="2014" spans="1:42" ht="17.25" customHeight="1" x14ac:dyDescent="0.25">
      <c r="A2014" s="55">
        <v>2021</v>
      </c>
      <c r="B2014" s="56" t="s">
        <v>66</v>
      </c>
      <c r="C2014" s="56" t="s">
        <v>17</v>
      </c>
      <c r="D2014" s="56" t="s">
        <v>22</v>
      </c>
      <c r="E2014" s="56" t="s">
        <v>67</v>
      </c>
      <c r="F2014" s="56" t="s">
        <v>67</v>
      </c>
      <c r="G2014" s="57">
        <v>509904404</v>
      </c>
      <c r="H2014" s="56" t="s">
        <v>68</v>
      </c>
      <c r="I2014" s="58" t="str">
        <f t="shared" si="135"/>
        <v>Rest of Eastern Europe-Offline</v>
      </c>
      <c r="J2014" s="40"/>
      <c r="K2014" s="59"/>
      <c r="L2014" s="35"/>
      <c r="M2014" s="35"/>
      <c r="N2014" s="35"/>
      <c r="O2014" s="35"/>
      <c r="P2014" s="35"/>
      <c r="Q2014" s="35"/>
      <c r="R2014" s="35"/>
      <c r="S2014" s="35"/>
      <c r="T2014" s="35"/>
      <c r="U2014" s="35"/>
      <c r="V2014" s="35"/>
      <c r="W2014" s="35"/>
      <c r="X2014" s="35"/>
      <c r="Y2014" s="35"/>
      <c r="Z2014" s="35"/>
      <c r="AA2014" s="35"/>
      <c r="AB2014" s="35"/>
      <c r="AC2014" s="35"/>
      <c r="AD2014" s="35"/>
      <c r="AE2014" s="35"/>
      <c r="AF2014" s="35"/>
      <c r="AG2014" s="35"/>
      <c r="AH2014" s="35"/>
      <c r="AI2014" s="35"/>
      <c r="AJ2014" s="35"/>
      <c r="AK2014" s="35"/>
      <c r="AL2014" s="35"/>
      <c r="AM2014" s="35"/>
      <c r="AN2014" s="35"/>
      <c r="AO2014" s="35"/>
      <c r="AP2014" s="35"/>
    </row>
    <row r="2015" spans="1:42" ht="17.25" customHeight="1" x14ac:dyDescent="0.25">
      <c r="A2015" s="60">
        <v>2021</v>
      </c>
      <c r="B2015" s="61" t="s">
        <v>66</v>
      </c>
      <c r="C2015" s="61" t="s">
        <v>17</v>
      </c>
      <c r="D2015" s="61" t="s">
        <v>22</v>
      </c>
      <c r="E2015" s="61" t="s">
        <v>69</v>
      </c>
      <c r="F2015" s="61" t="s">
        <v>70</v>
      </c>
      <c r="G2015" s="62">
        <v>347871673</v>
      </c>
      <c r="H2015" s="61" t="s">
        <v>68</v>
      </c>
      <c r="I2015" s="63" t="str">
        <f t="shared" si="135"/>
        <v>Rest of Eastern Europe-Online Supplier-Direct</v>
      </c>
      <c r="J2015" s="47"/>
      <c r="K2015" s="54"/>
      <c r="L2015" s="35"/>
      <c r="M2015" s="35"/>
      <c r="N2015" s="35"/>
      <c r="O2015" s="35"/>
      <c r="P2015" s="35"/>
      <c r="Q2015" s="35"/>
      <c r="R2015" s="35"/>
      <c r="S2015" s="35"/>
      <c r="T2015" s="35"/>
      <c r="U2015" s="35"/>
      <c r="V2015" s="35"/>
      <c r="W2015" s="35"/>
      <c r="X2015" s="35"/>
      <c r="Y2015" s="35"/>
      <c r="Z2015" s="35"/>
      <c r="AA2015" s="35"/>
      <c r="AB2015" s="35"/>
      <c r="AC2015" s="35"/>
      <c r="AD2015" s="35"/>
      <c r="AE2015" s="35"/>
      <c r="AF2015" s="35"/>
      <c r="AG2015" s="35"/>
      <c r="AH2015" s="35"/>
      <c r="AI2015" s="35"/>
      <c r="AJ2015" s="35"/>
      <c r="AK2015" s="35"/>
      <c r="AL2015" s="35"/>
      <c r="AM2015" s="35"/>
      <c r="AN2015" s="35"/>
      <c r="AO2015" s="35"/>
      <c r="AP2015" s="35"/>
    </row>
    <row r="2016" spans="1:42" ht="17.25" customHeight="1" x14ac:dyDescent="0.25">
      <c r="A2016" s="55">
        <v>2021</v>
      </c>
      <c r="B2016" s="56" t="s">
        <v>66</v>
      </c>
      <c r="C2016" s="56" t="s">
        <v>17</v>
      </c>
      <c r="D2016" s="56" t="s">
        <v>22</v>
      </c>
      <c r="E2016" s="56" t="s">
        <v>69</v>
      </c>
      <c r="F2016" s="56" t="s">
        <v>71</v>
      </c>
      <c r="G2016" s="57">
        <v>319192037</v>
      </c>
      <c r="H2016" s="56" t="s">
        <v>68</v>
      </c>
      <c r="I2016" s="58" t="str">
        <f t="shared" si="135"/>
        <v>Rest of Eastern Europe-OTA</v>
      </c>
      <c r="J2016" s="40"/>
      <c r="K2016" s="59"/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  <c r="AA2016" s="35"/>
      <c r="AB2016" s="35"/>
      <c r="AC2016" s="35"/>
      <c r="AD2016" s="35"/>
      <c r="AE2016" s="35"/>
      <c r="AF2016" s="35"/>
      <c r="AG2016" s="35"/>
      <c r="AH2016" s="35"/>
      <c r="AI2016" s="35"/>
      <c r="AJ2016" s="35"/>
      <c r="AK2016" s="35"/>
      <c r="AL2016" s="35"/>
      <c r="AM2016" s="35"/>
      <c r="AN2016" s="35"/>
      <c r="AO2016" s="35"/>
      <c r="AP2016" s="35"/>
    </row>
    <row r="2017" spans="1:42" ht="17.25" customHeight="1" x14ac:dyDescent="0.25">
      <c r="A2017" s="60">
        <v>2021</v>
      </c>
      <c r="B2017" s="61" t="s">
        <v>66</v>
      </c>
      <c r="C2017" s="61" t="s">
        <v>27</v>
      </c>
      <c r="D2017" s="61" t="s">
        <v>30</v>
      </c>
      <c r="E2017" s="61" t="s">
        <v>67</v>
      </c>
      <c r="F2017" s="61" t="s">
        <v>67</v>
      </c>
      <c r="G2017" s="62">
        <v>16131237927</v>
      </c>
      <c r="H2017" s="61" t="s">
        <v>68</v>
      </c>
      <c r="I2017" s="63" t="str">
        <f t="shared" si="135"/>
        <v>Rest of Europe-Offline</v>
      </c>
      <c r="J2017" s="47"/>
      <c r="K2017" s="54"/>
      <c r="L2017" s="35"/>
      <c r="M2017" s="35"/>
      <c r="N2017" s="35"/>
      <c r="O2017" s="35"/>
      <c r="P2017" s="35"/>
      <c r="Q2017" s="35"/>
      <c r="R2017" s="35"/>
      <c r="S2017" s="35"/>
      <c r="T2017" s="35"/>
      <c r="U2017" s="35"/>
      <c r="V2017" s="35"/>
      <c r="W2017" s="35"/>
      <c r="X2017" s="35"/>
      <c r="Y2017" s="35"/>
      <c r="Z2017" s="35"/>
      <c r="AA2017" s="35"/>
      <c r="AB2017" s="35"/>
      <c r="AC2017" s="35"/>
      <c r="AD2017" s="35"/>
      <c r="AE2017" s="35"/>
      <c r="AF2017" s="35"/>
      <c r="AG2017" s="35"/>
      <c r="AH2017" s="35"/>
      <c r="AI2017" s="35"/>
      <c r="AJ2017" s="35"/>
      <c r="AK2017" s="35"/>
      <c r="AL2017" s="35"/>
      <c r="AM2017" s="35"/>
      <c r="AN2017" s="35"/>
      <c r="AO2017" s="35"/>
      <c r="AP2017" s="35"/>
    </row>
    <row r="2018" spans="1:42" ht="17.25" customHeight="1" x14ac:dyDescent="0.25">
      <c r="A2018" s="55">
        <v>2021</v>
      </c>
      <c r="B2018" s="56" t="s">
        <v>66</v>
      </c>
      <c r="C2018" s="56" t="s">
        <v>27</v>
      </c>
      <c r="D2018" s="56" t="s">
        <v>30</v>
      </c>
      <c r="E2018" s="56" t="s">
        <v>69</v>
      </c>
      <c r="F2018" s="56" t="s">
        <v>70</v>
      </c>
      <c r="G2018" s="57">
        <v>15949684126</v>
      </c>
      <c r="H2018" s="56" t="s">
        <v>68</v>
      </c>
      <c r="I2018" s="58" t="str">
        <f t="shared" si="135"/>
        <v>Rest of Europe-Online Supplier-Direct</v>
      </c>
      <c r="J2018" s="40"/>
      <c r="K2018" s="59"/>
      <c r="L2018" s="35"/>
      <c r="M2018" s="35"/>
      <c r="N2018" s="35"/>
      <c r="O2018" s="35"/>
      <c r="P2018" s="35"/>
      <c r="Q2018" s="35"/>
      <c r="R2018" s="35"/>
      <c r="S2018" s="35"/>
      <c r="T2018" s="35"/>
      <c r="U2018" s="35"/>
      <c r="V2018" s="35"/>
      <c r="W2018" s="35"/>
      <c r="X2018" s="35"/>
      <c r="Y2018" s="35"/>
      <c r="Z2018" s="35"/>
      <c r="AA2018" s="35"/>
      <c r="AB2018" s="35"/>
      <c r="AC2018" s="35"/>
      <c r="AD2018" s="35"/>
      <c r="AE2018" s="35"/>
      <c r="AF2018" s="35"/>
      <c r="AG2018" s="35"/>
      <c r="AH2018" s="35"/>
      <c r="AI2018" s="35"/>
      <c r="AJ2018" s="35"/>
      <c r="AK2018" s="35"/>
      <c r="AL2018" s="35"/>
      <c r="AM2018" s="35"/>
      <c r="AN2018" s="35"/>
      <c r="AO2018" s="35"/>
      <c r="AP2018" s="35"/>
    </row>
    <row r="2019" spans="1:42" ht="17.25" customHeight="1" x14ac:dyDescent="0.25">
      <c r="A2019" s="60">
        <v>2021</v>
      </c>
      <c r="B2019" s="61" t="s">
        <v>66</v>
      </c>
      <c r="C2019" s="61" t="s">
        <v>27</v>
      </c>
      <c r="D2019" s="61" t="s">
        <v>30</v>
      </c>
      <c r="E2019" s="61" t="s">
        <v>69</v>
      </c>
      <c r="F2019" s="61" t="s">
        <v>71</v>
      </c>
      <c r="G2019" s="62">
        <v>6319916871</v>
      </c>
      <c r="H2019" s="61" t="s">
        <v>68</v>
      </c>
      <c r="I2019" s="63" t="str">
        <f t="shared" si="135"/>
        <v>Rest of Europe-OTA</v>
      </c>
      <c r="J2019" s="47"/>
      <c r="K2019" s="54"/>
      <c r="L2019" s="35"/>
      <c r="M2019" s="35"/>
      <c r="N2019" s="35"/>
      <c r="O2019" s="35"/>
      <c r="P2019" s="35"/>
      <c r="Q2019" s="35"/>
      <c r="R2019" s="35"/>
      <c r="S2019" s="35"/>
      <c r="T2019" s="35"/>
      <c r="U2019" s="35"/>
      <c r="V2019" s="35"/>
      <c r="W2019" s="35"/>
      <c r="X2019" s="35"/>
      <c r="Y2019" s="35"/>
      <c r="Z2019" s="35"/>
      <c r="AA2019" s="35"/>
      <c r="AB2019" s="35"/>
      <c r="AC2019" s="35"/>
      <c r="AD2019" s="35"/>
      <c r="AE2019" s="35"/>
      <c r="AF2019" s="35"/>
      <c r="AG2019" s="35"/>
      <c r="AH2019" s="35"/>
      <c r="AI2019" s="35"/>
      <c r="AJ2019" s="35"/>
      <c r="AK2019" s="35"/>
      <c r="AL2019" s="35"/>
      <c r="AM2019" s="35"/>
      <c r="AN2019" s="35"/>
      <c r="AO2019" s="35"/>
      <c r="AP2019" s="35"/>
    </row>
    <row r="2020" spans="1:42" ht="17.25" customHeight="1" x14ac:dyDescent="0.25">
      <c r="A2020" s="55">
        <v>2021</v>
      </c>
      <c r="B2020" s="56" t="s">
        <v>66</v>
      </c>
      <c r="C2020" s="56" t="s">
        <v>41</v>
      </c>
      <c r="D2020" s="56" t="s">
        <v>43</v>
      </c>
      <c r="E2020" s="56" t="s">
        <v>67</v>
      </c>
      <c r="F2020" s="56" t="s">
        <v>67</v>
      </c>
      <c r="G2020" s="57">
        <v>3439849020</v>
      </c>
      <c r="H2020" s="56" t="s">
        <v>68</v>
      </c>
      <c r="I2020" s="58" t="str">
        <f t="shared" si="135"/>
        <v>Rest of Middle East-Offline</v>
      </c>
      <c r="J2020" s="40"/>
      <c r="K2020" s="59"/>
      <c r="L2020" s="35"/>
      <c r="M2020" s="35"/>
      <c r="N2020" s="35"/>
      <c r="O2020" s="35"/>
      <c r="P2020" s="35"/>
      <c r="Q2020" s="35"/>
      <c r="R2020" s="35"/>
      <c r="S2020" s="35"/>
      <c r="T2020" s="35"/>
      <c r="U2020" s="35"/>
      <c r="V2020" s="35"/>
      <c r="W2020" s="35"/>
      <c r="X2020" s="35"/>
      <c r="Y2020" s="35"/>
      <c r="Z2020" s="35"/>
      <c r="AA2020" s="35"/>
      <c r="AB2020" s="35"/>
      <c r="AC2020" s="35"/>
      <c r="AD2020" s="35"/>
      <c r="AE2020" s="35"/>
      <c r="AF2020" s="35"/>
      <c r="AG2020" s="35"/>
      <c r="AH2020" s="35"/>
      <c r="AI2020" s="35"/>
      <c r="AJ2020" s="35"/>
      <c r="AK2020" s="35"/>
      <c r="AL2020" s="35"/>
      <c r="AM2020" s="35"/>
      <c r="AN2020" s="35"/>
      <c r="AO2020" s="35"/>
      <c r="AP2020" s="35"/>
    </row>
    <row r="2021" spans="1:42" ht="17.25" customHeight="1" x14ac:dyDescent="0.25">
      <c r="A2021" s="60">
        <v>2021</v>
      </c>
      <c r="B2021" s="61" t="s">
        <v>66</v>
      </c>
      <c r="C2021" s="61" t="s">
        <v>41</v>
      </c>
      <c r="D2021" s="61" t="s">
        <v>43</v>
      </c>
      <c r="E2021" s="61" t="s">
        <v>69</v>
      </c>
      <c r="F2021" s="61" t="s">
        <v>70</v>
      </c>
      <c r="G2021" s="62">
        <v>1091099803</v>
      </c>
      <c r="H2021" s="61" t="s">
        <v>68</v>
      </c>
      <c r="I2021" s="63" t="str">
        <f t="shared" si="135"/>
        <v>Rest of Middle East-Online Supplier-Direct</v>
      </c>
      <c r="J2021" s="47"/>
      <c r="K2021" s="54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  <c r="AG2021" s="35"/>
      <c r="AH2021" s="35"/>
      <c r="AI2021" s="35"/>
      <c r="AJ2021" s="35"/>
      <c r="AK2021" s="35"/>
      <c r="AL2021" s="35"/>
      <c r="AM2021" s="35"/>
      <c r="AN2021" s="35"/>
      <c r="AO2021" s="35"/>
      <c r="AP2021" s="35"/>
    </row>
    <row r="2022" spans="1:42" ht="17.25" customHeight="1" x14ac:dyDescent="0.25">
      <c r="A2022" s="55">
        <v>2021</v>
      </c>
      <c r="B2022" s="56" t="s">
        <v>66</v>
      </c>
      <c r="C2022" s="56" t="s">
        <v>41</v>
      </c>
      <c r="D2022" s="56" t="s">
        <v>43</v>
      </c>
      <c r="E2022" s="56" t="s">
        <v>69</v>
      </c>
      <c r="F2022" s="56" t="s">
        <v>71</v>
      </c>
      <c r="G2022" s="57">
        <v>923491422</v>
      </c>
      <c r="H2022" s="56" t="s">
        <v>68</v>
      </c>
      <c r="I2022" s="58" t="str">
        <f t="shared" si="135"/>
        <v>Rest of Middle East-OTA</v>
      </c>
      <c r="J2022" s="40"/>
      <c r="K2022" s="59"/>
      <c r="L2022" s="35"/>
      <c r="M2022" s="35"/>
      <c r="N2022" s="35"/>
      <c r="O2022" s="35"/>
      <c r="P2022" s="35"/>
      <c r="Q2022" s="35"/>
      <c r="R2022" s="35"/>
      <c r="S2022" s="35"/>
      <c r="T2022" s="35"/>
      <c r="U2022" s="35"/>
      <c r="V2022" s="35"/>
      <c r="W2022" s="35"/>
      <c r="X2022" s="35"/>
      <c r="Y2022" s="35"/>
      <c r="Z2022" s="35"/>
      <c r="AA2022" s="35"/>
      <c r="AB2022" s="35"/>
      <c r="AC2022" s="35"/>
      <c r="AD2022" s="35"/>
      <c r="AE2022" s="35"/>
      <c r="AF2022" s="35"/>
      <c r="AG2022" s="35"/>
      <c r="AH2022" s="35"/>
      <c r="AI2022" s="35"/>
      <c r="AJ2022" s="35"/>
      <c r="AK2022" s="35"/>
      <c r="AL2022" s="35"/>
      <c r="AM2022" s="35"/>
      <c r="AN2022" s="35"/>
      <c r="AO2022" s="35"/>
      <c r="AP2022" s="35"/>
    </row>
    <row r="2023" spans="1:42" ht="17.25" customHeight="1" x14ac:dyDescent="0.25">
      <c r="A2023" s="60">
        <v>2021</v>
      </c>
      <c r="B2023" s="61" t="s">
        <v>66</v>
      </c>
      <c r="C2023" s="61" t="s">
        <v>17</v>
      </c>
      <c r="D2023" s="61" t="s">
        <v>23</v>
      </c>
      <c r="E2023" s="61" t="s">
        <v>67</v>
      </c>
      <c r="F2023" s="61" t="s">
        <v>67</v>
      </c>
      <c r="G2023" s="62">
        <v>630378755</v>
      </c>
      <c r="H2023" s="61" t="s">
        <v>68</v>
      </c>
      <c r="I2023" s="63" t="str">
        <f t="shared" si="135"/>
        <v>Romania-Offline</v>
      </c>
      <c r="J2023" s="47"/>
      <c r="K2023" s="54"/>
      <c r="L2023" s="35"/>
      <c r="M2023" s="35"/>
      <c r="N2023" s="35"/>
      <c r="O2023" s="35"/>
      <c r="P2023" s="35"/>
      <c r="Q2023" s="35"/>
      <c r="R2023" s="35"/>
      <c r="S2023" s="35"/>
      <c r="T2023" s="35"/>
      <c r="U2023" s="35"/>
      <c r="V2023" s="35"/>
      <c r="W2023" s="35"/>
      <c r="X2023" s="35"/>
      <c r="Y2023" s="35"/>
      <c r="Z2023" s="35"/>
      <c r="AA2023" s="35"/>
      <c r="AB2023" s="35"/>
      <c r="AC2023" s="35"/>
      <c r="AD2023" s="35"/>
      <c r="AE2023" s="35"/>
      <c r="AF2023" s="35"/>
      <c r="AG2023" s="35"/>
      <c r="AH2023" s="35"/>
      <c r="AI2023" s="35"/>
      <c r="AJ2023" s="35"/>
      <c r="AK2023" s="35"/>
      <c r="AL2023" s="35"/>
      <c r="AM2023" s="35"/>
      <c r="AN2023" s="35"/>
      <c r="AO2023" s="35"/>
      <c r="AP2023" s="35"/>
    </row>
    <row r="2024" spans="1:42" ht="17.25" customHeight="1" x14ac:dyDescent="0.25">
      <c r="A2024" s="55">
        <v>2021</v>
      </c>
      <c r="B2024" s="56" t="s">
        <v>66</v>
      </c>
      <c r="C2024" s="56" t="s">
        <v>17</v>
      </c>
      <c r="D2024" s="56" t="s">
        <v>23</v>
      </c>
      <c r="E2024" s="56" t="s">
        <v>69</v>
      </c>
      <c r="F2024" s="56" t="s">
        <v>70</v>
      </c>
      <c r="G2024" s="57">
        <v>219647915</v>
      </c>
      <c r="H2024" s="56" t="s">
        <v>68</v>
      </c>
      <c r="I2024" s="58" t="str">
        <f t="shared" si="135"/>
        <v>Romania-Online Supplier-Direct</v>
      </c>
      <c r="J2024" s="40"/>
      <c r="K2024" s="59"/>
      <c r="L2024" s="35"/>
      <c r="M2024" s="35"/>
      <c r="N2024" s="35"/>
      <c r="O2024" s="35"/>
      <c r="P2024" s="35"/>
      <c r="Q2024" s="35"/>
      <c r="R2024" s="35"/>
      <c r="S2024" s="35"/>
      <c r="T2024" s="35"/>
      <c r="U2024" s="35"/>
      <c r="V2024" s="35"/>
      <c r="W2024" s="35"/>
      <c r="X2024" s="35"/>
      <c r="Y2024" s="35"/>
      <c r="Z2024" s="35"/>
      <c r="AA2024" s="35"/>
      <c r="AB2024" s="35"/>
      <c r="AC2024" s="35"/>
      <c r="AD2024" s="35"/>
      <c r="AE2024" s="35"/>
      <c r="AF2024" s="35"/>
      <c r="AG2024" s="35"/>
      <c r="AH2024" s="35"/>
      <c r="AI2024" s="35"/>
      <c r="AJ2024" s="35"/>
      <c r="AK2024" s="35"/>
      <c r="AL2024" s="35"/>
      <c r="AM2024" s="35"/>
      <c r="AN2024" s="35"/>
      <c r="AO2024" s="35"/>
      <c r="AP2024" s="35"/>
    </row>
    <row r="2025" spans="1:42" ht="17.25" customHeight="1" x14ac:dyDescent="0.25">
      <c r="A2025" s="60">
        <v>2021</v>
      </c>
      <c r="B2025" s="61" t="s">
        <v>66</v>
      </c>
      <c r="C2025" s="61" t="s">
        <v>17</v>
      </c>
      <c r="D2025" s="61" t="s">
        <v>23</v>
      </c>
      <c r="E2025" s="61" t="s">
        <v>69</v>
      </c>
      <c r="F2025" s="61" t="s">
        <v>71</v>
      </c>
      <c r="G2025" s="62">
        <v>364017060</v>
      </c>
      <c r="H2025" s="61" t="s">
        <v>68</v>
      </c>
      <c r="I2025" s="63" t="str">
        <f t="shared" si="135"/>
        <v>Romania-OTA</v>
      </c>
      <c r="J2025" s="47"/>
      <c r="K2025" s="54"/>
      <c r="L2025" s="35"/>
      <c r="M2025" s="35"/>
      <c r="N2025" s="35"/>
      <c r="O2025" s="35"/>
      <c r="P2025" s="35"/>
      <c r="Q2025" s="35"/>
      <c r="R2025" s="35"/>
      <c r="S2025" s="35"/>
      <c r="T2025" s="35"/>
      <c r="U2025" s="35"/>
      <c r="V2025" s="35"/>
      <c r="W2025" s="35"/>
      <c r="X2025" s="35"/>
      <c r="Y2025" s="35"/>
      <c r="Z2025" s="35"/>
      <c r="AA2025" s="35"/>
      <c r="AB2025" s="35"/>
      <c r="AC2025" s="35"/>
      <c r="AD2025" s="35"/>
      <c r="AE2025" s="35"/>
      <c r="AF2025" s="35"/>
      <c r="AG2025" s="35"/>
      <c r="AH2025" s="35"/>
      <c r="AI2025" s="35"/>
      <c r="AJ2025" s="35"/>
      <c r="AK2025" s="35"/>
      <c r="AL2025" s="35"/>
      <c r="AM2025" s="35"/>
      <c r="AN2025" s="35"/>
      <c r="AO2025" s="35"/>
      <c r="AP2025" s="35"/>
    </row>
    <row r="2026" spans="1:42" ht="17.25" customHeight="1" x14ac:dyDescent="0.25">
      <c r="A2026" s="55">
        <v>2021</v>
      </c>
      <c r="B2026" s="56" t="s">
        <v>66</v>
      </c>
      <c r="C2026" s="56" t="s">
        <v>17</v>
      </c>
      <c r="D2026" s="56" t="s">
        <v>24</v>
      </c>
      <c r="E2026" s="56" t="s">
        <v>67</v>
      </c>
      <c r="F2026" s="56" t="s">
        <v>67</v>
      </c>
      <c r="G2026" s="57">
        <v>12796684634</v>
      </c>
      <c r="H2026" s="56" t="s">
        <v>68</v>
      </c>
      <c r="I2026" s="58" t="str">
        <f t="shared" si="135"/>
        <v>Russia-Offline</v>
      </c>
      <c r="J2026" s="40"/>
      <c r="K2026" s="59"/>
      <c r="L2026" s="35"/>
      <c r="M2026" s="35"/>
      <c r="N2026" s="35"/>
      <c r="O2026" s="35"/>
      <c r="P2026" s="35"/>
      <c r="Q2026" s="35"/>
      <c r="R2026" s="35"/>
      <c r="S2026" s="35"/>
      <c r="T2026" s="35"/>
      <c r="U2026" s="35"/>
      <c r="V2026" s="35"/>
      <c r="W2026" s="35"/>
      <c r="X2026" s="35"/>
      <c r="Y2026" s="35"/>
      <c r="Z2026" s="35"/>
      <c r="AA2026" s="35"/>
      <c r="AB2026" s="35"/>
      <c r="AC2026" s="35"/>
      <c r="AD2026" s="35"/>
      <c r="AE2026" s="35"/>
      <c r="AF2026" s="35"/>
      <c r="AG2026" s="35"/>
      <c r="AH2026" s="35"/>
      <c r="AI2026" s="35"/>
      <c r="AJ2026" s="35"/>
      <c r="AK2026" s="35"/>
      <c r="AL2026" s="35"/>
      <c r="AM2026" s="35"/>
      <c r="AN2026" s="35"/>
      <c r="AO2026" s="35"/>
      <c r="AP2026" s="35"/>
    </row>
    <row r="2027" spans="1:42" ht="17.25" customHeight="1" x14ac:dyDescent="0.25">
      <c r="A2027" s="60">
        <v>2021</v>
      </c>
      <c r="B2027" s="61" t="s">
        <v>66</v>
      </c>
      <c r="C2027" s="61" t="s">
        <v>17</v>
      </c>
      <c r="D2027" s="61" t="s">
        <v>24</v>
      </c>
      <c r="E2027" s="61" t="s">
        <v>69</v>
      </c>
      <c r="F2027" s="61" t="s">
        <v>70</v>
      </c>
      <c r="G2027" s="62">
        <v>7124103279</v>
      </c>
      <c r="H2027" s="61" t="s">
        <v>68</v>
      </c>
      <c r="I2027" s="63" t="str">
        <f t="shared" si="135"/>
        <v>Russia-Online Supplier-Direct</v>
      </c>
      <c r="J2027" s="47"/>
      <c r="K2027" s="54"/>
      <c r="L2027" s="35"/>
      <c r="M2027" s="35"/>
      <c r="N2027" s="35"/>
      <c r="O2027" s="35"/>
      <c r="P2027" s="35"/>
      <c r="Q2027" s="35"/>
      <c r="R2027" s="35"/>
      <c r="S2027" s="35"/>
      <c r="T2027" s="35"/>
      <c r="U2027" s="35"/>
      <c r="V2027" s="35"/>
      <c r="W2027" s="35"/>
      <c r="X2027" s="35"/>
      <c r="Y2027" s="35"/>
      <c r="Z2027" s="35"/>
      <c r="AA2027" s="35"/>
      <c r="AB2027" s="35"/>
      <c r="AC2027" s="35"/>
      <c r="AD2027" s="35"/>
      <c r="AE2027" s="35"/>
      <c r="AF2027" s="35"/>
      <c r="AG2027" s="35"/>
      <c r="AH2027" s="35"/>
      <c r="AI2027" s="35"/>
      <c r="AJ2027" s="35"/>
      <c r="AK2027" s="35"/>
      <c r="AL2027" s="35"/>
      <c r="AM2027" s="35"/>
      <c r="AN2027" s="35"/>
      <c r="AO2027" s="35"/>
      <c r="AP2027" s="35"/>
    </row>
    <row r="2028" spans="1:42" ht="17.25" customHeight="1" x14ac:dyDescent="0.25">
      <c r="A2028" s="55">
        <v>2021</v>
      </c>
      <c r="B2028" s="56" t="s">
        <v>66</v>
      </c>
      <c r="C2028" s="56" t="s">
        <v>17</v>
      </c>
      <c r="D2028" s="56" t="s">
        <v>24</v>
      </c>
      <c r="E2028" s="56" t="s">
        <v>69</v>
      </c>
      <c r="F2028" s="56" t="s">
        <v>71</v>
      </c>
      <c r="G2028" s="57">
        <v>5039488735</v>
      </c>
      <c r="H2028" s="56" t="s">
        <v>68</v>
      </c>
      <c r="I2028" s="58" t="str">
        <f t="shared" si="135"/>
        <v>Russia-OTA</v>
      </c>
      <c r="J2028" s="40"/>
      <c r="K2028" s="59"/>
      <c r="L2028" s="35"/>
      <c r="M2028" s="35"/>
      <c r="N2028" s="35"/>
      <c r="O2028" s="35"/>
      <c r="P2028" s="35"/>
      <c r="Q2028" s="35"/>
      <c r="R2028" s="35"/>
      <c r="S2028" s="35"/>
      <c r="T2028" s="35"/>
      <c r="U2028" s="35"/>
      <c r="V2028" s="35"/>
      <c r="W2028" s="35"/>
      <c r="X2028" s="35"/>
      <c r="Y2028" s="35"/>
      <c r="Z2028" s="35"/>
      <c r="AA2028" s="35"/>
      <c r="AB2028" s="35"/>
      <c r="AC2028" s="35"/>
      <c r="AD2028" s="35"/>
      <c r="AE2028" s="35"/>
      <c r="AF2028" s="35"/>
      <c r="AG2028" s="35"/>
      <c r="AH2028" s="35"/>
      <c r="AI2028" s="35"/>
      <c r="AJ2028" s="35"/>
      <c r="AK2028" s="35"/>
      <c r="AL2028" s="35"/>
      <c r="AM2028" s="35"/>
      <c r="AN2028" s="35"/>
      <c r="AO2028" s="35"/>
      <c r="AP2028" s="35"/>
    </row>
    <row r="2029" spans="1:42" ht="17.25" customHeight="1" x14ac:dyDescent="0.25">
      <c r="A2029" s="60">
        <v>2021</v>
      </c>
      <c r="B2029" s="61" t="s">
        <v>66</v>
      </c>
      <c r="C2029" s="61" t="s">
        <v>41</v>
      </c>
      <c r="D2029" s="61" t="s">
        <v>44</v>
      </c>
      <c r="E2029" s="61" t="s">
        <v>67</v>
      </c>
      <c r="F2029" s="61" t="s">
        <v>67</v>
      </c>
      <c r="G2029" s="62">
        <v>4231019362</v>
      </c>
      <c r="H2029" s="61" t="s">
        <v>68</v>
      </c>
      <c r="I2029" s="63" t="str">
        <f t="shared" si="135"/>
        <v>Saudi Arabia-Offline</v>
      </c>
      <c r="J2029" s="47"/>
      <c r="K2029" s="54"/>
      <c r="L2029" s="35"/>
      <c r="M2029" s="35"/>
      <c r="N2029" s="35"/>
      <c r="O2029" s="35"/>
      <c r="P2029" s="35"/>
      <c r="Q2029" s="35"/>
      <c r="R2029" s="35"/>
      <c r="S2029" s="35"/>
      <c r="T2029" s="35"/>
      <c r="U2029" s="35"/>
      <c r="V2029" s="35"/>
      <c r="W2029" s="35"/>
      <c r="X2029" s="35"/>
      <c r="Y2029" s="35"/>
      <c r="Z2029" s="35"/>
      <c r="AA2029" s="35"/>
      <c r="AB2029" s="35"/>
      <c r="AC2029" s="35"/>
      <c r="AD2029" s="35"/>
      <c r="AE2029" s="35"/>
      <c r="AF2029" s="35"/>
      <c r="AG2029" s="35"/>
      <c r="AH2029" s="35"/>
      <c r="AI2029" s="35"/>
      <c r="AJ2029" s="35"/>
      <c r="AK2029" s="35"/>
      <c r="AL2029" s="35"/>
      <c r="AM2029" s="35"/>
      <c r="AN2029" s="35"/>
      <c r="AO2029" s="35"/>
      <c r="AP2029" s="35"/>
    </row>
    <row r="2030" spans="1:42" ht="17.25" customHeight="1" x14ac:dyDescent="0.25">
      <c r="A2030" s="55">
        <v>2021</v>
      </c>
      <c r="B2030" s="56" t="s">
        <v>66</v>
      </c>
      <c r="C2030" s="56" t="s">
        <v>41</v>
      </c>
      <c r="D2030" s="56" t="s">
        <v>44</v>
      </c>
      <c r="E2030" s="56" t="s">
        <v>69</v>
      </c>
      <c r="F2030" s="56" t="s">
        <v>70</v>
      </c>
      <c r="G2030" s="57">
        <v>1377359005</v>
      </c>
      <c r="H2030" s="56" t="s">
        <v>68</v>
      </c>
      <c r="I2030" s="58" t="str">
        <f t="shared" si="135"/>
        <v>Saudi Arabia-Online Supplier-Direct</v>
      </c>
      <c r="J2030" s="40"/>
      <c r="K2030" s="59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  <c r="AG2030" s="35"/>
      <c r="AH2030" s="35"/>
      <c r="AI2030" s="35"/>
      <c r="AJ2030" s="35"/>
      <c r="AK2030" s="35"/>
      <c r="AL2030" s="35"/>
      <c r="AM2030" s="35"/>
      <c r="AN2030" s="35"/>
      <c r="AO2030" s="35"/>
      <c r="AP2030" s="35"/>
    </row>
    <row r="2031" spans="1:42" ht="17.25" customHeight="1" x14ac:dyDescent="0.25">
      <c r="A2031" s="60">
        <v>2021</v>
      </c>
      <c r="B2031" s="61" t="s">
        <v>66</v>
      </c>
      <c r="C2031" s="61" t="s">
        <v>41</v>
      </c>
      <c r="D2031" s="61" t="s">
        <v>44</v>
      </c>
      <c r="E2031" s="61" t="s">
        <v>69</v>
      </c>
      <c r="F2031" s="61" t="s">
        <v>71</v>
      </c>
      <c r="G2031" s="62">
        <v>1506231450</v>
      </c>
      <c r="H2031" s="61" t="s">
        <v>68</v>
      </c>
      <c r="I2031" s="63" t="str">
        <f t="shared" si="135"/>
        <v>Saudi Arabia-OTA</v>
      </c>
      <c r="J2031" s="47"/>
      <c r="K2031" s="54"/>
      <c r="L2031" s="35"/>
      <c r="M2031" s="35"/>
      <c r="N2031" s="35"/>
      <c r="O2031" s="35"/>
      <c r="P2031" s="35"/>
      <c r="Q2031" s="35"/>
      <c r="R2031" s="35"/>
      <c r="S2031" s="35"/>
      <c r="T2031" s="35"/>
      <c r="U2031" s="35"/>
      <c r="V2031" s="35"/>
      <c r="W2031" s="35"/>
      <c r="X2031" s="35"/>
      <c r="Y2031" s="35"/>
      <c r="Z2031" s="35"/>
      <c r="AA2031" s="35"/>
      <c r="AB2031" s="35"/>
      <c r="AC2031" s="35"/>
      <c r="AD2031" s="35"/>
      <c r="AE2031" s="35"/>
      <c r="AF2031" s="35"/>
      <c r="AG2031" s="35"/>
      <c r="AH2031" s="35"/>
      <c r="AI2031" s="35"/>
      <c r="AJ2031" s="35"/>
      <c r="AK2031" s="35"/>
      <c r="AL2031" s="35"/>
      <c r="AM2031" s="35"/>
      <c r="AN2031" s="35"/>
      <c r="AO2031" s="35"/>
      <c r="AP2031" s="35"/>
    </row>
    <row r="2032" spans="1:42" ht="17.25" customHeight="1" x14ac:dyDescent="0.25">
      <c r="A2032" s="55">
        <v>2021</v>
      </c>
      <c r="B2032" s="56" t="s">
        <v>66</v>
      </c>
      <c r="C2032" s="56" t="s">
        <v>27</v>
      </c>
      <c r="D2032" s="56" t="s">
        <v>31</v>
      </c>
      <c r="E2032" s="56" t="s">
        <v>67</v>
      </c>
      <c r="F2032" s="56" t="s">
        <v>67</v>
      </c>
      <c r="G2032" s="57">
        <v>3234216991</v>
      </c>
      <c r="H2032" s="56" t="s">
        <v>68</v>
      </c>
      <c r="I2032" s="58" t="str">
        <f t="shared" si="135"/>
        <v>Scandinavia-Offline</v>
      </c>
      <c r="J2032" s="40"/>
      <c r="K2032" s="59"/>
      <c r="L2032" s="35"/>
      <c r="M2032" s="35"/>
      <c r="N2032" s="35"/>
      <c r="O2032" s="35"/>
      <c r="P2032" s="35"/>
      <c r="Q2032" s="35"/>
      <c r="R2032" s="35"/>
      <c r="S2032" s="35"/>
      <c r="T2032" s="35"/>
      <c r="U2032" s="35"/>
      <c r="V2032" s="35"/>
      <c r="W2032" s="35"/>
      <c r="X2032" s="35"/>
      <c r="Y2032" s="35"/>
      <c r="Z2032" s="35"/>
      <c r="AA2032" s="35"/>
      <c r="AB2032" s="35"/>
      <c r="AC2032" s="35"/>
      <c r="AD2032" s="35"/>
      <c r="AE2032" s="35"/>
      <c r="AF2032" s="35"/>
      <c r="AG2032" s="35"/>
      <c r="AH2032" s="35"/>
      <c r="AI2032" s="35"/>
      <c r="AJ2032" s="35"/>
      <c r="AK2032" s="35"/>
      <c r="AL2032" s="35"/>
      <c r="AM2032" s="35"/>
      <c r="AN2032" s="35"/>
      <c r="AO2032" s="35"/>
      <c r="AP2032" s="35"/>
    </row>
    <row r="2033" spans="1:42" ht="17.25" customHeight="1" x14ac:dyDescent="0.25">
      <c r="A2033" s="60">
        <v>2021</v>
      </c>
      <c r="B2033" s="61" t="s">
        <v>66</v>
      </c>
      <c r="C2033" s="61" t="s">
        <v>27</v>
      </c>
      <c r="D2033" s="61" t="s">
        <v>31</v>
      </c>
      <c r="E2033" s="61" t="s">
        <v>69</v>
      </c>
      <c r="F2033" s="61" t="s">
        <v>70</v>
      </c>
      <c r="G2033" s="62">
        <v>4778083528</v>
      </c>
      <c r="H2033" s="61" t="s">
        <v>68</v>
      </c>
      <c r="I2033" s="63" t="str">
        <f t="shared" si="135"/>
        <v>Scandinavia-Online Supplier-Direct</v>
      </c>
      <c r="J2033" s="47"/>
      <c r="K2033" s="54"/>
      <c r="L2033" s="35"/>
      <c r="M2033" s="35"/>
      <c r="N2033" s="35"/>
      <c r="O2033" s="35"/>
      <c r="P2033" s="35"/>
      <c r="Q2033" s="35"/>
      <c r="R2033" s="35"/>
      <c r="S2033" s="35"/>
      <c r="T2033" s="35"/>
      <c r="U2033" s="35"/>
      <c r="V2033" s="35"/>
      <c r="W2033" s="35"/>
      <c r="X2033" s="35"/>
      <c r="Y2033" s="35"/>
      <c r="Z2033" s="35"/>
      <c r="AA2033" s="35"/>
      <c r="AB2033" s="35"/>
      <c r="AC2033" s="35"/>
      <c r="AD2033" s="35"/>
      <c r="AE2033" s="35"/>
      <c r="AF2033" s="35"/>
      <c r="AG2033" s="35"/>
      <c r="AH2033" s="35"/>
      <c r="AI2033" s="35"/>
      <c r="AJ2033" s="35"/>
      <c r="AK2033" s="35"/>
      <c r="AL2033" s="35"/>
      <c r="AM2033" s="35"/>
      <c r="AN2033" s="35"/>
      <c r="AO2033" s="35"/>
      <c r="AP2033" s="35"/>
    </row>
    <row r="2034" spans="1:42" ht="17.25" customHeight="1" x14ac:dyDescent="0.25">
      <c r="A2034" s="55">
        <v>2021</v>
      </c>
      <c r="B2034" s="56" t="s">
        <v>66</v>
      </c>
      <c r="C2034" s="56" t="s">
        <v>27</v>
      </c>
      <c r="D2034" s="56" t="s">
        <v>31</v>
      </c>
      <c r="E2034" s="56" t="s">
        <v>69</v>
      </c>
      <c r="F2034" s="56" t="s">
        <v>71</v>
      </c>
      <c r="G2034" s="57">
        <v>2272964270</v>
      </c>
      <c r="H2034" s="56" t="s">
        <v>68</v>
      </c>
      <c r="I2034" s="58" t="str">
        <f t="shared" si="135"/>
        <v>Scandinavia-OTA</v>
      </c>
      <c r="J2034" s="40"/>
      <c r="K2034" s="59"/>
      <c r="L2034" s="35"/>
      <c r="M2034" s="35"/>
      <c r="N2034" s="35"/>
      <c r="O2034" s="35"/>
      <c r="P2034" s="35"/>
      <c r="Q2034" s="35"/>
      <c r="R2034" s="35"/>
      <c r="S2034" s="35"/>
      <c r="T2034" s="35"/>
      <c r="U2034" s="35"/>
      <c r="V2034" s="35"/>
      <c r="W2034" s="35"/>
      <c r="X2034" s="35"/>
      <c r="Y2034" s="35"/>
      <c r="Z2034" s="35"/>
      <c r="AA2034" s="35"/>
      <c r="AB2034" s="35"/>
      <c r="AC2034" s="35"/>
      <c r="AD2034" s="35"/>
      <c r="AE2034" s="35"/>
      <c r="AF2034" s="35"/>
      <c r="AG2034" s="35"/>
      <c r="AH2034" s="35"/>
      <c r="AI2034" s="35"/>
      <c r="AJ2034" s="35"/>
      <c r="AK2034" s="35"/>
      <c r="AL2034" s="35"/>
      <c r="AM2034" s="35"/>
      <c r="AN2034" s="35"/>
      <c r="AO2034" s="35"/>
      <c r="AP2034" s="35"/>
    </row>
    <row r="2035" spans="1:42" ht="17.25" customHeight="1" x14ac:dyDescent="0.25">
      <c r="A2035" s="60">
        <v>2021</v>
      </c>
      <c r="B2035" s="61" t="s">
        <v>66</v>
      </c>
      <c r="C2035" s="61" t="s">
        <v>4</v>
      </c>
      <c r="D2035" s="61" t="s">
        <v>12</v>
      </c>
      <c r="E2035" s="61" t="s">
        <v>67</v>
      </c>
      <c r="F2035" s="61" t="s">
        <v>67</v>
      </c>
      <c r="G2035" s="62">
        <v>952836392</v>
      </c>
      <c r="H2035" s="61" t="s">
        <v>68</v>
      </c>
      <c r="I2035" s="63" t="str">
        <f t="shared" si="135"/>
        <v>Singapore-Offline</v>
      </c>
      <c r="J2035" s="47"/>
      <c r="K2035" s="54"/>
      <c r="L2035" s="35"/>
      <c r="M2035" s="35"/>
      <c r="N2035" s="35"/>
      <c r="O2035" s="35"/>
      <c r="P2035" s="35"/>
      <c r="Q2035" s="35"/>
      <c r="R2035" s="35"/>
      <c r="S2035" s="35"/>
      <c r="T2035" s="35"/>
      <c r="U2035" s="35"/>
      <c r="V2035" s="35"/>
      <c r="W2035" s="35"/>
      <c r="X2035" s="35"/>
      <c r="Y2035" s="35"/>
      <c r="Z2035" s="35"/>
      <c r="AA2035" s="35"/>
      <c r="AB2035" s="35"/>
      <c r="AC2035" s="35"/>
      <c r="AD2035" s="35"/>
      <c r="AE2035" s="35"/>
      <c r="AF2035" s="35"/>
      <c r="AG2035" s="35"/>
      <c r="AH2035" s="35"/>
      <c r="AI2035" s="35"/>
      <c r="AJ2035" s="35"/>
      <c r="AK2035" s="35"/>
      <c r="AL2035" s="35"/>
      <c r="AM2035" s="35"/>
      <c r="AN2035" s="35"/>
      <c r="AO2035" s="35"/>
      <c r="AP2035" s="35"/>
    </row>
    <row r="2036" spans="1:42" ht="17.25" customHeight="1" x14ac:dyDescent="0.25">
      <c r="A2036" s="55">
        <v>2021</v>
      </c>
      <c r="B2036" s="56" t="s">
        <v>66</v>
      </c>
      <c r="C2036" s="56" t="s">
        <v>4</v>
      </c>
      <c r="D2036" s="56" t="s">
        <v>12</v>
      </c>
      <c r="E2036" s="56" t="s">
        <v>69</v>
      </c>
      <c r="F2036" s="56" t="s">
        <v>70</v>
      </c>
      <c r="G2036" s="57">
        <v>660422611</v>
      </c>
      <c r="H2036" s="56" t="s">
        <v>68</v>
      </c>
      <c r="I2036" s="58" t="str">
        <f t="shared" si="135"/>
        <v>Singapore-Online Supplier-Direct</v>
      </c>
      <c r="J2036" s="40"/>
      <c r="K2036" s="59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  <c r="AA2036" s="35"/>
      <c r="AB2036" s="35"/>
      <c r="AC2036" s="35"/>
      <c r="AD2036" s="35"/>
      <c r="AE2036" s="35"/>
      <c r="AF2036" s="35"/>
      <c r="AG2036" s="35"/>
      <c r="AH2036" s="35"/>
      <c r="AI2036" s="35"/>
      <c r="AJ2036" s="35"/>
      <c r="AK2036" s="35"/>
      <c r="AL2036" s="35"/>
      <c r="AM2036" s="35"/>
      <c r="AN2036" s="35"/>
      <c r="AO2036" s="35"/>
      <c r="AP2036" s="35"/>
    </row>
    <row r="2037" spans="1:42" ht="17.25" customHeight="1" x14ac:dyDescent="0.25">
      <c r="A2037" s="60">
        <v>2021</v>
      </c>
      <c r="B2037" s="61" t="s">
        <v>66</v>
      </c>
      <c r="C2037" s="61" t="s">
        <v>4</v>
      </c>
      <c r="D2037" s="61" t="s">
        <v>12</v>
      </c>
      <c r="E2037" s="61" t="s">
        <v>69</v>
      </c>
      <c r="F2037" s="61" t="s">
        <v>71</v>
      </c>
      <c r="G2037" s="62">
        <v>548326950</v>
      </c>
      <c r="H2037" s="61" t="s">
        <v>68</v>
      </c>
      <c r="I2037" s="63" t="str">
        <f t="shared" si="135"/>
        <v>Singapore-OTA</v>
      </c>
      <c r="J2037" s="47"/>
      <c r="K2037" s="54"/>
      <c r="L2037" s="35"/>
      <c r="M2037" s="35"/>
      <c r="N2037" s="35"/>
      <c r="O2037" s="35"/>
      <c r="P2037" s="35"/>
      <c r="Q2037" s="35"/>
      <c r="R2037" s="35"/>
      <c r="S2037" s="35"/>
      <c r="T2037" s="35"/>
      <c r="U2037" s="35"/>
      <c r="V2037" s="35"/>
      <c r="W2037" s="35"/>
      <c r="X2037" s="35"/>
      <c r="Y2037" s="35"/>
      <c r="Z2037" s="35"/>
      <c r="AA2037" s="35"/>
      <c r="AB2037" s="35"/>
      <c r="AC2037" s="35"/>
      <c r="AD2037" s="35"/>
      <c r="AE2037" s="35"/>
      <c r="AF2037" s="35"/>
      <c r="AG2037" s="35"/>
      <c r="AH2037" s="35"/>
      <c r="AI2037" s="35"/>
      <c r="AJ2037" s="35"/>
      <c r="AK2037" s="35"/>
      <c r="AL2037" s="35"/>
      <c r="AM2037" s="35"/>
      <c r="AN2037" s="35"/>
      <c r="AO2037" s="35"/>
      <c r="AP2037" s="35"/>
    </row>
    <row r="2038" spans="1:42" ht="17.25" customHeight="1" x14ac:dyDescent="0.25">
      <c r="A2038" s="55">
        <v>2021</v>
      </c>
      <c r="B2038" s="56" t="s">
        <v>66</v>
      </c>
      <c r="C2038" s="56" t="s">
        <v>4</v>
      </c>
      <c r="D2038" s="56" t="s">
        <v>13</v>
      </c>
      <c r="E2038" s="56" t="s">
        <v>67</v>
      </c>
      <c r="F2038" s="56" t="s">
        <v>67</v>
      </c>
      <c r="G2038" s="57">
        <v>2843620291</v>
      </c>
      <c r="H2038" s="56" t="s">
        <v>68</v>
      </c>
      <c r="I2038" s="58" t="str">
        <f t="shared" si="135"/>
        <v>South Korea-Offline</v>
      </c>
      <c r="J2038" s="40"/>
      <c r="K2038" s="59"/>
      <c r="L2038" s="35"/>
      <c r="M2038" s="35"/>
      <c r="N2038" s="35"/>
      <c r="O2038" s="35"/>
      <c r="P2038" s="35"/>
      <c r="Q2038" s="35"/>
      <c r="R2038" s="35"/>
      <c r="S2038" s="35"/>
      <c r="T2038" s="35"/>
      <c r="U2038" s="35"/>
      <c r="V2038" s="35"/>
      <c r="W2038" s="35"/>
      <c r="X2038" s="35"/>
      <c r="Y2038" s="35"/>
      <c r="Z2038" s="35"/>
      <c r="AA2038" s="35"/>
      <c r="AB2038" s="35"/>
      <c r="AC2038" s="35"/>
      <c r="AD2038" s="35"/>
      <c r="AE2038" s="35"/>
      <c r="AF2038" s="35"/>
      <c r="AG2038" s="35"/>
      <c r="AH2038" s="35"/>
      <c r="AI2038" s="35"/>
      <c r="AJ2038" s="35"/>
      <c r="AK2038" s="35"/>
      <c r="AL2038" s="35"/>
      <c r="AM2038" s="35"/>
      <c r="AN2038" s="35"/>
      <c r="AO2038" s="35"/>
      <c r="AP2038" s="35"/>
    </row>
    <row r="2039" spans="1:42" ht="17.25" customHeight="1" x14ac:dyDescent="0.25">
      <c r="A2039" s="60">
        <v>2021</v>
      </c>
      <c r="B2039" s="61" t="s">
        <v>66</v>
      </c>
      <c r="C2039" s="61" t="s">
        <v>4</v>
      </c>
      <c r="D2039" s="61" t="s">
        <v>13</v>
      </c>
      <c r="E2039" s="61" t="s">
        <v>69</v>
      </c>
      <c r="F2039" s="61" t="s">
        <v>70</v>
      </c>
      <c r="G2039" s="62">
        <v>2701419514</v>
      </c>
      <c r="H2039" s="61" t="s">
        <v>68</v>
      </c>
      <c r="I2039" s="63" t="str">
        <f t="shared" si="135"/>
        <v>South Korea-Online Supplier-Direct</v>
      </c>
      <c r="J2039" s="47"/>
      <c r="K2039" s="54"/>
      <c r="L2039" s="35"/>
      <c r="M2039" s="35"/>
      <c r="N2039" s="35"/>
      <c r="O2039" s="35"/>
      <c r="P2039" s="35"/>
      <c r="Q2039" s="35"/>
      <c r="R2039" s="35"/>
      <c r="S2039" s="35"/>
      <c r="T2039" s="35"/>
      <c r="U2039" s="35"/>
      <c r="V2039" s="35"/>
      <c r="W2039" s="35"/>
      <c r="X2039" s="35"/>
      <c r="Y2039" s="35"/>
      <c r="Z2039" s="35"/>
      <c r="AA2039" s="35"/>
      <c r="AB2039" s="35"/>
      <c r="AC2039" s="35"/>
      <c r="AD2039" s="35"/>
      <c r="AE2039" s="35"/>
      <c r="AF2039" s="35"/>
      <c r="AG2039" s="35"/>
      <c r="AH2039" s="35"/>
      <c r="AI2039" s="35"/>
      <c r="AJ2039" s="35"/>
      <c r="AK2039" s="35"/>
      <c r="AL2039" s="35"/>
      <c r="AM2039" s="35"/>
      <c r="AN2039" s="35"/>
      <c r="AO2039" s="35"/>
      <c r="AP2039" s="35"/>
    </row>
    <row r="2040" spans="1:42" ht="17.25" customHeight="1" x14ac:dyDescent="0.25">
      <c r="A2040" s="55">
        <v>2021</v>
      </c>
      <c r="B2040" s="56" t="s">
        <v>66</v>
      </c>
      <c r="C2040" s="56" t="s">
        <v>4</v>
      </c>
      <c r="D2040" s="56" t="s">
        <v>13</v>
      </c>
      <c r="E2040" s="56" t="s">
        <v>69</v>
      </c>
      <c r="F2040" s="56" t="s">
        <v>71</v>
      </c>
      <c r="G2040" s="57">
        <v>1011604699</v>
      </c>
      <c r="H2040" s="56" t="s">
        <v>68</v>
      </c>
      <c r="I2040" s="58" t="str">
        <f t="shared" si="135"/>
        <v>South Korea-OTA</v>
      </c>
      <c r="J2040" s="40"/>
      <c r="K2040" s="59"/>
      <c r="L2040" s="35"/>
      <c r="M2040" s="35"/>
      <c r="N2040" s="35"/>
      <c r="O2040" s="35"/>
      <c r="P2040" s="35"/>
      <c r="Q2040" s="35"/>
      <c r="R2040" s="35"/>
      <c r="S2040" s="35"/>
      <c r="T2040" s="35"/>
      <c r="U2040" s="35"/>
      <c r="V2040" s="35"/>
      <c r="W2040" s="35"/>
      <c r="X2040" s="35"/>
      <c r="Y2040" s="35"/>
      <c r="Z2040" s="35"/>
      <c r="AA2040" s="35"/>
      <c r="AB2040" s="35"/>
      <c r="AC2040" s="35"/>
      <c r="AD2040" s="35"/>
      <c r="AE2040" s="35"/>
      <c r="AF2040" s="35"/>
      <c r="AG2040" s="35"/>
      <c r="AH2040" s="35"/>
      <c r="AI2040" s="35"/>
      <c r="AJ2040" s="35"/>
      <c r="AK2040" s="35"/>
      <c r="AL2040" s="35"/>
      <c r="AM2040" s="35"/>
      <c r="AN2040" s="35"/>
      <c r="AO2040" s="35"/>
      <c r="AP2040" s="35"/>
    </row>
    <row r="2041" spans="1:42" ht="17.25" customHeight="1" x14ac:dyDescent="0.25">
      <c r="A2041" s="60">
        <v>2021</v>
      </c>
      <c r="B2041" s="61" t="s">
        <v>66</v>
      </c>
      <c r="C2041" s="61" t="s">
        <v>27</v>
      </c>
      <c r="D2041" s="61" t="s">
        <v>32</v>
      </c>
      <c r="E2041" s="61" t="s">
        <v>67</v>
      </c>
      <c r="F2041" s="61" t="s">
        <v>67</v>
      </c>
      <c r="G2041" s="62">
        <v>7506945531</v>
      </c>
      <c r="H2041" s="61" t="s">
        <v>68</v>
      </c>
      <c r="I2041" s="63" t="str">
        <f t="shared" si="135"/>
        <v>Spain-Offline</v>
      </c>
      <c r="J2041" s="47"/>
      <c r="K2041" s="54"/>
      <c r="L2041" s="35"/>
      <c r="M2041" s="35"/>
      <c r="N2041" s="35"/>
      <c r="O2041" s="35"/>
      <c r="P2041" s="35"/>
      <c r="Q2041" s="35"/>
      <c r="R2041" s="35"/>
      <c r="S2041" s="35"/>
      <c r="T2041" s="35"/>
      <c r="U2041" s="35"/>
      <c r="V2041" s="35"/>
      <c r="W2041" s="35"/>
      <c r="X2041" s="35"/>
      <c r="Y2041" s="35"/>
      <c r="Z2041" s="35"/>
      <c r="AA2041" s="35"/>
      <c r="AB2041" s="35"/>
      <c r="AC2041" s="35"/>
      <c r="AD2041" s="35"/>
      <c r="AE2041" s="35"/>
      <c r="AF2041" s="35"/>
      <c r="AG2041" s="35"/>
      <c r="AH2041" s="35"/>
      <c r="AI2041" s="35"/>
      <c r="AJ2041" s="35"/>
      <c r="AK2041" s="35"/>
      <c r="AL2041" s="35"/>
      <c r="AM2041" s="35"/>
      <c r="AN2041" s="35"/>
      <c r="AO2041" s="35"/>
      <c r="AP2041" s="35"/>
    </row>
    <row r="2042" spans="1:42" ht="17.25" customHeight="1" x14ac:dyDescent="0.25">
      <c r="A2042" s="55">
        <v>2021</v>
      </c>
      <c r="B2042" s="56" t="s">
        <v>66</v>
      </c>
      <c r="C2042" s="56" t="s">
        <v>27</v>
      </c>
      <c r="D2042" s="56" t="s">
        <v>32</v>
      </c>
      <c r="E2042" s="56" t="s">
        <v>69</v>
      </c>
      <c r="F2042" s="56" t="s">
        <v>70</v>
      </c>
      <c r="G2042" s="57">
        <v>4748332684</v>
      </c>
      <c r="H2042" s="56" t="s">
        <v>68</v>
      </c>
      <c r="I2042" s="58" t="str">
        <f t="shared" ref="I2042:I2296" si="136">D2042&amp;"-"&amp;F2042</f>
        <v>Spain-Online Supplier-Direct</v>
      </c>
      <c r="J2042" s="40"/>
      <c r="K2042" s="59"/>
      <c r="L2042" s="35"/>
      <c r="M2042" s="35"/>
      <c r="N2042" s="35"/>
      <c r="O2042" s="35"/>
      <c r="P2042" s="35"/>
      <c r="Q2042" s="35"/>
      <c r="R2042" s="35"/>
      <c r="S2042" s="35"/>
      <c r="T2042" s="35"/>
      <c r="U2042" s="35"/>
      <c r="V2042" s="35"/>
      <c r="W2042" s="35"/>
      <c r="X2042" s="35"/>
      <c r="Y2042" s="35"/>
      <c r="Z2042" s="35"/>
      <c r="AA2042" s="35"/>
      <c r="AB2042" s="35"/>
      <c r="AC2042" s="35"/>
      <c r="AD2042" s="35"/>
      <c r="AE2042" s="35"/>
      <c r="AF2042" s="35"/>
      <c r="AG2042" s="35"/>
      <c r="AH2042" s="35"/>
      <c r="AI2042" s="35"/>
      <c r="AJ2042" s="35"/>
      <c r="AK2042" s="35"/>
      <c r="AL2042" s="35"/>
      <c r="AM2042" s="35"/>
      <c r="AN2042" s="35"/>
      <c r="AO2042" s="35"/>
      <c r="AP2042" s="35"/>
    </row>
    <row r="2043" spans="1:42" ht="17.25" customHeight="1" x14ac:dyDescent="0.25">
      <c r="A2043" s="60">
        <v>2021</v>
      </c>
      <c r="B2043" s="61" t="s">
        <v>66</v>
      </c>
      <c r="C2043" s="61" t="s">
        <v>27</v>
      </c>
      <c r="D2043" s="61" t="s">
        <v>32</v>
      </c>
      <c r="E2043" s="61" t="s">
        <v>69</v>
      </c>
      <c r="F2043" s="61" t="s">
        <v>71</v>
      </c>
      <c r="G2043" s="62">
        <v>4032385477</v>
      </c>
      <c r="H2043" s="61" t="s">
        <v>68</v>
      </c>
      <c r="I2043" s="63" t="str">
        <f t="shared" si="136"/>
        <v>Spain-OTA</v>
      </c>
      <c r="J2043" s="47"/>
      <c r="K2043" s="54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  <c r="Z2043" s="35"/>
      <c r="AA2043" s="35"/>
      <c r="AB2043" s="35"/>
      <c r="AC2043" s="35"/>
      <c r="AD2043" s="35"/>
      <c r="AE2043" s="35"/>
      <c r="AF2043" s="35"/>
      <c r="AG2043" s="35"/>
      <c r="AH2043" s="35"/>
      <c r="AI2043" s="35"/>
      <c r="AJ2043" s="35"/>
      <c r="AK2043" s="35"/>
      <c r="AL2043" s="35"/>
      <c r="AM2043" s="35"/>
      <c r="AN2043" s="35"/>
      <c r="AO2043" s="35"/>
      <c r="AP2043" s="35"/>
    </row>
    <row r="2044" spans="1:42" ht="17.25" customHeight="1" x14ac:dyDescent="0.25">
      <c r="A2044" s="55">
        <v>2021</v>
      </c>
      <c r="B2044" s="56" t="s">
        <v>66</v>
      </c>
      <c r="C2044" s="56" t="s">
        <v>4</v>
      </c>
      <c r="D2044" s="56" t="s">
        <v>14</v>
      </c>
      <c r="E2044" s="56" t="s">
        <v>67</v>
      </c>
      <c r="F2044" s="56" t="s">
        <v>67</v>
      </c>
      <c r="G2044" s="57">
        <v>1043323792</v>
      </c>
      <c r="H2044" s="56" t="s">
        <v>68</v>
      </c>
      <c r="I2044" s="58" t="str">
        <f t="shared" si="136"/>
        <v>Taiwan-Offline</v>
      </c>
      <c r="J2044" s="40"/>
      <c r="K2044" s="59"/>
      <c r="L2044" s="35"/>
      <c r="M2044" s="35"/>
      <c r="N2044" s="35"/>
      <c r="O2044" s="35"/>
      <c r="P2044" s="35"/>
      <c r="Q2044" s="35"/>
      <c r="R2044" s="35"/>
      <c r="S2044" s="35"/>
      <c r="T2044" s="35"/>
      <c r="U2044" s="35"/>
      <c r="V2044" s="35"/>
      <c r="W2044" s="35"/>
      <c r="X2044" s="35"/>
      <c r="Y2044" s="35"/>
      <c r="Z2044" s="35"/>
      <c r="AA2044" s="35"/>
      <c r="AB2044" s="35"/>
      <c r="AC2044" s="35"/>
      <c r="AD2044" s="35"/>
      <c r="AE2044" s="35"/>
      <c r="AF2044" s="35"/>
      <c r="AG2044" s="35"/>
      <c r="AH2044" s="35"/>
      <c r="AI2044" s="35"/>
      <c r="AJ2044" s="35"/>
      <c r="AK2044" s="35"/>
      <c r="AL2044" s="35"/>
      <c r="AM2044" s="35"/>
      <c r="AN2044" s="35"/>
      <c r="AO2044" s="35"/>
      <c r="AP2044" s="35"/>
    </row>
    <row r="2045" spans="1:42" ht="17.25" customHeight="1" x14ac:dyDescent="0.25">
      <c r="A2045" s="60">
        <v>2021</v>
      </c>
      <c r="B2045" s="61" t="s">
        <v>66</v>
      </c>
      <c r="C2045" s="61" t="s">
        <v>4</v>
      </c>
      <c r="D2045" s="61" t="s">
        <v>14</v>
      </c>
      <c r="E2045" s="61" t="s">
        <v>69</v>
      </c>
      <c r="F2045" s="61" t="s">
        <v>70</v>
      </c>
      <c r="G2045" s="62">
        <v>999408648</v>
      </c>
      <c r="H2045" s="61" t="s">
        <v>68</v>
      </c>
      <c r="I2045" s="63" t="str">
        <f t="shared" si="136"/>
        <v>Taiwan-Online Supplier-Direct</v>
      </c>
      <c r="J2045" s="47"/>
      <c r="K2045" s="54"/>
      <c r="L2045" s="35"/>
      <c r="M2045" s="35"/>
      <c r="N2045" s="35"/>
      <c r="O2045" s="35"/>
      <c r="P2045" s="35"/>
      <c r="Q2045" s="35"/>
      <c r="R2045" s="35"/>
      <c r="S2045" s="35"/>
      <c r="T2045" s="35"/>
      <c r="U2045" s="35"/>
      <c r="V2045" s="35"/>
      <c r="W2045" s="35"/>
      <c r="X2045" s="35"/>
      <c r="Y2045" s="35"/>
      <c r="Z2045" s="35"/>
      <c r="AA2045" s="35"/>
      <c r="AB2045" s="35"/>
      <c r="AC2045" s="35"/>
      <c r="AD2045" s="35"/>
      <c r="AE2045" s="35"/>
      <c r="AF2045" s="35"/>
      <c r="AG2045" s="35"/>
      <c r="AH2045" s="35"/>
      <c r="AI2045" s="35"/>
      <c r="AJ2045" s="35"/>
      <c r="AK2045" s="35"/>
      <c r="AL2045" s="35"/>
      <c r="AM2045" s="35"/>
      <c r="AN2045" s="35"/>
      <c r="AO2045" s="35"/>
      <c r="AP2045" s="35"/>
    </row>
    <row r="2046" spans="1:42" ht="17.25" customHeight="1" x14ac:dyDescent="0.25">
      <c r="A2046" s="55">
        <v>2021</v>
      </c>
      <c r="B2046" s="56" t="s">
        <v>66</v>
      </c>
      <c r="C2046" s="56" t="s">
        <v>4</v>
      </c>
      <c r="D2046" s="56" t="s">
        <v>14</v>
      </c>
      <c r="E2046" s="56" t="s">
        <v>69</v>
      </c>
      <c r="F2046" s="56" t="s">
        <v>71</v>
      </c>
      <c r="G2046" s="57">
        <v>110625736</v>
      </c>
      <c r="H2046" s="56" t="s">
        <v>68</v>
      </c>
      <c r="I2046" s="58" t="str">
        <f t="shared" si="136"/>
        <v>Taiwan-OTA</v>
      </c>
      <c r="J2046" s="40"/>
      <c r="K2046" s="59"/>
      <c r="L2046" s="35"/>
      <c r="M2046" s="35"/>
      <c r="N2046" s="35"/>
      <c r="O2046" s="35"/>
      <c r="P2046" s="35"/>
      <c r="Q2046" s="35"/>
      <c r="R2046" s="35"/>
      <c r="S2046" s="35"/>
      <c r="T2046" s="35"/>
      <c r="U2046" s="35"/>
      <c r="V2046" s="35"/>
      <c r="W2046" s="35"/>
      <c r="X2046" s="35"/>
      <c r="Y2046" s="35"/>
      <c r="Z2046" s="35"/>
      <c r="AA2046" s="35"/>
      <c r="AB2046" s="35"/>
      <c r="AC2046" s="35"/>
      <c r="AD2046" s="35"/>
      <c r="AE2046" s="35"/>
      <c r="AF2046" s="35"/>
      <c r="AG2046" s="35"/>
      <c r="AH2046" s="35"/>
      <c r="AI2046" s="35"/>
      <c r="AJ2046" s="35"/>
      <c r="AK2046" s="35"/>
      <c r="AL2046" s="35"/>
      <c r="AM2046" s="35"/>
      <c r="AN2046" s="35"/>
      <c r="AO2046" s="35"/>
      <c r="AP2046" s="35"/>
    </row>
    <row r="2047" spans="1:42" ht="17.25" customHeight="1" x14ac:dyDescent="0.25">
      <c r="A2047" s="60">
        <v>2021</v>
      </c>
      <c r="B2047" s="61" t="s">
        <v>66</v>
      </c>
      <c r="C2047" s="61" t="s">
        <v>4</v>
      </c>
      <c r="D2047" s="61" t="s">
        <v>15</v>
      </c>
      <c r="E2047" s="61" t="s">
        <v>67</v>
      </c>
      <c r="F2047" s="61" t="s">
        <v>67</v>
      </c>
      <c r="G2047" s="62">
        <v>691219602</v>
      </c>
      <c r="H2047" s="61" t="s">
        <v>68</v>
      </c>
      <c r="I2047" s="63" t="str">
        <f t="shared" si="136"/>
        <v>Thailand-Offline</v>
      </c>
      <c r="J2047" s="47"/>
      <c r="K2047" s="54"/>
      <c r="L2047" s="35"/>
      <c r="M2047" s="35"/>
      <c r="N2047" s="35"/>
      <c r="O2047" s="35"/>
      <c r="P2047" s="35"/>
      <c r="Q2047" s="35"/>
      <c r="R2047" s="35"/>
      <c r="S2047" s="35"/>
      <c r="T2047" s="35"/>
      <c r="U2047" s="35"/>
      <c r="V2047" s="35"/>
      <c r="W2047" s="35"/>
      <c r="X2047" s="35"/>
      <c r="Y2047" s="35"/>
      <c r="Z2047" s="35"/>
      <c r="AA2047" s="35"/>
      <c r="AB2047" s="35"/>
      <c r="AC2047" s="35"/>
      <c r="AD2047" s="35"/>
      <c r="AE2047" s="35"/>
      <c r="AF2047" s="35"/>
      <c r="AG2047" s="35"/>
      <c r="AH2047" s="35"/>
      <c r="AI2047" s="35"/>
      <c r="AJ2047" s="35"/>
      <c r="AK2047" s="35"/>
      <c r="AL2047" s="35"/>
      <c r="AM2047" s="35"/>
      <c r="AN2047" s="35"/>
      <c r="AO2047" s="35"/>
      <c r="AP2047" s="35"/>
    </row>
    <row r="2048" spans="1:42" ht="17.25" customHeight="1" x14ac:dyDescent="0.25">
      <c r="A2048" s="55">
        <v>2021</v>
      </c>
      <c r="B2048" s="56" t="s">
        <v>66</v>
      </c>
      <c r="C2048" s="56" t="s">
        <v>4</v>
      </c>
      <c r="D2048" s="56" t="s">
        <v>15</v>
      </c>
      <c r="E2048" s="56" t="s">
        <v>69</v>
      </c>
      <c r="F2048" s="56" t="s">
        <v>70</v>
      </c>
      <c r="G2048" s="57">
        <v>191321406</v>
      </c>
      <c r="H2048" s="56" t="s">
        <v>68</v>
      </c>
      <c r="I2048" s="58" t="str">
        <f t="shared" si="136"/>
        <v>Thailand-Online Supplier-Direct</v>
      </c>
      <c r="J2048" s="40"/>
      <c r="K2048" s="59"/>
      <c r="L2048" s="35"/>
      <c r="M2048" s="35"/>
      <c r="N2048" s="35"/>
      <c r="O2048" s="35"/>
      <c r="P2048" s="35"/>
      <c r="Q2048" s="35"/>
      <c r="R2048" s="35"/>
      <c r="S2048" s="35"/>
      <c r="T2048" s="35"/>
      <c r="U2048" s="35"/>
      <c r="V2048" s="35"/>
      <c r="W2048" s="35"/>
      <c r="X2048" s="35"/>
      <c r="Y2048" s="35"/>
      <c r="Z2048" s="35"/>
      <c r="AA2048" s="35"/>
      <c r="AB2048" s="35"/>
      <c r="AC2048" s="35"/>
      <c r="AD2048" s="35"/>
      <c r="AE2048" s="35"/>
      <c r="AF2048" s="35"/>
      <c r="AG2048" s="35"/>
      <c r="AH2048" s="35"/>
      <c r="AI2048" s="35"/>
      <c r="AJ2048" s="35"/>
      <c r="AK2048" s="35"/>
      <c r="AL2048" s="35"/>
      <c r="AM2048" s="35"/>
      <c r="AN2048" s="35"/>
      <c r="AO2048" s="35"/>
      <c r="AP2048" s="35"/>
    </row>
    <row r="2049" spans="1:42" ht="17.25" customHeight="1" x14ac:dyDescent="0.25">
      <c r="A2049" s="60">
        <v>2021</v>
      </c>
      <c r="B2049" s="61" t="s">
        <v>66</v>
      </c>
      <c r="C2049" s="61" t="s">
        <v>4</v>
      </c>
      <c r="D2049" s="61" t="s">
        <v>15</v>
      </c>
      <c r="E2049" s="61" t="s">
        <v>69</v>
      </c>
      <c r="F2049" s="61" t="s">
        <v>71</v>
      </c>
      <c r="G2049" s="62">
        <v>427329276</v>
      </c>
      <c r="H2049" s="61" t="s">
        <v>68</v>
      </c>
      <c r="I2049" s="63" t="str">
        <f t="shared" si="136"/>
        <v>Thailand-OTA</v>
      </c>
      <c r="J2049" s="47"/>
      <c r="K2049" s="54"/>
      <c r="L2049" s="35"/>
      <c r="M2049" s="35"/>
      <c r="N2049" s="35"/>
      <c r="O2049" s="35"/>
      <c r="P2049" s="35"/>
      <c r="Q2049" s="35"/>
      <c r="R2049" s="35"/>
      <c r="S2049" s="35"/>
      <c r="T2049" s="35"/>
      <c r="U2049" s="35"/>
      <c r="V2049" s="35"/>
      <c r="W2049" s="35"/>
      <c r="X2049" s="35"/>
      <c r="Y2049" s="35"/>
      <c r="Z2049" s="35"/>
      <c r="AA2049" s="35"/>
      <c r="AB2049" s="35"/>
      <c r="AC2049" s="35"/>
      <c r="AD2049" s="35"/>
      <c r="AE2049" s="35"/>
      <c r="AF2049" s="35"/>
      <c r="AG2049" s="35"/>
      <c r="AH2049" s="35"/>
      <c r="AI2049" s="35"/>
      <c r="AJ2049" s="35"/>
      <c r="AK2049" s="35"/>
      <c r="AL2049" s="35"/>
      <c r="AM2049" s="35"/>
      <c r="AN2049" s="35"/>
      <c r="AO2049" s="35"/>
      <c r="AP2049" s="35"/>
    </row>
    <row r="2050" spans="1:42" ht="17.25" customHeight="1" x14ac:dyDescent="0.25">
      <c r="A2050" s="55">
        <v>2021</v>
      </c>
      <c r="B2050" s="56" t="s">
        <v>66</v>
      </c>
      <c r="C2050" s="56" t="s">
        <v>41</v>
      </c>
      <c r="D2050" s="56" t="s">
        <v>45</v>
      </c>
      <c r="E2050" s="56" t="s">
        <v>67</v>
      </c>
      <c r="F2050" s="56" t="s">
        <v>67</v>
      </c>
      <c r="G2050" s="57">
        <v>10891714658</v>
      </c>
      <c r="H2050" s="56" t="s">
        <v>68</v>
      </c>
      <c r="I2050" s="58" t="str">
        <f t="shared" si="136"/>
        <v>U.A.E.-Offline</v>
      </c>
      <c r="J2050" s="40"/>
      <c r="K2050" s="59"/>
      <c r="L2050" s="35"/>
      <c r="M2050" s="35"/>
      <c r="N2050" s="35"/>
      <c r="O2050" s="35"/>
      <c r="P2050" s="35"/>
      <c r="Q2050" s="35"/>
      <c r="R2050" s="35"/>
      <c r="S2050" s="35"/>
      <c r="T2050" s="35"/>
      <c r="U2050" s="35"/>
      <c r="V2050" s="35"/>
      <c r="W2050" s="35"/>
      <c r="X2050" s="35"/>
      <c r="Y2050" s="35"/>
      <c r="Z2050" s="35"/>
      <c r="AA2050" s="35"/>
      <c r="AB2050" s="35"/>
      <c r="AC2050" s="35"/>
      <c r="AD2050" s="35"/>
      <c r="AE2050" s="35"/>
      <c r="AF2050" s="35"/>
      <c r="AG2050" s="35"/>
      <c r="AH2050" s="35"/>
      <c r="AI2050" s="35"/>
      <c r="AJ2050" s="35"/>
      <c r="AK2050" s="35"/>
      <c r="AL2050" s="35"/>
      <c r="AM2050" s="35"/>
      <c r="AN2050" s="35"/>
      <c r="AO2050" s="35"/>
      <c r="AP2050" s="35"/>
    </row>
    <row r="2051" spans="1:42" ht="17.25" customHeight="1" x14ac:dyDescent="0.25">
      <c r="A2051" s="60">
        <v>2021</v>
      </c>
      <c r="B2051" s="61" t="s">
        <v>66</v>
      </c>
      <c r="C2051" s="61" t="s">
        <v>41</v>
      </c>
      <c r="D2051" s="61" t="s">
        <v>45</v>
      </c>
      <c r="E2051" s="61" t="s">
        <v>69</v>
      </c>
      <c r="F2051" s="61" t="s">
        <v>70</v>
      </c>
      <c r="G2051" s="62">
        <v>5683378981</v>
      </c>
      <c r="H2051" s="61" t="s">
        <v>68</v>
      </c>
      <c r="I2051" s="63" t="str">
        <f t="shared" si="136"/>
        <v>U.A.E.-Online Supplier-Direct</v>
      </c>
      <c r="J2051" s="47"/>
      <c r="K2051" s="54"/>
      <c r="L2051" s="35"/>
      <c r="M2051" s="35"/>
      <c r="N2051" s="35"/>
      <c r="O2051" s="35"/>
      <c r="P2051" s="35"/>
      <c r="Q2051" s="35"/>
      <c r="R2051" s="35"/>
      <c r="S2051" s="35"/>
      <c r="T2051" s="35"/>
      <c r="U2051" s="35"/>
      <c r="V2051" s="35"/>
      <c r="W2051" s="35"/>
      <c r="X2051" s="35"/>
      <c r="Y2051" s="35"/>
      <c r="Z2051" s="35"/>
      <c r="AA2051" s="35"/>
      <c r="AB2051" s="35"/>
      <c r="AC2051" s="35"/>
      <c r="AD2051" s="35"/>
      <c r="AE2051" s="35"/>
      <c r="AF2051" s="35"/>
      <c r="AG2051" s="35"/>
      <c r="AH2051" s="35"/>
      <c r="AI2051" s="35"/>
      <c r="AJ2051" s="35"/>
      <c r="AK2051" s="35"/>
      <c r="AL2051" s="35"/>
      <c r="AM2051" s="35"/>
      <c r="AN2051" s="35"/>
      <c r="AO2051" s="35"/>
      <c r="AP2051" s="35"/>
    </row>
    <row r="2052" spans="1:42" ht="17.25" customHeight="1" x14ac:dyDescent="0.25">
      <c r="A2052" s="55">
        <v>2021</v>
      </c>
      <c r="B2052" s="56" t="s">
        <v>66</v>
      </c>
      <c r="C2052" s="56" t="s">
        <v>41</v>
      </c>
      <c r="D2052" s="56" t="s">
        <v>45</v>
      </c>
      <c r="E2052" s="56" t="s">
        <v>69</v>
      </c>
      <c r="F2052" s="56" t="s">
        <v>71</v>
      </c>
      <c r="G2052" s="57">
        <v>3443036641</v>
      </c>
      <c r="H2052" s="56" t="s">
        <v>68</v>
      </c>
      <c r="I2052" s="58" t="str">
        <f t="shared" si="136"/>
        <v>U.A.E.-OTA</v>
      </c>
      <c r="J2052" s="40"/>
      <c r="K2052" s="59"/>
      <c r="L2052" s="35"/>
      <c r="M2052" s="35"/>
      <c r="N2052" s="35"/>
      <c r="O2052" s="35"/>
      <c r="P2052" s="35"/>
      <c r="Q2052" s="35"/>
      <c r="R2052" s="35"/>
      <c r="S2052" s="35"/>
      <c r="T2052" s="35"/>
      <c r="U2052" s="35"/>
      <c r="V2052" s="35"/>
      <c r="W2052" s="35"/>
      <c r="X2052" s="35"/>
      <c r="Y2052" s="35"/>
      <c r="Z2052" s="35"/>
      <c r="AA2052" s="35"/>
      <c r="AB2052" s="35"/>
      <c r="AC2052" s="35"/>
      <c r="AD2052" s="35"/>
      <c r="AE2052" s="35"/>
      <c r="AF2052" s="35"/>
      <c r="AG2052" s="35"/>
      <c r="AH2052" s="35"/>
      <c r="AI2052" s="35"/>
      <c r="AJ2052" s="35"/>
      <c r="AK2052" s="35"/>
      <c r="AL2052" s="35"/>
      <c r="AM2052" s="35"/>
      <c r="AN2052" s="35"/>
      <c r="AO2052" s="35"/>
      <c r="AP2052" s="35"/>
    </row>
    <row r="2053" spans="1:42" ht="17.25" customHeight="1" x14ac:dyDescent="0.25">
      <c r="A2053" s="60">
        <v>2021</v>
      </c>
      <c r="B2053" s="61" t="s">
        <v>66</v>
      </c>
      <c r="C2053" s="61" t="s">
        <v>27</v>
      </c>
      <c r="D2053" s="61" t="s">
        <v>33</v>
      </c>
      <c r="E2053" s="61" t="s">
        <v>67</v>
      </c>
      <c r="F2053" s="61" t="s">
        <v>67</v>
      </c>
      <c r="G2053" s="62">
        <v>6930935488</v>
      </c>
      <c r="H2053" s="61" t="s">
        <v>68</v>
      </c>
      <c r="I2053" s="63" t="str">
        <f t="shared" si="136"/>
        <v>U.K.-Offline</v>
      </c>
      <c r="J2053" s="47"/>
      <c r="K2053" s="54"/>
      <c r="L2053" s="35"/>
      <c r="M2053" s="35"/>
      <c r="N2053" s="35"/>
      <c r="O2053" s="35"/>
      <c r="P2053" s="35"/>
      <c r="Q2053" s="35"/>
      <c r="R2053" s="35"/>
      <c r="S2053" s="35"/>
      <c r="T2053" s="35"/>
      <c r="U2053" s="35"/>
      <c r="V2053" s="35"/>
      <c r="W2053" s="35"/>
      <c r="X2053" s="35"/>
      <c r="Y2053" s="35"/>
      <c r="Z2053" s="35"/>
      <c r="AA2053" s="35"/>
      <c r="AB2053" s="35"/>
      <c r="AC2053" s="35"/>
      <c r="AD2053" s="35"/>
      <c r="AE2053" s="35"/>
      <c r="AF2053" s="35"/>
      <c r="AG2053" s="35"/>
      <c r="AH2053" s="35"/>
      <c r="AI2053" s="35"/>
      <c r="AJ2053" s="35"/>
      <c r="AK2053" s="35"/>
      <c r="AL2053" s="35"/>
      <c r="AM2053" s="35"/>
      <c r="AN2053" s="35"/>
      <c r="AO2053" s="35"/>
      <c r="AP2053" s="35"/>
    </row>
    <row r="2054" spans="1:42" ht="17.25" customHeight="1" x14ac:dyDescent="0.25">
      <c r="A2054" s="55">
        <v>2021</v>
      </c>
      <c r="B2054" s="56" t="s">
        <v>66</v>
      </c>
      <c r="C2054" s="56" t="s">
        <v>27</v>
      </c>
      <c r="D2054" s="56" t="s">
        <v>33</v>
      </c>
      <c r="E2054" s="56" t="s">
        <v>69</v>
      </c>
      <c r="F2054" s="56" t="s">
        <v>70</v>
      </c>
      <c r="G2054" s="57">
        <v>12463135337</v>
      </c>
      <c r="H2054" s="56" t="s">
        <v>68</v>
      </c>
      <c r="I2054" s="58" t="str">
        <f t="shared" si="136"/>
        <v>U.K.-Online Supplier-Direct</v>
      </c>
      <c r="J2054" s="40"/>
      <c r="K2054" s="59"/>
      <c r="L2054" s="35"/>
      <c r="M2054" s="35"/>
      <c r="N2054" s="35"/>
      <c r="O2054" s="35"/>
      <c r="P2054" s="35"/>
      <c r="Q2054" s="35"/>
      <c r="R2054" s="35"/>
      <c r="S2054" s="35"/>
      <c r="T2054" s="35"/>
      <c r="U2054" s="35"/>
      <c r="V2054" s="35"/>
      <c r="W2054" s="35"/>
      <c r="X2054" s="35"/>
      <c r="Y2054" s="35"/>
      <c r="Z2054" s="35"/>
      <c r="AA2054" s="35"/>
      <c r="AB2054" s="35"/>
      <c r="AC2054" s="35"/>
      <c r="AD2054" s="35"/>
      <c r="AE2054" s="35"/>
      <c r="AF2054" s="35"/>
      <c r="AG2054" s="35"/>
      <c r="AH2054" s="35"/>
      <c r="AI2054" s="35"/>
      <c r="AJ2054" s="35"/>
      <c r="AK2054" s="35"/>
      <c r="AL2054" s="35"/>
      <c r="AM2054" s="35"/>
      <c r="AN2054" s="35"/>
      <c r="AO2054" s="35"/>
      <c r="AP2054" s="35"/>
    </row>
    <row r="2055" spans="1:42" ht="17.25" customHeight="1" x14ac:dyDescent="0.25">
      <c r="A2055" s="60">
        <v>2021</v>
      </c>
      <c r="B2055" s="61" t="s">
        <v>66</v>
      </c>
      <c r="C2055" s="61" t="s">
        <v>27</v>
      </c>
      <c r="D2055" s="61" t="s">
        <v>33</v>
      </c>
      <c r="E2055" s="61" t="s">
        <v>69</v>
      </c>
      <c r="F2055" s="61" t="s">
        <v>71</v>
      </c>
      <c r="G2055" s="62">
        <v>5726751049</v>
      </c>
      <c r="H2055" s="61" t="s">
        <v>68</v>
      </c>
      <c r="I2055" s="63" t="str">
        <f t="shared" si="136"/>
        <v>U.K.-OTA</v>
      </c>
      <c r="J2055" s="47"/>
      <c r="K2055" s="54"/>
      <c r="L2055" s="35"/>
      <c r="M2055" s="35"/>
      <c r="N2055" s="35"/>
      <c r="O2055" s="35"/>
      <c r="P2055" s="35"/>
      <c r="Q2055" s="35"/>
      <c r="R2055" s="35"/>
      <c r="S2055" s="35"/>
      <c r="T2055" s="35"/>
      <c r="U2055" s="35"/>
      <c r="V2055" s="35"/>
      <c r="W2055" s="35"/>
      <c r="X2055" s="35"/>
      <c r="Y2055" s="35"/>
      <c r="Z2055" s="35"/>
      <c r="AA2055" s="35"/>
      <c r="AB2055" s="35"/>
      <c r="AC2055" s="35"/>
      <c r="AD2055" s="35"/>
      <c r="AE2055" s="35"/>
      <c r="AF2055" s="35"/>
      <c r="AG2055" s="35"/>
      <c r="AH2055" s="35"/>
      <c r="AI2055" s="35"/>
      <c r="AJ2055" s="35"/>
      <c r="AK2055" s="35"/>
      <c r="AL2055" s="35"/>
      <c r="AM2055" s="35"/>
      <c r="AN2055" s="35"/>
      <c r="AO2055" s="35"/>
      <c r="AP2055" s="35"/>
    </row>
    <row r="2056" spans="1:42" ht="17.25" customHeight="1" x14ac:dyDescent="0.25">
      <c r="A2056" s="55">
        <v>2021</v>
      </c>
      <c r="B2056" s="56" t="s">
        <v>66</v>
      </c>
      <c r="C2056" s="56" t="s">
        <v>47</v>
      </c>
      <c r="D2056" s="56" t="s">
        <v>48</v>
      </c>
      <c r="E2056" s="56" t="s">
        <v>72</v>
      </c>
      <c r="F2056" s="56" t="s">
        <v>73</v>
      </c>
      <c r="G2056" s="57">
        <v>63845616683</v>
      </c>
      <c r="H2056" s="56" t="s">
        <v>68</v>
      </c>
      <c r="I2056" s="58" t="str">
        <f t="shared" si="136"/>
        <v>U.S.-Central Reservation</v>
      </c>
      <c r="J2056" s="40"/>
      <c r="K2056" s="59"/>
      <c r="L2056" s="35"/>
      <c r="M2056" s="35"/>
      <c r="N2056" s="35"/>
      <c r="O2056" s="35"/>
      <c r="P2056" s="35"/>
      <c r="Q2056" s="35"/>
      <c r="R2056" s="35"/>
      <c r="S2056" s="35"/>
      <c r="T2056" s="35"/>
      <c r="U2056" s="35"/>
      <c r="V2056" s="35"/>
      <c r="W2056" s="35"/>
      <c r="X2056" s="35"/>
      <c r="Y2056" s="35"/>
      <c r="Z2056" s="35"/>
      <c r="AA2056" s="35"/>
      <c r="AB2056" s="35"/>
      <c r="AC2056" s="35"/>
      <c r="AD2056" s="35"/>
      <c r="AE2056" s="35"/>
      <c r="AF2056" s="35"/>
      <c r="AG2056" s="35"/>
      <c r="AH2056" s="35"/>
      <c r="AI2056" s="35"/>
      <c r="AJ2056" s="35"/>
      <c r="AK2056" s="35"/>
      <c r="AL2056" s="35"/>
      <c r="AM2056" s="35"/>
      <c r="AN2056" s="35"/>
      <c r="AO2056" s="35"/>
      <c r="AP2056" s="35"/>
    </row>
    <row r="2057" spans="1:42" ht="17.25" customHeight="1" x14ac:dyDescent="0.25">
      <c r="A2057" s="60">
        <v>2021</v>
      </c>
      <c r="B2057" s="61" t="s">
        <v>66</v>
      </c>
      <c r="C2057" s="61" t="s">
        <v>47</v>
      </c>
      <c r="D2057" s="61" t="s">
        <v>48</v>
      </c>
      <c r="E2057" s="61" t="s">
        <v>67</v>
      </c>
      <c r="F2057" s="61" t="s">
        <v>74</v>
      </c>
      <c r="G2057" s="62">
        <v>33480458169</v>
      </c>
      <c r="H2057" s="61" t="s">
        <v>68</v>
      </c>
      <c r="I2057" s="63" t="str">
        <f t="shared" si="136"/>
        <v>U.S.-Travel Agency/TMC</v>
      </c>
      <c r="J2057" s="47"/>
      <c r="K2057" s="54"/>
      <c r="L2057" s="35"/>
      <c r="M2057" s="35"/>
      <c r="N2057" s="35"/>
      <c r="O2057" s="35"/>
      <c r="P2057" s="35"/>
      <c r="Q2057" s="35"/>
      <c r="R2057" s="35"/>
      <c r="S2057" s="35"/>
      <c r="T2057" s="35"/>
      <c r="U2057" s="35"/>
      <c r="V2057" s="35"/>
      <c r="W2057" s="35"/>
      <c r="X2057" s="35"/>
      <c r="Y2057" s="35"/>
      <c r="Z2057" s="35"/>
      <c r="AA2057" s="35"/>
      <c r="AB2057" s="35"/>
      <c r="AC2057" s="35"/>
      <c r="AD2057" s="35"/>
      <c r="AE2057" s="35"/>
      <c r="AF2057" s="35"/>
      <c r="AG2057" s="35"/>
      <c r="AH2057" s="35"/>
      <c r="AI2057" s="35"/>
      <c r="AJ2057" s="35"/>
      <c r="AK2057" s="35"/>
      <c r="AL2057" s="35"/>
      <c r="AM2057" s="35"/>
      <c r="AN2057" s="35"/>
      <c r="AO2057" s="35"/>
      <c r="AP2057" s="35"/>
    </row>
    <row r="2058" spans="1:42" ht="17.25" customHeight="1" x14ac:dyDescent="0.25">
      <c r="A2058" s="55">
        <v>2021</v>
      </c>
      <c r="B2058" s="56" t="s">
        <v>66</v>
      </c>
      <c r="C2058" s="56" t="s">
        <v>47</v>
      </c>
      <c r="D2058" s="56" t="s">
        <v>48</v>
      </c>
      <c r="E2058" s="56" t="s">
        <v>69</v>
      </c>
      <c r="F2058" s="56" t="s">
        <v>70</v>
      </c>
      <c r="G2058" s="57">
        <v>117684379994</v>
      </c>
      <c r="H2058" s="56" t="s">
        <v>68</v>
      </c>
      <c r="I2058" s="58" t="str">
        <f t="shared" si="136"/>
        <v>U.S.-Online Supplier-Direct</v>
      </c>
      <c r="J2058" s="40"/>
      <c r="K2058" s="59"/>
      <c r="L2058" s="35"/>
      <c r="M2058" s="35"/>
      <c r="N2058" s="35"/>
      <c r="O2058" s="35"/>
      <c r="P2058" s="35"/>
      <c r="Q2058" s="35"/>
      <c r="R2058" s="35"/>
      <c r="S2058" s="35"/>
      <c r="T2058" s="35"/>
      <c r="U2058" s="35"/>
      <c r="V2058" s="35"/>
      <c r="W2058" s="35"/>
      <c r="X2058" s="35"/>
      <c r="Y2058" s="35"/>
      <c r="Z2058" s="35"/>
      <c r="AA2058" s="35"/>
      <c r="AB2058" s="35"/>
      <c r="AC2058" s="35"/>
      <c r="AD2058" s="35"/>
      <c r="AE2058" s="35"/>
      <c r="AF2058" s="35"/>
      <c r="AG2058" s="35"/>
      <c r="AH2058" s="35"/>
      <c r="AI2058" s="35"/>
      <c r="AJ2058" s="35"/>
      <c r="AK2058" s="35"/>
      <c r="AL2058" s="35"/>
      <c r="AM2058" s="35"/>
      <c r="AN2058" s="35"/>
      <c r="AO2058" s="35"/>
      <c r="AP2058" s="35"/>
    </row>
    <row r="2059" spans="1:42" ht="17.25" customHeight="1" x14ac:dyDescent="0.25">
      <c r="A2059" s="60">
        <v>2021</v>
      </c>
      <c r="B2059" s="61" t="s">
        <v>66</v>
      </c>
      <c r="C2059" s="61" t="s">
        <v>47</v>
      </c>
      <c r="D2059" s="61" t="s">
        <v>48</v>
      </c>
      <c r="E2059" s="61" t="s">
        <v>69</v>
      </c>
      <c r="F2059" s="61" t="s">
        <v>71</v>
      </c>
      <c r="G2059" s="62">
        <v>65982013184</v>
      </c>
      <c r="H2059" s="61" t="s">
        <v>68</v>
      </c>
      <c r="I2059" s="63" t="str">
        <f t="shared" si="136"/>
        <v>U.S.-OTA</v>
      </c>
      <c r="J2059" s="47"/>
      <c r="K2059" s="54"/>
      <c r="L2059" s="35"/>
      <c r="M2059" s="35"/>
      <c r="N2059" s="35"/>
      <c r="O2059" s="35"/>
      <c r="P2059" s="35"/>
      <c r="Q2059" s="35"/>
      <c r="R2059" s="35"/>
      <c r="S2059" s="35"/>
      <c r="T2059" s="35"/>
      <c r="U2059" s="35"/>
      <c r="V2059" s="35"/>
      <c r="W2059" s="35"/>
      <c r="X2059" s="35"/>
      <c r="Y2059" s="35"/>
      <c r="Z2059" s="35"/>
      <c r="AA2059" s="35"/>
      <c r="AB2059" s="35"/>
      <c r="AC2059" s="35"/>
      <c r="AD2059" s="35"/>
      <c r="AE2059" s="35"/>
      <c r="AF2059" s="35"/>
      <c r="AG2059" s="35"/>
      <c r="AH2059" s="35"/>
      <c r="AI2059" s="35"/>
      <c r="AJ2059" s="35"/>
      <c r="AK2059" s="35"/>
      <c r="AL2059" s="35"/>
      <c r="AM2059" s="35"/>
      <c r="AN2059" s="35"/>
      <c r="AO2059" s="35"/>
      <c r="AP2059" s="35"/>
    </row>
    <row r="2060" spans="1:42" ht="17.25" customHeight="1" x14ac:dyDescent="0.25">
      <c r="A2060" s="55">
        <v>2021</v>
      </c>
      <c r="B2060" s="56" t="s">
        <v>66</v>
      </c>
      <c r="C2060" s="56" t="s">
        <v>17</v>
      </c>
      <c r="D2060" s="56" t="s">
        <v>25</v>
      </c>
      <c r="E2060" s="56" t="s">
        <v>67</v>
      </c>
      <c r="F2060" s="56" t="s">
        <v>67</v>
      </c>
      <c r="G2060" s="57">
        <v>839885852</v>
      </c>
      <c r="H2060" s="56" t="s">
        <v>68</v>
      </c>
      <c r="I2060" s="58" t="str">
        <f t="shared" si="136"/>
        <v>Ukraine-Offline</v>
      </c>
      <c r="J2060" s="40"/>
      <c r="K2060" s="59"/>
      <c r="L2060" s="35"/>
      <c r="M2060" s="35"/>
      <c r="N2060" s="35"/>
      <c r="O2060" s="35"/>
      <c r="P2060" s="35"/>
      <c r="Q2060" s="35"/>
      <c r="R2060" s="35"/>
      <c r="S2060" s="35"/>
      <c r="T2060" s="35"/>
      <c r="U2060" s="35"/>
      <c r="V2060" s="35"/>
      <c r="W2060" s="35"/>
      <c r="X2060" s="35"/>
      <c r="Y2060" s="35"/>
      <c r="Z2060" s="35"/>
      <c r="AA2060" s="35"/>
      <c r="AB2060" s="35"/>
      <c r="AC2060" s="35"/>
      <c r="AD2060" s="35"/>
      <c r="AE2060" s="35"/>
      <c r="AF2060" s="35"/>
      <c r="AG2060" s="35"/>
      <c r="AH2060" s="35"/>
      <c r="AI2060" s="35"/>
      <c r="AJ2060" s="35"/>
      <c r="AK2060" s="35"/>
      <c r="AL2060" s="35"/>
      <c r="AM2060" s="35"/>
      <c r="AN2060" s="35"/>
      <c r="AO2060" s="35"/>
      <c r="AP2060" s="35"/>
    </row>
    <row r="2061" spans="1:42" ht="17.25" customHeight="1" x14ac:dyDescent="0.25">
      <c r="A2061" s="60">
        <v>2021</v>
      </c>
      <c r="B2061" s="61" t="s">
        <v>66</v>
      </c>
      <c r="C2061" s="61" t="s">
        <v>17</v>
      </c>
      <c r="D2061" s="61" t="s">
        <v>25</v>
      </c>
      <c r="E2061" s="61" t="s">
        <v>69</v>
      </c>
      <c r="F2061" s="61" t="s">
        <v>70</v>
      </c>
      <c r="G2061" s="62">
        <v>274100700</v>
      </c>
      <c r="H2061" s="61" t="s">
        <v>68</v>
      </c>
      <c r="I2061" s="63" t="str">
        <f t="shared" si="136"/>
        <v>Ukraine-Online Supplier-Direct</v>
      </c>
      <c r="J2061" s="47"/>
      <c r="K2061" s="54"/>
      <c r="L2061" s="35"/>
      <c r="M2061" s="35"/>
      <c r="N2061" s="35"/>
      <c r="O2061" s="35"/>
      <c r="P2061" s="35"/>
      <c r="Q2061" s="35"/>
      <c r="R2061" s="35"/>
      <c r="S2061" s="35"/>
      <c r="T2061" s="35"/>
      <c r="U2061" s="35"/>
      <c r="V2061" s="35"/>
      <c r="W2061" s="35"/>
      <c r="X2061" s="35"/>
      <c r="Y2061" s="35"/>
      <c r="Z2061" s="35"/>
      <c r="AA2061" s="35"/>
      <c r="AB2061" s="35"/>
      <c r="AC2061" s="35"/>
      <c r="AD2061" s="35"/>
      <c r="AE2061" s="35"/>
      <c r="AF2061" s="35"/>
      <c r="AG2061" s="35"/>
      <c r="AH2061" s="35"/>
      <c r="AI2061" s="35"/>
      <c r="AJ2061" s="35"/>
      <c r="AK2061" s="35"/>
      <c r="AL2061" s="35"/>
      <c r="AM2061" s="35"/>
      <c r="AN2061" s="35"/>
      <c r="AO2061" s="35"/>
      <c r="AP2061" s="35"/>
    </row>
    <row r="2062" spans="1:42" ht="17.25" customHeight="1" x14ac:dyDescent="0.25">
      <c r="A2062" s="55">
        <v>2021</v>
      </c>
      <c r="B2062" s="56" t="s">
        <v>66</v>
      </c>
      <c r="C2062" s="56" t="s">
        <v>17</v>
      </c>
      <c r="D2062" s="56" t="s">
        <v>25</v>
      </c>
      <c r="E2062" s="56" t="s">
        <v>69</v>
      </c>
      <c r="F2062" s="56" t="s">
        <v>71</v>
      </c>
      <c r="G2062" s="57">
        <v>293033685</v>
      </c>
      <c r="H2062" s="56" t="s">
        <v>68</v>
      </c>
      <c r="I2062" s="58" t="str">
        <f t="shared" si="136"/>
        <v>Ukraine-OTA</v>
      </c>
      <c r="J2062" s="40"/>
      <c r="K2062" s="59"/>
      <c r="L2062" s="35"/>
      <c r="M2062" s="35"/>
      <c r="N2062" s="35"/>
      <c r="O2062" s="35"/>
      <c r="P2062" s="35"/>
      <c r="Q2062" s="35"/>
      <c r="R2062" s="35"/>
      <c r="S2062" s="35"/>
      <c r="T2062" s="35"/>
      <c r="U2062" s="35"/>
      <c r="V2062" s="35"/>
      <c r="W2062" s="35"/>
      <c r="X2062" s="35"/>
      <c r="Y2062" s="35"/>
      <c r="Z2062" s="35"/>
      <c r="AA2062" s="35"/>
      <c r="AB2062" s="35"/>
      <c r="AC2062" s="35"/>
      <c r="AD2062" s="35"/>
      <c r="AE2062" s="35"/>
      <c r="AF2062" s="35"/>
      <c r="AG2062" s="35"/>
      <c r="AH2062" s="35"/>
      <c r="AI2062" s="35"/>
      <c r="AJ2062" s="35"/>
      <c r="AK2062" s="35"/>
      <c r="AL2062" s="35"/>
      <c r="AM2062" s="35"/>
      <c r="AN2062" s="35"/>
      <c r="AO2062" s="35"/>
      <c r="AP2062" s="35"/>
    </row>
    <row r="2063" spans="1:42" ht="17.25" customHeight="1" x14ac:dyDescent="0.25">
      <c r="A2063" s="60">
        <v>2022</v>
      </c>
      <c r="B2063" s="61" t="s">
        <v>66</v>
      </c>
      <c r="C2063" s="61" t="s">
        <v>35</v>
      </c>
      <c r="D2063" s="61" t="s">
        <v>34</v>
      </c>
      <c r="E2063" s="61" t="s">
        <v>67</v>
      </c>
      <c r="F2063" s="61" t="s">
        <v>67</v>
      </c>
      <c r="G2063" s="62">
        <v>3981900167</v>
      </c>
      <c r="H2063" s="61" t="s">
        <v>68</v>
      </c>
      <c r="I2063" s="63" t="str">
        <f t="shared" si="136"/>
        <v>Argentina-Offline</v>
      </c>
      <c r="J2063" s="47"/>
      <c r="K2063" s="54"/>
      <c r="L2063" s="35"/>
      <c r="M2063" s="35"/>
      <c r="N2063" s="35"/>
      <c r="O2063" s="35"/>
      <c r="P2063" s="35"/>
      <c r="Q2063" s="35"/>
      <c r="R2063" s="35"/>
      <c r="S2063" s="35"/>
      <c r="T2063" s="35"/>
      <c r="U2063" s="35"/>
      <c r="V2063" s="35"/>
      <c r="W2063" s="35"/>
      <c r="X2063" s="35"/>
      <c r="Y2063" s="35"/>
      <c r="Z2063" s="35"/>
      <c r="AA2063" s="35"/>
      <c r="AB2063" s="35"/>
      <c r="AC2063" s="35"/>
      <c r="AD2063" s="35"/>
      <c r="AE2063" s="35"/>
      <c r="AF2063" s="35"/>
      <c r="AG2063" s="35"/>
      <c r="AH2063" s="35"/>
      <c r="AI2063" s="35"/>
      <c r="AJ2063" s="35"/>
      <c r="AK2063" s="35"/>
      <c r="AL2063" s="35"/>
      <c r="AM2063" s="35"/>
      <c r="AN2063" s="35"/>
      <c r="AO2063" s="35"/>
      <c r="AP2063" s="35"/>
    </row>
    <row r="2064" spans="1:42" ht="17.25" customHeight="1" x14ac:dyDescent="0.25">
      <c r="A2064" s="55">
        <v>2022</v>
      </c>
      <c r="B2064" s="56" t="s">
        <v>66</v>
      </c>
      <c r="C2064" s="56" t="s">
        <v>35</v>
      </c>
      <c r="D2064" s="56" t="s">
        <v>34</v>
      </c>
      <c r="E2064" s="56" t="s">
        <v>69</v>
      </c>
      <c r="F2064" s="56" t="s">
        <v>70</v>
      </c>
      <c r="G2064" s="57">
        <v>1213045964</v>
      </c>
      <c r="H2064" s="56" t="s">
        <v>68</v>
      </c>
      <c r="I2064" s="58" t="str">
        <f t="shared" si="136"/>
        <v>Argentina-Online Supplier-Direct</v>
      </c>
      <c r="J2064" s="40"/>
      <c r="K2064" s="59"/>
      <c r="L2064" s="35"/>
      <c r="M2064" s="35"/>
      <c r="N2064" s="35"/>
      <c r="O2064" s="35"/>
      <c r="P2064" s="35"/>
      <c r="Q2064" s="35"/>
      <c r="R2064" s="35"/>
      <c r="S2064" s="35"/>
      <c r="T2064" s="35"/>
      <c r="U2064" s="35"/>
      <c r="V2064" s="35"/>
      <c r="W2064" s="35"/>
      <c r="X2064" s="35"/>
      <c r="Y2064" s="35"/>
      <c r="Z2064" s="35"/>
      <c r="AA2064" s="35"/>
      <c r="AB2064" s="35"/>
      <c r="AC2064" s="35"/>
      <c r="AD2064" s="35"/>
      <c r="AE2064" s="35"/>
      <c r="AF2064" s="35"/>
      <c r="AG2064" s="35"/>
      <c r="AH2064" s="35"/>
      <c r="AI2064" s="35"/>
      <c r="AJ2064" s="35"/>
      <c r="AK2064" s="35"/>
      <c r="AL2064" s="35"/>
      <c r="AM2064" s="35"/>
      <c r="AN2064" s="35"/>
      <c r="AO2064" s="35"/>
      <c r="AP2064" s="35"/>
    </row>
    <row r="2065" spans="1:42" ht="17.25" customHeight="1" x14ac:dyDescent="0.25">
      <c r="A2065" s="60">
        <v>2022</v>
      </c>
      <c r="B2065" s="61" t="s">
        <v>66</v>
      </c>
      <c r="C2065" s="61" t="s">
        <v>35</v>
      </c>
      <c r="D2065" s="61" t="s">
        <v>34</v>
      </c>
      <c r="E2065" s="61" t="s">
        <v>69</v>
      </c>
      <c r="F2065" s="61" t="s">
        <v>71</v>
      </c>
      <c r="G2065" s="62">
        <v>1297981167</v>
      </c>
      <c r="H2065" s="61" t="s">
        <v>68</v>
      </c>
      <c r="I2065" s="63" t="str">
        <f t="shared" si="136"/>
        <v>Argentina-OTA</v>
      </c>
      <c r="J2065" s="47"/>
      <c r="K2065" s="54"/>
      <c r="L2065" s="35"/>
      <c r="M2065" s="35"/>
      <c r="N2065" s="35"/>
      <c r="O2065" s="35"/>
      <c r="P2065" s="35"/>
      <c r="Q2065" s="35"/>
      <c r="R2065" s="35"/>
      <c r="S2065" s="35"/>
      <c r="T2065" s="35"/>
      <c r="U2065" s="35"/>
      <c r="V2065" s="35"/>
      <c r="W2065" s="35"/>
      <c r="X2065" s="35"/>
      <c r="Y2065" s="35"/>
      <c r="Z2065" s="35"/>
      <c r="AA2065" s="35"/>
      <c r="AB2065" s="35"/>
      <c r="AC2065" s="35"/>
      <c r="AD2065" s="35"/>
      <c r="AE2065" s="35"/>
      <c r="AF2065" s="35"/>
      <c r="AG2065" s="35"/>
      <c r="AH2065" s="35"/>
      <c r="AI2065" s="35"/>
      <c r="AJ2065" s="35"/>
      <c r="AK2065" s="35"/>
      <c r="AL2065" s="35"/>
      <c r="AM2065" s="35"/>
      <c r="AN2065" s="35"/>
      <c r="AO2065" s="35"/>
      <c r="AP2065" s="35"/>
    </row>
    <row r="2066" spans="1:42" ht="17.25" customHeight="1" x14ac:dyDescent="0.25">
      <c r="A2066" s="55">
        <v>2022</v>
      </c>
      <c r="B2066" s="56" t="s">
        <v>66</v>
      </c>
      <c r="C2066" s="56" t="s">
        <v>4</v>
      </c>
      <c r="D2066" s="56" t="s">
        <v>3</v>
      </c>
      <c r="E2066" s="56" t="s">
        <v>67</v>
      </c>
      <c r="F2066" s="56" t="s">
        <v>67</v>
      </c>
      <c r="G2066" s="57">
        <v>13036667811</v>
      </c>
      <c r="H2066" s="56" t="s">
        <v>68</v>
      </c>
      <c r="I2066" s="58" t="str">
        <f t="shared" si="136"/>
        <v>Australia-New Zealand-Offline</v>
      </c>
      <c r="J2066" s="40"/>
      <c r="K2066" s="59"/>
      <c r="L2066" s="35"/>
      <c r="M2066" s="35"/>
      <c r="N2066" s="35"/>
      <c r="O2066" s="35"/>
      <c r="P2066" s="35"/>
      <c r="Q2066" s="35"/>
      <c r="R2066" s="35"/>
      <c r="S2066" s="35"/>
      <c r="T2066" s="35"/>
      <c r="U2066" s="35"/>
      <c r="V2066" s="35"/>
      <c r="W2066" s="35"/>
      <c r="X2066" s="35"/>
      <c r="Y2066" s="35"/>
      <c r="Z2066" s="35"/>
      <c r="AA2066" s="35"/>
      <c r="AB2066" s="35"/>
      <c r="AC2066" s="35"/>
      <c r="AD2066" s="35"/>
      <c r="AE2066" s="35"/>
      <c r="AF2066" s="35"/>
      <c r="AG2066" s="35"/>
      <c r="AH2066" s="35"/>
      <c r="AI2066" s="35"/>
      <c r="AJ2066" s="35"/>
      <c r="AK2066" s="35"/>
      <c r="AL2066" s="35"/>
      <c r="AM2066" s="35"/>
      <c r="AN2066" s="35"/>
      <c r="AO2066" s="35"/>
      <c r="AP2066" s="35"/>
    </row>
    <row r="2067" spans="1:42" ht="17.25" customHeight="1" x14ac:dyDescent="0.25">
      <c r="A2067" s="60">
        <v>2022</v>
      </c>
      <c r="B2067" s="61" t="s">
        <v>66</v>
      </c>
      <c r="C2067" s="61" t="s">
        <v>4</v>
      </c>
      <c r="D2067" s="61" t="s">
        <v>3</v>
      </c>
      <c r="E2067" s="61" t="s">
        <v>69</v>
      </c>
      <c r="F2067" s="61" t="s">
        <v>70</v>
      </c>
      <c r="G2067" s="62">
        <v>11063249217</v>
      </c>
      <c r="H2067" s="61" t="s">
        <v>68</v>
      </c>
      <c r="I2067" s="63" t="str">
        <f t="shared" si="136"/>
        <v>Australia-New Zealand-Online Supplier-Direct</v>
      </c>
      <c r="J2067" s="47"/>
      <c r="K2067" s="54"/>
      <c r="L2067" s="35"/>
      <c r="M2067" s="35"/>
      <c r="N2067" s="35"/>
      <c r="O2067" s="35"/>
      <c r="P2067" s="35"/>
      <c r="Q2067" s="35"/>
      <c r="R2067" s="35"/>
      <c r="S2067" s="35"/>
      <c r="T2067" s="35"/>
      <c r="U2067" s="35"/>
      <c r="V2067" s="35"/>
      <c r="W2067" s="35"/>
      <c r="X2067" s="35"/>
      <c r="Y2067" s="35"/>
      <c r="Z2067" s="35"/>
      <c r="AA2067" s="35"/>
      <c r="AB2067" s="35"/>
      <c r="AC2067" s="35"/>
      <c r="AD2067" s="35"/>
      <c r="AE2067" s="35"/>
      <c r="AF2067" s="35"/>
      <c r="AG2067" s="35"/>
      <c r="AH2067" s="35"/>
      <c r="AI2067" s="35"/>
      <c r="AJ2067" s="35"/>
      <c r="AK2067" s="35"/>
      <c r="AL2067" s="35"/>
      <c r="AM2067" s="35"/>
      <c r="AN2067" s="35"/>
      <c r="AO2067" s="35"/>
      <c r="AP2067" s="35"/>
    </row>
    <row r="2068" spans="1:42" ht="17.25" customHeight="1" x14ac:dyDescent="0.25">
      <c r="A2068" s="55">
        <v>2022</v>
      </c>
      <c r="B2068" s="56" t="s">
        <v>66</v>
      </c>
      <c r="C2068" s="56" t="s">
        <v>4</v>
      </c>
      <c r="D2068" s="56" t="s">
        <v>3</v>
      </c>
      <c r="E2068" s="56" t="s">
        <v>69</v>
      </c>
      <c r="F2068" s="56" t="s">
        <v>71</v>
      </c>
      <c r="G2068" s="57">
        <v>5361592621</v>
      </c>
      <c r="H2068" s="56" t="s">
        <v>68</v>
      </c>
      <c r="I2068" s="58" t="str">
        <f t="shared" si="136"/>
        <v>Australia-New Zealand-OTA</v>
      </c>
      <c r="J2068" s="40"/>
      <c r="K2068" s="59"/>
      <c r="L2068" s="35"/>
      <c r="M2068" s="35"/>
      <c r="N2068" s="35"/>
      <c r="O2068" s="35"/>
      <c r="P2068" s="35"/>
      <c r="Q2068" s="35"/>
      <c r="R2068" s="35"/>
      <c r="S2068" s="35"/>
      <c r="T2068" s="35"/>
      <c r="U2068" s="35"/>
      <c r="V2068" s="35"/>
      <c r="W2068" s="35"/>
      <c r="X2068" s="35"/>
      <c r="Y2068" s="35"/>
      <c r="Z2068" s="35"/>
      <c r="AA2068" s="35"/>
      <c r="AB2068" s="35"/>
      <c r="AC2068" s="35"/>
      <c r="AD2068" s="35"/>
      <c r="AE2068" s="35"/>
      <c r="AF2068" s="35"/>
      <c r="AG2068" s="35"/>
      <c r="AH2068" s="35"/>
      <c r="AI2068" s="35"/>
      <c r="AJ2068" s="35"/>
      <c r="AK2068" s="35"/>
      <c r="AL2068" s="35"/>
      <c r="AM2068" s="35"/>
      <c r="AN2068" s="35"/>
      <c r="AO2068" s="35"/>
      <c r="AP2068" s="35"/>
    </row>
    <row r="2069" spans="1:42" ht="17.25" customHeight="1" x14ac:dyDescent="0.25">
      <c r="A2069" s="60">
        <v>2022</v>
      </c>
      <c r="B2069" s="61" t="s">
        <v>66</v>
      </c>
      <c r="C2069" s="61" t="s">
        <v>35</v>
      </c>
      <c r="D2069" s="61" t="s">
        <v>36</v>
      </c>
      <c r="E2069" s="61" t="s">
        <v>67</v>
      </c>
      <c r="F2069" s="61" t="s">
        <v>67</v>
      </c>
      <c r="G2069" s="62">
        <v>8143888408</v>
      </c>
      <c r="H2069" s="61" t="s">
        <v>68</v>
      </c>
      <c r="I2069" s="63" t="str">
        <f t="shared" si="136"/>
        <v>Brazil-Offline</v>
      </c>
      <c r="J2069" s="47"/>
      <c r="K2069" s="54"/>
      <c r="L2069" s="35"/>
      <c r="M2069" s="35"/>
      <c r="N2069" s="35"/>
      <c r="O2069" s="35"/>
      <c r="P2069" s="35"/>
      <c r="Q2069" s="35"/>
      <c r="R2069" s="35"/>
      <c r="S2069" s="35"/>
      <c r="T2069" s="35"/>
      <c r="U2069" s="35"/>
      <c r="V2069" s="35"/>
      <c r="W2069" s="35"/>
      <c r="X2069" s="35"/>
      <c r="Y2069" s="35"/>
      <c r="Z2069" s="35"/>
      <c r="AA2069" s="35"/>
      <c r="AB2069" s="35"/>
      <c r="AC2069" s="35"/>
      <c r="AD2069" s="35"/>
      <c r="AE2069" s="35"/>
      <c r="AF2069" s="35"/>
      <c r="AG2069" s="35"/>
      <c r="AH2069" s="35"/>
      <c r="AI2069" s="35"/>
      <c r="AJ2069" s="35"/>
      <c r="AK2069" s="35"/>
      <c r="AL2069" s="35"/>
      <c r="AM2069" s="35"/>
      <c r="AN2069" s="35"/>
      <c r="AO2069" s="35"/>
      <c r="AP2069" s="35"/>
    </row>
    <row r="2070" spans="1:42" ht="17.25" customHeight="1" x14ac:dyDescent="0.25">
      <c r="A2070" s="55">
        <v>2022</v>
      </c>
      <c r="B2070" s="56" t="s">
        <v>66</v>
      </c>
      <c r="C2070" s="56" t="s">
        <v>35</v>
      </c>
      <c r="D2070" s="56" t="s">
        <v>36</v>
      </c>
      <c r="E2070" s="56" t="s">
        <v>69</v>
      </c>
      <c r="F2070" s="56" t="s">
        <v>70</v>
      </c>
      <c r="G2070" s="57">
        <v>3354410425</v>
      </c>
      <c r="H2070" s="56" t="s">
        <v>68</v>
      </c>
      <c r="I2070" s="58" t="str">
        <f t="shared" si="136"/>
        <v>Brazil-Online Supplier-Direct</v>
      </c>
      <c r="J2070" s="40"/>
      <c r="K2070" s="59"/>
      <c r="L2070" s="35"/>
      <c r="M2070" s="35"/>
      <c r="N2070" s="35"/>
      <c r="O2070" s="35"/>
      <c r="P2070" s="35"/>
      <c r="Q2070" s="35"/>
      <c r="R2070" s="35"/>
      <c r="S2070" s="35"/>
      <c r="T2070" s="35"/>
      <c r="U2070" s="35"/>
      <c r="V2070" s="35"/>
      <c r="W2070" s="35"/>
      <c r="X2070" s="35"/>
      <c r="Y2070" s="35"/>
      <c r="Z2070" s="35"/>
      <c r="AA2070" s="35"/>
      <c r="AB2070" s="35"/>
      <c r="AC2070" s="35"/>
      <c r="AD2070" s="35"/>
      <c r="AE2070" s="35"/>
      <c r="AF2070" s="35"/>
      <c r="AG2070" s="35"/>
      <c r="AH2070" s="35"/>
      <c r="AI2070" s="35"/>
      <c r="AJ2070" s="35"/>
      <c r="AK2070" s="35"/>
      <c r="AL2070" s="35"/>
      <c r="AM2070" s="35"/>
      <c r="AN2070" s="35"/>
      <c r="AO2070" s="35"/>
      <c r="AP2070" s="35"/>
    </row>
    <row r="2071" spans="1:42" ht="17.25" customHeight="1" x14ac:dyDescent="0.25">
      <c r="A2071" s="60">
        <v>2022</v>
      </c>
      <c r="B2071" s="61" t="s">
        <v>66</v>
      </c>
      <c r="C2071" s="61" t="s">
        <v>35</v>
      </c>
      <c r="D2071" s="61" t="s">
        <v>36</v>
      </c>
      <c r="E2071" s="61" t="s">
        <v>69</v>
      </c>
      <c r="F2071" s="61" t="s">
        <v>71</v>
      </c>
      <c r="G2071" s="62">
        <v>4354779864</v>
      </c>
      <c r="H2071" s="61" t="s">
        <v>68</v>
      </c>
      <c r="I2071" s="63" t="str">
        <f t="shared" si="136"/>
        <v>Brazil-OTA</v>
      </c>
      <c r="J2071" s="47"/>
      <c r="K2071" s="54"/>
      <c r="L2071" s="35"/>
      <c r="M2071" s="35"/>
      <c r="N2071" s="35"/>
      <c r="O2071" s="35"/>
      <c r="P2071" s="35"/>
      <c r="Q2071" s="35"/>
      <c r="R2071" s="35"/>
      <c r="S2071" s="35"/>
      <c r="T2071" s="35"/>
      <c r="U2071" s="35"/>
      <c r="V2071" s="35"/>
      <c r="W2071" s="35"/>
      <c r="X2071" s="35"/>
      <c r="Y2071" s="35"/>
      <c r="Z2071" s="35"/>
      <c r="AA2071" s="35"/>
      <c r="AB2071" s="35"/>
      <c r="AC2071" s="35"/>
      <c r="AD2071" s="35"/>
      <c r="AE2071" s="35"/>
      <c r="AF2071" s="35"/>
      <c r="AG2071" s="35"/>
      <c r="AH2071" s="35"/>
      <c r="AI2071" s="35"/>
      <c r="AJ2071" s="35"/>
      <c r="AK2071" s="35"/>
      <c r="AL2071" s="35"/>
      <c r="AM2071" s="35"/>
      <c r="AN2071" s="35"/>
      <c r="AO2071" s="35"/>
      <c r="AP2071" s="35"/>
    </row>
    <row r="2072" spans="1:42" ht="17.25" customHeight="1" x14ac:dyDescent="0.25">
      <c r="A2072" s="55">
        <v>2022</v>
      </c>
      <c r="B2072" s="56" t="s">
        <v>66</v>
      </c>
      <c r="C2072" s="56" t="s">
        <v>17</v>
      </c>
      <c r="D2072" s="56" t="s">
        <v>16</v>
      </c>
      <c r="E2072" s="56" t="s">
        <v>67</v>
      </c>
      <c r="F2072" s="56" t="s">
        <v>67</v>
      </c>
      <c r="G2072" s="57">
        <v>605525740</v>
      </c>
      <c r="H2072" s="56" t="s">
        <v>68</v>
      </c>
      <c r="I2072" s="58" t="str">
        <f t="shared" si="136"/>
        <v>Bulgaria-Offline</v>
      </c>
      <c r="J2072" s="40"/>
      <c r="K2072" s="59"/>
      <c r="L2072" s="35"/>
      <c r="M2072" s="35"/>
      <c r="N2072" s="35"/>
      <c r="O2072" s="35"/>
      <c r="P2072" s="35"/>
      <c r="Q2072" s="35"/>
      <c r="R2072" s="35"/>
      <c r="S2072" s="35"/>
      <c r="T2072" s="35"/>
      <c r="U2072" s="35"/>
      <c r="V2072" s="35"/>
      <c r="W2072" s="35"/>
      <c r="X2072" s="35"/>
      <c r="Y2072" s="35"/>
      <c r="Z2072" s="35"/>
      <c r="AA2072" s="35"/>
      <c r="AB2072" s="35"/>
      <c r="AC2072" s="35"/>
      <c r="AD2072" s="35"/>
      <c r="AE2072" s="35"/>
      <c r="AF2072" s="35"/>
      <c r="AG2072" s="35"/>
      <c r="AH2072" s="35"/>
      <c r="AI2072" s="35"/>
      <c r="AJ2072" s="35"/>
      <c r="AK2072" s="35"/>
      <c r="AL2072" s="35"/>
      <c r="AM2072" s="35"/>
      <c r="AN2072" s="35"/>
      <c r="AO2072" s="35"/>
      <c r="AP2072" s="35"/>
    </row>
    <row r="2073" spans="1:42" ht="17.25" customHeight="1" x14ac:dyDescent="0.25">
      <c r="A2073" s="60">
        <v>2022</v>
      </c>
      <c r="B2073" s="61" t="s">
        <v>66</v>
      </c>
      <c r="C2073" s="61" t="s">
        <v>17</v>
      </c>
      <c r="D2073" s="61" t="s">
        <v>16</v>
      </c>
      <c r="E2073" s="61" t="s">
        <v>69</v>
      </c>
      <c r="F2073" s="61" t="s">
        <v>70</v>
      </c>
      <c r="G2073" s="62">
        <v>139070822</v>
      </c>
      <c r="H2073" s="61" t="s">
        <v>68</v>
      </c>
      <c r="I2073" s="63" t="str">
        <f t="shared" si="136"/>
        <v>Bulgaria-Online Supplier-Direct</v>
      </c>
      <c r="J2073" s="47"/>
      <c r="K2073" s="54"/>
      <c r="L2073" s="35"/>
      <c r="M2073" s="35"/>
      <c r="N2073" s="35"/>
      <c r="O2073" s="35"/>
      <c r="P2073" s="35"/>
      <c r="Q2073" s="35"/>
      <c r="R2073" s="35"/>
      <c r="S2073" s="35"/>
      <c r="T2073" s="35"/>
      <c r="U2073" s="35"/>
      <c r="V2073" s="35"/>
      <c r="W2073" s="35"/>
      <c r="X2073" s="35"/>
      <c r="Y2073" s="35"/>
      <c r="Z2073" s="35"/>
      <c r="AA2073" s="35"/>
      <c r="AB2073" s="35"/>
      <c r="AC2073" s="35"/>
      <c r="AD2073" s="35"/>
      <c r="AE2073" s="35"/>
      <c r="AF2073" s="35"/>
      <c r="AG2073" s="35"/>
      <c r="AH2073" s="35"/>
      <c r="AI2073" s="35"/>
      <c r="AJ2073" s="35"/>
      <c r="AK2073" s="35"/>
      <c r="AL2073" s="35"/>
      <c r="AM2073" s="35"/>
      <c r="AN2073" s="35"/>
      <c r="AO2073" s="35"/>
      <c r="AP2073" s="35"/>
    </row>
    <row r="2074" spans="1:42" ht="17.25" customHeight="1" x14ac:dyDescent="0.25">
      <c r="A2074" s="55">
        <v>2022</v>
      </c>
      <c r="B2074" s="56" t="s">
        <v>66</v>
      </c>
      <c r="C2074" s="56" t="s">
        <v>17</v>
      </c>
      <c r="D2074" s="56" t="s">
        <v>16</v>
      </c>
      <c r="E2074" s="56" t="s">
        <v>69</v>
      </c>
      <c r="F2074" s="56" t="s">
        <v>71</v>
      </c>
      <c r="G2074" s="57">
        <v>338524893</v>
      </c>
      <c r="H2074" s="56" t="s">
        <v>68</v>
      </c>
      <c r="I2074" s="58" t="str">
        <f t="shared" si="136"/>
        <v>Bulgaria-OTA</v>
      </c>
      <c r="J2074" s="40"/>
      <c r="K2074" s="59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  <c r="AG2074" s="35"/>
      <c r="AH2074" s="35"/>
      <c r="AI2074" s="35"/>
      <c r="AJ2074" s="35"/>
      <c r="AK2074" s="35"/>
      <c r="AL2074" s="35"/>
      <c r="AM2074" s="35"/>
      <c r="AN2074" s="35"/>
      <c r="AO2074" s="35"/>
      <c r="AP2074" s="35"/>
    </row>
    <row r="2075" spans="1:42" ht="17.25" customHeight="1" x14ac:dyDescent="0.25">
      <c r="A2075" s="60">
        <v>2022</v>
      </c>
      <c r="B2075" s="61" t="s">
        <v>66</v>
      </c>
      <c r="C2075" s="61" t="s">
        <v>47</v>
      </c>
      <c r="D2075" s="61" t="s">
        <v>46</v>
      </c>
      <c r="E2075" s="61" t="s">
        <v>72</v>
      </c>
      <c r="F2075" s="61" t="s">
        <v>73</v>
      </c>
      <c r="G2075" s="62">
        <v>7866488835</v>
      </c>
      <c r="H2075" s="61" t="s">
        <v>68</v>
      </c>
      <c r="I2075" s="63" t="str">
        <f t="shared" si="136"/>
        <v>Canada-Central Reservation</v>
      </c>
      <c r="J2075" s="47"/>
      <c r="K2075" s="54"/>
      <c r="L2075" s="35"/>
      <c r="M2075" s="35"/>
      <c r="N2075" s="35"/>
      <c r="O2075" s="35"/>
      <c r="P2075" s="35"/>
      <c r="Q2075" s="35"/>
      <c r="R2075" s="35"/>
      <c r="S2075" s="35"/>
      <c r="T2075" s="35"/>
      <c r="U2075" s="35"/>
      <c r="V2075" s="35"/>
      <c r="W2075" s="35"/>
      <c r="X2075" s="35"/>
      <c r="Y2075" s="35"/>
      <c r="Z2075" s="35"/>
      <c r="AA2075" s="35"/>
      <c r="AB2075" s="35"/>
      <c r="AC2075" s="35"/>
      <c r="AD2075" s="35"/>
      <c r="AE2075" s="35"/>
      <c r="AF2075" s="35"/>
      <c r="AG2075" s="35"/>
      <c r="AH2075" s="35"/>
      <c r="AI2075" s="35"/>
      <c r="AJ2075" s="35"/>
      <c r="AK2075" s="35"/>
      <c r="AL2075" s="35"/>
      <c r="AM2075" s="35"/>
      <c r="AN2075" s="35"/>
      <c r="AO2075" s="35"/>
      <c r="AP2075" s="35"/>
    </row>
    <row r="2076" spans="1:42" ht="17.25" customHeight="1" x14ac:dyDescent="0.25">
      <c r="A2076" s="55">
        <v>2022</v>
      </c>
      <c r="B2076" s="56" t="s">
        <v>66</v>
      </c>
      <c r="C2076" s="56" t="s">
        <v>47</v>
      </c>
      <c r="D2076" s="56" t="s">
        <v>46</v>
      </c>
      <c r="E2076" s="56" t="s">
        <v>67</v>
      </c>
      <c r="F2076" s="56" t="s">
        <v>74</v>
      </c>
      <c r="G2076" s="57">
        <v>4781980462</v>
      </c>
      <c r="H2076" s="56" t="s">
        <v>68</v>
      </c>
      <c r="I2076" s="58" t="str">
        <f t="shared" si="136"/>
        <v>Canada-Travel Agency/TMC</v>
      </c>
      <c r="J2076" s="40"/>
      <c r="K2076" s="59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  <c r="AG2076" s="35"/>
      <c r="AH2076" s="35"/>
      <c r="AI2076" s="35"/>
      <c r="AJ2076" s="35"/>
      <c r="AK2076" s="35"/>
      <c r="AL2076" s="35"/>
      <c r="AM2076" s="35"/>
      <c r="AN2076" s="35"/>
      <c r="AO2076" s="35"/>
      <c r="AP2076" s="35"/>
    </row>
    <row r="2077" spans="1:42" ht="17.25" customHeight="1" x14ac:dyDescent="0.25">
      <c r="A2077" s="60">
        <v>2022</v>
      </c>
      <c r="B2077" s="61" t="s">
        <v>66</v>
      </c>
      <c r="C2077" s="61" t="s">
        <v>47</v>
      </c>
      <c r="D2077" s="61" t="s">
        <v>46</v>
      </c>
      <c r="E2077" s="61" t="s">
        <v>69</v>
      </c>
      <c r="F2077" s="61" t="s">
        <v>70</v>
      </c>
      <c r="G2077" s="62">
        <v>10844420519</v>
      </c>
      <c r="H2077" s="61" t="s">
        <v>68</v>
      </c>
      <c r="I2077" s="63" t="str">
        <f t="shared" si="136"/>
        <v>Canada-Online Supplier-Direct</v>
      </c>
      <c r="J2077" s="47"/>
      <c r="K2077" s="54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  <c r="AG2077" s="35"/>
      <c r="AH2077" s="35"/>
      <c r="AI2077" s="35"/>
      <c r="AJ2077" s="35"/>
      <c r="AK2077" s="35"/>
      <c r="AL2077" s="35"/>
      <c r="AM2077" s="35"/>
      <c r="AN2077" s="35"/>
      <c r="AO2077" s="35"/>
      <c r="AP2077" s="35"/>
    </row>
    <row r="2078" spans="1:42" ht="17.25" customHeight="1" x14ac:dyDescent="0.25">
      <c r="A2078" s="55">
        <v>2022</v>
      </c>
      <c r="B2078" s="56" t="s">
        <v>66</v>
      </c>
      <c r="C2078" s="56" t="s">
        <v>47</v>
      </c>
      <c r="D2078" s="56" t="s">
        <v>46</v>
      </c>
      <c r="E2078" s="56" t="s">
        <v>69</v>
      </c>
      <c r="F2078" s="56" t="s">
        <v>71</v>
      </c>
      <c r="G2078" s="57">
        <v>8079420119</v>
      </c>
      <c r="H2078" s="56" t="s">
        <v>68</v>
      </c>
      <c r="I2078" s="58" t="str">
        <f t="shared" si="136"/>
        <v>Canada-OTA</v>
      </c>
      <c r="J2078" s="40"/>
      <c r="K2078" s="59"/>
      <c r="L2078" s="35"/>
      <c r="M2078" s="35"/>
      <c r="N2078" s="35"/>
      <c r="O2078" s="35"/>
      <c r="P2078" s="35"/>
      <c r="Q2078" s="35"/>
      <c r="R2078" s="35"/>
      <c r="S2078" s="35"/>
      <c r="T2078" s="35"/>
      <c r="U2078" s="35"/>
      <c r="V2078" s="35"/>
      <c r="W2078" s="35"/>
      <c r="X2078" s="35"/>
      <c r="Y2078" s="35"/>
      <c r="Z2078" s="35"/>
      <c r="AA2078" s="35"/>
      <c r="AB2078" s="35"/>
      <c r="AC2078" s="35"/>
      <c r="AD2078" s="35"/>
      <c r="AE2078" s="35"/>
      <c r="AF2078" s="35"/>
      <c r="AG2078" s="35"/>
      <c r="AH2078" s="35"/>
      <c r="AI2078" s="35"/>
      <c r="AJ2078" s="35"/>
      <c r="AK2078" s="35"/>
      <c r="AL2078" s="35"/>
      <c r="AM2078" s="35"/>
      <c r="AN2078" s="35"/>
      <c r="AO2078" s="35"/>
      <c r="AP2078" s="35"/>
    </row>
    <row r="2079" spans="1:42" ht="17.25" customHeight="1" x14ac:dyDescent="0.25">
      <c r="A2079" s="60">
        <v>2022</v>
      </c>
      <c r="B2079" s="61" t="s">
        <v>66</v>
      </c>
      <c r="C2079" s="61" t="s">
        <v>35</v>
      </c>
      <c r="D2079" s="61" t="s">
        <v>37</v>
      </c>
      <c r="E2079" s="61" t="s">
        <v>67</v>
      </c>
      <c r="F2079" s="61" t="s">
        <v>67</v>
      </c>
      <c r="G2079" s="62">
        <v>1734973312</v>
      </c>
      <c r="H2079" s="61" t="s">
        <v>68</v>
      </c>
      <c r="I2079" s="63" t="str">
        <f t="shared" si="136"/>
        <v>Chile-Offline</v>
      </c>
      <c r="J2079" s="47"/>
      <c r="K2079" s="54"/>
      <c r="L2079" s="35"/>
      <c r="M2079" s="35"/>
      <c r="N2079" s="35"/>
      <c r="O2079" s="35"/>
      <c r="P2079" s="35"/>
      <c r="Q2079" s="35"/>
      <c r="R2079" s="35"/>
      <c r="S2079" s="35"/>
      <c r="T2079" s="35"/>
      <c r="U2079" s="35"/>
      <c r="V2079" s="35"/>
      <c r="W2079" s="35"/>
      <c r="X2079" s="35"/>
      <c r="Y2079" s="35"/>
      <c r="Z2079" s="35"/>
      <c r="AA2079" s="35"/>
      <c r="AB2079" s="35"/>
      <c r="AC2079" s="35"/>
      <c r="AD2079" s="35"/>
      <c r="AE2079" s="35"/>
      <c r="AF2079" s="35"/>
      <c r="AG2079" s="35"/>
      <c r="AH2079" s="35"/>
      <c r="AI2079" s="35"/>
      <c r="AJ2079" s="35"/>
      <c r="AK2079" s="35"/>
      <c r="AL2079" s="35"/>
      <c r="AM2079" s="35"/>
      <c r="AN2079" s="35"/>
      <c r="AO2079" s="35"/>
      <c r="AP2079" s="35"/>
    </row>
    <row r="2080" spans="1:42" ht="17.25" customHeight="1" x14ac:dyDescent="0.25">
      <c r="A2080" s="55">
        <v>2022</v>
      </c>
      <c r="B2080" s="56" t="s">
        <v>66</v>
      </c>
      <c r="C2080" s="56" t="s">
        <v>35</v>
      </c>
      <c r="D2080" s="56" t="s">
        <v>37</v>
      </c>
      <c r="E2080" s="56" t="s">
        <v>69</v>
      </c>
      <c r="F2080" s="56" t="s">
        <v>70</v>
      </c>
      <c r="G2080" s="57">
        <v>744063846</v>
      </c>
      <c r="H2080" s="56" t="s">
        <v>68</v>
      </c>
      <c r="I2080" s="58" t="str">
        <f t="shared" si="136"/>
        <v>Chile-Online Supplier-Direct</v>
      </c>
      <c r="J2080" s="40"/>
      <c r="K2080" s="59"/>
      <c r="L2080" s="35"/>
      <c r="M2080" s="35"/>
      <c r="N2080" s="35"/>
      <c r="O2080" s="35"/>
      <c r="P2080" s="35"/>
      <c r="Q2080" s="35"/>
      <c r="R2080" s="35"/>
      <c r="S2080" s="35"/>
      <c r="T2080" s="35"/>
      <c r="U2080" s="35"/>
      <c r="V2080" s="35"/>
      <c r="W2080" s="35"/>
      <c r="X2080" s="35"/>
      <c r="Y2080" s="35"/>
      <c r="Z2080" s="35"/>
      <c r="AA2080" s="35"/>
      <c r="AB2080" s="35"/>
      <c r="AC2080" s="35"/>
      <c r="AD2080" s="35"/>
      <c r="AE2080" s="35"/>
      <c r="AF2080" s="35"/>
      <c r="AG2080" s="35"/>
      <c r="AH2080" s="35"/>
      <c r="AI2080" s="35"/>
      <c r="AJ2080" s="35"/>
      <c r="AK2080" s="35"/>
      <c r="AL2080" s="35"/>
      <c r="AM2080" s="35"/>
      <c r="AN2080" s="35"/>
      <c r="AO2080" s="35"/>
      <c r="AP2080" s="35"/>
    </row>
    <row r="2081" spans="1:42" ht="17.25" customHeight="1" x14ac:dyDescent="0.25">
      <c r="A2081" s="60">
        <v>2022</v>
      </c>
      <c r="B2081" s="61" t="s">
        <v>66</v>
      </c>
      <c r="C2081" s="61" t="s">
        <v>35</v>
      </c>
      <c r="D2081" s="61" t="s">
        <v>37</v>
      </c>
      <c r="E2081" s="61" t="s">
        <v>69</v>
      </c>
      <c r="F2081" s="61" t="s">
        <v>71</v>
      </c>
      <c r="G2081" s="62">
        <v>688317810</v>
      </c>
      <c r="H2081" s="61" t="s">
        <v>68</v>
      </c>
      <c r="I2081" s="63" t="str">
        <f t="shared" si="136"/>
        <v>Chile-OTA</v>
      </c>
      <c r="J2081" s="47"/>
      <c r="K2081" s="54"/>
      <c r="L2081" s="35"/>
      <c r="M2081" s="35"/>
      <c r="N2081" s="35"/>
      <c r="O2081" s="35"/>
      <c r="P2081" s="35"/>
      <c r="Q2081" s="35"/>
      <c r="R2081" s="35"/>
      <c r="S2081" s="35"/>
      <c r="T2081" s="35"/>
      <c r="U2081" s="35"/>
      <c r="V2081" s="35"/>
      <c r="W2081" s="35"/>
      <c r="X2081" s="35"/>
      <c r="Y2081" s="35"/>
      <c r="Z2081" s="35"/>
      <c r="AA2081" s="35"/>
      <c r="AB2081" s="35"/>
      <c r="AC2081" s="35"/>
      <c r="AD2081" s="35"/>
      <c r="AE2081" s="35"/>
      <c r="AF2081" s="35"/>
      <c r="AG2081" s="35"/>
      <c r="AH2081" s="35"/>
      <c r="AI2081" s="35"/>
      <c r="AJ2081" s="35"/>
      <c r="AK2081" s="35"/>
      <c r="AL2081" s="35"/>
      <c r="AM2081" s="35"/>
      <c r="AN2081" s="35"/>
      <c r="AO2081" s="35"/>
      <c r="AP2081" s="35"/>
    </row>
    <row r="2082" spans="1:42" ht="17.25" customHeight="1" x14ac:dyDescent="0.25">
      <c r="A2082" s="55">
        <v>2022</v>
      </c>
      <c r="B2082" s="56" t="s">
        <v>66</v>
      </c>
      <c r="C2082" s="56" t="s">
        <v>4</v>
      </c>
      <c r="D2082" s="56" t="s">
        <v>5</v>
      </c>
      <c r="E2082" s="56" t="s">
        <v>67</v>
      </c>
      <c r="F2082" s="56" t="s">
        <v>67</v>
      </c>
      <c r="G2082" s="57">
        <v>29010156863</v>
      </c>
      <c r="H2082" s="56" t="s">
        <v>68</v>
      </c>
      <c r="I2082" s="58" t="str">
        <f t="shared" si="136"/>
        <v>China-Offline</v>
      </c>
      <c r="J2082" s="40"/>
      <c r="K2082" s="59"/>
      <c r="L2082" s="35"/>
      <c r="M2082" s="35"/>
      <c r="N2082" s="35"/>
      <c r="O2082" s="35"/>
      <c r="P2082" s="35"/>
      <c r="Q2082" s="35"/>
      <c r="R2082" s="35"/>
      <c r="S2082" s="35"/>
      <c r="T2082" s="35"/>
      <c r="U2082" s="35"/>
      <c r="V2082" s="35"/>
      <c r="W2082" s="35"/>
      <c r="X2082" s="35"/>
      <c r="Y2082" s="35"/>
      <c r="Z2082" s="35"/>
      <c r="AA2082" s="35"/>
      <c r="AB2082" s="35"/>
      <c r="AC2082" s="35"/>
      <c r="AD2082" s="35"/>
      <c r="AE2082" s="35"/>
      <c r="AF2082" s="35"/>
      <c r="AG2082" s="35"/>
      <c r="AH2082" s="35"/>
      <c r="AI2082" s="35"/>
      <c r="AJ2082" s="35"/>
      <c r="AK2082" s="35"/>
      <c r="AL2082" s="35"/>
      <c r="AM2082" s="35"/>
      <c r="AN2082" s="35"/>
      <c r="AO2082" s="35"/>
      <c r="AP2082" s="35"/>
    </row>
    <row r="2083" spans="1:42" ht="17.25" customHeight="1" x14ac:dyDescent="0.25">
      <c r="A2083" s="60">
        <v>2022</v>
      </c>
      <c r="B2083" s="61" t="s">
        <v>66</v>
      </c>
      <c r="C2083" s="61" t="s">
        <v>4</v>
      </c>
      <c r="D2083" s="61" t="s">
        <v>5</v>
      </c>
      <c r="E2083" s="61" t="s">
        <v>69</v>
      </c>
      <c r="F2083" s="61" t="s">
        <v>70</v>
      </c>
      <c r="G2083" s="62">
        <v>29270105325</v>
      </c>
      <c r="H2083" s="61" t="s">
        <v>68</v>
      </c>
      <c r="I2083" s="63" t="str">
        <f t="shared" si="136"/>
        <v>China-Online Supplier-Direct</v>
      </c>
      <c r="J2083" s="47"/>
      <c r="K2083" s="54"/>
      <c r="L2083" s="35"/>
      <c r="M2083" s="35"/>
      <c r="N2083" s="35"/>
      <c r="O2083" s="35"/>
      <c r="P2083" s="35"/>
      <c r="Q2083" s="35"/>
      <c r="R2083" s="35"/>
      <c r="S2083" s="35"/>
      <c r="T2083" s="35"/>
      <c r="U2083" s="35"/>
      <c r="V2083" s="35"/>
      <c r="W2083" s="35"/>
      <c r="X2083" s="35"/>
      <c r="Y2083" s="35"/>
      <c r="Z2083" s="35"/>
      <c r="AA2083" s="35"/>
      <c r="AB2083" s="35"/>
      <c r="AC2083" s="35"/>
      <c r="AD2083" s="35"/>
      <c r="AE2083" s="35"/>
      <c r="AF2083" s="35"/>
      <c r="AG2083" s="35"/>
      <c r="AH2083" s="35"/>
      <c r="AI2083" s="35"/>
      <c r="AJ2083" s="35"/>
      <c r="AK2083" s="35"/>
      <c r="AL2083" s="35"/>
      <c r="AM2083" s="35"/>
      <c r="AN2083" s="35"/>
      <c r="AO2083" s="35"/>
      <c r="AP2083" s="35"/>
    </row>
    <row r="2084" spans="1:42" ht="17.25" customHeight="1" x14ac:dyDescent="0.25">
      <c r="A2084" s="55">
        <v>2022</v>
      </c>
      <c r="B2084" s="56" t="s">
        <v>66</v>
      </c>
      <c r="C2084" s="56" t="s">
        <v>4</v>
      </c>
      <c r="D2084" s="56" t="s">
        <v>5</v>
      </c>
      <c r="E2084" s="56" t="s">
        <v>69</v>
      </c>
      <c r="F2084" s="56" t="s">
        <v>71</v>
      </c>
      <c r="G2084" s="57">
        <v>31225214470</v>
      </c>
      <c r="H2084" s="56" t="s">
        <v>68</v>
      </c>
      <c r="I2084" s="58" t="str">
        <f t="shared" si="136"/>
        <v>China-OTA</v>
      </c>
      <c r="J2084" s="40"/>
      <c r="K2084" s="59"/>
      <c r="L2084" s="35"/>
      <c r="M2084" s="35"/>
      <c r="N2084" s="35"/>
      <c r="O2084" s="35"/>
      <c r="P2084" s="35"/>
      <c r="Q2084" s="35"/>
      <c r="R2084" s="35"/>
      <c r="S2084" s="35"/>
      <c r="T2084" s="35"/>
      <c r="U2084" s="35"/>
      <c r="V2084" s="35"/>
      <c r="W2084" s="35"/>
      <c r="X2084" s="35"/>
      <c r="Y2084" s="35"/>
      <c r="Z2084" s="35"/>
      <c r="AA2084" s="35"/>
      <c r="AB2084" s="35"/>
      <c r="AC2084" s="35"/>
      <c r="AD2084" s="35"/>
      <c r="AE2084" s="35"/>
      <c r="AF2084" s="35"/>
      <c r="AG2084" s="35"/>
      <c r="AH2084" s="35"/>
      <c r="AI2084" s="35"/>
      <c r="AJ2084" s="35"/>
      <c r="AK2084" s="35"/>
      <c r="AL2084" s="35"/>
      <c r="AM2084" s="35"/>
      <c r="AN2084" s="35"/>
      <c r="AO2084" s="35"/>
      <c r="AP2084" s="35"/>
    </row>
    <row r="2085" spans="1:42" ht="17.25" customHeight="1" x14ac:dyDescent="0.25">
      <c r="A2085" s="60">
        <v>2022</v>
      </c>
      <c r="B2085" s="61" t="s">
        <v>66</v>
      </c>
      <c r="C2085" s="61" t="s">
        <v>35</v>
      </c>
      <c r="D2085" s="61" t="s">
        <v>38</v>
      </c>
      <c r="E2085" s="61" t="s">
        <v>67</v>
      </c>
      <c r="F2085" s="61" t="s">
        <v>67</v>
      </c>
      <c r="G2085" s="62">
        <v>2498170431</v>
      </c>
      <c r="H2085" s="61" t="s">
        <v>68</v>
      </c>
      <c r="I2085" s="63" t="str">
        <f t="shared" si="136"/>
        <v>Colombia-Offline</v>
      </c>
      <c r="J2085" s="47"/>
      <c r="K2085" s="54"/>
      <c r="L2085" s="35"/>
      <c r="M2085" s="35"/>
      <c r="N2085" s="35"/>
      <c r="O2085" s="35"/>
      <c r="P2085" s="35"/>
      <c r="Q2085" s="35"/>
      <c r="R2085" s="35"/>
      <c r="S2085" s="35"/>
      <c r="T2085" s="35"/>
      <c r="U2085" s="35"/>
      <c r="V2085" s="35"/>
      <c r="W2085" s="35"/>
      <c r="X2085" s="35"/>
      <c r="Y2085" s="35"/>
      <c r="Z2085" s="35"/>
      <c r="AA2085" s="35"/>
      <c r="AB2085" s="35"/>
      <c r="AC2085" s="35"/>
      <c r="AD2085" s="35"/>
      <c r="AE2085" s="35"/>
      <c r="AF2085" s="35"/>
      <c r="AG2085" s="35"/>
      <c r="AH2085" s="35"/>
      <c r="AI2085" s="35"/>
      <c r="AJ2085" s="35"/>
      <c r="AK2085" s="35"/>
      <c r="AL2085" s="35"/>
      <c r="AM2085" s="35"/>
      <c r="AN2085" s="35"/>
      <c r="AO2085" s="35"/>
      <c r="AP2085" s="35"/>
    </row>
    <row r="2086" spans="1:42" ht="17.25" customHeight="1" x14ac:dyDescent="0.25">
      <c r="A2086" s="55">
        <v>2022</v>
      </c>
      <c r="B2086" s="56" t="s">
        <v>66</v>
      </c>
      <c r="C2086" s="56" t="s">
        <v>35</v>
      </c>
      <c r="D2086" s="56" t="s">
        <v>38</v>
      </c>
      <c r="E2086" s="56" t="s">
        <v>69</v>
      </c>
      <c r="F2086" s="56" t="s">
        <v>70</v>
      </c>
      <c r="G2086" s="57">
        <v>1018203509</v>
      </c>
      <c r="H2086" s="56" t="s">
        <v>68</v>
      </c>
      <c r="I2086" s="58" t="str">
        <f t="shared" si="136"/>
        <v>Colombia-Online Supplier-Direct</v>
      </c>
      <c r="J2086" s="40"/>
      <c r="K2086" s="59"/>
      <c r="L2086" s="35"/>
      <c r="M2086" s="35"/>
      <c r="N2086" s="35"/>
      <c r="O2086" s="35"/>
      <c r="P2086" s="35"/>
      <c r="Q2086" s="35"/>
      <c r="R2086" s="35"/>
      <c r="S2086" s="35"/>
      <c r="T2086" s="35"/>
      <c r="U2086" s="35"/>
      <c r="V2086" s="35"/>
      <c r="W2086" s="35"/>
      <c r="X2086" s="35"/>
      <c r="Y2086" s="35"/>
      <c r="Z2086" s="35"/>
      <c r="AA2086" s="35"/>
      <c r="AB2086" s="35"/>
      <c r="AC2086" s="35"/>
      <c r="AD2086" s="35"/>
      <c r="AE2086" s="35"/>
      <c r="AF2086" s="35"/>
      <c r="AG2086" s="35"/>
      <c r="AH2086" s="35"/>
      <c r="AI2086" s="35"/>
      <c r="AJ2086" s="35"/>
      <c r="AK2086" s="35"/>
      <c r="AL2086" s="35"/>
      <c r="AM2086" s="35"/>
      <c r="AN2086" s="35"/>
      <c r="AO2086" s="35"/>
      <c r="AP2086" s="35"/>
    </row>
    <row r="2087" spans="1:42" ht="17.25" customHeight="1" x14ac:dyDescent="0.25">
      <c r="A2087" s="60">
        <v>2022</v>
      </c>
      <c r="B2087" s="61" t="s">
        <v>66</v>
      </c>
      <c r="C2087" s="61" t="s">
        <v>35</v>
      </c>
      <c r="D2087" s="61" t="s">
        <v>38</v>
      </c>
      <c r="E2087" s="61" t="s">
        <v>69</v>
      </c>
      <c r="F2087" s="61" t="s">
        <v>71</v>
      </c>
      <c r="G2087" s="62">
        <v>895971183</v>
      </c>
      <c r="H2087" s="61" t="s">
        <v>68</v>
      </c>
      <c r="I2087" s="63" t="str">
        <f t="shared" si="136"/>
        <v>Colombia-OTA</v>
      </c>
      <c r="J2087" s="47"/>
      <c r="K2087" s="54"/>
      <c r="L2087" s="35"/>
      <c r="M2087" s="35"/>
      <c r="N2087" s="35"/>
      <c r="O2087" s="35"/>
      <c r="P2087" s="35"/>
      <c r="Q2087" s="35"/>
      <c r="R2087" s="35"/>
      <c r="S2087" s="35"/>
      <c r="T2087" s="35"/>
      <c r="U2087" s="35"/>
      <c r="V2087" s="35"/>
      <c r="W2087" s="35"/>
      <c r="X2087" s="35"/>
      <c r="Y2087" s="35"/>
      <c r="Z2087" s="35"/>
      <c r="AA2087" s="35"/>
      <c r="AB2087" s="35"/>
      <c r="AC2087" s="35"/>
      <c r="AD2087" s="35"/>
      <c r="AE2087" s="35"/>
      <c r="AF2087" s="35"/>
      <c r="AG2087" s="35"/>
      <c r="AH2087" s="35"/>
      <c r="AI2087" s="35"/>
      <c r="AJ2087" s="35"/>
      <c r="AK2087" s="35"/>
      <c r="AL2087" s="35"/>
      <c r="AM2087" s="35"/>
      <c r="AN2087" s="35"/>
      <c r="AO2087" s="35"/>
      <c r="AP2087" s="35"/>
    </row>
    <row r="2088" spans="1:42" ht="17.25" customHeight="1" x14ac:dyDescent="0.25">
      <c r="A2088" s="55">
        <v>2022</v>
      </c>
      <c r="B2088" s="56" t="s">
        <v>66</v>
      </c>
      <c r="C2088" s="56" t="s">
        <v>17</v>
      </c>
      <c r="D2088" s="56" t="s">
        <v>18</v>
      </c>
      <c r="E2088" s="56" t="s">
        <v>67</v>
      </c>
      <c r="F2088" s="56" t="s">
        <v>67</v>
      </c>
      <c r="G2088" s="57">
        <v>1191307108</v>
      </c>
      <c r="H2088" s="56" t="s">
        <v>68</v>
      </c>
      <c r="I2088" s="58" t="str">
        <f t="shared" si="136"/>
        <v>Czech Republic-Offline</v>
      </c>
      <c r="J2088" s="40"/>
      <c r="K2088" s="59"/>
      <c r="L2088" s="35"/>
      <c r="M2088" s="35"/>
      <c r="N2088" s="35"/>
      <c r="O2088" s="35"/>
      <c r="P2088" s="35"/>
      <c r="Q2088" s="35"/>
      <c r="R2088" s="35"/>
      <c r="S2088" s="35"/>
      <c r="T2088" s="35"/>
      <c r="U2088" s="35"/>
      <c r="V2088" s="35"/>
      <c r="W2088" s="35"/>
      <c r="X2088" s="35"/>
      <c r="Y2088" s="35"/>
      <c r="Z2088" s="35"/>
      <c r="AA2088" s="35"/>
      <c r="AB2088" s="35"/>
      <c r="AC2088" s="35"/>
      <c r="AD2088" s="35"/>
      <c r="AE2088" s="35"/>
      <c r="AF2088" s="35"/>
      <c r="AG2088" s="35"/>
      <c r="AH2088" s="35"/>
      <c r="AI2088" s="35"/>
      <c r="AJ2088" s="35"/>
      <c r="AK2088" s="35"/>
      <c r="AL2088" s="35"/>
      <c r="AM2088" s="35"/>
      <c r="AN2088" s="35"/>
      <c r="AO2088" s="35"/>
      <c r="AP2088" s="35"/>
    </row>
    <row r="2089" spans="1:42" ht="17.25" customHeight="1" x14ac:dyDescent="0.25">
      <c r="A2089" s="60">
        <v>2022</v>
      </c>
      <c r="B2089" s="61" t="s">
        <v>66</v>
      </c>
      <c r="C2089" s="61" t="s">
        <v>17</v>
      </c>
      <c r="D2089" s="61" t="s">
        <v>18</v>
      </c>
      <c r="E2089" s="61" t="s">
        <v>69</v>
      </c>
      <c r="F2089" s="61" t="s">
        <v>70</v>
      </c>
      <c r="G2089" s="62">
        <v>1104647854</v>
      </c>
      <c r="H2089" s="61" t="s">
        <v>68</v>
      </c>
      <c r="I2089" s="63" t="str">
        <f t="shared" si="136"/>
        <v>Czech Republic-Online Supplier-Direct</v>
      </c>
      <c r="J2089" s="47"/>
      <c r="K2089" s="54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  <c r="AG2089" s="35"/>
      <c r="AH2089" s="35"/>
      <c r="AI2089" s="35"/>
      <c r="AJ2089" s="35"/>
      <c r="AK2089" s="35"/>
      <c r="AL2089" s="35"/>
      <c r="AM2089" s="35"/>
      <c r="AN2089" s="35"/>
      <c r="AO2089" s="35"/>
      <c r="AP2089" s="35"/>
    </row>
    <row r="2090" spans="1:42" ht="17.25" customHeight="1" x14ac:dyDescent="0.25">
      <c r="A2090" s="55">
        <v>2022</v>
      </c>
      <c r="B2090" s="56" t="s">
        <v>66</v>
      </c>
      <c r="C2090" s="56" t="s">
        <v>17</v>
      </c>
      <c r="D2090" s="56" t="s">
        <v>18</v>
      </c>
      <c r="E2090" s="56" t="s">
        <v>69</v>
      </c>
      <c r="F2090" s="56" t="s">
        <v>71</v>
      </c>
      <c r="G2090" s="57">
        <v>844377611</v>
      </c>
      <c r="H2090" s="56" t="s">
        <v>68</v>
      </c>
      <c r="I2090" s="58" t="str">
        <f t="shared" si="136"/>
        <v>Czech Republic-OTA</v>
      </c>
      <c r="J2090" s="40"/>
      <c r="K2090" s="59"/>
      <c r="L2090" s="35"/>
      <c r="M2090" s="35"/>
      <c r="N2090" s="35"/>
      <c r="O2090" s="35"/>
      <c r="P2090" s="35"/>
      <c r="Q2090" s="35"/>
      <c r="R2090" s="35"/>
      <c r="S2090" s="35"/>
      <c r="T2090" s="35"/>
      <c r="U2090" s="35"/>
      <c r="V2090" s="35"/>
      <c r="W2090" s="35"/>
      <c r="X2090" s="35"/>
      <c r="Y2090" s="35"/>
      <c r="Z2090" s="35"/>
      <c r="AA2090" s="35"/>
      <c r="AB2090" s="35"/>
      <c r="AC2090" s="35"/>
      <c r="AD2090" s="35"/>
      <c r="AE2090" s="35"/>
      <c r="AF2090" s="35"/>
      <c r="AG2090" s="35"/>
      <c r="AH2090" s="35"/>
      <c r="AI2090" s="35"/>
      <c r="AJ2090" s="35"/>
      <c r="AK2090" s="35"/>
      <c r="AL2090" s="35"/>
      <c r="AM2090" s="35"/>
      <c r="AN2090" s="35"/>
      <c r="AO2090" s="35"/>
      <c r="AP2090" s="35"/>
    </row>
    <row r="2091" spans="1:42" ht="17.25" customHeight="1" x14ac:dyDescent="0.25">
      <c r="A2091" s="60">
        <v>2022</v>
      </c>
      <c r="B2091" s="61" t="s">
        <v>66</v>
      </c>
      <c r="C2091" s="61" t="s">
        <v>41</v>
      </c>
      <c r="D2091" s="61" t="s">
        <v>40</v>
      </c>
      <c r="E2091" s="61" t="s">
        <v>67</v>
      </c>
      <c r="F2091" s="61" t="s">
        <v>67</v>
      </c>
      <c r="G2091" s="62">
        <v>1946413217</v>
      </c>
      <c r="H2091" s="61" t="s">
        <v>68</v>
      </c>
      <c r="I2091" s="63" t="str">
        <f t="shared" si="136"/>
        <v>Egypt-Offline</v>
      </c>
      <c r="J2091" s="47"/>
      <c r="K2091" s="54"/>
      <c r="L2091" s="35"/>
      <c r="M2091" s="35"/>
      <c r="N2091" s="35"/>
      <c r="O2091" s="35"/>
      <c r="P2091" s="35"/>
      <c r="Q2091" s="35"/>
      <c r="R2091" s="35"/>
      <c r="S2091" s="35"/>
      <c r="T2091" s="35"/>
      <c r="U2091" s="35"/>
      <c r="V2091" s="35"/>
      <c r="W2091" s="35"/>
      <c r="X2091" s="35"/>
      <c r="Y2091" s="35"/>
      <c r="Z2091" s="35"/>
      <c r="AA2091" s="35"/>
      <c r="AB2091" s="35"/>
      <c r="AC2091" s="35"/>
      <c r="AD2091" s="35"/>
      <c r="AE2091" s="35"/>
      <c r="AF2091" s="35"/>
      <c r="AG2091" s="35"/>
      <c r="AH2091" s="35"/>
      <c r="AI2091" s="35"/>
      <c r="AJ2091" s="35"/>
      <c r="AK2091" s="35"/>
      <c r="AL2091" s="35"/>
      <c r="AM2091" s="35"/>
      <c r="AN2091" s="35"/>
      <c r="AO2091" s="35"/>
      <c r="AP2091" s="35"/>
    </row>
    <row r="2092" spans="1:42" ht="17.25" customHeight="1" x14ac:dyDescent="0.25">
      <c r="A2092" s="55">
        <v>2022</v>
      </c>
      <c r="B2092" s="56" t="s">
        <v>66</v>
      </c>
      <c r="C2092" s="56" t="s">
        <v>41</v>
      </c>
      <c r="D2092" s="56" t="s">
        <v>40</v>
      </c>
      <c r="E2092" s="56" t="s">
        <v>69</v>
      </c>
      <c r="F2092" s="56" t="s">
        <v>70</v>
      </c>
      <c r="G2092" s="57">
        <v>596991808</v>
      </c>
      <c r="H2092" s="56" t="s">
        <v>68</v>
      </c>
      <c r="I2092" s="58" t="str">
        <f t="shared" si="136"/>
        <v>Egypt-Online Supplier-Direct</v>
      </c>
      <c r="J2092" s="40"/>
      <c r="K2092" s="59"/>
      <c r="L2092" s="35"/>
      <c r="M2092" s="35"/>
      <c r="N2092" s="35"/>
      <c r="O2092" s="35"/>
      <c r="P2092" s="35"/>
      <c r="Q2092" s="35"/>
      <c r="R2092" s="35"/>
      <c r="S2092" s="35"/>
      <c r="T2092" s="35"/>
      <c r="U2092" s="35"/>
      <c r="V2092" s="35"/>
      <c r="W2092" s="35"/>
      <c r="X2092" s="35"/>
      <c r="Y2092" s="35"/>
      <c r="Z2092" s="35"/>
      <c r="AA2092" s="35"/>
      <c r="AB2092" s="35"/>
      <c r="AC2092" s="35"/>
      <c r="AD2092" s="35"/>
      <c r="AE2092" s="35"/>
      <c r="AF2092" s="35"/>
      <c r="AG2092" s="35"/>
      <c r="AH2092" s="35"/>
      <c r="AI2092" s="35"/>
      <c r="AJ2092" s="35"/>
      <c r="AK2092" s="35"/>
      <c r="AL2092" s="35"/>
      <c r="AM2092" s="35"/>
      <c r="AN2092" s="35"/>
      <c r="AO2092" s="35"/>
      <c r="AP2092" s="35"/>
    </row>
    <row r="2093" spans="1:42" ht="17.25" customHeight="1" x14ac:dyDescent="0.25">
      <c r="A2093" s="60">
        <v>2022</v>
      </c>
      <c r="B2093" s="61" t="s">
        <v>66</v>
      </c>
      <c r="C2093" s="61" t="s">
        <v>41</v>
      </c>
      <c r="D2093" s="61" t="s">
        <v>40</v>
      </c>
      <c r="E2093" s="61" t="s">
        <v>69</v>
      </c>
      <c r="F2093" s="61" t="s">
        <v>71</v>
      </c>
      <c r="G2093" s="62">
        <v>448331306</v>
      </c>
      <c r="H2093" s="61" t="s">
        <v>68</v>
      </c>
      <c r="I2093" s="63" t="str">
        <f t="shared" si="136"/>
        <v>Egypt-OTA</v>
      </c>
      <c r="J2093" s="47"/>
      <c r="K2093" s="54"/>
      <c r="L2093" s="35"/>
      <c r="M2093" s="35"/>
      <c r="N2093" s="35"/>
      <c r="O2093" s="35"/>
      <c r="P2093" s="35"/>
      <c r="Q2093" s="35"/>
      <c r="R2093" s="35"/>
      <c r="S2093" s="35"/>
      <c r="T2093" s="35"/>
      <c r="U2093" s="35"/>
      <c r="V2093" s="35"/>
      <c r="W2093" s="35"/>
      <c r="X2093" s="35"/>
      <c r="Y2093" s="35"/>
      <c r="Z2093" s="35"/>
      <c r="AA2093" s="35"/>
      <c r="AB2093" s="35"/>
      <c r="AC2093" s="35"/>
      <c r="AD2093" s="35"/>
      <c r="AE2093" s="35"/>
      <c r="AF2093" s="35"/>
      <c r="AG2093" s="35"/>
      <c r="AH2093" s="35"/>
      <c r="AI2093" s="35"/>
      <c r="AJ2093" s="35"/>
      <c r="AK2093" s="35"/>
      <c r="AL2093" s="35"/>
      <c r="AM2093" s="35"/>
      <c r="AN2093" s="35"/>
      <c r="AO2093" s="35"/>
      <c r="AP2093" s="35"/>
    </row>
    <row r="2094" spans="1:42" ht="17.25" customHeight="1" x14ac:dyDescent="0.25">
      <c r="A2094" s="55">
        <v>2022</v>
      </c>
      <c r="B2094" s="56" t="s">
        <v>66</v>
      </c>
      <c r="C2094" s="56" t="s">
        <v>27</v>
      </c>
      <c r="D2094" s="56" t="s">
        <v>26</v>
      </c>
      <c r="E2094" s="56" t="s">
        <v>67</v>
      </c>
      <c r="F2094" s="56" t="s">
        <v>67</v>
      </c>
      <c r="G2094" s="57">
        <v>25358662814</v>
      </c>
      <c r="H2094" s="56" t="s">
        <v>68</v>
      </c>
      <c r="I2094" s="58" t="str">
        <f t="shared" si="136"/>
        <v>France-Offline</v>
      </c>
      <c r="J2094" s="40"/>
      <c r="K2094" s="59"/>
      <c r="L2094" s="35"/>
      <c r="M2094" s="35"/>
      <c r="N2094" s="35"/>
      <c r="O2094" s="35"/>
      <c r="P2094" s="35"/>
      <c r="Q2094" s="35"/>
      <c r="R2094" s="35"/>
      <c r="S2094" s="35"/>
      <c r="T2094" s="35"/>
      <c r="U2094" s="35"/>
      <c r="V2094" s="35"/>
      <c r="W2094" s="35"/>
      <c r="X2094" s="35"/>
      <c r="Y2094" s="35"/>
      <c r="Z2094" s="35"/>
      <c r="AA2094" s="35"/>
      <c r="AB2094" s="35"/>
      <c r="AC2094" s="35"/>
      <c r="AD2094" s="35"/>
      <c r="AE2094" s="35"/>
      <c r="AF2094" s="35"/>
      <c r="AG2094" s="35"/>
      <c r="AH2094" s="35"/>
      <c r="AI2094" s="35"/>
      <c r="AJ2094" s="35"/>
      <c r="AK2094" s="35"/>
      <c r="AL2094" s="35"/>
      <c r="AM2094" s="35"/>
      <c r="AN2094" s="35"/>
      <c r="AO2094" s="35"/>
      <c r="AP2094" s="35"/>
    </row>
    <row r="2095" spans="1:42" ht="17.25" customHeight="1" x14ac:dyDescent="0.25">
      <c r="A2095" s="60">
        <v>2022</v>
      </c>
      <c r="B2095" s="61" t="s">
        <v>66</v>
      </c>
      <c r="C2095" s="61" t="s">
        <v>27</v>
      </c>
      <c r="D2095" s="61" t="s">
        <v>26</v>
      </c>
      <c r="E2095" s="61" t="s">
        <v>69</v>
      </c>
      <c r="F2095" s="61" t="s">
        <v>70</v>
      </c>
      <c r="G2095" s="62">
        <v>19924684457</v>
      </c>
      <c r="H2095" s="61" t="s">
        <v>68</v>
      </c>
      <c r="I2095" s="63" t="str">
        <f t="shared" si="136"/>
        <v>France-Online Supplier-Direct</v>
      </c>
      <c r="J2095" s="47"/>
      <c r="K2095" s="54"/>
      <c r="L2095" s="35"/>
      <c r="M2095" s="35"/>
      <c r="N2095" s="35"/>
      <c r="O2095" s="35"/>
      <c r="P2095" s="35"/>
      <c r="Q2095" s="35"/>
      <c r="R2095" s="35"/>
      <c r="S2095" s="35"/>
      <c r="T2095" s="35"/>
      <c r="U2095" s="35"/>
      <c r="V2095" s="35"/>
      <c r="W2095" s="35"/>
      <c r="X2095" s="35"/>
      <c r="Y2095" s="35"/>
      <c r="Z2095" s="35"/>
      <c r="AA2095" s="35"/>
      <c r="AB2095" s="35"/>
      <c r="AC2095" s="35"/>
      <c r="AD2095" s="35"/>
      <c r="AE2095" s="35"/>
      <c r="AF2095" s="35"/>
      <c r="AG2095" s="35"/>
      <c r="AH2095" s="35"/>
      <c r="AI2095" s="35"/>
      <c r="AJ2095" s="35"/>
      <c r="AK2095" s="35"/>
      <c r="AL2095" s="35"/>
      <c r="AM2095" s="35"/>
      <c r="AN2095" s="35"/>
      <c r="AO2095" s="35"/>
      <c r="AP2095" s="35"/>
    </row>
    <row r="2096" spans="1:42" ht="17.25" customHeight="1" x14ac:dyDescent="0.25">
      <c r="A2096" s="55">
        <v>2022</v>
      </c>
      <c r="B2096" s="56" t="s">
        <v>66</v>
      </c>
      <c r="C2096" s="56" t="s">
        <v>27</v>
      </c>
      <c r="D2096" s="56" t="s">
        <v>26</v>
      </c>
      <c r="E2096" s="56" t="s">
        <v>69</v>
      </c>
      <c r="F2096" s="56" t="s">
        <v>71</v>
      </c>
      <c r="G2096" s="57">
        <v>7275975931</v>
      </c>
      <c r="H2096" s="56" t="s">
        <v>68</v>
      </c>
      <c r="I2096" s="58" t="str">
        <f t="shared" si="136"/>
        <v>France-OTA</v>
      </c>
      <c r="J2096" s="40"/>
      <c r="K2096" s="59"/>
      <c r="L2096" s="35"/>
      <c r="M2096" s="35"/>
      <c r="N2096" s="35"/>
      <c r="O2096" s="35"/>
      <c r="P2096" s="35"/>
      <c r="Q2096" s="35"/>
      <c r="R2096" s="35"/>
      <c r="S2096" s="35"/>
      <c r="T2096" s="35"/>
      <c r="U2096" s="35"/>
      <c r="V2096" s="35"/>
      <c r="W2096" s="35"/>
      <c r="X2096" s="35"/>
      <c r="Y2096" s="35"/>
      <c r="Z2096" s="35"/>
      <c r="AA2096" s="35"/>
      <c r="AB2096" s="35"/>
      <c r="AC2096" s="35"/>
      <c r="AD2096" s="35"/>
      <c r="AE2096" s="35"/>
      <c r="AF2096" s="35"/>
      <c r="AG2096" s="35"/>
      <c r="AH2096" s="35"/>
      <c r="AI2096" s="35"/>
      <c r="AJ2096" s="35"/>
      <c r="AK2096" s="35"/>
      <c r="AL2096" s="35"/>
      <c r="AM2096" s="35"/>
      <c r="AN2096" s="35"/>
      <c r="AO2096" s="35"/>
      <c r="AP2096" s="35"/>
    </row>
    <row r="2097" spans="1:42" ht="17.25" customHeight="1" x14ac:dyDescent="0.25">
      <c r="A2097" s="60">
        <v>2022</v>
      </c>
      <c r="B2097" s="61" t="s">
        <v>66</v>
      </c>
      <c r="C2097" s="61" t="s">
        <v>27</v>
      </c>
      <c r="D2097" s="61" t="s">
        <v>28</v>
      </c>
      <c r="E2097" s="61" t="s">
        <v>67</v>
      </c>
      <c r="F2097" s="61" t="s">
        <v>67</v>
      </c>
      <c r="G2097" s="62">
        <v>25021554857</v>
      </c>
      <c r="H2097" s="61" t="s">
        <v>68</v>
      </c>
      <c r="I2097" s="63" t="str">
        <f t="shared" si="136"/>
        <v>Germany-Offline</v>
      </c>
      <c r="J2097" s="47"/>
      <c r="K2097" s="54"/>
      <c r="L2097" s="35"/>
      <c r="M2097" s="35"/>
      <c r="N2097" s="35"/>
      <c r="O2097" s="35"/>
      <c r="P2097" s="35"/>
      <c r="Q2097" s="35"/>
      <c r="R2097" s="35"/>
      <c r="S2097" s="35"/>
      <c r="T2097" s="35"/>
      <c r="U2097" s="35"/>
      <c r="V2097" s="35"/>
      <c r="W2097" s="35"/>
      <c r="X2097" s="35"/>
      <c r="Y2097" s="35"/>
      <c r="Z2097" s="35"/>
      <c r="AA2097" s="35"/>
      <c r="AB2097" s="35"/>
      <c r="AC2097" s="35"/>
      <c r="AD2097" s="35"/>
      <c r="AE2097" s="35"/>
      <c r="AF2097" s="35"/>
      <c r="AG2097" s="35"/>
      <c r="AH2097" s="35"/>
      <c r="AI2097" s="35"/>
      <c r="AJ2097" s="35"/>
      <c r="AK2097" s="35"/>
      <c r="AL2097" s="35"/>
      <c r="AM2097" s="35"/>
      <c r="AN2097" s="35"/>
      <c r="AO2097" s="35"/>
      <c r="AP2097" s="35"/>
    </row>
    <row r="2098" spans="1:42" ht="17.25" customHeight="1" x14ac:dyDescent="0.25">
      <c r="A2098" s="55">
        <v>2022</v>
      </c>
      <c r="B2098" s="56" t="s">
        <v>66</v>
      </c>
      <c r="C2098" s="56" t="s">
        <v>27</v>
      </c>
      <c r="D2098" s="56" t="s">
        <v>28</v>
      </c>
      <c r="E2098" s="56" t="s">
        <v>69</v>
      </c>
      <c r="F2098" s="56" t="s">
        <v>70</v>
      </c>
      <c r="G2098" s="57">
        <v>23185464890</v>
      </c>
      <c r="H2098" s="56" t="s">
        <v>68</v>
      </c>
      <c r="I2098" s="58" t="str">
        <f t="shared" si="136"/>
        <v>Germany-Online Supplier-Direct</v>
      </c>
      <c r="J2098" s="40"/>
      <c r="K2098" s="59"/>
      <c r="L2098" s="35"/>
      <c r="M2098" s="35"/>
      <c r="N2098" s="35"/>
      <c r="O2098" s="35"/>
      <c r="P2098" s="35"/>
      <c r="Q2098" s="35"/>
      <c r="R2098" s="35"/>
      <c r="S2098" s="35"/>
      <c r="T2098" s="35"/>
      <c r="U2098" s="35"/>
      <c r="V2098" s="35"/>
      <c r="W2098" s="35"/>
      <c r="X2098" s="35"/>
      <c r="Y2098" s="35"/>
      <c r="Z2098" s="35"/>
      <c r="AA2098" s="35"/>
      <c r="AB2098" s="35"/>
      <c r="AC2098" s="35"/>
      <c r="AD2098" s="35"/>
      <c r="AE2098" s="35"/>
      <c r="AF2098" s="35"/>
      <c r="AG2098" s="35"/>
      <c r="AH2098" s="35"/>
      <c r="AI2098" s="35"/>
      <c r="AJ2098" s="35"/>
      <c r="AK2098" s="35"/>
      <c r="AL2098" s="35"/>
      <c r="AM2098" s="35"/>
      <c r="AN2098" s="35"/>
      <c r="AO2098" s="35"/>
      <c r="AP2098" s="35"/>
    </row>
    <row r="2099" spans="1:42" ht="17.25" customHeight="1" x14ac:dyDescent="0.25">
      <c r="A2099" s="60">
        <v>2022</v>
      </c>
      <c r="B2099" s="61" t="s">
        <v>66</v>
      </c>
      <c r="C2099" s="61" t="s">
        <v>27</v>
      </c>
      <c r="D2099" s="61" t="s">
        <v>28</v>
      </c>
      <c r="E2099" s="61" t="s">
        <v>69</v>
      </c>
      <c r="F2099" s="61" t="s">
        <v>71</v>
      </c>
      <c r="G2099" s="62">
        <v>12609769609</v>
      </c>
      <c r="H2099" s="61" t="s">
        <v>68</v>
      </c>
      <c r="I2099" s="63" t="str">
        <f t="shared" si="136"/>
        <v>Germany-OTA</v>
      </c>
      <c r="J2099" s="47"/>
      <c r="K2099" s="54"/>
      <c r="L2099" s="35"/>
      <c r="M2099" s="35"/>
      <c r="N2099" s="35"/>
      <c r="O2099" s="35"/>
      <c r="P2099" s="35"/>
      <c r="Q2099" s="35"/>
      <c r="R2099" s="35"/>
      <c r="S2099" s="35"/>
      <c r="T2099" s="35"/>
      <c r="U2099" s="35"/>
      <c r="V2099" s="35"/>
      <c r="W2099" s="35"/>
      <c r="X2099" s="35"/>
      <c r="Y2099" s="35"/>
      <c r="Z2099" s="35"/>
      <c r="AA2099" s="35"/>
      <c r="AB2099" s="35"/>
      <c r="AC2099" s="35"/>
      <c r="AD2099" s="35"/>
      <c r="AE2099" s="35"/>
      <c r="AF2099" s="35"/>
      <c r="AG2099" s="35"/>
      <c r="AH2099" s="35"/>
      <c r="AI2099" s="35"/>
      <c r="AJ2099" s="35"/>
      <c r="AK2099" s="35"/>
      <c r="AL2099" s="35"/>
      <c r="AM2099" s="35"/>
      <c r="AN2099" s="35"/>
      <c r="AO2099" s="35"/>
      <c r="AP2099" s="35"/>
    </row>
    <row r="2100" spans="1:42" ht="17.25" customHeight="1" x14ac:dyDescent="0.25">
      <c r="A2100" s="55">
        <v>2022</v>
      </c>
      <c r="B2100" s="56" t="s">
        <v>66</v>
      </c>
      <c r="C2100" s="56" t="s">
        <v>17</v>
      </c>
      <c r="D2100" s="56" t="s">
        <v>19</v>
      </c>
      <c r="E2100" s="56" t="s">
        <v>67</v>
      </c>
      <c r="F2100" s="56" t="s">
        <v>67</v>
      </c>
      <c r="G2100" s="57">
        <v>3586155148</v>
      </c>
      <c r="H2100" s="56" t="s">
        <v>68</v>
      </c>
      <c r="I2100" s="58" t="str">
        <f t="shared" si="136"/>
        <v>Greece-Offline</v>
      </c>
      <c r="J2100" s="40"/>
      <c r="K2100" s="59"/>
      <c r="L2100" s="35"/>
      <c r="M2100" s="35"/>
      <c r="N2100" s="35"/>
      <c r="O2100" s="35"/>
      <c r="P2100" s="35"/>
      <c r="Q2100" s="35"/>
      <c r="R2100" s="35"/>
      <c r="S2100" s="35"/>
      <c r="T2100" s="35"/>
      <c r="U2100" s="35"/>
      <c r="V2100" s="35"/>
      <c r="W2100" s="35"/>
      <c r="X2100" s="35"/>
      <c r="Y2100" s="35"/>
      <c r="Z2100" s="35"/>
      <c r="AA2100" s="35"/>
      <c r="AB2100" s="35"/>
      <c r="AC2100" s="35"/>
      <c r="AD2100" s="35"/>
      <c r="AE2100" s="35"/>
      <c r="AF2100" s="35"/>
      <c r="AG2100" s="35"/>
      <c r="AH2100" s="35"/>
      <c r="AI2100" s="35"/>
      <c r="AJ2100" s="35"/>
      <c r="AK2100" s="35"/>
      <c r="AL2100" s="35"/>
      <c r="AM2100" s="35"/>
      <c r="AN2100" s="35"/>
      <c r="AO2100" s="35"/>
      <c r="AP2100" s="35"/>
    </row>
    <row r="2101" spans="1:42" ht="17.25" customHeight="1" x14ac:dyDescent="0.25">
      <c r="A2101" s="60">
        <v>2022</v>
      </c>
      <c r="B2101" s="61" t="s">
        <v>66</v>
      </c>
      <c r="C2101" s="61" t="s">
        <v>17</v>
      </c>
      <c r="D2101" s="61" t="s">
        <v>19</v>
      </c>
      <c r="E2101" s="61" t="s">
        <v>69</v>
      </c>
      <c r="F2101" s="61" t="s">
        <v>70</v>
      </c>
      <c r="G2101" s="62">
        <v>1161054844</v>
      </c>
      <c r="H2101" s="61" t="s">
        <v>68</v>
      </c>
      <c r="I2101" s="63" t="str">
        <f t="shared" si="136"/>
        <v>Greece-Online Supplier-Direct</v>
      </c>
      <c r="J2101" s="47"/>
      <c r="K2101" s="54"/>
      <c r="L2101" s="35"/>
      <c r="M2101" s="35"/>
      <c r="N2101" s="35"/>
      <c r="O2101" s="35"/>
      <c r="P2101" s="35"/>
      <c r="Q2101" s="35"/>
      <c r="R2101" s="35"/>
      <c r="S2101" s="35"/>
      <c r="T2101" s="35"/>
      <c r="U2101" s="35"/>
      <c r="V2101" s="35"/>
      <c r="W2101" s="35"/>
      <c r="X2101" s="35"/>
      <c r="Y2101" s="35"/>
      <c r="Z2101" s="35"/>
      <c r="AA2101" s="35"/>
      <c r="AB2101" s="35"/>
      <c r="AC2101" s="35"/>
      <c r="AD2101" s="35"/>
      <c r="AE2101" s="35"/>
      <c r="AF2101" s="35"/>
      <c r="AG2101" s="35"/>
      <c r="AH2101" s="35"/>
      <c r="AI2101" s="35"/>
      <c r="AJ2101" s="35"/>
      <c r="AK2101" s="35"/>
      <c r="AL2101" s="35"/>
      <c r="AM2101" s="35"/>
      <c r="AN2101" s="35"/>
      <c r="AO2101" s="35"/>
      <c r="AP2101" s="35"/>
    </row>
    <row r="2102" spans="1:42" ht="17.25" customHeight="1" x14ac:dyDescent="0.25">
      <c r="A2102" s="55">
        <v>2022</v>
      </c>
      <c r="B2102" s="56" t="s">
        <v>66</v>
      </c>
      <c r="C2102" s="56" t="s">
        <v>17</v>
      </c>
      <c r="D2102" s="56" t="s">
        <v>19</v>
      </c>
      <c r="E2102" s="56" t="s">
        <v>69</v>
      </c>
      <c r="F2102" s="56" t="s">
        <v>71</v>
      </c>
      <c r="G2102" s="57">
        <v>2375790030</v>
      </c>
      <c r="H2102" s="56" t="s">
        <v>68</v>
      </c>
      <c r="I2102" s="58" t="str">
        <f t="shared" si="136"/>
        <v>Greece-OTA</v>
      </c>
      <c r="J2102" s="40"/>
      <c r="K2102" s="59"/>
      <c r="L2102" s="35"/>
      <c r="M2102" s="35"/>
      <c r="N2102" s="35"/>
      <c r="O2102" s="35"/>
      <c r="P2102" s="35"/>
      <c r="Q2102" s="35"/>
      <c r="R2102" s="35"/>
      <c r="S2102" s="35"/>
      <c r="T2102" s="35"/>
      <c r="U2102" s="35"/>
      <c r="V2102" s="35"/>
      <c r="W2102" s="35"/>
      <c r="X2102" s="35"/>
      <c r="Y2102" s="35"/>
      <c r="Z2102" s="35"/>
      <c r="AA2102" s="35"/>
      <c r="AB2102" s="35"/>
      <c r="AC2102" s="35"/>
      <c r="AD2102" s="35"/>
      <c r="AE2102" s="35"/>
      <c r="AF2102" s="35"/>
      <c r="AG2102" s="35"/>
      <c r="AH2102" s="35"/>
      <c r="AI2102" s="35"/>
      <c r="AJ2102" s="35"/>
      <c r="AK2102" s="35"/>
      <c r="AL2102" s="35"/>
      <c r="AM2102" s="35"/>
      <c r="AN2102" s="35"/>
      <c r="AO2102" s="35"/>
      <c r="AP2102" s="35"/>
    </row>
    <row r="2103" spans="1:42" ht="17.25" customHeight="1" x14ac:dyDescent="0.25">
      <c r="A2103" s="60">
        <v>2022</v>
      </c>
      <c r="B2103" s="61" t="s">
        <v>66</v>
      </c>
      <c r="C2103" s="61" t="s">
        <v>4</v>
      </c>
      <c r="D2103" s="61" t="s">
        <v>6</v>
      </c>
      <c r="E2103" s="61" t="s">
        <v>67</v>
      </c>
      <c r="F2103" s="61" t="s">
        <v>67</v>
      </c>
      <c r="G2103" s="62">
        <v>3002000443</v>
      </c>
      <c r="H2103" s="61" t="s">
        <v>68</v>
      </c>
      <c r="I2103" s="63" t="str">
        <f t="shared" si="136"/>
        <v>Hong Kong-Offline</v>
      </c>
      <c r="J2103" s="47"/>
      <c r="K2103" s="54"/>
      <c r="L2103" s="35"/>
      <c r="M2103" s="35"/>
      <c r="N2103" s="35"/>
      <c r="O2103" s="35"/>
      <c r="P2103" s="35"/>
      <c r="Q2103" s="35"/>
      <c r="R2103" s="35"/>
      <c r="S2103" s="35"/>
      <c r="T2103" s="35"/>
      <c r="U2103" s="35"/>
      <c r="V2103" s="35"/>
      <c r="W2103" s="35"/>
      <c r="X2103" s="35"/>
      <c r="Y2103" s="35"/>
      <c r="Z2103" s="35"/>
      <c r="AA2103" s="35"/>
      <c r="AB2103" s="35"/>
      <c r="AC2103" s="35"/>
      <c r="AD2103" s="35"/>
      <c r="AE2103" s="35"/>
      <c r="AF2103" s="35"/>
      <c r="AG2103" s="35"/>
      <c r="AH2103" s="35"/>
      <c r="AI2103" s="35"/>
      <c r="AJ2103" s="35"/>
      <c r="AK2103" s="35"/>
      <c r="AL2103" s="35"/>
      <c r="AM2103" s="35"/>
      <c r="AN2103" s="35"/>
      <c r="AO2103" s="35"/>
      <c r="AP2103" s="35"/>
    </row>
    <row r="2104" spans="1:42" ht="17.25" customHeight="1" x14ac:dyDescent="0.25">
      <c r="A2104" s="55">
        <v>2022</v>
      </c>
      <c r="B2104" s="56" t="s">
        <v>66</v>
      </c>
      <c r="C2104" s="56" t="s">
        <v>4</v>
      </c>
      <c r="D2104" s="56" t="s">
        <v>6</v>
      </c>
      <c r="E2104" s="56" t="s">
        <v>69</v>
      </c>
      <c r="F2104" s="56" t="s">
        <v>70</v>
      </c>
      <c r="G2104" s="57">
        <v>501014074</v>
      </c>
      <c r="H2104" s="56" t="s">
        <v>68</v>
      </c>
      <c r="I2104" s="58" t="str">
        <f t="shared" si="136"/>
        <v>Hong Kong-Online Supplier-Direct</v>
      </c>
      <c r="J2104" s="40"/>
      <c r="K2104" s="59"/>
      <c r="L2104" s="35"/>
      <c r="M2104" s="35"/>
      <c r="N2104" s="35"/>
      <c r="O2104" s="35"/>
      <c r="P2104" s="35"/>
      <c r="Q2104" s="35"/>
      <c r="R2104" s="35"/>
      <c r="S2104" s="35"/>
      <c r="T2104" s="35"/>
      <c r="U2104" s="35"/>
      <c r="V2104" s="35"/>
      <c r="W2104" s="35"/>
      <c r="X2104" s="35"/>
      <c r="Y2104" s="35"/>
      <c r="Z2104" s="35"/>
      <c r="AA2104" s="35"/>
      <c r="AB2104" s="35"/>
      <c r="AC2104" s="35"/>
      <c r="AD2104" s="35"/>
      <c r="AE2104" s="35"/>
      <c r="AF2104" s="35"/>
      <c r="AG2104" s="35"/>
      <c r="AH2104" s="35"/>
      <c r="AI2104" s="35"/>
      <c r="AJ2104" s="35"/>
      <c r="AK2104" s="35"/>
      <c r="AL2104" s="35"/>
      <c r="AM2104" s="35"/>
      <c r="AN2104" s="35"/>
      <c r="AO2104" s="35"/>
      <c r="AP2104" s="35"/>
    </row>
    <row r="2105" spans="1:42" ht="17.25" customHeight="1" x14ac:dyDescent="0.25">
      <c r="A2105" s="60">
        <v>2022</v>
      </c>
      <c r="B2105" s="61" t="s">
        <v>66</v>
      </c>
      <c r="C2105" s="61" t="s">
        <v>4</v>
      </c>
      <c r="D2105" s="61" t="s">
        <v>6</v>
      </c>
      <c r="E2105" s="61" t="s">
        <v>69</v>
      </c>
      <c r="F2105" s="61" t="s">
        <v>71</v>
      </c>
      <c r="G2105" s="62">
        <v>717051335</v>
      </c>
      <c r="H2105" s="61" t="s">
        <v>68</v>
      </c>
      <c r="I2105" s="63" t="str">
        <f t="shared" si="136"/>
        <v>Hong Kong-OTA</v>
      </c>
      <c r="J2105" s="47"/>
      <c r="K2105" s="54"/>
      <c r="L2105" s="35"/>
      <c r="M2105" s="35"/>
      <c r="N2105" s="35"/>
      <c r="O2105" s="35"/>
      <c r="P2105" s="35"/>
      <c r="Q2105" s="35"/>
      <c r="R2105" s="35"/>
      <c r="S2105" s="35"/>
      <c r="T2105" s="35"/>
      <c r="U2105" s="35"/>
      <c r="V2105" s="35"/>
      <c r="W2105" s="35"/>
      <c r="X2105" s="35"/>
      <c r="Y2105" s="35"/>
      <c r="Z2105" s="35"/>
      <c r="AA2105" s="35"/>
      <c r="AB2105" s="35"/>
      <c r="AC2105" s="35"/>
      <c r="AD2105" s="35"/>
      <c r="AE2105" s="35"/>
      <c r="AF2105" s="35"/>
      <c r="AG2105" s="35"/>
      <c r="AH2105" s="35"/>
      <c r="AI2105" s="35"/>
      <c r="AJ2105" s="35"/>
      <c r="AK2105" s="35"/>
      <c r="AL2105" s="35"/>
      <c r="AM2105" s="35"/>
      <c r="AN2105" s="35"/>
      <c r="AO2105" s="35"/>
      <c r="AP2105" s="35"/>
    </row>
    <row r="2106" spans="1:42" ht="17.25" customHeight="1" x14ac:dyDescent="0.25">
      <c r="A2106" s="55">
        <v>2022</v>
      </c>
      <c r="B2106" s="56" t="s">
        <v>66</v>
      </c>
      <c r="C2106" s="56" t="s">
        <v>17</v>
      </c>
      <c r="D2106" s="56" t="s">
        <v>20</v>
      </c>
      <c r="E2106" s="56" t="s">
        <v>67</v>
      </c>
      <c r="F2106" s="56" t="s">
        <v>67</v>
      </c>
      <c r="G2106" s="57">
        <v>527041125</v>
      </c>
      <c r="H2106" s="56" t="s">
        <v>68</v>
      </c>
      <c r="I2106" s="58" t="str">
        <f t="shared" si="136"/>
        <v>Hungary-Offline</v>
      </c>
      <c r="J2106" s="40"/>
      <c r="K2106" s="59"/>
      <c r="L2106" s="35"/>
      <c r="M2106" s="35"/>
      <c r="N2106" s="35"/>
      <c r="O2106" s="35"/>
      <c r="P2106" s="35"/>
      <c r="Q2106" s="35"/>
      <c r="R2106" s="35"/>
      <c r="S2106" s="35"/>
      <c r="T2106" s="35"/>
      <c r="U2106" s="35"/>
      <c r="V2106" s="35"/>
      <c r="W2106" s="35"/>
      <c r="X2106" s="35"/>
      <c r="Y2106" s="35"/>
      <c r="Z2106" s="35"/>
      <c r="AA2106" s="35"/>
      <c r="AB2106" s="35"/>
      <c r="AC2106" s="35"/>
      <c r="AD2106" s="35"/>
      <c r="AE2106" s="35"/>
      <c r="AF2106" s="35"/>
      <c r="AG2106" s="35"/>
      <c r="AH2106" s="35"/>
      <c r="AI2106" s="35"/>
      <c r="AJ2106" s="35"/>
      <c r="AK2106" s="35"/>
      <c r="AL2106" s="35"/>
      <c r="AM2106" s="35"/>
      <c r="AN2106" s="35"/>
      <c r="AO2106" s="35"/>
      <c r="AP2106" s="35"/>
    </row>
    <row r="2107" spans="1:42" ht="17.25" customHeight="1" x14ac:dyDescent="0.25">
      <c r="A2107" s="60">
        <v>2022</v>
      </c>
      <c r="B2107" s="61" t="s">
        <v>66</v>
      </c>
      <c r="C2107" s="61" t="s">
        <v>17</v>
      </c>
      <c r="D2107" s="61" t="s">
        <v>20</v>
      </c>
      <c r="E2107" s="61" t="s">
        <v>69</v>
      </c>
      <c r="F2107" s="61" t="s">
        <v>70</v>
      </c>
      <c r="G2107" s="62">
        <v>3797163144</v>
      </c>
      <c r="H2107" s="61" t="s">
        <v>68</v>
      </c>
      <c r="I2107" s="63" t="str">
        <f t="shared" si="136"/>
        <v>Hungary-Online Supplier-Direct</v>
      </c>
      <c r="J2107" s="47"/>
      <c r="K2107" s="54"/>
      <c r="L2107" s="35"/>
      <c r="M2107" s="35"/>
      <c r="N2107" s="35"/>
      <c r="O2107" s="35"/>
      <c r="P2107" s="35"/>
      <c r="Q2107" s="35"/>
      <c r="R2107" s="35"/>
      <c r="S2107" s="35"/>
      <c r="T2107" s="35"/>
      <c r="U2107" s="35"/>
      <c r="V2107" s="35"/>
      <c r="W2107" s="35"/>
      <c r="X2107" s="35"/>
      <c r="Y2107" s="35"/>
      <c r="Z2107" s="35"/>
      <c r="AA2107" s="35"/>
      <c r="AB2107" s="35"/>
      <c r="AC2107" s="35"/>
      <c r="AD2107" s="35"/>
      <c r="AE2107" s="35"/>
      <c r="AF2107" s="35"/>
      <c r="AG2107" s="35"/>
      <c r="AH2107" s="35"/>
      <c r="AI2107" s="35"/>
      <c r="AJ2107" s="35"/>
      <c r="AK2107" s="35"/>
      <c r="AL2107" s="35"/>
      <c r="AM2107" s="35"/>
      <c r="AN2107" s="35"/>
      <c r="AO2107" s="35"/>
      <c r="AP2107" s="35"/>
    </row>
    <row r="2108" spans="1:42" ht="17.25" customHeight="1" x14ac:dyDescent="0.25">
      <c r="A2108" s="55">
        <v>2022</v>
      </c>
      <c r="B2108" s="56" t="s">
        <v>66</v>
      </c>
      <c r="C2108" s="56" t="s">
        <v>17</v>
      </c>
      <c r="D2108" s="56" t="s">
        <v>20</v>
      </c>
      <c r="E2108" s="56" t="s">
        <v>69</v>
      </c>
      <c r="F2108" s="56" t="s">
        <v>71</v>
      </c>
      <c r="G2108" s="57">
        <v>678581764</v>
      </c>
      <c r="H2108" s="56" t="s">
        <v>68</v>
      </c>
      <c r="I2108" s="58" t="str">
        <f t="shared" si="136"/>
        <v>Hungary-OTA</v>
      </c>
      <c r="J2108" s="40"/>
      <c r="K2108" s="59"/>
      <c r="L2108" s="35"/>
      <c r="M2108" s="35"/>
      <c r="N2108" s="35"/>
      <c r="O2108" s="35"/>
      <c r="P2108" s="35"/>
      <c r="Q2108" s="35"/>
      <c r="R2108" s="35"/>
      <c r="S2108" s="35"/>
      <c r="T2108" s="35"/>
      <c r="U2108" s="35"/>
      <c r="V2108" s="35"/>
      <c r="W2108" s="35"/>
      <c r="X2108" s="35"/>
      <c r="Y2108" s="35"/>
      <c r="Z2108" s="35"/>
      <c r="AA2108" s="35"/>
      <c r="AB2108" s="35"/>
      <c r="AC2108" s="35"/>
      <c r="AD2108" s="35"/>
      <c r="AE2108" s="35"/>
      <c r="AF2108" s="35"/>
      <c r="AG2108" s="35"/>
      <c r="AH2108" s="35"/>
      <c r="AI2108" s="35"/>
      <c r="AJ2108" s="35"/>
      <c r="AK2108" s="35"/>
      <c r="AL2108" s="35"/>
      <c r="AM2108" s="35"/>
      <c r="AN2108" s="35"/>
      <c r="AO2108" s="35"/>
      <c r="AP2108" s="35"/>
    </row>
    <row r="2109" spans="1:42" ht="17.25" customHeight="1" x14ac:dyDescent="0.25">
      <c r="A2109" s="60">
        <v>2022</v>
      </c>
      <c r="B2109" s="61" t="s">
        <v>66</v>
      </c>
      <c r="C2109" s="61" t="s">
        <v>4</v>
      </c>
      <c r="D2109" s="61" t="s">
        <v>7</v>
      </c>
      <c r="E2109" s="61" t="s">
        <v>67</v>
      </c>
      <c r="F2109" s="61" t="s">
        <v>67</v>
      </c>
      <c r="G2109" s="62">
        <v>15554061326</v>
      </c>
      <c r="H2109" s="61" t="s">
        <v>68</v>
      </c>
      <c r="I2109" s="63" t="str">
        <f t="shared" si="136"/>
        <v>India-Offline</v>
      </c>
      <c r="J2109" s="47"/>
      <c r="K2109" s="54"/>
      <c r="L2109" s="35"/>
      <c r="M2109" s="35"/>
      <c r="N2109" s="35"/>
      <c r="O2109" s="35"/>
      <c r="P2109" s="35"/>
      <c r="Q2109" s="35"/>
      <c r="R2109" s="35"/>
      <c r="S2109" s="35"/>
      <c r="T2109" s="35"/>
      <c r="U2109" s="35"/>
      <c r="V2109" s="35"/>
      <c r="W2109" s="35"/>
      <c r="X2109" s="35"/>
      <c r="Y2109" s="35"/>
      <c r="Z2109" s="35"/>
      <c r="AA2109" s="35"/>
      <c r="AB2109" s="35"/>
      <c r="AC2109" s="35"/>
      <c r="AD2109" s="35"/>
      <c r="AE2109" s="35"/>
      <c r="AF2109" s="35"/>
      <c r="AG2109" s="35"/>
      <c r="AH2109" s="35"/>
      <c r="AI2109" s="35"/>
      <c r="AJ2109" s="35"/>
      <c r="AK2109" s="35"/>
      <c r="AL2109" s="35"/>
      <c r="AM2109" s="35"/>
      <c r="AN2109" s="35"/>
      <c r="AO2109" s="35"/>
      <c r="AP2109" s="35"/>
    </row>
    <row r="2110" spans="1:42" ht="17.25" customHeight="1" x14ac:dyDescent="0.25">
      <c r="A2110" s="55">
        <v>2022</v>
      </c>
      <c r="B2110" s="56" t="s">
        <v>66</v>
      </c>
      <c r="C2110" s="56" t="s">
        <v>4</v>
      </c>
      <c r="D2110" s="56" t="s">
        <v>7</v>
      </c>
      <c r="E2110" s="56" t="s">
        <v>69</v>
      </c>
      <c r="F2110" s="56" t="s">
        <v>70</v>
      </c>
      <c r="G2110" s="57">
        <v>8260008169</v>
      </c>
      <c r="H2110" s="56" t="s">
        <v>68</v>
      </c>
      <c r="I2110" s="58" t="str">
        <f t="shared" si="136"/>
        <v>India-Online Supplier-Direct</v>
      </c>
      <c r="J2110" s="40"/>
      <c r="K2110" s="59"/>
      <c r="L2110" s="35"/>
      <c r="M2110" s="35"/>
      <c r="N2110" s="35"/>
      <c r="O2110" s="35"/>
      <c r="P2110" s="35"/>
      <c r="Q2110" s="35"/>
      <c r="R2110" s="35"/>
      <c r="S2110" s="35"/>
      <c r="T2110" s="35"/>
      <c r="U2110" s="35"/>
      <c r="V2110" s="35"/>
      <c r="W2110" s="35"/>
      <c r="X2110" s="35"/>
      <c r="Y2110" s="35"/>
      <c r="Z2110" s="35"/>
      <c r="AA2110" s="35"/>
      <c r="AB2110" s="35"/>
      <c r="AC2110" s="35"/>
      <c r="AD2110" s="35"/>
      <c r="AE2110" s="35"/>
      <c r="AF2110" s="35"/>
      <c r="AG2110" s="35"/>
      <c r="AH2110" s="35"/>
      <c r="AI2110" s="35"/>
      <c r="AJ2110" s="35"/>
      <c r="AK2110" s="35"/>
      <c r="AL2110" s="35"/>
      <c r="AM2110" s="35"/>
      <c r="AN2110" s="35"/>
      <c r="AO2110" s="35"/>
      <c r="AP2110" s="35"/>
    </row>
    <row r="2111" spans="1:42" ht="17.25" customHeight="1" x14ac:dyDescent="0.25">
      <c r="A2111" s="60">
        <v>2022</v>
      </c>
      <c r="B2111" s="61" t="s">
        <v>66</v>
      </c>
      <c r="C2111" s="61" t="s">
        <v>4</v>
      </c>
      <c r="D2111" s="61" t="s">
        <v>7</v>
      </c>
      <c r="E2111" s="61" t="s">
        <v>69</v>
      </c>
      <c r="F2111" s="61" t="s">
        <v>71</v>
      </c>
      <c r="G2111" s="62">
        <v>10067518272</v>
      </c>
      <c r="H2111" s="61" t="s">
        <v>68</v>
      </c>
      <c r="I2111" s="63" t="str">
        <f t="shared" si="136"/>
        <v>India-OTA</v>
      </c>
      <c r="J2111" s="47"/>
      <c r="K2111" s="54"/>
      <c r="L2111" s="35"/>
      <c r="M2111" s="35"/>
      <c r="N2111" s="35"/>
      <c r="O2111" s="35"/>
      <c r="P2111" s="35"/>
      <c r="Q2111" s="35"/>
      <c r="R2111" s="35"/>
      <c r="S2111" s="35"/>
      <c r="T2111" s="35"/>
      <c r="U2111" s="35"/>
      <c r="V2111" s="35"/>
      <c r="W2111" s="35"/>
      <c r="X2111" s="35"/>
      <c r="Y2111" s="35"/>
      <c r="Z2111" s="35"/>
      <c r="AA2111" s="35"/>
      <c r="AB2111" s="35"/>
      <c r="AC2111" s="35"/>
      <c r="AD2111" s="35"/>
      <c r="AE2111" s="35"/>
      <c r="AF2111" s="35"/>
      <c r="AG2111" s="35"/>
      <c r="AH2111" s="35"/>
      <c r="AI2111" s="35"/>
      <c r="AJ2111" s="35"/>
      <c r="AK2111" s="35"/>
      <c r="AL2111" s="35"/>
      <c r="AM2111" s="35"/>
      <c r="AN2111" s="35"/>
      <c r="AO2111" s="35"/>
      <c r="AP2111" s="35"/>
    </row>
    <row r="2112" spans="1:42" ht="17.25" customHeight="1" x14ac:dyDescent="0.25">
      <c r="A2112" s="55">
        <v>2022</v>
      </c>
      <c r="B2112" s="56" t="s">
        <v>66</v>
      </c>
      <c r="C2112" s="56" t="s">
        <v>4</v>
      </c>
      <c r="D2112" s="56" t="s">
        <v>8</v>
      </c>
      <c r="E2112" s="56" t="s">
        <v>67</v>
      </c>
      <c r="F2112" s="56" t="s">
        <v>67</v>
      </c>
      <c r="G2112" s="57">
        <v>3758081631</v>
      </c>
      <c r="H2112" s="56" t="s">
        <v>68</v>
      </c>
      <c r="I2112" s="58" t="str">
        <f t="shared" si="136"/>
        <v>Indonesia-Offline</v>
      </c>
      <c r="J2112" s="40"/>
      <c r="K2112" s="59"/>
      <c r="L2112" s="35"/>
      <c r="M2112" s="35"/>
      <c r="N2112" s="35"/>
      <c r="O2112" s="35"/>
      <c r="P2112" s="35"/>
      <c r="Q2112" s="35"/>
      <c r="R2112" s="35"/>
      <c r="S2112" s="35"/>
      <c r="T2112" s="35"/>
      <c r="U2112" s="35"/>
      <c r="V2112" s="35"/>
      <c r="W2112" s="35"/>
      <c r="X2112" s="35"/>
      <c r="Y2112" s="35"/>
      <c r="Z2112" s="35"/>
      <c r="AA2112" s="35"/>
      <c r="AB2112" s="35"/>
      <c r="AC2112" s="35"/>
      <c r="AD2112" s="35"/>
      <c r="AE2112" s="35"/>
      <c r="AF2112" s="35"/>
      <c r="AG2112" s="35"/>
      <c r="AH2112" s="35"/>
      <c r="AI2112" s="35"/>
      <c r="AJ2112" s="35"/>
      <c r="AK2112" s="35"/>
      <c r="AL2112" s="35"/>
      <c r="AM2112" s="35"/>
      <c r="AN2112" s="35"/>
      <c r="AO2112" s="35"/>
      <c r="AP2112" s="35"/>
    </row>
    <row r="2113" spans="1:42" ht="17.25" customHeight="1" x14ac:dyDescent="0.25">
      <c r="A2113" s="60">
        <v>2022</v>
      </c>
      <c r="B2113" s="61" t="s">
        <v>66</v>
      </c>
      <c r="C2113" s="61" t="s">
        <v>4</v>
      </c>
      <c r="D2113" s="61" t="s">
        <v>8</v>
      </c>
      <c r="E2113" s="61" t="s">
        <v>69</v>
      </c>
      <c r="F2113" s="61" t="s">
        <v>70</v>
      </c>
      <c r="G2113" s="62">
        <v>1225977682</v>
      </c>
      <c r="H2113" s="61" t="s">
        <v>68</v>
      </c>
      <c r="I2113" s="63" t="str">
        <f t="shared" si="136"/>
        <v>Indonesia-Online Supplier-Direct</v>
      </c>
      <c r="J2113" s="47"/>
      <c r="K2113" s="54"/>
      <c r="L2113" s="35"/>
      <c r="M2113" s="35"/>
      <c r="N2113" s="35"/>
      <c r="O2113" s="35"/>
      <c r="P2113" s="35"/>
      <c r="Q2113" s="35"/>
      <c r="R2113" s="35"/>
      <c r="S2113" s="35"/>
      <c r="T2113" s="35"/>
      <c r="U2113" s="35"/>
      <c r="V2113" s="35"/>
      <c r="W2113" s="35"/>
      <c r="X2113" s="35"/>
      <c r="Y2113" s="35"/>
      <c r="Z2113" s="35"/>
      <c r="AA2113" s="35"/>
      <c r="AB2113" s="35"/>
      <c r="AC2113" s="35"/>
      <c r="AD2113" s="35"/>
      <c r="AE2113" s="35"/>
      <c r="AF2113" s="35"/>
      <c r="AG2113" s="35"/>
      <c r="AH2113" s="35"/>
      <c r="AI2113" s="35"/>
      <c r="AJ2113" s="35"/>
      <c r="AK2113" s="35"/>
      <c r="AL2113" s="35"/>
      <c r="AM2113" s="35"/>
      <c r="AN2113" s="35"/>
      <c r="AO2113" s="35"/>
      <c r="AP2113" s="35"/>
    </row>
    <row r="2114" spans="1:42" ht="17.25" customHeight="1" x14ac:dyDescent="0.25">
      <c r="A2114" s="55">
        <v>2022</v>
      </c>
      <c r="B2114" s="56" t="s">
        <v>66</v>
      </c>
      <c r="C2114" s="56" t="s">
        <v>4</v>
      </c>
      <c r="D2114" s="56" t="s">
        <v>8</v>
      </c>
      <c r="E2114" s="56" t="s">
        <v>69</v>
      </c>
      <c r="F2114" s="56" t="s">
        <v>71</v>
      </c>
      <c r="G2114" s="57">
        <v>3157773947</v>
      </c>
      <c r="H2114" s="56" t="s">
        <v>68</v>
      </c>
      <c r="I2114" s="58" t="str">
        <f t="shared" si="136"/>
        <v>Indonesia-OTA</v>
      </c>
      <c r="J2114" s="40"/>
      <c r="K2114" s="59"/>
      <c r="L2114" s="35"/>
      <c r="M2114" s="35"/>
      <c r="N2114" s="35"/>
      <c r="O2114" s="35"/>
      <c r="P2114" s="35"/>
      <c r="Q2114" s="35"/>
      <c r="R2114" s="35"/>
      <c r="S2114" s="35"/>
      <c r="T2114" s="35"/>
      <c r="U2114" s="35"/>
      <c r="V2114" s="35"/>
      <c r="W2114" s="35"/>
      <c r="X2114" s="35"/>
      <c r="Y2114" s="35"/>
      <c r="Z2114" s="35"/>
      <c r="AA2114" s="35"/>
      <c r="AB2114" s="35"/>
      <c r="AC2114" s="35"/>
      <c r="AD2114" s="35"/>
      <c r="AE2114" s="35"/>
      <c r="AF2114" s="35"/>
      <c r="AG2114" s="35"/>
      <c r="AH2114" s="35"/>
      <c r="AI2114" s="35"/>
      <c r="AJ2114" s="35"/>
      <c r="AK2114" s="35"/>
      <c r="AL2114" s="35"/>
      <c r="AM2114" s="35"/>
      <c r="AN2114" s="35"/>
      <c r="AO2114" s="35"/>
      <c r="AP2114" s="35"/>
    </row>
    <row r="2115" spans="1:42" ht="17.25" customHeight="1" x14ac:dyDescent="0.25">
      <c r="A2115" s="60">
        <v>2022</v>
      </c>
      <c r="B2115" s="61" t="s">
        <v>66</v>
      </c>
      <c r="C2115" s="61" t="s">
        <v>27</v>
      </c>
      <c r="D2115" s="61" t="s">
        <v>29</v>
      </c>
      <c r="E2115" s="61" t="s">
        <v>67</v>
      </c>
      <c r="F2115" s="61" t="s">
        <v>67</v>
      </c>
      <c r="G2115" s="62">
        <v>9761485887</v>
      </c>
      <c r="H2115" s="61" t="s">
        <v>68</v>
      </c>
      <c r="I2115" s="63" t="str">
        <f t="shared" si="136"/>
        <v>Italy-Offline</v>
      </c>
      <c r="J2115" s="47"/>
      <c r="K2115" s="54"/>
      <c r="L2115" s="35"/>
      <c r="M2115" s="35"/>
      <c r="N2115" s="35"/>
      <c r="O2115" s="35"/>
      <c r="P2115" s="35"/>
      <c r="Q2115" s="35"/>
      <c r="R2115" s="35"/>
      <c r="S2115" s="35"/>
      <c r="T2115" s="35"/>
      <c r="U2115" s="35"/>
      <c r="V2115" s="35"/>
      <c r="W2115" s="35"/>
      <c r="X2115" s="35"/>
      <c r="Y2115" s="35"/>
      <c r="Z2115" s="35"/>
      <c r="AA2115" s="35"/>
      <c r="AB2115" s="35"/>
      <c r="AC2115" s="35"/>
      <c r="AD2115" s="35"/>
      <c r="AE2115" s="35"/>
      <c r="AF2115" s="35"/>
      <c r="AG2115" s="35"/>
      <c r="AH2115" s="35"/>
      <c r="AI2115" s="35"/>
      <c r="AJ2115" s="35"/>
      <c r="AK2115" s="35"/>
      <c r="AL2115" s="35"/>
      <c r="AM2115" s="35"/>
      <c r="AN2115" s="35"/>
      <c r="AO2115" s="35"/>
      <c r="AP2115" s="35"/>
    </row>
    <row r="2116" spans="1:42" ht="17.25" customHeight="1" x14ac:dyDescent="0.25">
      <c r="A2116" s="55">
        <v>2022</v>
      </c>
      <c r="B2116" s="56" t="s">
        <v>66</v>
      </c>
      <c r="C2116" s="56" t="s">
        <v>27</v>
      </c>
      <c r="D2116" s="56" t="s">
        <v>29</v>
      </c>
      <c r="E2116" s="56" t="s">
        <v>69</v>
      </c>
      <c r="F2116" s="56" t="s">
        <v>70</v>
      </c>
      <c r="G2116" s="57">
        <v>6701710088</v>
      </c>
      <c r="H2116" s="56" t="s">
        <v>68</v>
      </c>
      <c r="I2116" s="58" t="str">
        <f t="shared" si="136"/>
        <v>Italy-Online Supplier-Direct</v>
      </c>
      <c r="J2116" s="40"/>
      <c r="K2116" s="59"/>
      <c r="L2116" s="35"/>
      <c r="M2116" s="35"/>
      <c r="N2116" s="35"/>
      <c r="O2116" s="35"/>
      <c r="P2116" s="35"/>
      <c r="Q2116" s="35"/>
      <c r="R2116" s="35"/>
      <c r="S2116" s="35"/>
      <c r="T2116" s="35"/>
      <c r="U2116" s="35"/>
      <c r="V2116" s="35"/>
      <c r="W2116" s="35"/>
      <c r="X2116" s="35"/>
      <c r="Y2116" s="35"/>
      <c r="Z2116" s="35"/>
      <c r="AA2116" s="35"/>
      <c r="AB2116" s="35"/>
      <c r="AC2116" s="35"/>
      <c r="AD2116" s="35"/>
      <c r="AE2116" s="35"/>
      <c r="AF2116" s="35"/>
      <c r="AG2116" s="35"/>
      <c r="AH2116" s="35"/>
      <c r="AI2116" s="35"/>
      <c r="AJ2116" s="35"/>
      <c r="AK2116" s="35"/>
      <c r="AL2116" s="35"/>
      <c r="AM2116" s="35"/>
      <c r="AN2116" s="35"/>
      <c r="AO2116" s="35"/>
      <c r="AP2116" s="35"/>
    </row>
    <row r="2117" spans="1:42" ht="17.25" customHeight="1" x14ac:dyDescent="0.25">
      <c r="A2117" s="60">
        <v>2022</v>
      </c>
      <c r="B2117" s="61" t="s">
        <v>66</v>
      </c>
      <c r="C2117" s="61" t="s">
        <v>27</v>
      </c>
      <c r="D2117" s="61" t="s">
        <v>29</v>
      </c>
      <c r="E2117" s="61" t="s">
        <v>69</v>
      </c>
      <c r="F2117" s="61" t="s">
        <v>71</v>
      </c>
      <c r="G2117" s="62">
        <v>4539126617</v>
      </c>
      <c r="H2117" s="61" t="s">
        <v>68</v>
      </c>
      <c r="I2117" s="63" t="str">
        <f t="shared" si="136"/>
        <v>Italy-OTA</v>
      </c>
      <c r="J2117" s="47"/>
      <c r="K2117" s="54"/>
      <c r="L2117" s="35"/>
      <c r="M2117" s="35"/>
      <c r="N2117" s="35"/>
      <c r="O2117" s="35"/>
      <c r="P2117" s="35"/>
      <c r="Q2117" s="35"/>
      <c r="R2117" s="35"/>
      <c r="S2117" s="35"/>
      <c r="T2117" s="35"/>
      <c r="U2117" s="35"/>
      <c r="V2117" s="35"/>
      <c r="W2117" s="35"/>
      <c r="X2117" s="35"/>
      <c r="Y2117" s="35"/>
      <c r="Z2117" s="35"/>
      <c r="AA2117" s="35"/>
      <c r="AB2117" s="35"/>
      <c r="AC2117" s="35"/>
      <c r="AD2117" s="35"/>
      <c r="AE2117" s="35"/>
      <c r="AF2117" s="35"/>
      <c r="AG2117" s="35"/>
      <c r="AH2117" s="35"/>
      <c r="AI2117" s="35"/>
      <c r="AJ2117" s="35"/>
      <c r="AK2117" s="35"/>
      <c r="AL2117" s="35"/>
      <c r="AM2117" s="35"/>
      <c r="AN2117" s="35"/>
      <c r="AO2117" s="35"/>
      <c r="AP2117" s="35"/>
    </row>
    <row r="2118" spans="1:42" ht="17.25" customHeight="1" x14ac:dyDescent="0.25">
      <c r="A2118" s="55">
        <v>2022</v>
      </c>
      <c r="B2118" s="56" t="s">
        <v>66</v>
      </c>
      <c r="C2118" s="56" t="s">
        <v>4</v>
      </c>
      <c r="D2118" s="56" t="s">
        <v>9</v>
      </c>
      <c r="E2118" s="56" t="s">
        <v>67</v>
      </c>
      <c r="F2118" s="56" t="s">
        <v>67</v>
      </c>
      <c r="G2118" s="57">
        <v>29613786916</v>
      </c>
      <c r="H2118" s="56" t="s">
        <v>68</v>
      </c>
      <c r="I2118" s="58" t="str">
        <f t="shared" si="136"/>
        <v>Japan-Offline</v>
      </c>
      <c r="J2118" s="40"/>
      <c r="K2118" s="59"/>
      <c r="L2118" s="35"/>
      <c r="M2118" s="35"/>
      <c r="N2118" s="35"/>
      <c r="O2118" s="35"/>
      <c r="P2118" s="35"/>
      <c r="Q2118" s="35"/>
      <c r="R2118" s="35"/>
      <c r="S2118" s="35"/>
      <c r="T2118" s="35"/>
      <c r="U2118" s="35"/>
      <c r="V2118" s="35"/>
      <c r="W2118" s="35"/>
      <c r="X2118" s="35"/>
      <c r="Y2118" s="35"/>
      <c r="Z2118" s="35"/>
      <c r="AA2118" s="35"/>
      <c r="AB2118" s="35"/>
      <c r="AC2118" s="35"/>
      <c r="AD2118" s="35"/>
      <c r="AE2118" s="35"/>
      <c r="AF2118" s="35"/>
      <c r="AG2118" s="35"/>
      <c r="AH2118" s="35"/>
      <c r="AI2118" s="35"/>
      <c r="AJ2118" s="35"/>
      <c r="AK2118" s="35"/>
      <c r="AL2118" s="35"/>
      <c r="AM2118" s="35"/>
      <c r="AN2118" s="35"/>
      <c r="AO2118" s="35"/>
      <c r="AP2118" s="35"/>
    </row>
    <row r="2119" spans="1:42" ht="17.25" customHeight="1" x14ac:dyDescent="0.25">
      <c r="A2119" s="60">
        <v>2022</v>
      </c>
      <c r="B2119" s="61" t="s">
        <v>66</v>
      </c>
      <c r="C2119" s="61" t="s">
        <v>4</v>
      </c>
      <c r="D2119" s="61" t="s">
        <v>9</v>
      </c>
      <c r="E2119" s="61" t="s">
        <v>69</v>
      </c>
      <c r="F2119" s="61" t="s">
        <v>70</v>
      </c>
      <c r="G2119" s="62">
        <v>18675898437</v>
      </c>
      <c r="H2119" s="61" t="s">
        <v>68</v>
      </c>
      <c r="I2119" s="63" t="str">
        <f t="shared" si="136"/>
        <v>Japan-Online Supplier-Direct</v>
      </c>
      <c r="J2119" s="47"/>
      <c r="K2119" s="54"/>
      <c r="L2119" s="35"/>
      <c r="M2119" s="35"/>
      <c r="N2119" s="35"/>
      <c r="O2119" s="35"/>
      <c r="P2119" s="35"/>
      <c r="Q2119" s="35"/>
      <c r="R2119" s="35"/>
      <c r="S2119" s="35"/>
      <c r="T2119" s="35"/>
      <c r="U2119" s="35"/>
      <c r="V2119" s="35"/>
      <c r="W2119" s="35"/>
      <c r="X2119" s="35"/>
      <c r="Y2119" s="35"/>
      <c r="Z2119" s="35"/>
      <c r="AA2119" s="35"/>
      <c r="AB2119" s="35"/>
      <c r="AC2119" s="35"/>
      <c r="AD2119" s="35"/>
      <c r="AE2119" s="35"/>
      <c r="AF2119" s="35"/>
      <c r="AG2119" s="35"/>
      <c r="AH2119" s="35"/>
      <c r="AI2119" s="35"/>
      <c r="AJ2119" s="35"/>
      <c r="AK2119" s="35"/>
      <c r="AL2119" s="35"/>
      <c r="AM2119" s="35"/>
      <c r="AN2119" s="35"/>
      <c r="AO2119" s="35"/>
      <c r="AP2119" s="35"/>
    </row>
    <row r="2120" spans="1:42" ht="17.25" customHeight="1" x14ac:dyDescent="0.25">
      <c r="A2120" s="55">
        <v>2022</v>
      </c>
      <c r="B2120" s="56" t="s">
        <v>66</v>
      </c>
      <c r="C2120" s="56" t="s">
        <v>4</v>
      </c>
      <c r="D2120" s="56" t="s">
        <v>9</v>
      </c>
      <c r="E2120" s="56" t="s">
        <v>69</v>
      </c>
      <c r="F2120" s="56" t="s">
        <v>71</v>
      </c>
      <c r="G2120" s="57">
        <v>14492063898</v>
      </c>
      <c r="H2120" s="56" t="s">
        <v>68</v>
      </c>
      <c r="I2120" s="58" t="str">
        <f t="shared" si="136"/>
        <v>Japan-OTA</v>
      </c>
      <c r="J2120" s="40"/>
      <c r="K2120" s="59"/>
      <c r="L2120" s="35"/>
      <c r="M2120" s="35"/>
      <c r="N2120" s="35"/>
      <c r="O2120" s="35"/>
      <c r="P2120" s="35"/>
      <c r="Q2120" s="35"/>
      <c r="R2120" s="35"/>
      <c r="S2120" s="35"/>
      <c r="T2120" s="35"/>
      <c r="U2120" s="35"/>
      <c r="V2120" s="35"/>
      <c r="W2120" s="35"/>
      <c r="X2120" s="35"/>
      <c r="Y2120" s="35"/>
      <c r="Z2120" s="35"/>
      <c r="AA2120" s="35"/>
      <c r="AB2120" s="35"/>
      <c r="AC2120" s="35"/>
      <c r="AD2120" s="35"/>
      <c r="AE2120" s="35"/>
      <c r="AF2120" s="35"/>
      <c r="AG2120" s="35"/>
      <c r="AH2120" s="35"/>
      <c r="AI2120" s="35"/>
      <c r="AJ2120" s="35"/>
      <c r="AK2120" s="35"/>
      <c r="AL2120" s="35"/>
      <c r="AM2120" s="35"/>
      <c r="AN2120" s="35"/>
      <c r="AO2120" s="35"/>
      <c r="AP2120" s="35"/>
    </row>
    <row r="2121" spans="1:42" ht="17.25" customHeight="1" x14ac:dyDescent="0.25">
      <c r="A2121" s="60">
        <v>2022</v>
      </c>
      <c r="B2121" s="61" t="s">
        <v>66</v>
      </c>
      <c r="C2121" s="61" t="s">
        <v>4</v>
      </c>
      <c r="D2121" s="61" t="s">
        <v>10</v>
      </c>
      <c r="E2121" s="61" t="s">
        <v>67</v>
      </c>
      <c r="F2121" s="61" t="s">
        <v>67</v>
      </c>
      <c r="G2121" s="62">
        <v>232718340</v>
      </c>
      <c r="H2121" s="61" t="s">
        <v>68</v>
      </c>
      <c r="I2121" s="63" t="str">
        <f t="shared" si="136"/>
        <v>Macau-Offline</v>
      </c>
      <c r="J2121" s="47"/>
      <c r="K2121" s="54"/>
      <c r="L2121" s="35"/>
      <c r="M2121" s="35"/>
      <c r="N2121" s="35"/>
      <c r="O2121" s="35"/>
      <c r="P2121" s="35"/>
      <c r="Q2121" s="35"/>
      <c r="R2121" s="35"/>
      <c r="S2121" s="35"/>
      <c r="T2121" s="35"/>
      <c r="U2121" s="35"/>
      <c r="V2121" s="35"/>
      <c r="W2121" s="35"/>
      <c r="X2121" s="35"/>
      <c r="Y2121" s="35"/>
      <c r="Z2121" s="35"/>
      <c r="AA2121" s="35"/>
      <c r="AB2121" s="35"/>
      <c r="AC2121" s="35"/>
      <c r="AD2121" s="35"/>
      <c r="AE2121" s="35"/>
      <c r="AF2121" s="35"/>
      <c r="AG2121" s="35"/>
      <c r="AH2121" s="35"/>
      <c r="AI2121" s="35"/>
      <c r="AJ2121" s="35"/>
      <c r="AK2121" s="35"/>
      <c r="AL2121" s="35"/>
      <c r="AM2121" s="35"/>
      <c r="AN2121" s="35"/>
      <c r="AO2121" s="35"/>
      <c r="AP2121" s="35"/>
    </row>
    <row r="2122" spans="1:42" ht="17.25" customHeight="1" x14ac:dyDescent="0.25">
      <c r="A2122" s="55">
        <v>2022</v>
      </c>
      <c r="B2122" s="56" t="s">
        <v>66</v>
      </c>
      <c r="C2122" s="56" t="s">
        <v>4</v>
      </c>
      <c r="D2122" s="56" t="s">
        <v>10</v>
      </c>
      <c r="E2122" s="56" t="s">
        <v>69</v>
      </c>
      <c r="F2122" s="56" t="s">
        <v>70</v>
      </c>
      <c r="G2122" s="57">
        <v>27926201</v>
      </c>
      <c r="H2122" s="56" t="s">
        <v>68</v>
      </c>
      <c r="I2122" s="58" t="str">
        <f t="shared" si="136"/>
        <v>Macau-Online Supplier-Direct</v>
      </c>
      <c r="J2122" s="40"/>
      <c r="K2122" s="59"/>
      <c r="L2122" s="35"/>
      <c r="M2122" s="35"/>
      <c r="N2122" s="35"/>
      <c r="O2122" s="35"/>
      <c r="P2122" s="35"/>
      <c r="Q2122" s="35"/>
      <c r="R2122" s="35"/>
      <c r="S2122" s="35"/>
      <c r="T2122" s="35"/>
      <c r="U2122" s="35"/>
      <c r="V2122" s="35"/>
      <c r="W2122" s="35"/>
      <c r="X2122" s="35"/>
      <c r="Y2122" s="35"/>
      <c r="Z2122" s="35"/>
      <c r="AA2122" s="35"/>
      <c r="AB2122" s="35"/>
      <c r="AC2122" s="35"/>
      <c r="AD2122" s="35"/>
      <c r="AE2122" s="35"/>
      <c r="AF2122" s="35"/>
      <c r="AG2122" s="35"/>
      <c r="AH2122" s="35"/>
      <c r="AI2122" s="35"/>
      <c r="AJ2122" s="35"/>
      <c r="AK2122" s="35"/>
      <c r="AL2122" s="35"/>
      <c r="AM2122" s="35"/>
      <c r="AN2122" s="35"/>
      <c r="AO2122" s="35"/>
      <c r="AP2122" s="35"/>
    </row>
    <row r="2123" spans="1:42" ht="17.25" customHeight="1" x14ac:dyDescent="0.25">
      <c r="A2123" s="60">
        <v>2022</v>
      </c>
      <c r="B2123" s="61" t="s">
        <v>66</v>
      </c>
      <c r="C2123" s="61" t="s">
        <v>4</v>
      </c>
      <c r="D2123" s="61" t="s">
        <v>10</v>
      </c>
      <c r="E2123" s="61" t="s">
        <v>69</v>
      </c>
      <c r="F2123" s="61" t="s">
        <v>71</v>
      </c>
      <c r="G2123" s="62">
        <v>204792139</v>
      </c>
      <c r="H2123" s="61" t="s">
        <v>68</v>
      </c>
      <c r="I2123" s="63" t="str">
        <f t="shared" si="136"/>
        <v>Macau-OTA</v>
      </c>
      <c r="J2123" s="47"/>
      <c r="K2123" s="54"/>
      <c r="L2123" s="35"/>
      <c r="M2123" s="35"/>
      <c r="N2123" s="35"/>
      <c r="O2123" s="35"/>
      <c r="P2123" s="35"/>
      <c r="Q2123" s="35"/>
      <c r="R2123" s="35"/>
      <c r="S2123" s="35"/>
      <c r="T2123" s="35"/>
      <c r="U2123" s="35"/>
      <c r="V2123" s="35"/>
      <c r="W2123" s="35"/>
      <c r="X2123" s="35"/>
      <c r="Y2123" s="35"/>
      <c r="Z2123" s="35"/>
      <c r="AA2123" s="35"/>
      <c r="AB2123" s="35"/>
      <c r="AC2123" s="35"/>
      <c r="AD2123" s="35"/>
      <c r="AE2123" s="35"/>
      <c r="AF2123" s="35"/>
      <c r="AG2123" s="35"/>
      <c r="AH2123" s="35"/>
      <c r="AI2123" s="35"/>
      <c r="AJ2123" s="35"/>
      <c r="AK2123" s="35"/>
      <c r="AL2123" s="35"/>
      <c r="AM2123" s="35"/>
      <c r="AN2123" s="35"/>
      <c r="AO2123" s="35"/>
      <c r="AP2123" s="35"/>
    </row>
    <row r="2124" spans="1:42" ht="17.25" customHeight="1" x14ac:dyDescent="0.25">
      <c r="A2124" s="55">
        <v>2022</v>
      </c>
      <c r="B2124" s="56" t="s">
        <v>66</v>
      </c>
      <c r="C2124" s="56" t="s">
        <v>4</v>
      </c>
      <c r="D2124" s="56" t="s">
        <v>11</v>
      </c>
      <c r="E2124" s="56" t="s">
        <v>67</v>
      </c>
      <c r="F2124" s="56" t="s">
        <v>67</v>
      </c>
      <c r="G2124" s="57">
        <v>2698158322</v>
      </c>
      <c r="H2124" s="56" t="s">
        <v>68</v>
      </c>
      <c r="I2124" s="58" t="str">
        <f t="shared" si="136"/>
        <v>Malaysia-Offline</v>
      </c>
      <c r="J2124" s="40"/>
      <c r="K2124" s="59"/>
      <c r="L2124" s="35"/>
      <c r="M2124" s="35"/>
      <c r="N2124" s="35"/>
      <c r="O2124" s="35"/>
      <c r="P2124" s="35"/>
      <c r="Q2124" s="35"/>
      <c r="R2124" s="35"/>
      <c r="S2124" s="35"/>
      <c r="T2124" s="35"/>
      <c r="U2124" s="35"/>
      <c r="V2124" s="35"/>
      <c r="W2124" s="35"/>
      <c r="X2124" s="35"/>
      <c r="Y2124" s="35"/>
      <c r="Z2124" s="35"/>
      <c r="AA2124" s="35"/>
      <c r="AB2124" s="35"/>
      <c r="AC2124" s="35"/>
      <c r="AD2124" s="35"/>
      <c r="AE2124" s="35"/>
      <c r="AF2124" s="35"/>
      <c r="AG2124" s="35"/>
      <c r="AH2124" s="35"/>
      <c r="AI2124" s="35"/>
      <c r="AJ2124" s="35"/>
      <c r="AK2124" s="35"/>
      <c r="AL2124" s="35"/>
      <c r="AM2124" s="35"/>
      <c r="AN2124" s="35"/>
      <c r="AO2124" s="35"/>
      <c r="AP2124" s="35"/>
    </row>
    <row r="2125" spans="1:42" ht="17.25" customHeight="1" x14ac:dyDescent="0.25">
      <c r="A2125" s="60">
        <v>2022</v>
      </c>
      <c r="B2125" s="61" t="s">
        <v>66</v>
      </c>
      <c r="C2125" s="61" t="s">
        <v>4</v>
      </c>
      <c r="D2125" s="61" t="s">
        <v>11</v>
      </c>
      <c r="E2125" s="61" t="s">
        <v>69</v>
      </c>
      <c r="F2125" s="61" t="s">
        <v>70</v>
      </c>
      <c r="G2125" s="62">
        <v>1833177471</v>
      </c>
      <c r="H2125" s="61" t="s">
        <v>68</v>
      </c>
      <c r="I2125" s="63" t="str">
        <f t="shared" si="136"/>
        <v>Malaysia-Online Supplier-Direct</v>
      </c>
      <c r="J2125" s="47"/>
      <c r="K2125" s="54"/>
      <c r="L2125" s="35"/>
      <c r="M2125" s="35"/>
      <c r="N2125" s="35"/>
      <c r="O2125" s="35"/>
      <c r="P2125" s="35"/>
      <c r="Q2125" s="35"/>
      <c r="R2125" s="35"/>
      <c r="S2125" s="35"/>
      <c r="T2125" s="35"/>
      <c r="U2125" s="35"/>
      <c r="V2125" s="35"/>
      <c r="W2125" s="35"/>
      <c r="X2125" s="35"/>
      <c r="Y2125" s="35"/>
      <c r="Z2125" s="35"/>
      <c r="AA2125" s="35"/>
      <c r="AB2125" s="35"/>
      <c r="AC2125" s="35"/>
      <c r="AD2125" s="35"/>
      <c r="AE2125" s="35"/>
      <c r="AF2125" s="35"/>
      <c r="AG2125" s="35"/>
      <c r="AH2125" s="35"/>
      <c r="AI2125" s="35"/>
      <c r="AJ2125" s="35"/>
      <c r="AK2125" s="35"/>
      <c r="AL2125" s="35"/>
      <c r="AM2125" s="35"/>
      <c r="AN2125" s="35"/>
      <c r="AO2125" s="35"/>
      <c r="AP2125" s="35"/>
    </row>
    <row r="2126" spans="1:42" ht="17.25" customHeight="1" x14ac:dyDescent="0.25">
      <c r="A2126" s="55">
        <v>2022</v>
      </c>
      <c r="B2126" s="56" t="s">
        <v>66</v>
      </c>
      <c r="C2126" s="56" t="s">
        <v>4</v>
      </c>
      <c r="D2126" s="56" t="s">
        <v>11</v>
      </c>
      <c r="E2126" s="56" t="s">
        <v>69</v>
      </c>
      <c r="F2126" s="56" t="s">
        <v>71</v>
      </c>
      <c r="G2126" s="57">
        <v>1533610757</v>
      </c>
      <c r="H2126" s="56" t="s">
        <v>68</v>
      </c>
      <c r="I2126" s="58" t="str">
        <f t="shared" si="136"/>
        <v>Malaysia-OTA</v>
      </c>
      <c r="J2126" s="40"/>
      <c r="K2126" s="59"/>
      <c r="L2126" s="35"/>
      <c r="M2126" s="35"/>
      <c r="N2126" s="35"/>
      <c r="O2126" s="35"/>
      <c r="P2126" s="35"/>
      <c r="Q2126" s="35"/>
      <c r="R2126" s="35"/>
      <c r="S2126" s="35"/>
      <c r="T2126" s="35"/>
      <c r="U2126" s="35"/>
      <c r="V2126" s="35"/>
      <c r="W2126" s="35"/>
      <c r="X2126" s="35"/>
      <c r="Y2126" s="35"/>
      <c r="Z2126" s="35"/>
      <c r="AA2126" s="35"/>
      <c r="AB2126" s="35"/>
      <c r="AC2126" s="35"/>
      <c r="AD2126" s="35"/>
      <c r="AE2126" s="35"/>
      <c r="AF2126" s="35"/>
      <c r="AG2126" s="35"/>
      <c r="AH2126" s="35"/>
      <c r="AI2126" s="35"/>
      <c r="AJ2126" s="35"/>
      <c r="AK2126" s="35"/>
      <c r="AL2126" s="35"/>
      <c r="AM2126" s="35"/>
      <c r="AN2126" s="35"/>
      <c r="AO2126" s="35"/>
      <c r="AP2126" s="35"/>
    </row>
    <row r="2127" spans="1:42" ht="17.25" customHeight="1" x14ac:dyDescent="0.25">
      <c r="A2127" s="60">
        <v>2022</v>
      </c>
      <c r="B2127" s="61" t="s">
        <v>66</v>
      </c>
      <c r="C2127" s="61" t="s">
        <v>35</v>
      </c>
      <c r="D2127" s="61" t="s">
        <v>39</v>
      </c>
      <c r="E2127" s="61" t="s">
        <v>67</v>
      </c>
      <c r="F2127" s="61" t="s">
        <v>67</v>
      </c>
      <c r="G2127" s="62">
        <v>12926014486</v>
      </c>
      <c r="H2127" s="61" t="s">
        <v>68</v>
      </c>
      <c r="I2127" s="63" t="str">
        <f t="shared" si="136"/>
        <v>Mexico-Offline</v>
      </c>
      <c r="J2127" s="47"/>
      <c r="K2127" s="54"/>
      <c r="L2127" s="35"/>
      <c r="M2127" s="35"/>
      <c r="N2127" s="35"/>
      <c r="O2127" s="35"/>
      <c r="P2127" s="35"/>
      <c r="Q2127" s="35"/>
      <c r="R2127" s="35"/>
      <c r="S2127" s="35"/>
      <c r="T2127" s="35"/>
      <c r="U2127" s="35"/>
      <c r="V2127" s="35"/>
      <c r="W2127" s="35"/>
      <c r="X2127" s="35"/>
      <c r="Y2127" s="35"/>
      <c r="Z2127" s="35"/>
      <c r="AA2127" s="35"/>
      <c r="AB2127" s="35"/>
      <c r="AC2127" s="35"/>
      <c r="AD2127" s="35"/>
      <c r="AE2127" s="35"/>
      <c r="AF2127" s="35"/>
      <c r="AG2127" s="35"/>
      <c r="AH2127" s="35"/>
      <c r="AI2127" s="35"/>
      <c r="AJ2127" s="35"/>
      <c r="AK2127" s="35"/>
      <c r="AL2127" s="35"/>
      <c r="AM2127" s="35"/>
      <c r="AN2127" s="35"/>
      <c r="AO2127" s="35"/>
      <c r="AP2127" s="35"/>
    </row>
    <row r="2128" spans="1:42" ht="17.25" customHeight="1" x14ac:dyDescent="0.25">
      <c r="A2128" s="55">
        <v>2022</v>
      </c>
      <c r="B2128" s="56" t="s">
        <v>66</v>
      </c>
      <c r="C2128" s="56" t="s">
        <v>35</v>
      </c>
      <c r="D2128" s="56" t="s">
        <v>39</v>
      </c>
      <c r="E2128" s="56" t="s">
        <v>69</v>
      </c>
      <c r="F2128" s="56" t="s">
        <v>70</v>
      </c>
      <c r="G2128" s="57">
        <v>5532449468</v>
      </c>
      <c r="H2128" s="56" t="s">
        <v>68</v>
      </c>
      <c r="I2128" s="58" t="str">
        <f t="shared" si="136"/>
        <v>Mexico-Online Supplier-Direct</v>
      </c>
      <c r="J2128" s="40"/>
      <c r="K2128" s="59"/>
      <c r="L2128" s="35"/>
      <c r="M2128" s="35"/>
      <c r="N2128" s="35"/>
      <c r="O2128" s="35"/>
      <c r="P2128" s="35"/>
      <c r="Q2128" s="35"/>
      <c r="R2128" s="35"/>
      <c r="S2128" s="35"/>
      <c r="T2128" s="35"/>
      <c r="U2128" s="35"/>
      <c r="V2128" s="35"/>
      <c r="W2128" s="35"/>
      <c r="X2128" s="35"/>
      <c r="Y2128" s="35"/>
      <c r="Z2128" s="35"/>
      <c r="AA2128" s="35"/>
      <c r="AB2128" s="35"/>
      <c r="AC2128" s="35"/>
      <c r="AD2128" s="35"/>
      <c r="AE2128" s="35"/>
      <c r="AF2128" s="35"/>
      <c r="AG2128" s="35"/>
      <c r="AH2128" s="35"/>
      <c r="AI2128" s="35"/>
      <c r="AJ2128" s="35"/>
      <c r="AK2128" s="35"/>
      <c r="AL2128" s="35"/>
      <c r="AM2128" s="35"/>
      <c r="AN2128" s="35"/>
      <c r="AO2128" s="35"/>
      <c r="AP2128" s="35"/>
    </row>
    <row r="2129" spans="1:42" ht="17.25" customHeight="1" x14ac:dyDescent="0.25">
      <c r="A2129" s="60">
        <v>2022</v>
      </c>
      <c r="B2129" s="61" t="s">
        <v>66</v>
      </c>
      <c r="C2129" s="61" t="s">
        <v>35</v>
      </c>
      <c r="D2129" s="61" t="s">
        <v>39</v>
      </c>
      <c r="E2129" s="61" t="s">
        <v>69</v>
      </c>
      <c r="F2129" s="61" t="s">
        <v>71</v>
      </c>
      <c r="G2129" s="62">
        <v>6125103586</v>
      </c>
      <c r="H2129" s="61" t="s">
        <v>68</v>
      </c>
      <c r="I2129" s="63" t="str">
        <f t="shared" si="136"/>
        <v>Mexico-OTA</v>
      </c>
      <c r="J2129" s="47"/>
      <c r="K2129" s="54"/>
      <c r="L2129" s="35"/>
      <c r="M2129" s="35"/>
      <c r="N2129" s="35"/>
      <c r="O2129" s="35"/>
      <c r="P2129" s="35"/>
      <c r="Q2129" s="35"/>
      <c r="R2129" s="35"/>
      <c r="S2129" s="35"/>
      <c r="T2129" s="35"/>
      <c r="U2129" s="35"/>
      <c r="V2129" s="35"/>
      <c r="W2129" s="35"/>
      <c r="X2129" s="35"/>
      <c r="Y2129" s="35"/>
      <c r="Z2129" s="35"/>
      <c r="AA2129" s="35"/>
      <c r="AB2129" s="35"/>
      <c r="AC2129" s="35"/>
      <c r="AD2129" s="35"/>
      <c r="AE2129" s="35"/>
      <c r="AF2129" s="35"/>
      <c r="AG2129" s="35"/>
      <c r="AH2129" s="35"/>
      <c r="AI2129" s="35"/>
      <c r="AJ2129" s="35"/>
      <c r="AK2129" s="35"/>
      <c r="AL2129" s="35"/>
      <c r="AM2129" s="35"/>
      <c r="AN2129" s="35"/>
      <c r="AO2129" s="35"/>
      <c r="AP2129" s="35"/>
    </row>
    <row r="2130" spans="1:42" ht="17.25" customHeight="1" x14ac:dyDescent="0.25">
      <c r="A2130" s="55">
        <v>2022</v>
      </c>
      <c r="B2130" s="56" t="s">
        <v>66</v>
      </c>
      <c r="C2130" s="56" t="s">
        <v>17</v>
      </c>
      <c r="D2130" s="56" t="s">
        <v>21</v>
      </c>
      <c r="E2130" s="56" t="s">
        <v>67</v>
      </c>
      <c r="F2130" s="56" t="s">
        <v>67</v>
      </c>
      <c r="G2130" s="57">
        <v>2209696922</v>
      </c>
      <c r="H2130" s="56" t="s">
        <v>68</v>
      </c>
      <c r="I2130" s="58" t="str">
        <f t="shared" si="136"/>
        <v>Poland-Offline</v>
      </c>
      <c r="J2130" s="40"/>
      <c r="K2130" s="59"/>
      <c r="L2130" s="35"/>
      <c r="M2130" s="35"/>
      <c r="N2130" s="35"/>
      <c r="O2130" s="35"/>
      <c r="P2130" s="35"/>
      <c r="Q2130" s="35"/>
      <c r="R2130" s="35"/>
      <c r="S2130" s="35"/>
      <c r="T2130" s="35"/>
      <c r="U2130" s="35"/>
      <c r="V2130" s="35"/>
      <c r="W2130" s="35"/>
      <c r="X2130" s="35"/>
      <c r="Y2130" s="35"/>
      <c r="Z2130" s="35"/>
      <c r="AA2130" s="35"/>
      <c r="AB2130" s="35"/>
      <c r="AC2130" s="35"/>
      <c r="AD2130" s="35"/>
      <c r="AE2130" s="35"/>
      <c r="AF2130" s="35"/>
      <c r="AG2130" s="35"/>
      <c r="AH2130" s="35"/>
      <c r="AI2130" s="35"/>
      <c r="AJ2130" s="35"/>
      <c r="AK2130" s="35"/>
      <c r="AL2130" s="35"/>
      <c r="AM2130" s="35"/>
      <c r="AN2130" s="35"/>
      <c r="AO2130" s="35"/>
      <c r="AP2130" s="35"/>
    </row>
    <row r="2131" spans="1:42" ht="17.25" customHeight="1" x14ac:dyDescent="0.25">
      <c r="A2131" s="60">
        <v>2022</v>
      </c>
      <c r="B2131" s="61" t="s">
        <v>66</v>
      </c>
      <c r="C2131" s="61" t="s">
        <v>17</v>
      </c>
      <c r="D2131" s="61" t="s">
        <v>21</v>
      </c>
      <c r="E2131" s="61" t="s">
        <v>69</v>
      </c>
      <c r="F2131" s="61" t="s">
        <v>70</v>
      </c>
      <c r="G2131" s="62">
        <v>1259618243</v>
      </c>
      <c r="H2131" s="61" t="s">
        <v>68</v>
      </c>
      <c r="I2131" s="63" t="str">
        <f t="shared" si="136"/>
        <v>Poland-Online Supplier-Direct</v>
      </c>
      <c r="J2131" s="47"/>
      <c r="K2131" s="54"/>
      <c r="L2131" s="35"/>
      <c r="M2131" s="35"/>
      <c r="N2131" s="35"/>
      <c r="O2131" s="35"/>
      <c r="P2131" s="35"/>
      <c r="Q2131" s="35"/>
      <c r="R2131" s="35"/>
      <c r="S2131" s="35"/>
      <c r="T2131" s="35"/>
      <c r="U2131" s="35"/>
      <c r="V2131" s="35"/>
      <c r="W2131" s="35"/>
      <c r="X2131" s="35"/>
      <c r="Y2131" s="35"/>
      <c r="Z2131" s="35"/>
      <c r="AA2131" s="35"/>
      <c r="AB2131" s="35"/>
      <c r="AC2131" s="35"/>
      <c r="AD2131" s="35"/>
      <c r="AE2131" s="35"/>
      <c r="AF2131" s="35"/>
      <c r="AG2131" s="35"/>
      <c r="AH2131" s="35"/>
      <c r="AI2131" s="35"/>
      <c r="AJ2131" s="35"/>
      <c r="AK2131" s="35"/>
      <c r="AL2131" s="35"/>
      <c r="AM2131" s="35"/>
      <c r="AN2131" s="35"/>
      <c r="AO2131" s="35"/>
      <c r="AP2131" s="35"/>
    </row>
    <row r="2132" spans="1:42" ht="17.25" customHeight="1" x14ac:dyDescent="0.25">
      <c r="A2132" s="55">
        <v>2022</v>
      </c>
      <c r="B2132" s="56" t="s">
        <v>66</v>
      </c>
      <c r="C2132" s="56" t="s">
        <v>17</v>
      </c>
      <c r="D2132" s="56" t="s">
        <v>21</v>
      </c>
      <c r="E2132" s="56" t="s">
        <v>69</v>
      </c>
      <c r="F2132" s="56" t="s">
        <v>71</v>
      </c>
      <c r="G2132" s="57">
        <v>1061643974</v>
      </c>
      <c r="H2132" s="56" t="s">
        <v>68</v>
      </c>
      <c r="I2132" s="58" t="str">
        <f t="shared" si="136"/>
        <v>Poland-OTA</v>
      </c>
      <c r="J2132" s="40"/>
      <c r="K2132" s="59"/>
      <c r="L2132" s="35"/>
      <c r="M2132" s="35"/>
      <c r="N2132" s="35"/>
      <c r="O2132" s="35"/>
      <c r="P2132" s="35"/>
      <c r="Q2132" s="35"/>
      <c r="R2132" s="35"/>
      <c r="S2132" s="35"/>
      <c r="T2132" s="35"/>
      <c r="U2132" s="35"/>
      <c r="V2132" s="35"/>
      <c r="W2132" s="35"/>
      <c r="X2132" s="35"/>
      <c r="Y2132" s="35"/>
      <c r="Z2132" s="35"/>
      <c r="AA2132" s="35"/>
      <c r="AB2132" s="35"/>
      <c r="AC2132" s="35"/>
      <c r="AD2132" s="35"/>
      <c r="AE2132" s="35"/>
      <c r="AF2132" s="35"/>
      <c r="AG2132" s="35"/>
      <c r="AH2132" s="35"/>
      <c r="AI2132" s="35"/>
      <c r="AJ2132" s="35"/>
      <c r="AK2132" s="35"/>
      <c r="AL2132" s="35"/>
      <c r="AM2132" s="35"/>
      <c r="AN2132" s="35"/>
      <c r="AO2132" s="35"/>
      <c r="AP2132" s="35"/>
    </row>
    <row r="2133" spans="1:42" ht="17.25" customHeight="1" x14ac:dyDescent="0.25">
      <c r="A2133" s="60">
        <v>2022</v>
      </c>
      <c r="B2133" s="61" t="s">
        <v>66</v>
      </c>
      <c r="C2133" s="61" t="s">
        <v>41</v>
      </c>
      <c r="D2133" s="61" t="s">
        <v>42</v>
      </c>
      <c r="E2133" s="61" t="s">
        <v>67</v>
      </c>
      <c r="F2133" s="61" t="s">
        <v>67</v>
      </c>
      <c r="G2133" s="62">
        <v>8512396118</v>
      </c>
      <c r="H2133" s="61" t="s">
        <v>68</v>
      </c>
      <c r="I2133" s="63" t="str">
        <f t="shared" si="136"/>
        <v>Qatar-Offline</v>
      </c>
      <c r="J2133" s="47"/>
      <c r="K2133" s="54"/>
      <c r="L2133" s="35"/>
      <c r="M2133" s="35"/>
      <c r="N2133" s="35"/>
      <c r="O2133" s="35"/>
      <c r="P2133" s="35"/>
      <c r="Q2133" s="35"/>
      <c r="R2133" s="35"/>
      <c r="S2133" s="35"/>
      <c r="T2133" s="35"/>
      <c r="U2133" s="35"/>
      <c r="V2133" s="35"/>
      <c r="W2133" s="35"/>
      <c r="X2133" s="35"/>
      <c r="Y2133" s="35"/>
      <c r="Z2133" s="35"/>
      <c r="AA2133" s="35"/>
      <c r="AB2133" s="35"/>
      <c r="AC2133" s="35"/>
      <c r="AD2133" s="35"/>
      <c r="AE2133" s="35"/>
      <c r="AF2133" s="35"/>
      <c r="AG2133" s="35"/>
      <c r="AH2133" s="35"/>
      <c r="AI2133" s="35"/>
      <c r="AJ2133" s="35"/>
      <c r="AK2133" s="35"/>
      <c r="AL2133" s="35"/>
      <c r="AM2133" s="35"/>
      <c r="AN2133" s="35"/>
      <c r="AO2133" s="35"/>
      <c r="AP2133" s="35"/>
    </row>
    <row r="2134" spans="1:42" ht="17.25" customHeight="1" x14ac:dyDescent="0.25">
      <c r="A2134" s="55">
        <v>2022</v>
      </c>
      <c r="B2134" s="56" t="s">
        <v>66</v>
      </c>
      <c r="C2134" s="56" t="s">
        <v>41</v>
      </c>
      <c r="D2134" s="56" t="s">
        <v>42</v>
      </c>
      <c r="E2134" s="56" t="s">
        <v>69</v>
      </c>
      <c r="F2134" s="56" t="s">
        <v>70</v>
      </c>
      <c r="G2134" s="57">
        <v>4874099737</v>
      </c>
      <c r="H2134" s="56" t="s">
        <v>68</v>
      </c>
      <c r="I2134" s="58" t="str">
        <f t="shared" si="136"/>
        <v>Qatar-Online Supplier-Direct</v>
      </c>
      <c r="J2134" s="40"/>
      <c r="K2134" s="59"/>
      <c r="L2134" s="35"/>
      <c r="M2134" s="35"/>
      <c r="N2134" s="35"/>
      <c r="O2134" s="35"/>
      <c r="P2134" s="35"/>
      <c r="Q2134" s="35"/>
      <c r="R2134" s="35"/>
      <c r="S2134" s="35"/>
      <c r="T2134" s="35"/>
      <c r="U2134" s="35"/>
      <c r="V2134" s="35"/>
      <c r="W2134" s="35"/>
      <c r="X2134" s="35"/>
      <c r="Y2134" s="35"/>
      <c r="Z2134" s="35"/>
      <c r="AA2134" s="35"/>
      <c r="AB2134" s="35"/>
      <c r="AC2134" s="35"/>
      <c r="AD2134" s="35"/>
      <c r="AE2134" s="35"/>
      <c r="AF2134" s="35"/>
      <c r="AG2134" s="35"/>
      <c r="AH2134" s="35"/>
      <c r="AI2134" s="35"/>
      <c r="AJ2134" s="35"/>
      <c r="AK2134" s="35"/>
      <c r="AL2134" s="35"/>
      <c r="AM2134" s="35"/>
      <c r="AN2134" s="35"/>
      <c r="AO2134" s="35"/>
      <c r="AP2134" s="35"/>
    </row>
    <row r="2135" spans="1:42" ht="17.25" customHeight="1" x14ac:dyDescent="0.25">
      <c r="A2135" s="60">
        <v>2022</v>
      </c>
      <c r="B2135" s="61" t="s">
        <v>66</v>
      </c>
      <c r="C2135" s="61" t="s">
        <v>41</v>
      </c>
      <c r="D2135" s="61" t="s">
        <v>42</v>
      </c>
      <c r="E2135" s="61" t="s">
        <v>69</v>
      </c>
      <c r="F2135" s="61" t="s">
        <v>71</v>
      </c>
      <c r="G2135" s="62">
        <v>1411661735</v>
      </c>
      <c r="H2135" s="61" t="s">
        <v>68</v>
      </c>
      <c r="I2135" s="63" t="str">
        <f t="shared" si="136"/>
        <v>Qatar-OTA</v>
      </c>
      <c r="J2135" s="47"/>
      <c r="K2135" s="54"/>
      <c r="L2135" s="35"/>
      <c r="M2135" s="35"/>
      <c r="N2135" s="35"/>
      <c r="O2135" s="35"/>
      <c r="P2135" s="35"/>
      <c r="Q2135" s="35"/>
      <c r="R2135" s="35"/>
      <c r="S2135" s="35"/>
      <c r="T2135" s="35"/>
      <c r="U2135" s="35"/>
      <c r="V2135" s="35"/>
      <c r="W2135" s="35"/>
      <c r="X2135" s="35"/>
      <c r="Y2135" s="35"/>
      <c r="Z2135" s="35"/>
      <c r="AA2135" s="35"/>
      <c r="AB2135" s="35"/>
      <c r="AC2135" s="35"/>
      <c r="AD2135" s="35"/>
      <c r="AE2135" s="35"/>
      <c r="AF2135" s="35"/>
      <c r="AG2135" s="35"/>
      <c r="AH2135" s="35"/>
      <c r="AI2135" s="35"/>
      <c r="AJ2135" s="35"/>
      <c r="AK2135" s="35"/>
      <c r="AL2135" s="35"/>
      <c r="AM2135" s="35"/>
      <c r="AN2135" s="35"/>
      <c r="AO2135" s="35"/>
      <c r="AP2135" s="35"/>
    </row>
    <row r="2136" spans="1:42" ht="17.25" customHeight="1" x14ac:dyDescent="0.25">
      <c r="A2136" s="55">
        <v>2022</v>
      </c>
      <c r="B2136" s="56" t="s">
        <v>66</v>
      </c>
      <c r="C2136" s="56" t="s">
        <v>17</v>
      </c>
      <c r="D2136" s="56" t="s">
        <v>22</v>
      </c>
      <c r="E2136" s="56" t="s">
        <v>67</v>
      </c>
      <c r="F2136" s="56" t="s">
        <v>67</v>
      </c>
      <c r="G2136" s="57">
        <v>764362465</v>
      </c>
      <c r="H2136" s="56" t="s">
        <v>68</v>
      </c>
      <c r="I2136" s="58" t="str">
        <f t="shared" si="136"/>
        <v>Rest of Eastern Europe-Offline</v>
      </c>
      <c r="J2136" s="40"/>
      <c r="K2136" s="59"/>
      <c r="L2136" s="35"/>
      <c r="M2136" s="35"/>
      <c r="N2136" s="35"/>
      <c r="O2136" s="35"/>
      <c r="P2136" s="35"/>
      <c r="Q2136" s="35"/>
      <c r="R2136" s="35"/>
      <c r="S2136" s="35"/>
      <c r="T2136" s="35"/>
      <c r="U2136" s="35"/>
      <c r="V2136" s="35"/>
      <c r="W2136" s="35"/>
      <c r="X2136" s="35"/>
      <c r="Y2136" s="35"/>
      <c r="Z2136" s="35"/>
      <c r="AA2136" s="35"/>
      <c r="AB2136" s="35"/>
      <c r="AC2136" s="35"/>
      <c r="AD2136" s="35"/>
      <c r="AE2136" s="35"/>
      <c r="AF2136" s="35"/>
      <c r="AG2136" s="35"/>
      <c r="AH2136" s="35"/>
      <c r="AI2136" s="35"/>
      <c r="AJ2136" s="35"/>
      <c r="AK2136" s="35"/>
      <c r="AL2136" s="35"/>
      <c r="AM2136" s="35"/>
      <c r="AN2136" s="35"/>
      <c r="AO2136" s="35"/>
      <c r="AP2136" s="35"/>
    </row>
    <row r="2137" spans="1:42" ht="17.25" customHeight="1" x14ac:dyDescent="0.25">
      <c r="A2137" s="60">
        <v>2022</v>
      </c>
      <c r="B2137" s="61" t="s">
        <v>66</v>
      </c>
      <c r="C2137" s="61" t="s">
        <v>17</v>
      </c>
      <c r="D2137" s="61" t="s">
        <v>22</v>
      </c>
      <c r="E2137" s="61" t="s">
        <v>69</v>
      </c>
      <c r="F2137" s="61" t="s">
        <v>70</v>
      </c>
      <c r="G2137" s="62">
        <v>652106603</v>
      </c>
      <c r="H2137" s="61" t="s">
        <v>68</v>
      </c>
      <c r="I2137" s="63" t="str">
        <f t="shared" si="136"/>
        <v>Rest of Eastern Europe-Online Supplier-Direct</v>
      </c>
      <c r="J2137" s="47"/>
      <c r="K2137" s="54"/>
      <c r="L2137" s="35"/>
      <c r="M2137" s="35"/>
      <c r="N2137" s="35"/>
      <c r="O2137" s="35"/>
      <c r="P2137" s="35"/>
      <c r="Q2137" s="35"/>
      <c r="R2137" s="35"/>
      <c r="S2137" s="35"/>
      <c r="T2137" s="35"/>
      <c r="U2137" s="35"/>
      <c r="V2137" s="35"/>
      <c r="W2137" s="35"/>
      <c r="X2137" s="35"/>
      <c r="Y2137" s="35"/>
      <c r="Z2137" s="35"/>
      <c r="AA2137" s="35"/>
      <c r="AB2137" s="35"/>
      <c r="AC2137" s="35"/>
      <c r="AD2137" s="35"/>
      <c r="AE2137" s="35"/>
      <c r="AF2137" s="35"/>
      <c r="AG2137" s="35"/>
      <c r="AH2137" s="35"/>
      <c r="AI2137" s="35"/>
      <c r="AJ2137" s="35"/>
      <c r="AK2137" s="35"/>
      <c r="AL2137" s="35"/>
      <c r="AM2137" s="35"/>
      <c r="AN2137" s="35"/>
      <c r="AO2137" s="35"/>
      <c r="AP2137" s="35"/>
    </row>
    <row r="2138" spans="1:42" ht="17.25" customHeight="1" x14ac:dyDescent="0.25">
      <c r="A2138" s="55">
        <v>2022</v>
      </c>
      <c r="B2138" s="56" t="s">
        <v>66</v>
      </c>
      <c r="C2138" s="56" t="s">
        <v>17</v>
      </c>
      <c r="D2138" s="56" t="s">
        <v>22</v>
      </c>
      <c r="E2138" s="56" t="s">
        <v>69</v>
      </c>
      <c r="F2138" s="56" t="s">
        <v>71</v>
      </c>
      <c r="G2138" s="57">
        <v>525207089</v>
      </c>
      <c r="H2138" s="56" t="s">
        <v>68</v>
      </c>
      <c r="I2138" s="58" t="str">
        <f t="shared" si="136"/>
        <v>Rest of Eastern Europe-OTA</v>
      </c>
      <c r="J2138" s="40"/>
      <c r="K2138" s="59"/>
      <c r="L2138" s="35"/>
      <c r="M2138" s="35"/>
      <c r="N2138" s="35"/>
      <c r="O2138" s="35"/>
      <c r="P2138" s="35"/>
      <c r="Q2138" s="35"/>
      <c r="R2138" s="35"/>
      <c r="S2138" s="35"/>
      <c r="T2138" s="35"/>
      <c r="U2138" s="35"/>
      <c r="V2138" s="35"/>
      <c r="W2138" s="35"/>
      <c r="X2138" s="35"/>
      <c r="Y2138" s="35"/>
      <c r="Z2138" s="35"/>
      <c r="AA2138" s="35"/>
      <c r="AB2138" s="35"/>
      <c r="AC2138" s="35"/>
      <c r="AD2138" s="35"/>
      <c r="AE2138" s="35"/>
      <c r="AF2138" s="35"/>
      <c r="AG2138" s="35"/>
      <c r="AH2138" s="35"/>
      <c r="AI2138" s="35"/>
      <c r="AJ2138" s="35"/>
      <c r="AK2138" s="35"/>
      <c r="AL2138" s="35"/>
      <c r="AM2138" s="35"/>
      <c r="AN2138" s="35"/>
      <c r="AO2138" s="35"/>
      <c r="AP2138" s="35"/>
    </row>
    <row r="2139" spans="1:42" ht="17.25" customHeight="1" x14ac:dyDescent="0.25">
      <c r="A2139" s="60">
        <v>2022</v>
      </c>
      <c r="B2139" s="61" t="s">
        <v>66</v>
      </c>
      <c r="C2139" s="61" t="s">
        <v>27</v>
      </c>
      <c r="D2139" s="61" t="s">
        <v>30</v>
      </c>
      <c r="E2139" s="61" t="s">
        <v>67</v>
      </c>
      <c r="F2139" s="61" t="s">
        <v>67</v>
      </c>
      <c r="G2139" s="62">
        <v>22953579305</v>
      </c>
      <c r="H2139" s="61" t="s">
        <v>68</v>
      </c>
      <c r="I2139" s="63" t="str">
        <f t="shared" si="136"/>
        <v>Rest of Europe-Offline</v>
      </c>
      <c r="J2139" s="47"/>
      <c r="K2139" s="54"/>
      <c r="L2139" s="35"/>
      <c r="M2139" s="35"/>
      <c r="N2139" s="35"/>
      <c r="O2139" s="35"/>
      <c r="P2139" s="35"/>
      <c r="Q2139" s="35"/>
      <c r="R2139" s="35"/>
      <c r="S2139" s="35"/>
      <c r="T2139" s="35"/>
      <c r="U2139" s="35"/>
      <c r="V2139" s="35"/>
      <c r="W2139" s="35"/>
      <c r="X2139" s="35"/>
      <c r="Y2139" s="35"/>
      <c r="Z2139" s="35"/>
      <c r="AA2139" s="35"/>
      <c r="AB2139" s="35"/>
      <c r="AC2139" s="35"/>
      <c r="AD2139" s="35"/>
      <c r="AE2139" s="35"/>
      <c r="AF2139" s="35"/>
      <c r="AG2139" s="35"/>
      <c r="AH2139" s="35"/>
      <c r="AI2139" s="35"/>
      <c r="AJ2139" s="35"/>
      <c r="AK2139" s="35"/>
      <c r="AL2139" s="35"/>
      <c r="AM2139" s="35"/>
      <c r="AN2139" s="35"/>
      <c r="AO2139" s="35"/>
      <c r="AP2139" s="35"/>
    </row>
    <row r="2140" spans="1:42" ht="17.25" customHeight="1" x14ac:dyDescent="0.25">
      <c r="A2140" s="55">
        <v>2022</v>
      </c>
      <c r="B2140" s="56" t="s">
        <v>66</v>
      </c>
      <c r="C2140" s="56" t="s">
        <v>27</v>
      </c>
      <c r="D2140" s="56" t="s">
        <v>30</v>
      </c>
      <c r="E2140" s="56" t="s">
        <v>69</v>
      </c>
      <c r="F2140" s="56" t="s">
        <v>70</v>
      </c>
      <c r="G2140" s="57">
        <v>28573344910</v>
      </c>
      <c r="H2140" s="56" t="s">
        <v>68</v>
      </c>
      <c r="I2140" s="58" t="str">
        <f t="shared" si="136"/>
        <v>Rest of Europe-Online Supplier-Direct</v>
      </c>
      <c r="J2140" s="40"/>
      <c r="K2140" s="59"/>
      <c r="L2140" s="35"/>
      <c r="M2140" s="35"/>
      <c r="N2140" s="35"/>
      <c r="O2140" s="35"/>
      <c r="P2140" s="35"/>
      <c r="Q2140" s="35"/>
      <c r="R2140" s="35"/>
      <c r="S2140" s="35"/>
      <c r="T2140" s="35"/>
      <c r="U2140" s="35"/>
      <c r="V2140" s="35"/>
      <c r="W2140" s="35"/>
      <c r="X2140" s="35"/>
      <c r="Y2140" s="35"/>
      <c r="Z2140" s="35"/>
      <c r="AA2140" s="35"/>
      <c r="AB2140" s="35"/>
      <c r="AC2140" s="35"/>
      <c r="AD2140" s="35"/>
      <c r="AE2140" s="35"/>
      <c r="AF2140" s="35"/>
      <c r="AG2140" s="35"/>
      <c r="AH2140" s="35"/>
      <c r="AI2140" s="35"/>
      <c r="AJ2140" s="35"/>
      <c r="AK2140" s="35"/>
      <c r="AL2140" s="35"/>
      <c r="AM2140" s="35"/>
      <c r="AN2140" s="35"/>
      <c r="AO2140" s="35"/>
      <c r="AP2140" s="35"/>
    </row>
    <row r="2141" spans="1:42" ht="17.25" customHeight="1" x14ac:dyDescent="0.25">
      <c r="A2141" s="60">
        <v>2022</v>
      </c>
      <c r="B2141" s="61" t="s">
        <v>66</v>
      </c>
      <c r="C2141" s="61" t="s">
        <v>27</v>
      </c>
      <c r="D2141" s="61" t="s">
        <v>30</v>
      </c>
      <c r="E2141" s="61" t="s">
        <v>69</v>
      </c>
      <c r="F2141" s="61" t="s">
        <v>71</v>
      </c>
      <c r="G2141" s="62">
        <v>9918495275</v>
      </c>
      <c r="H2141" s="61" t="s">
        <v>68</v>
      </c>
      <c r="I2141" s="63" t="str">
        <f t="shared" si="136"/>
        <v>Rest of Europe-OTA</v>
      </c>
      <c r="J2141" s="47"/>
      <c r="K2141" s="54"/>
      <c r="L2141" s="35"/>
      <c r="M2141" s="35"/>
      <c r="N2141" s="35"/>
      <c r="O2141" s="35"/>
      <c r="P2141" s="35"/>
      <c r="Q2141" s="35"/>
      <c r="R2141" s="35"/>
      <c r="S2141" s="35"/>
      <c r="T2141" s="35"/>
      <c r="U2141" s="35"/>
      <c r="V2141" s="35"/>
      <c r="W2141" s="35"/>
      <c r="X2141" s="35"/>
      <c r="Y2141" s="35"/>
      <c r="Z2141" s="35"/>
      <c r="AA2141" s="35"/>
      <c r="AB2141" s="35"/>
      <c r="AC2141" s="35"/>
      <c r="AD2141" s="35"/>
      <c r="AE2141" s="35"/>
      <c r="AF2141" s="35"/>
      <c r="AG2141" s="35"/>
      <c r="AH2141" s="35"/>
      <c r="AI2141" s="35"/>
      <c r="AJ2141" s="35"/>
      <c r="AK2141" s="35"/>
      <c r="AL2141" s="35"/>
      <c r="AM2141" s="35"/>
      <c r="AN2141" s="35"/>
      <c r="AO2141" s="35"/>
      <c r="AP2141" s="35"/>
    </row>
    <row r="2142" spans="1:42" ht="17.25" customHeight="1" x14ac:dyDescent="0.25">
      <c r="A2142" s="55">
        <v>2022</v>
      </c>
      <c r="B2142" s="56" t="s">
        <v>66</v>
      </c>
      <c r="C2142" s="56" t="s">
        <v>41</v>
      </c>
      <c r="D2142" s="56" t="s">
        <v>43</v>
      </c>
      <c r="E2142" s="56" t="s">
        <v>67</v>
      </c>
      <c r="F2142" s="56" t="s">
        <v>67</v>
      </c>
      <c r="G2142" s="57">
        <v>5026573168</v>
      </c>
      <c r="H2142" s="56" t="s">
        <v>68</v>
      </c>
      <c r="I2142" s="58" t="str">
        <f t="shared" si="136"/>
        <v>Rest of Middle East-Offline</v>
      </c>
      <c r="J2142" s="40"/>
      <c r="K2142" s="59"/>
      <c r="L2142" s="35"/>
      <c r="M2142" s="35"/>
      <c r="N2142" s="35"/>
      <c r="O2142" s="35"/>
      <c r="P2142" s="35"/>
      <c r="Q2142" s="35"/>
      <c r="R2142" s="35"/>
      <c r="S2142" s="35"/>
      <c r="T2142" s="35"/>
      <c r="U2142" s="35"/>
      <c r="V2142" s="35"/>
      <c r="W2142" s="35"/>
      <c r="X2142" s="35"/>
      <c r="Y2142" s="35"/>
      <c r="Z2142" s="35"/>
      <c r="AA2142" s="35"/>
      <c r="AB2142" s="35"/>
      <c r="AC2142" s="35"/>
      <c r="AD2142" s="35"/>
      <c r="AE2142" s="35"/>
      <c r="AF2142" s="35"/>
      <c r="AG2142" s="35"/>
      <c r="AH2142" s="35"/>
      <c r="AI2142" s="35"/>
      <c r="AJ2142" s="35"/>
      <c r="AK2142" s="35"/>
      <c r="AL2142" s="35"/>
      <c r="AM2142" s="35"/>
      <c r="AN2142" s="35"/>
      <c r="AO2142" s="35"/>
      <c r="AP2142" s="35"/>
    </row>
    <row r="2143" spans="1:42" ht="17.25" customHeight="1" x14ac:dyDescent="0.25">
      <c r="A2143" s="60">
        <v>2022</v>
      </c>
      <c r="B2143" s="61" t="s">
        <v>66</v>
      </c>
      <c r="C2143" s="61" t="s">
        <v>41</v>
      </c>
      <c r="D2143" s="61" t="s">
        <v>43</v>
      </c>
      <c r="E2143" s="61" t="s">
        <v>69</v>
      </c>
      <c r="F2143" s="61" t="s">
        <v>70</v>
      </c>
      <c r="G2143" s="62">
        <v>1877637537</v>
      </c>
      <c r="H2143" s="61" t="s">
        <v>68</v>
      </c>
      <c r="I2143" s="63" t="str">
        <f t="shared" si="136"/>
        <v>Rest of Middle East-Online Supplier-Direct</v>
      </c>
      <c r="J2143" s="47"/>
      <c r="K2143" s="54"/>
      <c r="L2143" s="35"/>
      <c r="M2143" s="35"/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  <c r="Z2143" s="35"/>
      <c r="AA2143" s="35"/>
      <c r="AB2143" s="35"/>
      <c r="AC2143" s="35"/>
      <c r="AD2143" s="35"/>
      <c r="AE2143" s="35"/>
      <c r="AF2143" s="35"/>
      <c r="AG2143" s="35"/>
      <c r="AH2143" s="35"/>
      <c r="AI2143" s="35"/>
      <c r="AJ2143" s="35"/>
      <c r="AK2143" s="35"/>
      <c r="AL2143" s="35"/>
      <c r="AM2143" s="35"/>
      <c r="AN2143" s="35"/>
      <c r="AO2143" s="35"/>
      <c r="AP2143" s="35"/>
    </row>
    <row r="2144" spans="1:42" ht="17.25" customHeight="1" x14ac:dyDescent="0.25">
      <c r="A2144" s="55">
        <v>2022</v>
      </c>
      <c r="B2144" s="56" t="s">
        <v>66</v>
      </c>
      <c r="C2144" s="56" t="s">
        <v>41</v>
      </c>
      <c r="D2144" s="56" t="s">
        <v>43</v>
      </c>
      <c r="E2144" s="56" t="s">
        <v>69</v>
      </c>
      <c r="F2144" s="56" t="s">
        <v>71</v>
      </c>
      <c r="G2144" s="57">
        <v>1441822415</v>
      </c>
      <c r="H2144" s="56" t="s">
        <v>68</v>
      </c>
      <c r="I2144" s="58" t="str">
        <f t="shared" si="136"/>
        <v>Rest of Middle East-OTA</v>
      </c>
      <c r="J2144" s="40"/>
      <c r="K2144" s="59"/>
      <c r="L2144" s="35"/>
      <c r="M2144" s="35"/>
      <c r="N2144" s="35"/>
      <c r="O2144" s="35"/>
      <c r="P2144" s="35"/>
      <c r="Q2144" s="35"/>
      <c r="R2144" s="35"/>
      <c r="S2144" s="35"/>
      <c r="T2144" s="35"/>
      <c r="U2144" s="35"/>
      <c r="V2144" s="35"/>
      <c r="W2144" s="35"/>
      <c r="X2144" s="35"/>
      <c r="Y2144" s="35"/>
      <c r="Z2144" s="35"/>
      <c r="AA2144" s="35"/>
      <c r="AB2144" s="35"/>
      <c r="AC2144" s="35"/>
      <c r="AD2144" s="35"/>
      <c r="AE2144" s="35"/>
      <c r="AF2144" s="35"/>
      <c r="AG2144" s="35"/>
      <c r="AH2144" s="35"/>
      <c r="AI2144" s="35"/>
      <c r="AJ2144" s="35"/>
      <c r="AK2144" s="35"/>
      <c r="AL2144" s="35"/>
      <c r="AM2144" s="35"/>
      <c r="AN2144" s="35"/>
      <c r="AO2144" s="35"/>
      <c r="AP2144" s="35"/>
    </row>
    <row r="2145" spans="1:42" ht="17.25" customHeight="1" x14ac:dyDescent="0.25">
      <c r="A2145" s="60">
        <v>2022</v>
      </c>
      <c r="B2145" s="61" t="s">
        <v>66</v>
      </c>
      <c r="C2145" s="61" t="s">
        <v>17</v>
      </c>
      <c r="D2145" s="61" t="s">
        <v>23</v>
      </c>
      <c r="E2145" s="61" t="s">
        <v>67</v>
      </c>
      <c r="F2145" s="61" t="s">
        <v>67</v>
      </c>
      <c r="G2145" s="62">
        <v>778721712</v>
      </c>
      <c r="H2145" s="61" t="s">
        <v>68</v>
      </c>
      <c r="I2145" s="63" t="str">
        <f t="shared" si="136"/>
        <v>Romania-Offline</v>
      </c>
      <c r="J2145" s="47"/>
      <c r="K2145" s="54"/>
      <c r="L2145" s="35"/>
      <c r="M2145" s="35"/>
      <c r="N2145" s="35"/>
      <c r="O2145" s="35"/>
      <c r="P2145" s="35"/>
      <c r="Q2145" s="35"/>
      <c r="R2145" s="35"/>
      <c r="S2145" s="35"/>
      <c r="T2145" s="35"/>
      <c r="U2145" s="35"/>
      <c r="V2145" s="35"/>
      <c r="W2145" s="35"/>
      <c r="X2145" s="35"/>
      <c r="Y2145" s="35"/>
      <c r="Z2145" s="35"/>
      <c r="AA2145" s="35"/>
      <c r="AB2145" s="35"/>
      <c r="AC2145" s="35"/>
      <c r="AD2145" s="35"/>
      <c r="AE2145" s="35"/>
      <c r="AF2145" s="35"/>
      <c r="AG2145" s="35"/>
      <c r="AH2145" s="35"/>
      <c r="AI2145" s="35"/>
      <c r="AJ2145" s="35"/>
      <c r="AK2145" s="35"/>
      <c r="AL2145" s="35"/>
      <c r="AM2145" s="35"/>
      <c r="AN2145" s="35"/>
      <c r="AO2145" s="35"/>
      <c r="AP2145" s="35"/>
    </row>
    <row r="2146" spans="1:42" ht="17.25" customHeight="1" x14ac:dyDescent="0.25">
      <c r="A2146" s="55">
        <v>2022</v>
      </c>
      <c r="B2146" s="56" t="s">
        <v>66</v>
      </c>
      <c r="C2146" s="56" t="s">
        <v>17</v>
      </c>
      <c r="D2146" s="56" t="s">
        <v>23</v>
      </c>
      <c r="E2146" s="56" t="s">
        <v>69</v>
      </c>
      <c r="F2146" s="56" t="s">
        <v>70</v>
      </c>
      <c r="G2146" s="57">
        <v>286193664</v>
      </c>
      <c r="H2146" s="56" t="s">
        <v>68</v>
      </c>
      <c r="I2146" s="58" t="str">
        <f t="shared" si="136"/>
        <v>Romania-Online Supplier-Direct</v>
      </c>
      <c r="J2146" s="40"/>
      <c r="K2146" s="59"/>
      <c r="L2146" s="35"/>
      <c r="M2146" s="35"/>
      <c r="N2146" s="35"/>
      <c r="O2146" s="35"/>
      <c r="P2146" s="35"/>
      <c r="Q2146" s="35"/>
      <c r="R2146" s="35"/>
      <c r="S2146" s="35"/>
      <c r="T2146" s="35"/>
      <c r="U2146" s="35"/>
      <c r="V2146" s="35"/>
      <c r="W2146" s="35"/>
      <c r="X2146" s="35"/>
      <c r="Y2146" s="35"/>
      <c r="Z2146" s="35"/>
      <c r="AA2146" s="35"/>
      <c r="AB2146" s="35"/>
      <c r="AC2146" s="35"/>
      <c r="AD2146" s="35"/>
      <c r="AE2146" s="35"/>
      <c r="AF2146" s="35"/>
      <c r="AG2146" s="35"/>
      <c r="AH2146" s="35"/>
      <c r="AI2146" s="35"/>
      <c r="AJ2146" s="35"/>
      <c r="AK2146" s="35"/>
      <c r="AL2146" s="35"/>
      <c r="AM2146" s="35"/>
      <c r="AN2146" s="35"/>
      <c r="AO2146" s="35"/>
      <c r="AP2146" s="35"/>
    </row>
    <row r="2147" spans="1:42" ht="17.25" customHeight="1" x14ac:dyDescent="0.25">
      <c r="A2147" s="60">
        <v>2022</v>
      </c>
      <c r="B2147" s="61" t="s">
        <v>66</v>
      </c>
      <c r="C2147" s="61" t="s">
        <v>17</v>
      </c>
      <c r="D2147" s="61" t="s">
        <v>23</v>
      </c>
      <c r="E2147" s="61" t="s">
        <v>69</v>
      </c>
      <c r="F2147" s="61" t="s">
        <v>71</v>
      </c>
      <c r="G2147" s="62">
        <v>542266561</v>
      </c>
      <c r="H2147" s="61" t="s">
        <v>68</v>
      </c>
      <c r="I2147" s="63" t="str">
        <f t="shared" si="136"/>
        <v>Romania-OTA</v>
      </c>
      <c r="J2147" s="47"/>
      <c r="K2147" s="54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  <c r="AG2147" s="35"/>
      <c r="AH2147" s="35"/>
      <c r="AI2147" s="35"/>
      <c r="AJ2147" s="35"/>
      <c r="AK2147" s="35"/>
      <c r="AL2147" s="35"/>
      <c r="AM2147" s="35"/>
      <c r="AN2147" s="35"/>
      <c r="AO2147" s="35"/>
      <c r="AP2147" s="35"/>
    </row>
    <row r="2148" spans="1:42" ht="17.25" customHeight="1" x14ac:dyDescent="0.25">
      <c r="A2148" s="55">
        <v>2022</v>
      </c>
      <c r="B2148" s="56" t="s">
        <v>66</v>
      </c>
      <c r="C2148" s="56" t="s">
        <v>17</v>
      </c>
      <c r="D2148" s="56" t="s">
        <v>24</v>
      </c>
      <c r="E2148" s="56" t="s">
        <v>67</v>
      </c>
      <c r="F2148" s="56" t="s">
        <v>67</v>
      </c>
      <c r="G2148" s="57">
        <v>14690832311</v>
      </c>
      <c r="H2148" s="56" t="s">
        <v>68</v>
      </c>
      <c r="I2148" s="58" t="str">
        <f t="shared" si="136"/>
        <v>Russia-Offline</v>
      </c>
      <c r="J2148" s="40"/>
      <c r="K2148" s="59"/>
      <c r="L2148" s="35"/>
      <c r="M2148" s="35"/>
      <c r="N2148" s="35"/>
      <c r="O2148" s="35"/>
      <c r="P2148" s="35"/>
      <c r="Q2148" s="35"/>
      <c r="R2148" s="35"/>
      <c r="S2148" s="35"/>
      <c r="T2148" s="35"/>
      <c r="U2148" s="35"/>
      <c r="V2148" s="35"/>
      <c r="W2148" s="35"/>
      <c r="X2148" s="35"/>
      <c r="Y2148" s="35"/>
      <c r="Z2148" s="35"/>
      <c r="AA2148" s="35"/>
      <c r="AB2148" s="35"/>
      <c r="AC2148" s="35"/>
      <c r="AD2148" s="35"/>
      <c r="AE2148" s="35"/>
      <c r="AF2148" s="35"/>
      <c r="AG2148" s="35"/>
      <c r="AH2148" s="35"/>
      <c r="AI2148" s="35"/>
      <c r="AJ2148" s="35"/>
      <c r="AK2148" s="35"/>
      <c r="AL2148" s="35"/>
      <c r="AM2148" s="35"/>
      <c r="AN2148" s="35"/>
      <c r="AO2148" s="35"/>
      <c r="AP2148" s="35"/>
    </row>
    <row r="2149" spans="1:42" ht="17.25" customHeight="1" x14ac:dyDescent="0.25">
      <c r="A2149" s="60">
        <v>2022</v>
      </c>
      <c r="B2149" s="61" t="s">
        <v>66</v>
      </c>
      <c r="C2149" s="61" t="s">
        <v>17</v>
      </c>
      <c r="D2149" s="61" t="s">
        <v>24</v>
      </c>
      <c r="E2149" s="61" t="s">
        <v>69</v>
      </c>
      <c r="F2149" s="61" t="s">
        <v>70</v>
      </c>
      <c r="G2149" s="62">
        <v>8227208466</v>
      </c>
      <c r="H2149" s="61" t="s">
        <v>68</v>
      </c>
      <c r="I2149" s="63" t="str">
        <f t="shared" si="136"/>
        <v>Russia-Online Supplier-Direct</v>
      </c>
      <c r="J2149" s="47"/>
      <c r="K2149" s="54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  <c r="AG2149" s="35"/>
      <c r="AH2149" s="35"/>
      <c r="AI2149" s="35"/>
      <c r="AJ2149" s="35"/>
      <c r="AK2149" s="35"/>
      <c r="AL2149" s="35"/>
      <c r="AM2149" s="35"/>
      <c r="AN2149" s="35"/>
      <c r="AO2149" s="35"/>
      <c r="AP2149" s="35"/>
    </row>
    <row r="2150" spans="1:42" ht="17.25" customHeight="1" x14ac:dyDescent="0.25">
      <c r="A2150" s="55">
        <v>2022</v>
      </c>
      <c r="B2150" s="56" t="s">
        <v>66</v>
      </c>
      <c r="C2150" s="56" t="s">
        <v>17</v>
      </c>
      <c r="D2150" s="56" t="s">
        <v>24</v>
      </c>
      <c r="E2150" s="56" t="s">
        <v>69</v>
      </c>
      <c r="F2150" s="56" t="s">
        <v>71</v>
      </c>
      <c r="G2150" s="57">
        <v>4538597047</v>
      </c>
      <c r="H2150" s="56" t="s">
        <v>68</v>
      </c>
      <c r="I2150" s="58" t="str">
        <f t="shared" si="136"/>
        <v>Russia-OTA</v>
      </c>
      <c r="J2150" s="40"/>
      <c r="K2150" s="59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  <c r="AG2150" s="35"/>
      <c r="AH2150" s="35"/>
      <c r="AI2150" s="35"/>
      <c r="AJ2150" s="35"/>
      <c r="AK2150" s="35"/>
      <c r="AL2150" s="35"/>
      <c r="AM2150" s="35"/>
      <c r="AN2150" s="35"/>
      <c r="AO2150" s="35"/>
      <c r="AP2150" s="35"/>
    </row>
    <row r="2151" spans="1:42" ht="17.25" customHeight="1" x14ac:dyDescent="0.25">
      <c r="A2151" s="60">
        <v>2022</v>
      </c>
      <c r="B2151" s="61" t="s">
        <v>66</v>
      </c>
      <c r="C2151" s="61" t="s">
        <v>41</v>
      </c>
      <c r="D2151" s="61" t="s">
        <v>44</v>
      </c>
      <c r="E2151" s="61" t="s">
        <v>67</v>
      </c>
      <c r="F2151" s="61" t="s">
        <v>67</v>
      </c>
      <c r="G2151" s="62">
        <v>8297697715</v>
      </c>
      <c r="H2151" s="61" t="s">
        <v>68</v>
      </c>
      <c r="I2151" s="63" t="str">
        <f t="shared" si="136"/>
        <v>Saudi Arabia-Offline</v>
      </c>
      <c r="J2151" s="47"/>
      <c r="K2151" s="54"/>
      <c r="L2151" s="35"/>
      <c r="M2151" s="35"/>
      <c r="N2151" s="35"/>
      <c r="O2151" s="35"/>
      <c r="P2151" s="35"/>
      <c r="Q2151" s="35"/>
      <c r="R2151" s="35"/>
      <c r="S2151" s="35"/>
      <c r="T2151" s="35"/>
      <c r="U2151" s="35"/>
      <c r="V2151" s="35"/>
      <c r="W2151" s="35"/>
      <c r="X2151" s="35"/>
      <c r="Y2151" s="35"/>
      <c r="Z2151" s="35"/>
      <c r="AA2151" s="35"/>
      <c r="AB2151" s="35"/>
      <c r="AC2151" s="35"/>
      <c r="AD2151" s="35"/>
      <c r="AE2151" s="35"/>
      <c r="AF2151" s="35"/>
      <c r="AG2151" s="35"/>
      <c r="AH2151" s="35"/>
      <c r="AI2151" s="35"/>
      <c r="AJ2151" s="35"/>
      <c r="AK2151" s="35"/>
      <c r="AL2151" s="35"/>
      <c r="AM2151" s="35"/>
      <c r="AN2151" s="35"/>
      <c r="AO2151" s="35"/>
      <c r="AP2151" s="35"/>
    </row>
    <row r="2152" spans="1:42" ht="17.25" customHeight="1" x14ac:dyDescent="0.25">
      <c r="A2152" s="55">
        <v>2022</v>
      </c>
      <c r="B2152" s="56" t="s">
        <v>66</v>
      </c>
      <c r="C2152" s="56" t="s">
        <v>41</v>
      </c>
      <c r="D2152" s="56" t="s">
        <v>44</v>
      </c>
      <c r="E2152" s="56" t="s">
        <v>69</v>
      </c>
      <c r="F2152" s="56" t="s">
        <v>70</v>
      </c>
      <c r="G2152" s="57">
        <v>3540883697</v>
      </c>
      <c r="H2152" s="56" t="s">
        <v>68</v>
      </c>
      <c r="I2152" s="58" t="str">
        <f t="shared" si="136"/>
        <v>Saudi Arabia-Online Supplier-Direct</v>
      </c>
      <c r="J2152" s="40"/>
      <c r="K2152" s="59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  <c r="AG2152" s="35"/>
      <c r="AH2152" s="35"/>
      <c r="AI2152" s="35"/>
      <c r="AJ2152" s="35"/>
      <c r="AK2152" s="35"/>
      <c r="AL2152" s="35"/>
      <c r="AM2152" s="35"/>
      <c r="AN2152" s="35"/>
      <c r="AO2152" s="35"/>
      <c r="AP2152" s="35"/>
    </row>
    <row r="2153" spans="1:42" ht="17.25" customHeight="1" x14ac:dyDescent="0.25">
      <c r="A2153" s="60">
        <v>2022</v>
      </c>
      <c r="B2153" s="61" t="s">
        <v>66</v>
      </c>
      <c r="C2153" s="61" t="s">
        <v>41</v>
      </c>
      <c r="D2153" s="61" t="s">
        <v>44</v>
      </c>
      <c r="E2153" s="61" t="s">
        <v>69</v>
      </c>
      <c r="F2153" s="61" t="s">
        <v>71</v>
      </c>
      <c r="G2153" s="62">
        <v>2865533840</v>
      </c>
      <c r="H2153" s="61" t="s">
        <v>68</v>
      </c>
      <c r="I2153" s="63" t="str">
        <f t="shared" si="136"/>
        <v>Saudi Arabia-OTA</v>
      </c>
      <c r="J2153" s="47"/>
      <c r="K2153" s="54"/>
      <c r="L2153" s="35"/>
      <c r="M2153" s="35"/>
      <c r="N2153" s="35"/>
      <c r="O2153" s="35"/>
      <c r="P2153" s="35"/>
      <c r="Q2153" s="35"/>
      <c r="R2153" s="35"/>
      <c r="S2153" s="35"/>
      <c r="T2153" s="35"/>
      <c r="U2153" s="35"/>
      <c r="V2153" s="35"/>
      <c r="W2153" s="35"/>
      <c r="X2153" s="35"/>
      <c r="Y2153" s="35"/>
      <c r="Z2153" s="35"/>
      <c r="AA2153" s="35"/>
      <c r="AB2153" s="35"/>
      <c r="AC2153" s="35"/>
      <c r="AD2153" s="35"/>
      <c r="AE2153" s="35"/>
      <c r="AF2153" s="35"/>
      <c r="AG2153" s="35"/>
      <c r="AH2153" s="35"/>
      <c r="AI2153" s="35"/>
      <c r="AJ2153" s="35"/>
      <c r="AK2153" s="35"/>
      <c r="AL2153" s="35"/>
      <c r="AM2153" s="35"/>
      <c r="AN2153" s="35"/>
      <c r="AO2153" s="35"/>
      <c r="AP2153" s="35"/>
    </row>
    <row r="2154" spans="1:42" ht="17.25" customHeight="1" x14ac:dyDescent="0.25">
      <c r="A2154" s="55">
        <v>2022</v>
      </c>
      <c r="B2154" s="56" t="s">
        <v>66</v>
      </c>
      <c r="C2154" s="56" t="s">
        <v>27</v>
      </c>
      <c r="D2154" s="56" t="s">
        <v>31</v>
      </c>
      <c r="E2154" s="56" t="s">
        <v>67</v>
      </c>
      <c r="F2154" s="56" t="s">
        <v>67</v>
      </c>
      <c r="G2154" s="57">
        <v>3688571355</v>
      </c>
      <c r="H2154" s="56" t="s">
        <v>68</v>
      </c>
      <c r="I2154" s="58" t="str">
        <f t="shared" si="136"/>
        <v>Scandinavia-Offline</v>
      </c>
      <c r="J2154" s="40"/>
      <c r="K2154" s="59"/>
      <c r="L2154" s="35"/>
      <c r="M2154" s="35"/>
      <c r="N2154" s="35"/>
      <c r="O2154" s="35"/>
      <c r="P2154" s="35"/>
      <c r="Q2154" s="35"/>
      <c r="R2154" s="35"/>
      <c r="S2154" s="35"/>
      <c r="T2154" s="35"/>
      <c r="U2154" s="35"/>
      <c r="V2154" s="35"/>
      <c r="W2154" s="35"/>
      <c r="X2154" s="35"/>
      <c r="Y2154" s="35"/>
      <c r="Z2154" s="35"/>
      <c r="AA2154" s="35"/>
      <c r="AB2154" s="35"/>
      <c r="AC2154" s="35"/>
      <c r="AD2154" s="35"/>
      <c r="AE2154" s="35"/>
      <c r="AF2154" s="35"/>
      <c r="AG2154" s="35"/>
      <c r="AH2154" s="35"/>
      <c r="AI2154" s="35"/>
      <c r="AJ2154" s="35"/>
      <c r="AK2154" s="35"/>
      <c r="AL2154" s="35"/>
      <c r="AM2154" s="35"/>
      <c r="AN2154" s="35"/>
      <c r="AO2154" s="35"/>
      <c r="AP2154" s="35"/>
    </row>
    <row r="2155" spans="1:42" ht="17.25" customHeight="1" x14ac:dyDescent="0.25">
      <c r="A2155" s="60">
        <v>2022</v>
      </c>
      <c r="B2155" s="61" t="s">
        <v>66</v>
      </c>
      <c r="C2155" s="61" t="s">
        <v>27</v>
      </c>
      <c r="D2155" s="61" t="s">
        <v>31</v>
      </c>
      <c r="E2155" s="61" t="s">
        <v>69</v>
      </c>
      <c r="F2155" s="61" t="s">
        <v>70</v>
      </c>
      <c r="G2155" s="62">
        <v>8331714099</v>
      </c>
      <c r="H2155" s="61" t="s">
        <v>68</v>
      </c>
      <c r="I2155" s="63" t="str">
        <f t="shared" si="136"/>
        <v>Scandinavia-Online Supplier-Direct</v>
      </c>
      <c r="J2155" s="47"/>
      <c r="K2155" s="54"/>
      <c r="L2155" s="35"/>
      <c r="M2155" s="35"/>
      <c r="N2155" s="35"/>
      <c r="O2155" s="35"/>
      <c r="P2155" s="35"/>
      <c r="Q2155" s="35"/>
      <c r="R2155" s="35"/>
      <c r="S2155" s="35"/>
      <c r="T2155" s="35"/>
      <c r="U2155" s="35"/>
      <c r="V2155" s="35"/>
      <c r="W2155" s="35"/>
      <c r="X2155" s="35"/>
      <c r="Y2155" s="35"/>
      <c r="Z2155" s="35"/>
      <c r="AA2155" s="35"/>
      <c r="AB2155" s="35"/>
      <c r="AC2155" s="35"/>
      <c r="AD2155" s="35"/>
      <c r="AE2155" s="35"/>
      <c r="AF2155" s="35"/>
      <c r="AG2155" s="35"/>
      <c r="AH2155" s="35"/>
      <c r="AI2155" s="35"/>
      <c r="AJ2155" s="35"/>
      <c r="AK2155" s="35"/>
      <c r="AL2155" s="35"/>
      <c r="AM2155" s="35"/>
      <c r="AN2155" s="35"/>
      <c r="AO2155" s="35"/>
      <c r="AP2155" s="35"/>
    </row>
    <row r="2156" spans="1:42" ht="17.25" customHeight="1" x14ac:dyDescent="0.25">
      <c r="A2156" s="55">
        <v>2022</v>
      </c>
      <c r="B2156" s="56" t="s">
        <v>66</v>
      </c>
      <c r="C2156" s="56" t="s">
        <v>27</v>
      </c>
      <c r="D2156" s="56" t="s">
        <v>31</v>
      </c>
      <c r="E2156" s="56" t="s">
        <v>69</v>
      </c>
      <c r="F2156" s="56" t="s">
        <v>71</v>
      </c>
      <c r="G2156" s="57">
        <v>3598714534</v>
      </c>
      <c r="H2156" s="56" t="s">
        <v>68</v>
      </c>
      <c r="I2156" s="58" t="str">
        <f t="shared" si="136"/>
        <v>Scandinavia-OTA</v>
      </c>
      <c r="J2156" s="40"/>
      <c r="K2156" s="59"/>
      <c r="L2156" s="35"/>
      <c r="M2156" s="35"/>
      <c r="N2156" s="35"/>
      <c r="O2156" s="35"/>
      <c r="P2156" s="35"/>
      <c r="Q2156" s="35"/>
      <c r="R2156" s="35"/>
      <c r="S2156" s="35"/>
      <c r="T2156" s="35"/>
      <c r="U2156" s="35"/>
      <c r="V2156" s="35"/>
      <c r="W2156" s="35"/>
      <c r="X2156" s="35"/>
      <c r="Y2156" s="35"/>
      <c r="Z2156" s="35"/>
      <c r="AA2156" s="35"/>
      <c r="AB2156" s="35"/>
      <c r="AC2156" s="35"/>
      <c r="AD2156" s="35"/>
      <c r="AE2156" s="35"/>
      <c r="AF2156" s="35"/>
      <c r="AG2156" s="35"/>
      <c r="AH2156" s="35"/>
      <c r="AI2156" s="35"/>
      <c r="AJ2156" s="35"/>
      <c r="AK2156" s="35"/>
      <c r="AL2156" s="35"/>
      <c r="AM2156" s="35"/>
      <c r="AN2156" s="35"/>
      <c r="AO2156" s="35"/>
      <c r="AP2156" s="35"/>
    </row>
    <row r="2157" spans="1:42" ht="17.25" customHeight="1" x14ac:dyDescent="0.25">
      <c r="A2157" s="60">
        <v>2022</v>
      </c>
      <c r="B2157" s="61" t="s">
        <v>66</v>
      </c>
      <c r="C2157" s="61" t="s">
        <v>4</v>
      </c>
      <c r="D2157" s="61" t="s">
        <v>12</v>
      </c>
      <c r="E2157" s="61" t="s">
        <v>67</v>
      </c>
      <c r="F2157" s="61" t="s">
        <v>67</v>
      </c>
      <c r="G2157" s="62">
        <v>3859625680</v>
      </c>
      <c r="H2157" s="61" t="s">
        <v>68</v>
      </c>
      <c r="I2157" s="63" t="str">
        <f t="shared" si="136"/>
        <v>Singapore-Offline</v>
      </c>
      <c r="J2157" s="47"/>
      <c r="K2157" s="54"/>
      <c r="L2157" s="35"/>
      <c r="M2157" s="35"/>
      <c r="N2157" s="35"/>
      <c r="O2157" s="35"/>
      <c r="P2157" s="35"/>
      <c r="Q2157" s="35"/>
      <c r="R2157" s="35"/>
      <c r="S2157" s="35"/>
      <c r="T2157" s="35"/>
      <c r="U2157" s="35"/>
      <c r="V2157" s="35"/>
      <c r="W2157" s="35"/>
      <c r="X2157" s="35"/>
      <c r="Y2157" s="35"/>
      <c r="Z2157" s="35"/>
      <c r="AA2157" s="35"/>
      <c r="AB2157" s="35"/>
      <c r="AC2157" s="35"/>
      <c r="AD2157" s="35"/>
      <c r="AE2157" s="35"/>
      <c r="AF2157" s="35"/>
      <c r="AG2157" s="35"/>
      <c r="AH2157" s="35"/>
      <c r="AI2157" s="35"/>
      <c r="AJ2157" s="35"/>
      <c r="AK2157" s="35"/>
      <c r="AL2157" s="35"/>
      <c r="AM2157" s="35"/>
      <c r="AN2157" s="35"/>
      <c r="AO2157" s="35"/>
      <c r="AP2157" s="35"/>
    </row>
    <row r="2158" spans="1:42" ht="17.25" customHeight="1" x14ac:dyDescent="0.25">
      <c r="A2158" s="55">
        <v>2022</v>
      </c>
      <c r="B2158" s="56" t="s">
        <v>66</v>
      </c>
      <c r="C2158" s="56" t="s">
        <v>4</v>
      </c>
      <c r="D2158" s="56" t="s">
        <v>12</v>
      </c>
      <c r="E2158" s="56" t="s">
        <v>69</v>
      </c>
      <c r="F2158" s="56" t="s">
        <v>70</v>
      </c>
      <c r="G2158" s="57">
        <v>3522125261</v>
      </c>
      <c r="H2158" s="56" t="s">
        <v>68</v>
      </c>
      <c r="I2158" s="58" t="str">
        <f t="shared" si="136"/>
        <v>Singapore-Online Supplier-Direct</v>
      </c>
      <c r="J2158" s="40"/>
      <c r="K2158" s="59"/>
      <c r="L2158" s="35"/>
      <c r="M2158" s="35"/>
      <c r="N2158" s="35"/>
      <c r="O2158" s="35"/>
      <c r="P2158" s="35"/>
      <c r="Q2158" s="35"/>
      <c r="R2158" s="35"/>
      <c r="S2158" s="35"/>
      <c r="T2158" s="35"/>
      <c r="U2158" s="35"/>
      <c r="V2158" s="35"/>
      <c r="W2158" s="35"/>
      <c r="X2158" s="35"/>
      <c r="Y2158" s="35"/>
      <c r="Z2158" s="35"/>
      <c r="AA2158" s="35"/>
      <c r="AB2158" s="35"/>
      <c r="AC2158" s="35"/>
      <c r="AD2158" s="35"/>
      <c r="AE2158" s="35"/>
      <c r="AF2158" s="35"/>
      <c r="AG2158" s="35"/>
      <c r="AH2158" s="35"/>
      <c r="AI2158" s="35"/>
      <c r="AJ2158" s="35"/>
      <c r="AK2158" s="35"/>
      <c r="AL2158" s="35"/>
      <c r="AM2158" s="35"/>
      <c r="AN2158" s="35"/>
      <c r="AO2158" s="35"/>
      <c r="AP2158" s="35"/>
    </row>
    <row r="2159" spans="1:42" ht="17.25" customHeight="1" x14ac:dyDescent="0.25">
      <c r="A2159" s="60">
        <v>2022</v>
      </c>
      <c r="B2159" s="61" t="s">
        <v>66</v>
      </c>
      <c r="C2159" s="61" t="s">
        <v>4</v>
      </c>
      <c r="D2159" s="61" t="s">
        <v>12</v>
      </c>
      <c r="E2159" s="61" t="s">
        <v>69</v>
      </c>
      <c r="F2159" s="61" t="s">
        <v>71</v>
      </c>
      <c r="G2159" s="62">
        <v>2912887082</v>
      </c>
      <c r="H2159" s="61" t="s">
        <v>68</v>
      </c>
      <c r="I2159" s="63" t="str">
        <f t="shared" si="136"/>
        <v>Singapore-OTA</v>
      </c>
      <c r="J2159" s="47"/>
      <c r="K2159" s="54"/>
      <c r="L2159" s="35"/>
      <c r="M2159" s="35"/>
      <c r="N2159" s="35"/>
      <c r="O2159" s="35"/>
      <c r="P2159" s="35"/>
      <c r="Q2159" s="35"/>
      <c r="R2159" s="35"/>
      <c r="S2159" s="35"/>
      <c r="T2159" s="35"/>
      <c r="U2159" s="35"/>
      <c r="V2159" s="35"/>
      <c r="W2159" s="35"/>
      <c r="X2159" s="35"/>
      <c r="Y2159" s="35"/>
      <c r="Z2159" s="35"/>
      <c r="AA2159" s="35"/>
      <c r="AB2159" s="35"/>
      <c r="AC2159" s="35"/>
      <c r="AD2159" s="35"/>
      <c r="AE2159" s="35"/>
      <c r="AF2159" s="35"/>
      <c r="AG2159" s="35"/>
      <c r="AH2159" s="35"/>
      <c r="AI2159" s="35"/>
      <c r="AJ2159" s="35"/>
      <c r="AK2159" s="35"/>
      <c r="AL2159" s="35"/>
      <c r="AM2159" s="35"/>
      <c r="AN2159" s="35"/>
      <c r="AO2159" s="35"/>
      <c r="AP2159" s="35"/>
    </row>
    <row r="2160" spans="1:42" ht="17.25" customHeight="1" x14ac:dyDescent="0.25">
      <c r="A2160" s="55">
        <v>2022</v>
      </c>
      <c r="B2160" s="56" t="s">
        <v>66</v>
      </c>
      <c r="C2160" s="56" t="s">
        <v>4</v>
      </c>
      <c r="D2160" s="56" t="s">
        <v>13</v>
      </c>
      <c r="E2160" s="56" t="s">
        <v>67</v>
      </c>
      <c r="F2160" s="56" t="s">
        <v>67</v>
      </c>
      <c r="G2160" s="57">
        <v>5628632527</v>
      </c>
      <c r="H2160" s="56" t="s">
        <v>68</v>
      </c>
      <c r="I2160" s="58" t="str">
        <f t="shared" si="136"/>
        <v>South Korea-Offline</v>
      </c>
      <c r="J2160" s="40"/>
      <c r="K2160" s="59"/>
      <c r="L2160" s="35"/>
      <c r="M2160" s="35"/>
      <c r="N2160" s="35"/>
      <c r="O2160" s="35"/>
      <c r="P2160" s="35"/>
      <c r="Q2160" s="35"/>
      <c r="R2160" s="35"/>
      <c r="S2160" s="35"/>
      <c r="T2160" s="35"/>
      <c r="U2160" s="35"/>
      <c r="V2160" s="35"/>
      <c r="W2160" s="35"/>
      <c r="X2160" s="35"/>
      <c r="Y2160" s="35"/>
      <c r="Z2160" s="35"/>
      <c r="AA2160" s="35"/>
      <c r="AB2160" s="35"/>
      <c r="AC2160" s="35"/>
      <c r="AD2160" s="35"/>
      <c r="AE2160" s="35"/>
      <c r="AF2160" s="35"/>
      <c r="AG2160" s="35"/>
      <c r="AH2160" s="35"/>
      <c r="AI2160" s="35"/>
      <c r="AJ2160" s="35"/>
      <c r="AK2160" s="35"/>
      <c r="AL2160" s="35"/>
      <c r="AM2160" s="35"/>
      <c r="AN2160" s="35"/>
      <c r="AO2160" s="35"/>
      <c r="AP2160" s="35"/>
    </row>
    <row r="2161" spans="1:42" ht="17.25" customHeight="1" x14ac:dyDescent="0.25">
      <c r="A2161" s="60">
        <v>2022</v>
      </c>
      <c r="B2161" s="61" t="s">
        <v>66</v>
      </c>
      <c r="C2161" s="61" t="s">
        <v>4</v>
      </c>
      <c r="D2161" s="61" t="s">
        <v>13</v>
      </c>
      <c r="E2161" s="61" t="s">
        <v>69</v>
      </c>
      <c r="F2161" s="61" t="s">
        <v>70</v>
      </c>
      <c r="G2161" s="62">
        <v>4148703950</v>
      </c>
      <c r="H2161" s="61" t="s">
        <v>68</v>
      </c>
      <c r="I2161" s="63" t="str">
        <f t="shared" si="136"/>
        <v>South Korea-Online Supplier-Direct</v>
      </c>
      <c r="J2161" s="47"/>
      <c r="K2161" s="54"/>
      <c r="L2161" s="35"/>
      <c r="M2161" s="35"/>
      <c r="N2161" s="35"/>
      <c r="O2161" s="35"/>
      <c r="P2161" s="35"/>
      <c r="Q2161" s="35"/>
      <c r="R2161" s="35"/>
      <c r="S2161" s="35"/>
      <c r="T2161" s="35"/>
      <c r="U2161" s="35"/>
      <c r="V2161" s="35"/>
      <c r="W2161" s="35"/>
      <c r="X2161" s="35"/>
      <c r="Y2161" s="35"/>
      <c r="Z2161" s="35"/>
      <c r="AA2161" s="35"/>
      <c r="AB2161" s="35"/>
      <c r="AC2161" s="35"/>
      <c r="AD2161" s="35"/>
      <c r="AE2161" s="35"/>
      <c r="AF2161" s="35"/>
      <c r="AG2161" s="35"/>
      <c r="AH2161" s="35"/>
      <c r="AI2161" s="35"/>
      <c r="AJ2161" s="35"/>
      <c r="AK2161" s="35"/>
      <c r="AL2161" s="35"/>
      <c r="AM2161" s="35"/>
      <c r="AN2161" s="35"/>
      <c r="AO2161" s="35"/>
      <c r="AP2161" s="35"/>
    </row>
    <row r="2162" spans="1:42" ht="17.25" customHeight="1" x14ac:dyDescent="0.25">
      <c r="A2162" s="55">
        <v>2022</v>
      </c>
      <c r="B2162" s="56" t="s">
        <v>66</v>
      </c>
      <c r="C2162" s="56" t="s">
        <v>4</v>
      </c>
      <c r="D2162" s="56" t="s">
        <v>13</v>
      </c>
      <c r="E2162" s="56" t="s">
        <v>69</v>
      </c>
      <c r="F2162" s="56" t="s">
        <v>71</v>
      </c>
      <c r="G2162" s="57">
        <v>2229776516</v>
      </c>
      <c r="H2162" s="56" t="s">
        <v>68</v>
      </c>
      <c r="I2162" s="58" t="str">
        <f t="shared" si="136"/>
        <v>South Korea-OTA</v>
      </c>
      <c r="J2162" s="40"/>
      <c r="K2162" s="59"/>
      <c r="L2162" s="35"/>
      <c r="M2162" s="35"/>
      <c r="N2162" s="35"/>
      <c r="O2162" s="35"/>
      <c r="P2162" s="35"/>
      <c r="Q2162" s="35"/>
      <c r="R2162" s="35"/>
      <c r="S2162" s="35"/>
      <c r="T2162" s="35"/>
      <c r="U2162" s="35"/>
      <c r="V2162" s="35"/>
      <c r="W2162" s="35"/>
      <c r="X2162" s="35"/>
      <c r="Y2162" s="35"/>
      <c r="Z2162" s="35"/>
      <c r="AA2162" s="35"/>
      <c r="AB2162" s="35"/>
      <c r="AC2162" s="35"/>
      <c r="AD2162" s="35"/>
      <c r="AE2162" s="35"/>
      <c r="AF2162" s="35"/>
      <c r="AG2162" s="35"/>
      <c r="AH2162" s="35"/>
      <c r="AI2162" s="35"/>
      <c r="AJ2162" s="35"/>
      <c r="AK2162" s="35"/>
      <c r="AL2162" s="35"/>
      <c r="AM2162" s="35"/>
      <c r="AN2162" s="35"/>
      <c r="AO2162" s="35"/>
      <c r="AP2162" s="35"/>
    </row>
    <row r="2163" spans="1:42" ht="17.25" customHeight="1" x14ac:dyDescent="0.25">
      <c r="A2163" s="60">
        <v>2022</v>
      </c>
      <c r="B2163" s="61" t="s">
        <v>66</v>
      </c>
      <c r="C2163" s="61" t="s">
        <v>27</v>
      </c>
      <c r="D2163" s="61" t="s">
        <v>32</v>
      </c>
      <c r="E2163" s="61" t="s">
        <v>67</v>
      </c>
      <c r="F2163" s="61" t="s">
        <v>67</v>
      </c>
      <c r="G2163" s="62">
        <v>11180879994</v>
      </c>
      <c r="H2163" s="61" t="s">
        <v>68</v>
      </c>
      <c r="I2163" s="63" t="str">
        <f t="shared" si="136"/>
        <v>Spain-Offline</v>
      </c>
      <c r="J2163" s="47"/>
      <c r="K2163" s="54"/>
      <c r="L2163" s="35"/>
      <c r="M2163" s="35"/>
      <c r="N2163" s="35"/>
      <c r="O2163" s="35"/>
      <c r="P2163" s="35"/>
      <c r="Q2163" s="35"/>
      <c r="R2163" s="35"/>
      <c r="S2163" s="35"/>
      <c r="T2163" s="35"/>
      <c r="U2163" s="35"/>
      <c r="V2163" s="35"/>
      <c r="W2163" s="35"/>
      <c r="X2163" s="35"/>
      <c r="Y2163" s="35"/>
      <c r="Z2163" s="35"/>
      <c r="AA2163" s="35"/>
      <c r="AB2163" s="35"/>
      <c r="AC2163" s="35"/>
      <c r="AD2163" s="35"/>
      <c r="AE2163" s="35"/>
      <c r="AF2163" s="35"/>
      <c r="AG2163" s="35"/>
      <c r="AH2163" s="35"/>
      <c r="AI2163" s="35"/>
      <c r="AJ2163" s="35"/>
      <c r="AK2163" s="35"/>
      <c r="AL2163" s="35"/>
      <c r="AM2163" s="35"/>
      <c r="AN2163" s="35"/>
      <c r="AO2163" s="35"/>
      <c r="AP2163" s="35"/>
    </row>
    <row r="2164" spans="1:42" ht="17.25" customHeight="1" x14ac:dyDescent="0.25">
      <c r="A2164" s="55">
        <v>2022</v>
      </c>
      <c r="B2164" s="56" t="s">
        <v>66</v>
      </c>
      <c r="C2164" s="56" t="s">
        <v>27</v>
      </c>
      <c r="D2164" s="56" t="s">
        <v>32</v>
      </c>
      <c r="E2164" s="56" t="s">
        <v>69</v>
      </c>
      <c r="F2164" s="56" t="s">
        <v>70</v>
      </c>
      <c r="G2164" s="57">
        <v>8565506263</v>
      </c>
      <c r="H2164" s="56" t="s">
        <v>68</v>
      </c>
      <c r="I2164" s="58" t="str">
        <f t="shared" si="136"/>
        <v>Spain-Online Supplier-Direct</v>
      </c>
      <c r="J2164" s="40"/>
      <c r="K2164" s="59"/>
      <c r="L2164" s="35"/>
      <c r="M2164" s="35"/>
      <c r="N2164" s="35"/>
      <c r="O2164" s="35"/>
      <c r="P2164" s="35"/>
      <c r="Q2164" s="35"/>
      <c r="R2164" s="35"/>
      <c r="S2164" s="35"/>
      <c r="T2164" s="35"/>
      <c r="U2164" s="35"/>
      <c r="V2164" s="35"/>
      <c r="W2164" s="35"/>
      <c r="X2164" s="35"/>
      <c r="Y2164" s="35"/>
      <c r="Z2164" s="35"/>
      <c r="AA2164" s="35"/>
      <c r="AB2164" s="35"/>
      <c r="AC2164" s="35"/>
      <c r="AD2164" s="35"/>
      <c r="AE2164" s="35"/>
      <c r="AF2164" s="35"/>
      <c r="AG2164" s="35"/>
      <c r="AH2164" s="35"/>
      <c r="AI2164" s="35"/>
      <c r="AJ2164" s="35"/>
      <c r="AK2164" s="35"/>
      <c r="AL2164" s="35"/>
      <c r="AM2164" s="35"/>
      <c r="AN2164" s="35"/>
      <c r="AO2164" s="35"/>
      <c r="AP2164" s="35"/>
    </row>
    <row r="2165" spans="1:42" ht="17.25" customHeight="1" x14ac:dyDescent="0.25">
      <c r="A2165" s="60">
        <v>2022</v>
      </c>
      <c r="B2165" s="61" t="s">
        <v>66</v>
      </c>
      <c r="C2165" s="61" t="s">
        <v>27</v>
      </c>
      <c r="D2165" s="61" t="s">
        <v>32</v>
      </c>
      <c r="E2165" s="61" t="s">
        <v>69</v>
      </c>
      <c r="F2165" s="61" t="s">
        <v>71</v>
      </c>
      <c r="G2165" s="62">
        <v>6897679902</v>
      </c>
      <c r="H2165" s="61" t="s">
        <v>68</v>
      </c>
      <c r="I2165" s="63" t="str">
        <f t="shared" si="136"/>
        <v>Spain-OTA</v>
      </c>
      <c r="J2165" s="47"/>
      <c r="K2165" s="54"/>
      <c r="L2165" s="35"/>
      <c r="M2165" s="35"/>
      <c r="N2165" s="35"/>
      <c r="O2165" s="35"/>
      <c r="P2165" s="35"/>
      <c r="Q2165" s="35"/>
      <c r="R2165" s="35"/>
      <c r="S2165" s="35"/>
      <c r="T2165" s="35"/>
      <c r="U2165" s="35"/>
      <c r="V2165" s="35"/>
      <c r="W2165" s="35"/>
      <c r="X2165" s="35"/>
      <c r="Y2165" s="35"/>
      <c r="Z2165" s="35"/>
      <c r="AA2165" s="35"/>
      <c r="AB2165" s="35"/>
      <c r="AC2165" s="35"/>
      <c r="AD2165" s="35"/>
      <c r="AE2165" s="35"/>
      <c r="AF2165" s="35"/>
      <c r="AG2165" s="35"/>
      <c r="AH2165" s="35"/>
      <c r="AI2165" s="35"/>
      <c r="AJ2165" s="35"/>
      <c r="AK2165" s="35"/>
      <c r="AL2165" s="35"/>
      <c r="AM2165" s="35"/>
      <c r="AN2165" s="35"/>
      <c r="AO2165" s="35"/>
      <c r="AP2165" s="35"/>
    </row>
    <row r="2166" spans="1:42" ht="17.25" customHeight="1" x14ac:dyDescent="0.25">
      <c r="A2166" s="55">
        <v>2022</v>
      </c>
      <c r="B2166" s="56" t="s">
        <v>66</v>
      </c>
      <c r="C2166" s="56" t="s">
        <v>4</v>
      </c>
      <c r="D2166" s="56" t="s">
        <v>14</v>
      </c>
      <c r="E2166" s="56" t="s">
        <v>67</v>
      </c>
      <c r="F2166" s="56" t="s">
        <v>67</v>
      </c>
      <c r="G2166" s="57">
        <v>2119646748</v>
      </c>
      <c r="H2166" s="56" t="s">
        <v>68</v>
      </c>
      <c r="I2166" s="58" t="str">
        <f t="shared" si="136"/>
        <v>Taiwan-Offline</v>
      </c>
      <c r="J2166" s="40"/>
      <c r="K2166" s="59"/>
      <c r="L2166" s="35"/>
      <c r="M2166" s="35"/>
      <c r="N2166" s="35"/>
      <c r="O2166" s="35"/>
      <c r="P2166" s="35"/>
      <c r="Q2166" s="35"/>
      <c r="R2166" s="35"/>
      <c r="S2166" s="35"/>
      <c r="T2166" s="35"/>
      <c r="U2166" s="35"/>
      <c r="V2166" s="35"/>
      <c r="W2166" s="35"/>
      <c r="X2166" s="35"/>
      <c r="Y2166" s="35"/>
      <c r="Z2166" s="35"/>
      <c r="AA2166" s="35"/>
      <c r="AB2166" s="35"/>
      <c r="AC2166" s="35"/>
      <c r="AD2166" s="35"/>
      <c r="AE2166" s="35"/>
      <c r="AF2166" s="35"/>
      <c r="AG2166" s="35"/>
      <c r="AH2166" s="35"/>
      <c r="AI2166" s="35"/>
      <c r="AJ2166" s="35"/>
      <c r="AK2166" s="35"/>
      <c r="AL2166" s="35"/>
      <c r="AM2166" s="35"/>
      <c r="AN2166" s="35"/>
      <c r="AO2166" s="35"/>
      <c r="AP2166" s="35"/>
    </row>
    <row r="2167" spans="1:42" ht="17.25" customHeight="1" x14ac:dyDescent="0.25">
      <c r="A2167" s="60">
        <v>2022</v>
      </c>
      <c r="B2167" s="61" t="s">
        <v>66</v>
      </c>
      <c r="C2167" s="61" t="s">
        <v>4</v>
      </c>
      <c r="D2167" s="61" t="s">
        <v>14</v>
      </c>
      <c r="E2167" s="61" t="s">
        <v>69</v>
      </c>
      <c r="F2167" s="61" t="s">
        <v>70</v>
      </c>
      <c r="G2167" s="62">
        <v>1436710198</v>
      </c>
      <c r="H2167" s="61" t="s">
        <v>68</v>
      </c>
      <c r="I2167" s="63" t="str">
        <f t="shared" si="136"/>
        <v>Taiwan-Online Supplier-Direct</v>
      </c>
      <c r="J2167" s="47"/>
      <c r="K2167" s="54"/>
      <c r="L2167" s="35"/>
      <c r="M2167" s="35"/>
      <c r="N2167" s="35"/>
      <c r="O2167" s="35"/>
      <c r="P2167" s="35"/>
      <c r="Q2167" s="35"/>
      <c r="R2167" s="35"/>
      <c r="S2167" s="35"/>
      <c r="T2167" s="35"/>
      <c r="U2167" s="35"/>
      <c r="V2167" s="35"/>
      <c r="W2167" s="35"/>
      <c r="X2167" s="35"/>
      <c r="Y2167" s="35"/>
      <c r="Z2167" s="35"/>
      <c r="AA2167" s="35"/>
      <c r="AB2167" s="35"/>
      <c r="AC2167" s="35"/>
      <c r="AD2167" s="35"/>
      <c r="AE2167" s="35"/>
      <c r="AF2167" s="35"/>
      <c r="AG2167" s="35"/>
      <c r="AH2167" s="35"/>
      <c r="AI2167" s="35"/>
      <c r="AJ2167" s="35"/>
      <c r="AK2167" s="35"/>
      <c r="AL2167" s="35"/>
      <c r="AM2167" s="35"/>
      <c r="AN2167" s="35"/>
      <c r="AO2167" s="35"/>
      <c r="AP2167" s="35"/>
    </row>
    <row r="2168" spans="1:42" ht="17.25" customHeight="1" x14ac:dyDescent="0.25">
      <c r="A2168" s="55">
        <v>2022</v>
      </c>
      <c r="B2168" s="56" t="s">
        <v>66</v>
      </c>
      <c r="C2168" s="56" t="s">
        <v>4</v>
      </c>
      <c r="D2168" s="56" t="s">
        <v>14</v>
      </c>
      <c r="E2168" s="56" t="s">
        <v>69</v>
      </c>
      <c r="F2168" s="56" t="s">
        <v>71</v>
      </c>
      <c r="G2168" s="57">
        <v>359617044</v>
      </c>
      <c r="H2168" s="56" t="s">
        <v>68</v>
      </c>
      <c r="I2168" s="58" t="str">
        <f t="shared" si="136"/>
        <v>Taiwan-OTA</v>
      </c>
      <c r="J2168" s="40"/>
      <c r="K2168" s="59"/>
      <c r="L2168" s="35"/>
      <c r="M2168" s="35"/>
      <c r="N2168" s="35"/>
      <c r="O2168" s="35"/>
      <c r="P2168" s="35"/>
      <c r="Q2168" s="35"/>
      <c r="R2168" s="35"/>
      <c r="S2168" s="35"/>
      <c r="T2168" s="35"/>
      <c r="U2168" s="35"/>
      <c r="V2168" s="35"/>
      <c r="W2168" s="35"/>
      <c r="X2168" s="35"/>
      <c r="Y2168" s="35"/>
      <c r="Z2168" s="35"/>
      <c r="AA2168" s="35"/>
      <c r="AB2168" s="35"/>
      <c r="AC2168" s="35"/>
      <c r="AD2168" s="35"/>
      <c r="AE2168" s="35"/>
      <c r="AF2168" s="35"/>
      <c r="AG2168" s="35"/>
      <c r="AH2168" s="35"/>
      <c r="AI2168" s="35"/>
      <c r="AJ2168" s="35"/>
      <c r="AK2168" s="35"/>
      <c r="AL2168" s="35"/>
      <c r="AM2168" s="35"/>
      <c r="AN2168" s="35"/>
      <c r="AO2168" s="35"/>
      <c r="AP2168" s="35"/>
    </row>
    <row r="2169" spans="1:42" ht="17.25" customHeight="1" x14ac:dyDescent="0.25">
      <c r="A2169" s="60">
        <v>2022</v>
      </c>
      <c r="B2169" s="61" t="s">
        <v>66</v>
      </c>
      <c r="C2169" s="61" t="s">
        <v>4</v>
      </c>
      <c r="D2169" s="61" t="s">
        <v>15</v>
      </c>
      <c r="E2169" s="61" t="s">
        <v>67</v>
      </c>
      <c r="F2169" s="61" t="s">
        <v>67</v>
      </c>
      <c r="G2169" s="62">
        <v>3406795700</v>
      </c>
      <c r="H2169" s="61" t="s">
        <v>68</v>
      </c>
      <c r="I2169" s="63" t="str">
        <f t="shared" si="136"/>
        <v>Thailand-Offline</v>
      </c>
      <c r="J2169" s="47"/>
      <c r="K2169" s="54"/>
      <c r="L2169" s="35"/>
      <c r="M2169" s="35"/>
      <c r="N2169" s="35"/>
      <c r="O2169" s="35"/>
      <c r="P2169" s="35"/>
      <c r="Q2169" s="35"/>
      <c r="R2169" s="35"/>
      <c r="S2169" s="35"/>
      <c r="T2169" s="35"/>
      <c r="U2169" s="35"/>
      <c r="V2169" s="35"/>
      <c r="W2169" s="35"/>
      <c r="X2169" s="35"/>
      <c r="Y2169" s="35"/>
      <c r="Z2169" s="35"/>
      <c r="AA2169" s="35"/>
      <c r="AB2169" s="35"/>
      <c r="AC2169" s="35"/>
      <c r="AD2169" s="35"/>
      <c r="AE2169" s="35"/>
      <c r="AF2169" s="35"/>
      <c r="AG2169" s="35"/>
      <c r="AH2169" s="35"/>
      <c r="AI2169" s="35"/>
      <c r="AJ2169" s="35"/>
      <c r="AK2169" s="35"/>
      <c r="AL2169" s="35"/>
      <c r="AM2169" s="35"/>
      <c r="AN2169" s="35"/>
      <c r="AO2169" s="35"/>
      <c r="AP2169" s="35"/>
    </row>
    <row r="2170" spans="1:42" ht="17.25" customHeight="1" x14ac:dyDescent="0.25">
      <c r="A2170" s="55">
        <v>2022</v>
      </c>
      <c r="B2170" s="56" t="s">
        <v>66</v>
      </c>
      <c r="C2170" s="56" t="s">
        <v>4</v>
      </c>
      <c r="D2170" s="56" t="s">
        <v>15</v>
      </c>
      <c r="E2170" s="56" t="s">
        <v>69</v>
      </c>
      <c r="F2170" s="56" t="s">
        <v>70</v>
      </c>
      <c r="G2170" s="57">
        <v>1094146421</v>
      </c>
      <c r="H2170" s="56" t="s">
        <v>68</v>
      </c>
      <c r="I2170" s="58" t="str">
        <f t="shared" si="136"/>
        <v>Thailand-Online Supplier-Direct</v>
      </c>
      <c r="J2170" s="40"/>
      <c r="K2170" s="59"/>
      <c r="L2170" s="35"/>
      <c r="M2170" s="35"/>
      <c r="N2170" s="35"/>
      <c r="O2170" s="35"/>
      <c r="P2170" s="35"/>
      <c r="Q2170" s="35"/>
      <c r="R2170" s="35"/>
      <c r="S2170" s="35"/>
      <c r="T2170" s="35"/>
      <c r="U2170" s="35"/>
      <c r="V2170" s="35"/>
      <c r="W2170" s="35"/>
      <c r="X2170" s="35"/>
      <c r="Y2170" s="35"/>
      <c r="Z2170" s="35"/>
      <c r="AA2170" s="35"/>
      <c r="AB2170" s="35"/>
      <c r="AC2170" s="35"/>
      <c r="AD2170" s="35"/>
      <c r="AE2170" s="35"/>
      <c r="AF2170" s="35"/>
      <c r="AG2170" s="35"/>
      <c r="AH2170" s="35"/>
      <c r="AI2170" s="35"/>
      <c r="AJ2170" s="35"/>
      <c r="AK2170" s="35"/>
      <c r="AL2170" s="35"/>
      <c r="AM2170" s="35"/>
      <c r="AN2170" s="35"/>
      <c r="AO2170" s="35"/>
      <c r="AP2170" s="35"/>
    </row>
    <row r="2171" spans="1:42" ht="17.25" customHeight="1" x14ac:dyDescent="0.25">
      <c r="A2171" s="60">
        <v>2022</v>
      </c>
      <c r="B2171" s="61" t="s">
        <v>66</v>
      </c>
      <c r="C2171" s="61" t="s">
        <v>4</v>
      </c>
      <c r="D2171" s="61" t="s">
        <v>15</v>
      </c>
      <c r="E2171" s="61" t="s">
        <v>69</v>
      </c>
      <c r="F2171" s="61" t="s">
        <v>71</v>
      </c>
      <c r="G2171" s="62">
        <v>2424866835</v>
      </c>
      <c r="H2171" s="61" t="s">
        <v>68</v>
      </c>
      <c r="I2171" s="63" t="str">
        <f t="shared" si="136"/>
        <v>Thailand-OTA</v>
      </c>
      <c r="J2171" s="47"/>
      <c r="K2171" s="54"/>
      <c r="L2171" s="35"/>
      <c r="M2171" s="35"/>
      <c r="N2171" s="35"/>
      <c r="O2171" s="35"/>
      <c r="P2171" s="35"/>
      <c r="Q2171" s="35"/>
      <c r="R2171" s="35"/>
      <c r="S2171" s="35"/>
      <c r="T2171" s="35"/>
      <c r="U2171" s="35"/>
      <c r="V2171" s="35"/>
      <c r="W2171" s="35"/>
      <c r="X2171" s="35"/>
      <c r="Y2171" s="35"/>
      <c r="Z2171" s="35"/>
      <c r="AA2171" s="35"/>
      <c r="AB2171" s="35"/>
      <c r="AC2171" s="35"/>
      <c r="AD2171" s="35"/>
      <c r="AE2171" s="35"/>
      <c r="AF2171" s="35"/>
      <c r="AG2171" s="35"/>
      <c r="AH2171" s="35"/>
      <c r="AI2171" s="35"/>
      <c r="AJ2171" s="35"/>
      <c r="AK2171" s="35"/>
      <c r="AL2171" s="35"/>
      <c r="AM2171" s="35"/>
      <c r="AN2171" s="35"/>
      <c r="AO2171" s="35"/>
      <c r="AP2171" s="35"/>
    </row>
    <row r="2172" spans="1:42" ht="17.25" customHeight="1" x14ac:dyDescent="0.25">
      <c r="A2172" s="55">
        <v>2022</v>
      </c>
      <c r="B2172" s="56" t="s">
        <v>66</v>
      </c>
      <c r="C2172" s="56" t="s">
        <v>41</v>
      </c>
      <c r="D2172" s="56" t="s">
        <v>45</v>
      </c>
      <c r="E2172" s="56" t="s">
        <v>67</v>
      </c>
      <c r="F2172" s="56" t="s">
        <v>67</v>
      </c>
      <c r="G2172" s="57">
        <v>21737449328</v>
      </c>
      <c r="H2172" s="56" t="s">
        <v>68</v>
      </c>
      <c r="I2172" s="58" t="str">
        <f t="shared" si="136"/>
        <v>U.A.E.-Offline</v>
      </c>
      <c r="J2172" s="40"/>
      <c r="K2172" s="59"/>
      <c r="L2172" s="35"/>
      <c r="M2172" s="35"/>
      <c r="N2172" s="35"/>
      <c r="O2172" s="35"/>
      <c r="P2172" s="35"/>
      <c r="Q2172" s="35"/>
      <c r="R2172" s="35"/>
      <c r="S2172" s="35"/>
      <c r="T2172" s="35"/>
      <c r="U2172" s="35"/>
      <c r="V2172" s="35"/>
      <c r="W2172" s="35"/>
      <c r="X2172" s="35"/>
      <c r="Y2172" s="35"/>
      <c r="Z2172" s="35"/>
      <c r="AA2172" s="35"/>
      <c r="AB2172" s="35"/>
      <c r="AC2172" s="35"/>
      <c r="AD2172" s="35"/>
      <c r="AE2172" s="35"/>
      <c r="AF2172" s="35"/>
      <c r="AG2172" s="35"/>
      <c r="AH2172" s="35"/>
      <c r="AI2172" s="35"/>
      <c r="AJ2172" s="35"/>
      <c r="AK2172" s="35"/>
      <c r="AL2172" s="35"/>
      <c r="AM2172" s="35"/>
      <c r="AN2172" s="35"/>
      <c r="AO2172" s="35"/>
      <c r="AP2172" s="35"/>
    </row>
    <row r="2173" spans="1:42" ht="17.25" customHeight="1" x14ac:dyDescent="0.25">
      <c r="A2173" s="60">
        <v>2022</v>
      </c>
      <c r="B2173" s="61" t="s">
        <v>66</v>
      </c>
      <c r="C2173" s="61" t="s">
        <v>41</v>
      </c>
      <c r="D2173" s="61" t="s">
        <v>45</v>
      </c>
      <c r="E2173" s="61" t="s">
        <v>69</v>
      </c>
      <c r="F2173" s="61" t="s">
        <v>70</v>
      </c>
      <c r="G2173" s="62">
        <v>12758432858</v>
      </c>
      <c r="H2173" s="61" t="s">
        <v>68</v>
      </c>
      <c r="I2173" s="63" t="str">
        <f t="shared" si="136"/>
        <v>U.A.E.-Online Supplier-Direct</v>
      </c>
      <c r="J2173" s="47"/>
      <c r="K2173" s="54"/>
      <c r="L2173" s="35"/>
      <c r="M2173" s="35"/>
      <c r="N2173" s="35"/>
      <c r="O2173" s="35"/>
      <c r="P2173" s="35"/>
      <c r="Q2173" s="35"/>
      <c r="R2173" s="35"/>
      <c r="S2173" s="35"/>
      <c r="T2173" s="35"/>
      <c r="U2173" s="35"/>
      <c r="V2173" s="35"/>
      <c r="W2173" s="35"/>
      <c r="X2173" s="35"/>
      <c r="Y2173" s="35"/>
      <c r="Z2173" s="35"/>
      <c r="AA2173" s="35"/>
      <c r="AB2173" s="35"/>
      <c r="AC2173" s="35"/>
      <c r="AD2173" s="35"/>
      <c r="AE2173" s="35"/>
      <c r="AF2173" s="35"/>
      <c r="AG2173" s="35"/>
      <c r="AH2173" s="35"/>
      <c r="AI2173" s="35"/>
      <c r="AJ2173" s="35"/>
      <c r="AK2173" s="35"/>
      <c r="AL2173" s="35"/>
      <c r="AM2173" s="35"/>
      <c r="AN2173" s="35"/>
      <c r="AO2173" s="35"/>
      <c r="AP2173" s="35"/>
    </row>
    <row r="2174" spans="1:42" ht="17.25" customHeight="1" x14ac:dyDescent="0.25">
      <c r="A2174" s="55">
        <v>2022</v>
      </c>
      <c r="B2174" s="56" t="s">
        <v>66</v>
      </c>
      <c r="C2174" s="56" t="s">
        <v>41</v>
      </c>
      <c r="D2174" s="56" t="s">
        <v>45</v>
      </c>
      <c r="E2174" s="56" t="s">
        <v>69</v>
      </c>
      <c r="F2174" s="56" t="s">
        <v>71</v>
      </c>
      <c r="G2174" s="57">
        <v>5445770029</v>
      </c>
      <c r="H2174" s="56" t="s">
        <v>68</v>
      </c>
      <c r="I2174" s="58" t="str">
        <f t="shared" si="136"/>
        <v>U.A.E.-OTA</v>
      </c>
      <c r="J2174" s="40"/>
      <c r="K2174" s="59"/>
      <c r="L2174" s="35"/>
      <c r="M2174" s="35"/>
      <c r="N2174" s="35"/>
      <c r="O2174" s="35"/>
      <c r="P2174" s="35"/>
      <c r="Q2174" s="35"/>
      <c r="R2174" s="35"/>
      <c r="S2174" s="35"/>
      <c r="T2174" s="35"/>
      <c r="U2174" s="35"/>
      <c r="V2174" s="35"/>
      <c r="W2174" s="35"/>
      <c r="X2174" s="35"/>
      <c r="Y2174" s="35"/>
      <c r="Z2174" s="35"/>
      <c r="AA2174" s="35"/>
      <c r="AB2174" s="35"/>
      <c r="AC2174" s="35"/>
      <c r="AD2174" s="35"/>
      <c r="AE2174" s="35"/>
      <c r="AF2174" s="35"/>
      <c r="AG2174" s="35"/>
      <c r="AH2174" s="35"/>
      <c r="AI2174" s="35"/>
      <c r="AJ2174" s="35"/>
      <c r="AK2174" s="35"/>
      <c r="AL2174" s="35"/>
      <c r="AM2174" s="35"/>
      <c r="AN2174" s="35"/>
      <c r="AO2174" s="35"/>
      <c r="AP2174" s="35"/>
    </row>
    <row r="2175" spans="1:42" ht="17.25" customHeight="1" x14ac:dyDescent="0.25">
      <c r="A2175" s="60">
        <v>2022</v>
      </c>
      <c r="B2175" s="61" t="s">
        <v>66</v>
      </c>
      <c r="C2175" s="61" t="s">
        <v>27</v>
      </c>
      <c r="D2175" s="61" t="s">
        <v>33</v>
      </c>
      <c r="E2175" s="61" t="s">
        <v>67</v>
      </c>
      <c r="F2175" s="61" t="s">
        <v>67</v>
      </c>
      <c r="G2175" s="62">
        <v>9068616178</v>
      </c>
      <c r="H2175" s="61" t="s">
        <v>68</v>
      </c>
      <c r="I2175" s="63" t="str">
        <f t="shared" si="136"/>
        <v>U.K.-Offline</v>
      </c>
      <c r="J2175" s="47"/>
      <c r="K2175" s="54"/>
      <c r="L2175" s="35"/>
      <c r="M2175" s="35"/>
      <c r="N2175" s="35"/>
      <c r="O2175" s="35"/>
      <c r="P2175" s="35"/>
      <c r="Q2175" s="35"/>
      <c r="R2175" s="35"/>
      <c r="S2175" s="35"/>
      <c r="T2175" s="35"/>
      <c r="U2175" s="35"/>
      <c r="V2175" s="35"/>
      <c r="W2175" s="35"/>
      <c r="X2175" s="35"/>
      <c r="Y2175" s="35"/>
      <c r="Z2175" s="35"/>
      <c r="AA2175" s="35"/>
      <c r="AB2175" s="35"/>
      <c r="AC2175" s="35"/>
      <c r="AD2175" s="35"/>
      <c r="AE2175" s="35"/>
      <c r="AF2175" s="35"/>
      <c r="AG2175" s="35"/>
      <c r="AH2175" s="35"/>
      <c r="AI2175" s="35"/>
      <c r="AJ2175" s="35"/>
      <c r="AK2175" s="35"/>
      <c r="AL2175" s="35"/>
      <c r="AM2175" s="35"/>
      <c r="AN2175" s="35"/>
      <c r="AO2175" s="35"/>
      <c r="AP2175" s="35"/>
    </row>
    <row r="2176" spans="1:42" ht="17.25" customHeight="1" x14ac:dyDescent="0.25">
      <c r="A2176" s="55">
        <v>2022</v>
      </c>
      <c r="B2176" s="56" t="s">
        <v>66</v>
      </c>
      <c r="C2176" s="56" t="s">
        <v>27</v>
      </c>
      <c r="D2176" s="56" t="s">
        <v>33</v>
      </c>
      <c r="E2176" s="56" t="s">
        <v>69</v>
      </c>
      <c r="F2176" s="56" t="s">
        <v>70</v>
      </c>
      <c r="G2176" s="57">
        <v>30915259060</v>
      </c>
      <c r="H2176" s="56" t="s">
        <v>68</v>
      </c>
      <c r="I2176" s="58" t="str">
        <f t="shared" si="136"/>
        <v>U.K.-Online Supplier-Direct</v>
      </c>
      <c r="J2176" s="40"/>
      <c r="K2176" s="59"/>
      <c r="L2176" s="35"/>
      <c r="M2176" s="35"/>
      <c r="N2176" s="35"/>
      <c r="O2176" s="35"/>
      <c r="P2176" s="35"/>
      <c r="Q2176" s="35"/>
      <c r="R2176" s="35"/>
      <c r="S2176" s="35"/>
      <c r="T2176" s="35"/>
      <c r="U2176" s="35"/>
      <c r="V2176" s="35"/>
      <c r="W2176" s="35"/>
      <c r="X2176" s="35"/>
      <c r="Y2176" s="35"/>
      <c r="Z2176" s="35"/>
      <c r="AA2176" s="35"/>
      <c r="AB2176" s="35"/>
      <c r="AC2176" s="35"/>
      <c r="AD2176" s="35"/>
      <c r="AE2176" s="35"/>
      <c r="AF2176" s="35"/>
      <c r="AG2176" s="35"/>
      <c r="AH2176" s="35"/>
      <c r="AI2176" s="35"/>
      <c r="AJ2176" s="35"/>
      <c r="AK2176" s="35"/>
      <c r="AL2176" s="35"/>
      <c r="AM2176" s="35"/>
      <c r="AN2176" s="35"/>
      <c r="AO2176" s="35"/>
      <c r="AP2176" s="35"/>
    </row>
    <row r="2177" spans="1:42" ht="17.25" customHeight="1" x14ac:dyDescent="0.25">
      <c r="A2177" s="60">
        <v>2022</v>
      </c>
      <c r="B2177" s="61" t="s">
        <v>66</v>
      </c>
      <c r="C2177" s="61" t="s">
        <v>27</v>
      </c>
      <c r="D2177" s="61" t="s">
        <v>33</v>
      </c>
      <c r="E2177" s="61" t="s">
        <v>69</v>
      </c>
      <c r="F2177" s="61" t="s">
        <v>71</v>
      </c>
      <c r="G2177" s="62">
        <v>8947072214</v>
      </c>
      <c r="H2177" s="61" t="s">
        <v>68</v>
      </c>
      <c r="I2177" s="63" t="str">
        <f t="shared" si="136"/>
        <v>U.K.-OTA</v>
      </c>
      <c r="J2177" s="47"/>
      <c r="K2177" s="54"/>
      <c r="L2177" s="35"/>
      <c r="M2177" s="35"/>
      <c r="N2177" s="35"/>
      <c r="O2177" s="35"/>
      <c r="P2177" s="35"/>
      <c r="Q2177" s="35"/>
      <c r="R2177" s="35"/>
      <c r="S2177" s="35"/>
      <c r="T2177" s="35"/>
      <c r="U2177" s="35"/>
      <c r="V2177" s="35"/>
      <c r="W2177" s="35"/>
      <c r="X2177" s="35"/>
      <c r="Y2177" s="35"/>
      <c r="Z2177" s="35"/>
      <c r="AA2177" s="35"/>
      <c r="AB2177" s="35"/>
      <c r="AC2177" s="35"/>
      <c r="AD2177" s="35"/>
      <c r="AE2177" s="35"/>
      <c r="AF2177" s="35"/>
      <c r="AG2177" s="35"/>
      <c r="AH2177" s="35"/>
      <c r="AI2177" s="35"/>
      <c r="AJ2177" s="35"/>
      <c r="AK2177" s="35"/>
      <c r="AL2177" s="35"/>
      <c r="AM2177" s="35"/>
      <c r="AN2177" s="35"/>
      <c r="AO2177" s="35"/>
      <c r="AP2177" s="35"/>
    </row>
    <row r="2178" spans="1:42" ht="17.25" customHeight="1" x14ac:dyDescent="0.25">
      <c r="A2178" s="55">
        <v>2022</v>
      </c>
      <c r="B2178" s="56" t="s">
        <v>66</v>
      </c>
      <c r="C2178" s="56" t="s">
        <v>47</v>
      </c>
      <c r="D2178" s="56" t="s">
        <v>48</v>
      </c>
      <c r="E2178" s="56" t="s">
        <v>72</v>
      </c>
      <c r="F2178" s="56" t="s">
        <v>73</v>
      </c>
      <c r="G2178" s="57">
        <v>84933436910</v>
      </c>
      <c r="H2178" s="56" t="s">
        <v>68</v>
      </c>
      <c r="I2178" s="58" t="str">
        <f t="shared" si="136"/>
        <v>U.S.-Central Reservation</v>
      </c>
      <c r="J2178" s="40"/>
      <c r="K2178" s="59"/>
      <c r="L2178" s="35"/>
      <c r="M2178" s="35"/>
      <c r="N2178" s="35"/>
      <c r="O2178" s="35"/>
      <c r="P2178" s="35"/>
      <c r="Q2178" s="35"/>
      <c r="R2178" s="35"/>
      <c r="S2178" s="35"/>
      <c r="T2178" s="35"/>
      <c r="U2178" s="35"/>
      <c r="V2178" s="35"/>
      <c r="W2178" s="35"/>
      <c r="X2178" s="35"/>
      <c r="Y2178" s="35"/>
      <c r="Z2178" s="35"/>
      <c r="AA2178" s="35"/>
      <c r="AB2178" s="35"/>
      <c r="AC2178" s="35"/>
      <c r="AD2178" s="35"/>
      <c r="AE2178" s="35"/>
      <c r="AF2178" s="35"/>
      <c r="AG2178" s="35"/>
      <c r="AH2178" s="35"/>
      <c r="AI2178" s="35"/>
      <c r="AJ2178" s="35"/>
      <c r="AK2178" s="35"/>
      <c r="AL2178" s="35"/>
      <c r="AM2178" s="35"/>
      <c r="AN2178" s="35"/>
      <c r="AO2178" s="35"/>
      <c r="AP2178" s="35"/>
    </row>
    <row r="2179" spans="1:42" ht="17.25" customHeight="1" x14ac:dyDescent="0.25">
      <c r="A2179" s="60">
        <v>2022</v>
      </c>
      <c r="B2179" s="61" t="s">
        <v>66</v>
      </c>
      <c r="C2179" s="61" t="s">
        <v>47</v>
      </c>
      <c r="D2179" s="61" t="s">
        <v>48</v>
      </c>
      <c r="E2179" s="61" t="s">
        <v>67</v>
      </c>
      <c r="F2179" s="61" t="s">
        <v>74</v>
      </c>
      <c r="G2179" s="62">
        <v>70844328110</v>
      </c>
      <c r="H2179" s="61" t="s">
        <v>68</v>
      </c>
      <c r="I2179" s="63" t="str">
        <f t="shared" si="136"/>
        <v>U.S.-Travel Agency/TMC</v>
      </c>
      <c r="J2179" s="47"/>
      <c r="K2179" s="54"/>
      <c r="L2179" s="35"/>
      <c r="M2179" s="35"/>
      <c r="N2179" s="35"/>
      <c r="O2179" s="35"/>
      <c r="P2179" s="35"/>
      <c r="Q2179" s="35"/>
      <c r="R2179" s="35"/>
      <c r="S2179" s="35"/>
      <c r="T2179" s="35"/>
      <c r="U2179" s="35"/>
      <c r="V2179" s="35"/>
      <c r="W2179" s="35"/>
      <c r="X2179" s="35"/>
      <c r="Y2179" s="35"/>
      <c r="Z2179" s="35"/>
      <c r="AA2179" s="35"/>
      <c r="AB2179" s="35"/>
      <c r="AC2179" s="35"/>
      <c r="AD2179" s="35"/>
      <c r="AE2179" s="35"/>
      <c r="AF2179" s="35"/>
      <c r="AG2179" s="35"/>
      <c r="AH2179" s="35"/>
      <c r="AI2179" s="35"/>
      <c r="AJ2179" s="35"/>
      <c r="AK2179" s="35"/>
      <c r="AL2179" s="35"/>
      <c r="AM2179" s="35"/>
      <c r="AN2179" s="35"/>
      <c r="AO2179" s="35"/>
      <c r="AP2179" s="35"/>
    </row>
    <row r="2180" spans="1:42" ht="17.25" customHeight="1" x14ac:dyDescent="0.25">
      <c r="A2180" s="55">
        <v>2022</v>
      </c>
      <c r="B2180" s="56" t="s">
        <v>66</v>
      </c>
      <c r="C2180" s="56" t="s">
        <v>47</v>
      </c>
      <c r="D2180" s="56" t="s">
        <v>48</v>
      </c>
      <c r="E2180" s="56" t="s">
        <v>69</v>
      </c>
      <c r="F2180" s="56" t="s">
        <v>70</v>
      </c>
      <c r="G2180" s="57">
        <v>176124290541</v>
      </c>
      <c r="H2180" s="56" t="s">
        <v>68</v>
      </c>
      <c r="I2180" s="58" t="str">
        <f t="shared" si="136"/>
        <v>U.S.-Online Supplier-Direct</v>
      </c>
      <c r="J2180" s="40"/>
      <c r="K2180" s="59"/>
      <c r="L2180" s="35"/>
      <c r="M2180" s="35"/>
      <c r="N2180" s="35"/>
      <c r="O2180" s="35"/>
      <c r="P2180" s="35"/>
      <c r="Q2180" s="35"/>
      <c r="R2180" s="35"/>
      <c r="S2180" s="35"/>
      <c r="T2180" s="35"/>
      <c r="U2180" s="35"/>
      <c r="V2180" s="35"/>
      <c r="W2180" s="35"/>
      <c r="X2180" s="35"/>
      <c r="Y2180" s="35"/>
      <c r="Z2180" s="35"/>
      <c r="AA2180" s="35"/>
      <c r="AB2180" s="35"/>
      <c r="AC2180" s="35"/>
      <c r="AD2180" s="35"/>
      <c r="AE2180" s="35"/>
      <c r="AF2180" s="35"/>
      <c r="AG2180" s="35"/>
      <c r="AH2180" s="35"/>
      <c r="AI2180" s="35"/>
      <c r="AJ2180" s="35"/>
      <c r="AK2180" s="35"/>
      <c r="AL2180" s="35"/>
      <c r="AM2180" s="35"/>
      <c r="AN2180" s="35"/>
      <c r="AO2180" s="35"/>
      <c r="AP2180" s="35"/>
    </row>
    <row r="2181" spans="1:42" ht="17.25" customHeight="1" x14ac:dyDescent="0.25">
      <c r="A2181" s="60">
        <v>2022</v>
      </c>
      <c r="B2181" s="61" t="s">
        <v>66</v>
      </c>
      <c r="C2181" s="61" t="s">
        <v>47</v>
      </c>
      <c r="D2181" s="61" t="s">
        <v>48</v>
      </c>
      <c r="E2181" s="61" t="s">
        <v>69</v>
      </c>
      <c r="F2181" s="61" t="s">
        <v>71</v>
      </c>
      <c r="G2181" s="62">
        <v>89648790000</v>
      </c>
      <c r="H2181" s="61" t="s">
        <v>68</v>
      </c>
      <c r="I2181" s="63" t="str">
        <f t="shared" si="136"/>
        <v>U.S.-OTA</v>
      </c>
      <c r="J2181" s="47"/>
      <c r="K2181" s="54"/>
      <c r="L2181" s="35"/>
      <c r="M2181" s="35"/>
      <c r="N2181" s="35"/>
      <c r="O2181" s="35"/>
      <c r="P2181" s="35"/>
      <c r="Q2181" s="35"/>
      <c r="R2181" s="35"/>
      <c r="S2181" s="35"/>
      <c r="T2181" s="35"/>
      <c r="U2181" s="35"/>
      <c r="V2181" s="35"/>
      <c r="W2181" s="35"/>
      <c r="X2181" s="35"/>
      <c r="Y2181" s="35"/>
      <c r="Z2181" s="35"/>
      <c r="AA2181" s="35"/>
      <c r="AB2181" s="35"/>
      <c r="AC2181" s="35"/>
      <c r="AD2181" s="35"/>
      <c r="AE2181" s="35"/>
      <c r="AF2181" s="35"/>
      <c r="AG2181" s="35"/>
      <c r="AH2181" s="35"/>
      <c r="AI2181" s="35"/>
      <c r="AJ2181" s="35"/>
      <c r="AK2181" s="35"/>
      <c r="AL2181" s="35"/>
      <c r="AM2181" s="35"/>
      <c r="AN2181" s="35"/>
      <c r="AO2181" s="35"/>
      <c r="AP2181" s="35"/>
    </row>
    <row r="2182" spans="1:42" ht="17.25" customHeight="1" x14ac:dyDescent="0.25">
      <c r="A2182" s="55">
        <v>2022</v>
      </c>
      <c r="B2182" s="56" t="s">
        <v>66</v>
      </c>
      <c r="C2182" s="56" t="s">
        <v>17</v>
      </c>
      <c r="D2182" s="56" t="s">
        <v>25</v>
      </c>
      <c r="E2182" s="56" t="s">
        <v>67</v>
      </c>
      <c r="F2182" s="56" t="s">
        <v>67</v>
      </c>
      <c r="G2182" s="57">
        <v>0</v>
      </c>
      <c r="H2182" s="56" t="s">
        <v>68</v>
      </c>
      <c r="I2182" s="58" t="str">
        <f t="shared" si="136"/>
        <v>Ukraine-Offline</v>
      </c>
      <c r="J2182" s="40"/>
      <c r="K2182" s="59"/>
      <c r="L2182" s="35"/>
      <c r="M2182" s="35"/>
      <c r="N2182" s="35"/>
      <c r="O2182" s="35"/>
      <c r="P2182" s="35"/>
      <c r="Q2182" s="35"/>
      <c r="R2182" s="35"/>
      <c r="S2182" s="35"/>
      <c r="T2182" s="35"/>
      <c r="U2182" s="35"/>
      <c r="V2182" s="35"/>
      <c r="W2182" s="35"/>
      <c r="X2182" s="35"/>
      <c r="Y2182" s="35"/>
      <c r="Z2182" s="35"/>
      <c r="AA2182" s="35"/>
      <c r="AB2182" s="35"/>
      <c r="AC2182" s="35"/>
      <c r="AD2182" s="35"/>
      <c r="AE2182" s="35"/>
      <c r="AF2182" s="35"/>
      <c r="AG2182" s="35"/>
      <c r="AH2182" s="35"/>
      <c r="AI2182" s="35"/>
      <c r="AJ2182" s="35"/>
      <c r="AK2182" s="35"/>
      <c r="AL2182" s="35"/>
      <c r="AM2182" s="35"/>
      <c r="AN2182" s="35"/>
      <c r="AO2182" s="35"/>
      <c r="AP2182" s="35"/>
    </row>
    <row r="2183" spans="1:42" ht="17.25" customHeight="1" x14ac:dyDescent="0.25">
      <c r="A2183" s="60">
        <v>2022</v>
      </c>
      <c r="B2183" s="61" t="s">
        <v>66</v>
      </c>
      <c r="C2183" s="61" t="s">
        <v>17</v>
      </c>
      <c r="D2183" s="61" t="s">
        <v>25</v>
      </c>
      <c r="E2183" s="61" t="s">
        <v>69</v>
      </c>
      <c r="F2183" s="61" t="s">
        <v>70</v>
      </c>
      <c r="G2183" s="62">
        <v>0</v>
      </c>
      <c r="H2183" s="61" t="s">
        <v>68</v>
      </c>
      <c r="I2183" s="63" t="str">
        <f t="shared" si="136"/>
        <v>Ukraine-Online Supplier-Direct</v>
      </c>
      <c r="J2183" s="47"/>
      <c r="K2183" s="54"/>
      <c r="L2183" s="35"/>
      <c r="M2183" s="35"/>
      <c r="N2183" s="35"/>
      <c r="O2183" s="35"/>
      <c r="P2183" s="35"/>
      <c r="Q2183" s="35"/>
      <c r="R2183" s="35"/>
      <c r="S2183" s="35"/>
      <c r="T2183" s="35"/>
      <c r="U2183" s="35"/>
      <c r="V2183" s="35"/>
      <c r="W2183" s="35"/>
      <c r="X2183" s="35"/>
      <c r="Y2183" s="35"/>
      <c r="Z2183" s="35"/>
      <c r="AA2183" s="35"/>
      <c r="AB2183" s="35"/>
      <c r="AC2183" s="35"/>
      <c r="AD2183" s="35"/>
      <c r="AE2183" s="35"/>
      <c r="AF2183" s="35"/>
      <c r="AG2183" s="35"/>
      <c r="AH2183" s="35"/>
      <c r="AI2183" s="35"/>
      <c r="AJ2183" s="35"/>
      <c r="AK2183" s="35"/>
      <c r="AL2183" s="35"/>
      <c r="AM2183" s="35"/>
      <c r="AN2183" s="35"/>
      <c r="AO2183" s="35"/>
      <c r="AP2183" s="35"/>
    </row>
    <row r="2184" spans="1:42" ht="17.25" customHeight="1" x14ac:dyDescent="0.25">
      <c r="A2184" s="55">
        <v>2022</v>
      </c>
      <c r="B2184" s="56" t="s">
        <v>66</v>
      </c>
      <c r="C2184" s="56" t="s">
        <v>17</v>
      </c>
      <c r="D2184" s="56" t="s">
        <v>25</v>
      </c>
      <c r="E2184" s="56" t="s">
        <v>69</v>
      </c>
      <c r="F2184" s="56" t="s">
        <v>71</v>
      </c>
      <c r="G2184" s="57">
        <v>0</v>
      </c>
      <c r="H2184" s="56" t="s">
        <v>68</v>
      </c>
      <c r="I2184" s="58" t="str">
        <f t="shared" si="136"/>
        <v>Ukraine-OTA</v>
      </c>
      <c r="J2184" s="40"/>
      <c r="K2184" s="59"/>
      <c r="L2184" s="35"/>
      <c r="M2184" s="35"/>
      <c r="N2184" s="35"/>
      <c r="O2184" s="35"/>
      <c r="P2184" s="35"/>
      <c r="Q2184" s="35"/>
      <c r="R2184" s="35"/>
      <c r="S2184" s="35"/>
      <c r="T2184" s="35"/>
      <c r="U2184" s="35"/>
      <c r="V2184" s="35"/>
      <c r="W2184" s="35"/>
      <c r="X2184" s="35"/>
      <c r="Y2184" s="35"/>
      <c r="Z2184" s="35"/>
      <c r="AA2184" s="35"/>
      <c r="AB2184" s="35"/>
      <c r="AC2184" s="35"/>
      <c r="AD2184" s="35"/>
      <c r="AE2184" s="35"/>
      <c r="AF2184" s="35"/>
      <c r="AG2184" s="35"/>
      <c r="AH2184" s="35"/>
      <c r="AI2184" s="35"/>
      <c r="AJ2184" s="35"/>
      <c r="AK2184" s="35"/>
      <c r="AL2184" s="35"/>
      <c r="AM2184" s="35"/>
      <c r="AN2184" s="35"/>
      <c r="AO2184" s="35"/>
      <c r="AP2184" s="35"/>
    </row>
    <row r="2185" spans="1:42" ht="17.25" customHeight="1" x14ac:dyDescent="0.25">
      <c r="A2185" s="60">
        <v>2023</v>
      </c>
      <c r="B2185" s="61" t="s">
        <v>66</v>
      </c>
      <c r="C2185" s="61" t="s">
        <v>35</v>
      </c>
      <c r="D2185" s="61" t="s">
        <v>34</v>
      </c>
      <c r="E2185" s="61" t="s">
        <v>67</v>
      </c>
      <c r="F2185" s="61" t="s">
        <v>67</v>
      </c>
      <c r="G2185" s="62">
        <v>4410567333</v>
      </c>
      <c r="H2185" s="61" t="s">
        <v>68</v>
      </c>
      <c r="I2185" s="63" t="str">
        <f t="shared" si="136"/>
        <v>Argentina-Offline</v>
      </c>
      <c r="J2185" s="47"/>
      <c r="K2185" s="54"/>
      <c r="L2185" s="35"/>
      <c r="M2185" s="35"/>
      <c r="N2185" s="35"/>
      <c r="O2185" s="35"/>
      <c r="P2185" s="35"/>
      <c r="Q2185" s="35"/>
      <c r="R2185" s="35"/>
      <c r="S2185" s="35"/>
      <c r="T2185" s="35"/>
      <c r="U2185" s="35"/>
      <c r="V2185" s="35"/>
      <c r="W2185" s="35"/>
      <c r="X2185" s="35"/>
      <c r="Y2185" s="35"/>
      <c r="Z2185" s="35"/>
      <c r="AA2185" s="35"/>
      <c r="AB2185" s="35"/>
      <c r="AC2185" s="35"/>
      <c r="AD2185" s="35"/>
      <c r="AE2185" s="35"/>
      <c r="AF2185" s="35"/>
      <c r="AG2185" s="35"/>
      <c r="AH2185" s="35"/>
      <c r="AI2185" s="35"/>
      <c r="AJ2185" s="35"/>
      <c r="AK2185" s="35"/>
      <c r="AL2185" s="35"/>
      <c r="AM2185" s="35"/>
      <c r="AN2185" s="35"/>
      <c r="AO2185" s="35"/>
      <c r="AP2185" s="35"/>
    </row>
    <row r="2186" spans="1:42" ht="17.25" customHeight="1" x14ac:dyDescent="0.25">
      <c r="A2186" s="55">
        <v>2023</v>
      </c>
      <c r="B2186" s="56" t="s">
        <v>66</v>
      </c>
      <c r="C2186" s="56" t="s">
        <v>35</v>
      </c>
      <c r="D2186" s="56" t="s">
        <v>34</v>
      </c>
      <c r="E2186" s="56" t="s">
        <v>69</v>
      </c>
      <c r="F2186" s="56" t="s">
        <v>70</v>
      </c>
      <c r="G2186" s="57">
        <v>1381404713</v>
      </c>
      <c r="H2186" s="56" t="s">
        <v>68</v>
      </c>
      <c r="I2186" s="58" t="str">
        <f t="shared" si="136"/>
        <v>Argentina-Online Supplier-Direct</v>
      </c>
      <c r="J2186" s="40"/>
      <c r="K2186" s="59"/>
      <c r="L2186" s="35"/>
      <c r="M2186" s="35"/>
      <c r="N2186" s="35"/>
      <c r="O2186" s="35"/>
      <c r="P2186" s="35"/>
      <c r="Q2186" s="35"/>
      <c r="R2186" s="35"/>
      <c r="S2186" s="35"/>
      <c r="T2186" s="35"/>
      <c r="U2186" s="35"/>
      <c r="V2186" s="35"/>
      <c r="W2186" s="35"/>
      <c r="X2186" s="35"/>
      <c r="Y2186" s="35"/>
      <c r="Z2186" s="35"/>
      <c r="AA2186" s="35"/>
      <c r="AB2186" s="35"/>
      <c r="AC2186" s="35"/>
      <c r="AD2186" s="35"/>
      <c r="AE2186" s="35"/>
      <c r="AF2186" s="35"/>
      <c r="AG2186" s="35"/>
      <c r="AH2186" s="35"/>
      <c r="AI2186" s="35"/>
      <c r="AJ2186" s="35"/>
      <c r="AK2186" s="35"/>
      <c r="AL2186" s="35"/>
      <c r="AM2186" s="35"/>
      <c r="AN2186" s="35"/>
      <c r="AO2186" s="35"/>
      <c r="AP2186" s="35"/>
    </row>
    <row r="2187" spans="1:42" ht="17.25" customHeight="1" x14ac:dyDescent="0.25">
      <c r="A2187" s="60">
        <v>2023</v>
      </c>
      <c r="B2187" s="61" t="s">
        <v>66</v>
      </c>
      <c r="C2187" s="61" t="s">
        <v>35</v>
      </c>
      <c r="D2187" s="61" t="s">
        <v>34</v>
      </c>
      <c r="E2187" s="61" t="s">
        <v>69</v>
      </c>
      <c r="F2187" s="61" t="s">
        <v>71</v>
      </c>
      <c r="G2187" s="62">
        <v>1575827953</v>
      </c>
      <c r="H2187" s="61" t="s">
        <v>68</v>
      </c>
      <c r="I2187" s="63" t="str">
        <f t="shared" si="136"/>
        <v>Argentina-OTA</v>
      </c>
      <c r="J2187" s="47"/>
      <c r="K2187" s="54"/>
      <c r="L2187" s="35"/>
      <c r="M2187" s="35"/>
      <c r="N2187" s="35"/>
      <c r="O2187" s="35"/>
      <c r="P2187" s="35"/>
      <c r="Q2187" s="35"/>
      <c r="R2187" s="35"/>
      <c r="S2187" s="35"/>
      <c r="T2187" s="35"/>
      <c r="U2187" s="35"/>
      <c r="V2187" s="35"/>
      <c r="W2187" s="35"/>
      <c r="X2187" s="35"/>
      <c r="Y2187" s="35"/>
      <c r="Z2187" s="35"/>
      <c r="AA2187" s="35"/>
      <c r="AB2187" s="35"/>
      <c r="AC2187" s="35"/>
      <c r="AD2187" s="35"/>
      <c r="AE2187" s="35"/>
      <c r="AF2187" s="35"/>
      <c r="AG2187" s="35"/>
      <c r="AH2187" s="35"/>
      <c r="AI2187" s="35"/>
      <c r="AJ2187" s="35"/>
      <c r="AK2187" s="35"/>
      <c r="AL2187" s="35"/>
      <c r="AM2187" s="35"/>
      <c r="AN2187" s="35"/>
      <c r="AO2187" s="35"/>
      <c r="AP2187" s="35"/>
    </row>
    <row r="2188" spans="1:42" ht="17.25" customHeight="1" x14ac:dyDescent="0.25">
      <c r="A2188" s="55">
        <v>2023</v>
      </c>
      <c r="B2188" s="56" t="s">
        <v>66</v>
      </c>
      <c r="C2188" s="56" t="s">
        <v>4</v>
      </c>
      <c r="D2188" s="56" t="s">
        <v>3</v>
      </c>
      <c r="E2188" s="56" t="s">
        <v>67</v>
      </c>
      <c r="F2188" s="56" t="s">
        <v>67</v>
      </c>
      <c r="G2188" s="57">
        <v>15130013207</v>
      </c>
      <c r="H2188" s="56" t="s">
        <v>68</v>
      </c>
      <c r="I2188" s="58" t="str">
        <f t="shared" si="136"/>
        <v>Australia-New Zealand-Offline</v>
      </c>
      <c r="J2188" s="40"/>
      <c r="K2188" s="59"/>
      <c r="L2188" s="35"/>
      <c r="M2188" s="35"/>
      <c r="N2188" s="35"/>
      <c r="O2188" s="35"/>
      <c r="P2188" s="35"/>
      <c r="Q2188" s="35"/>
      <c r="R2188" s="35"/>
      <c r="S2188" s="35"/>
      <c r="T2188" s="35"/>
      <c r="U2188" s="35"/>
      <c r="V2188" s="35"/>
      <c r="W2188" s="35"/>
      <c r="X2188" s="35"/>
      <c r="Y2188" s="35"/>
      <c r="Z2188" s="35"/>
      <c r="AA2188" s="35"/>
      <c r="AB2188" s="35"/>
      <c r="AC2188" s="35"/>
      <c r="AD2188" s="35"/>
      <c r="AE2188" s="35"/>
      <c r="AF2188" s="35"/>
      <c r="AG2188" s="35"/>
      <c r="AH2188" s="35"/>
      <c r="AI2188" s="35"/>
      <c r="AJ2188" s="35"/>
      <c r="AK2188" s="35"/>
      <c r="AL2188" s="35"/>
      <c r="AM2188" s="35"/>
      <c r="AN2188" s="35"/>
      <c r="AO2188" s="35"/>
      <c r="AP2188" s="35"/>
    </row>
    <row r="2189" spans="1:42" ht="17.25" customHeight="1" x14ac:dyDescent="0.25">
      <c r="A2189" s="60">
        <v>2023</v>
      </c>
      <c r="B2189" s="61" t="s">
        <v>66</v>
      </c>
      <c r="C2189" s="61" t="s">
        <v>4</v>
      </c>
      <c r="D2189" s="61" t="s">
        <v>3</v>
      </c>
      <c r="E2189" s="61" t="s">
        <v>69</v>
      </c>
      <c r="F2189" s="61" t="s">
        <v>70</v>
      </c>
      <c r="G2189" s="62">
        <v>14099041160</v>
      </c>
      <c r="H2189" s="61" t="s">
        <v>68</v>
      </c>
      <c r="I2189" s="63" t="str">
        <f t="shared" si="136"/>
        <v>Australia-New Zealand-Online Supplier-Direct</v>
      </c>
      <c r="J2189" s="47"/>
      <c r="K2189" s="54"/>
      <c r="L2189" s="35"/>
      <c r="M2189" s="35"/>
      <c r="N2189" s="35"/>
      <c r="O2189" s="35"/>
      <c r="P2189" s="35"/>
      <c r="Q2189" s="35"/>
      <c r="R2189" s="35"/>
      <c r="S2189" s="35"/>
      <c r="T2189" s="35"/>
      <c r="U2189" s="35"/>
      <c r="V2189" s="35"/>
      <c r="W2189" s="35"/>
      <c r="X2189" s="35"/>
      <c r="Y2189" s="35"/>
      <c r="Z2189" s="35"/>
      <c r="AA2189" s="35"/>
      <c r="AB2189" s="35"/>
      <c r="AC2189" s="35"/>
      <c r="AD2189" s="35"/>
      <c r="AE2189" s="35"/>
      <c r="AF2189" s="35"/>
      <c r="AG2189" s="35"/>
      <c r="AH2189" s="35"/>
      <c r="AI2189" s="35"/>
      <c r="AJ2189" s="35"/>
      <c r="AK2189" s="35"/>
      <c r="AL2189" s="35"/>
      <c r="AM2189" s="35"/>
      <c r="AN2189" s="35"/>
      <c r="AO2189" s="35"/>
      <c r="AP2189" s="35"/>
    </row>
    <row r="2190" spans="1:42" ht="17.25" customHeight="1" x14ac:dyDescent="0.25">
      <c r="A2190" s="55">
        <v>2023</v>
      </c>
      <c r="B2190" s="56" t="s">
        <v>66</v>
      </c>
      <c r="C2190" s="56" t="s">
        <v>4</v>
      </c>
      <c r="D2190" s="56" t="s">
        <v>3</v>
      </c>
      <c r="E2190" s="56" t="s">
        <v>69</v>
      </c>
      <c r="F2190" s="56" t="s">
        <v>71</v>
      </c>
      <c r="G2190" s="57">
        <v>6361424103</v>
      </c>
      <c r="H2190" s="56" t="s">
        <v>68</v>
      </c>
      <c r="I2190" s="58" t="str">
        <f t="shared" si="136"/>
        <v>Australia-New Zealand-OTA</v>
      </c>
      <c r="J2190" s="40"/>
      <c r="K2190" s="59"/>
      <c r="L2190" s="35"/>
      <c r="M2190" s="35"/>
      <c r="N2190" s="35"/>
      <c r="O2190" s="35"/>
      <c r="P2190" s="35"/>
      <c r="Q2190" s="35"/>
      <c r="R2190" s="35"/>
      <c r="S2190" s="35"/>
      <c r="T2190" s="35"/>
      <c r="U2190" s="35"/>
      <c r="V2190" s="35"/>
      <c r="W2190" s="35"/>
      <c r="X2190" s="35"/>
      <c r="Y2190" s="35"/>
      <c r="Z2190" s="35"/>
      <c r="AA2190" s="35"/>
      <c r="AB2190" s="35"/>
      <c r="AC2190" s="35"/>
      <c r="AD2190" s="35"/>
      <c r="AE2190" s="35"/>
      <c r="AF2190" s="35"/>
      <c r="AG2190" s="35"/>
      <c r="AH2190" s="35"/>
      <c r="AI2190" s="35"/>
      <c r="AJ2190" s="35"/>
      <c r="AK2190" s="35"/>
      <c r="AL2190" s="35"/>
      <c r="AM2190" s="35"/>
      <c r="AN2190" s="35"/>
      <c r="AO2190" s="35"/>
      <c r="AP2190" s="35"/>
    </row>
    <row r="2191" spans="1:42" ht="17.25" customHeight="1" x14ac:dyDescent="0.25">
      <c r="A2191" s="60">
        <v>2023</v>
      </c>
      <c r="B2191" s="61" t="s">
        <v>66</v>
      </c>
      <c r="C2191" s="61" t="s">
        <v>35</v>
      </c>
      <c r="D2191" s="61" t="s">
        <v>36</v>
      </c>
      <c r="E2191" s="61" t="s">
        <v>67</v>
      </c>
      <c r="F2191" s="61" t="s">
        <v>67</v>
      </c>
      <c r="G2191" s="62">
        <v>11170062207</v>
      </c>
      <c r="H2191" s="61" t="s">
        <v>68</v>
      </c>
      <c r="I2191" s="63" t="str">
        <f t="shared" si="136"/>
        <v>Brazil-Offline</v>
      </c>
      <c r="J2191" s="47"/>
      <c r="K2191" s="54"/>
      <c r="L2191" s="35"/>
      <c r="M2191" s="35"/>
      <c r="N2191" s="35"/>
      <c r="O2191" s="35"/>
      <c r="P2191" s="35"/>
      <c r="Q2191" s="35"/>
      <c r="R2191" s="35"/>
      <c r="S2191" s="35"/>
      <c r="T2191" s="35"/>
      <c r="U2191" s="35"/>
      <c r="V2191" s="35"/>
      <c r="W2191" s="35"/>
      <c r="X2191" s="35"/>
      <c r="Y2191" s="35"/>
      <c r="Z2191" s="35"/>
      <c r="AA2191" s="35"/>
      <c r="AB2191" s="35"/>
      <c r="AC2191" s="35"/>
      <c r="AD2191" s="35"/>
      <c r="AE2191" s="35"/>
      <c r="AF2191" s="35"/>
      <c r="AG2191" s="35"/>
      <c r="AH2191" s="35"/>
      <c r="AI2191" s="35"/>
      <c r="AJ2191" s="35"/>
      <c r="AK2191" s="35"/>
      <c r="AL2191" s="35"/>
      <c r="AM2191" s="35"/>
      <c r="AN2191" s="35"/>
      <c r="AO2191" s="35"/>
      <c r="AP2191" s="35"/>
    </row>
    <row r="2192" spans="1:42" ht="17.25" customHeight="1" x14ac:dyDescent="0.25">
      <c r="A2192" s="55">
        <v>2023</v>
      </c>
      <c r="B2192" s="56" t="s">
        <v>66</v>
      </c>
      <c r="C2192" s="56" t="s">
        <v>35</v>
      </c>
      <c r="D2192" s="56" t="s">
        <v>36</v>
      </c>
      <c r="E2192" s="56" t="s">
        <v>69</v>
      </c>
      <c r="F2192" s="56" t="s">
        <v>70</v>
      </c>
      <c r="G2192" s="57">
        <v>4737085431</v>
      </c>
      <c r="H2192" s="56" t="s">
        <v>68</v>
      </c>
      <c r="I2192" s="58" t="str">
        <f t="shared" si="136"/>
        <v>Brazil-Online Supplier-Direct</v>
      </c>
      <c r="J2192" s="40"/>
      <c r="K2192" s="59"/>
      <c r="L2192" s="35"/>
      <c r="M2192" s="35"/>
      <c r="N2192" s="35"/>
      <c r="O2192" s="35"/>
      <c r="P2192" s="35"/>
      <c r="Q2192" s="35"/>
      <c r="R2192" s="35"/>
      <c r="S2192" s="35"/>
      <c r="T2192" s="35"/>
      <c r="U2192" s="35"/>
      <c r="V2192" s="35"/>
      <c r="W2192" s="35"/>
      <c r="X2192" s="35"/>
      <c r="Y2192" s="35"/>
      <c r="Z2192" s="35"/>
      <c r="AA2192" s="35"/>
      <c r="AB2192" s="35"/>
      <c r="AC2192" s="35"/>
      <c r="AD2192" s="35"/>
      <c r="AE2192" s="35"/>
      <c r="AF2192" s="35"/>
      <c r="AG2192" s="35"/>
      <c r="AH2192" s="35"/>
      <c r="AI2192" s="35"/>
      <c r="AJ2192" s="35"/>
      <c r="AK2192" s="35"/>
      <c r="AL2192" s="35"/>
      <c r="AM2192" s="35"/>
      <c r="AN2192" s="35"/>
      <c r="AO2192" s="35"/>
      <c r="AP2192" s="35"/>
    </row>
    <row r="2193" spans="1:42" ht="17.25" customHeight="1" x14ac:dyDescent="0.25">
      <c r="A2193" s="60">
        <v>2023</v>
      </c>
      <c r="B2193" s="61" t="s">
        <v>66</v>
      </c>
      <c r="C2193" s="61" t="s">
        <v>35</v>
      </c>
      <c r="D2193" s="61" t="s">
        <v>36</v>
      </c>
      <c r="E2193" s="61" t="s">
        <v>69</v>
      </c>
      <c r="F2193" s="61" t="s">
        <v>71</v>
      </c>
      <c r="G2193" s="62">
        <v>5870081041</v>
      </c>
      <c r="H2193" s="61" t="s">
        <v>68</v>
      </c>
      <c r="I2193" s="63" t="str">
        <f t="shared" si="136"/>
        <v>Brazil-OTA</v>
      </c>
      <c r="J2193" s="47"/>
      <c r="K2193" s="54"/>
      <c r="L2193" s="35"/>
      <c r="M2193" s="35"/>
      <c r="N2193" s="35"/>
      <c r="O2193" s="35"/>
      <c r="P2193" s="35"/>
      <c r="Q2193" s="35"/>
      <c r="R2193" s="35"/>
      <c r="S2193" s="35"/>
      <c r="T2193" s="35"/>
      <c r="U2193" s="35"/>
      <c r="V2193" s="35"/>
      <c r="W2193" s="35"/>
      <c r="X2193" s="35"/>
      <c r="Y2193" s="35"/>
      <c r="Z2193" s="35"/>
      <c r="AA2193" s="35"/>
      <c r="AB2193" s="35"/>
      <c r="AC2193" s="35"/>
      <c r="AD2193" s="35"/>
      <c r="AE2193" s="35"/>
      <c r="AF2193" s="35"/>
      <c r="AG2193" s="35"/>
      <c r="AH2193" s="35"/>
      <c r="AI2193" s="35"/>
      <c r="AJ2193" s="35"/>
      <c r="AK2193" s="35"/>
      <c r="AL2193" s="35"/>
      <c r="AM2193" s="35"/>
      <c r="AN2193" s="35"/>
      <c r="AO2193" s="35"/>
      <c r="AP2193" s="35"/>
    </row>
    <row r="2194" spans="1:42" ht="17.25" customHeight="1" x14ac:dyDescent="0.25">
      <c r="A2194" s="55">
        <v>2023</v>
      </c>
      <c r="B2194" s="56" t="s">
        <v>66</v>
      </c>
      <c r="C2194" s="56" t="s">
        <v>17</v>
      </c>
      <c r="D2194" s="56" t="s">
        <v>16</v>
      </c>
      <c r="E2194" s="56" t="s">
        <v>67</v>
      </c>
      <c r="F2194" s="56" t="s">
        <v>67</v>
      </c>
      <c r="G2194" s="57">
        <v>724432415</v>
      </c>
      <c r="H2194" s="56" t="s">
        <v>68</v>
      </c>
      <c r="I2194" s="58" t="str">
        <f t="shared" si="136"/>
        <v>Bulgaria-Offline</v>
      </c>
      <c r="J2194" s="40"/>
      <c r="K2194" s="59"/>
      <c r="L2194" s="35"/>
      <c r="M2194" s="35"/>
      <c r="N2194" s="35"/>
      <c r="O2194" s="35"/>
      <c r="P2194" s="35"/>
      <c r="Q2194" s="35"/>
      <c r="R2194" s="35"/>
      <c r="S2194" s="35"/>
      <c r="T2194" s="35"/>
      <c r="U2194" s="35"/>
      <c r="V2194" s="35"/>
      <c r="W2194" s="35"/>
      <c r="X2194" s="35"/>
      <c r="Y2194" s="35"/>
      <c r="Z2194" s="35"/>
      <c r="AA2194" s="35"/>
      <c r="AB2194" s="35"/>
      <c r="AC2194" s="35"/>
      <c r="AD2194" s="35"/>
      <c r="AE2194" s="35"/>
      <c r="AF2194" s="35"/>
      <c r="AG2194" s="35"/>
      <c r="AH2194" s="35"/>
      <c r="AI2194" s="35"/>
      <c r="AJ2194" s="35"/>
      <c r="AK2194" s="35"/>
      <c r="AL2194" s="35"/>
      <c r="AM2194" s="35"/>
      <c r="AN2194" s="35"/>
      <c r="AO2194" s="35"/>
      <c r="AP2194" s="35"/>
    </row>
    <row r="2195" spans="1:42" ht="17.25" customHeight="1" x14ac:dyDescent="0.25">
      <c r="A2195" s="60">
        <v>2023</v>
      </c>
      <c r="B2195" s="61" t="s">
        <v>66</v>
      </c>
      <c r="C2195" s="61" t="s">
        <v>17</v>
      </c>
      <c r="D2195" s="61" t="s">
        <v>16</v>
      </c>
      <c r="E2195" s="61" t="s">
        <v>69</v>
      </c>
      <c r="F2195" s="61" t="s">
        <v>70</v>
      </c>
      <c r="G2195" s="62">
        <v>194745822</v>
      </c>
      <c r="H2195" s="61" t="s">
        <v>68</v>
      </c>
      <c r="I2195" s="63" t="str">
        <f t="shared" si="136"/>
        <v>Bulgaria-Online Supplier-Direct</v>
      </c>
      <c r="J2195" s="47"/>
      <c r="K2195" s="54"/>
      <c r="L2195" s="35"/>
      <c r="M2195" s="35"/>
      <c r="N2195" s="35"/>
      <c r="O2195" s="35"/>
      <c r="P2195" s="35"/>
      <c r="Q2195" s="35"/>
      <c r="R2195" s="35"/>
      <c r="S2195" s="35"/>
      <c r="T2195" s="35"/>
      <c r="U2195" s="35"/>
      <c r="V2195" s="35"/>
      <c r="W2195" s="35"/>
      <c r="X2195" s="35"/>
      <c r="Y2195" s="35"/>
      <c r="Z2195" s="35"/>
      <c r="AA2195" s="35"/>
      <c r="AB2195" s="35"/>
      <c r="AC2195" s="35"/>
      <c r="AD2195" s="35"/>
      <c r="AE2195" s="35"/>
      <c r="AF2195" s="35"/>
      <c r="AG2195" s="35"/>
      <c r="AH2195" s="35"/>
      <c r="AI2195" s="35"/>
      <c r="AJ2195" s="35"/>
      <c r="AK2195" s="35"/>
      <c r="AL2195" s="35"/>
      <c r="AM2195" s="35"/>
      <c r="AN2195" s="35"/>
      <c r="AO2195" s="35"/>
      <c r="AP2195" s="35"/>
    </row>
    <row r="2196" spans="1:42" ht="17.25" customHeight="1" x14ac:dyDescent="0.25">
      <c r="A2196" s="55">
        <v>2023</v>
      </c>
      <c r="B2196" s="56" t="s">
        <v>66</v>
      </c>
      <c r="C2196" s="56" t="s">
        <v>17</v>
      </c>
      <c r="D2196" s="56" t="s">
        <v>16</v>
      </c>
      <c r="E2196" s="56" t="s">
        <v>69</v>
      </c>
      <c r="F2196" s="56" t="s">
        <v>71</v>
      </c>
      <c r="G2196" s="57">
        <v>447571828</v>
      </c>
      <c r="H2196" s="56" t="s">
        <v>68</v>
      </c>
      <c r="I2196" s="58" t="str">
        <f t="shared" si="136"/>
        <v>Bulgaria-OTA</v>
      </c>
      <c r="J2196" s="40"/>
      <c r="K2196" s="59"/>
      <c r="L2196" s="35"/>
      <c r="M2196" s="35"/>
      <c r="N2196" s="35"/>
      <c r="O2196" s="35"/>
      <c r="P2196" s="35"/>
      <c r="Q2196" s="35"/>
      <c r="R2196" s="35"/>
      <c r="S2196" s="35"/>
      <c r="T2196" s="35"/>
      <c r="U2196" s="35"/>
      <c r="V2196" s="35"/>
      <c r="W2196" s="35"/>
      <c r="X2196" s="35"/>
      <c r="Y2196" s="35"/>
      <c r="Z2196" s="35"/>
      <c r="AA2196" s="35"/>
      <c r="AB2196" s="35"/>
      <c r="AC2196" s="35"/>
      <c r="AD2196" s="35"/>
      <c r="AE2196" s="35"/>
      <c r="AF2196" s="35"/>
      <c r="AG2196" s="35"/>
      <c r="AH2196" s="35"/>
      <c r="AI2196" s="35"/>
      <c r="AJ2196" s="35"/>
      <c r="AK2196" s="35"/>
      <c r="AL2196" s="35"/>
      <c r="AM2196" s="35"/>
      <c r="AN2196" s="35"/>
      <c r="AO2196" s="35"/>
      <c r="AP2196" s="35"/>
    </row>
    <row r="2197" spans="1:42" ht="17.25" customHeight="1" x14ac:dyDescent="0.25">
      <c r="A2197" s="60">
        <v>2023</v>
      </c>
      <c r="B2197" s="61" t="s">
        <v>66</v>
      </c>
      <c r="C2197" s="61" t="s">
        <v>47</v>
      </c>
      <c r="D2197" s="61" t="s">
        <v>46</v>
      </c>
      <c r="E2197" s="61" t="s">
        <v>72</v>
      </c>
      <c r="F2197" s="61" t="s">
        <v>73</v>
      </c>
      <c r="G2197" s="62">
        <v>8469486902</v>
      </c>
      <c r="H2197" s="61" t="s">
        <v>68</v>
      </c>
      <c r="I2197" s="63" t="str">
        <f t="shared" si="136"/>
        <v>Canada-Central Reservation</v>
      </c>
      <c r="J2197" s="47"/>
      <c r="K2197" s="54"/>
      <c r="L2197" s="35"/>
      <c r="M2197" s="35"/>
      <c r="N2197" s="35"/>
      <c r="O2197" s="35"/>
      <c r="P2197" s="35"/>
      <c r="Q2197" s="35"/>
      <c r="R2197" s="35"/>
      <c r="S2197" s="35"/>
      <c r="T2197" s="35"/>
      <c r="U2197" s="35"/>
      <c r="V2197" s="35"/>
      <c r="W2197" s="35"/>
      <c r="X2197" s="35"/>
      <c r="Y2197" s="35"/>
      <c r="Z2197" s="35"/>
      <c r="AA2197" s="35"/>
      <c r="AB2197" s="35"/>
      <c r="AC2197" s="35"/>
      <c r="AD2197" s="35"/>
      <c r="AE2197" s="35"/>
      <c r="AF2197" s="35"/>
      <c r="AG2197" s="35"/>
      <c r="AH2197" s="35"/>
      <c r="AI2197" s="35"/>
      <c r="AJ2197" s="35"/>
      <c r="AK2197" s="35"/>
      <c r="AL2197" s="35"/>
      <c r="AM2197" s="35"/>
      <c r="AN2197" s="35"/>
      <c r="AO2197" s="35"/>
      <c r="AP2197" s="35"/>
    </row>
    <row r="2198" spans="1:42" ht="17.25" customHeight="1" x14ac:dyDescent="0.25">
      <c r="A2198" s="55">
        <v>2023</v>
      </c>
      <c r="B2198" s="56" t="s">
        <v>66</v>
      </c>
      <c r="C2198" s="56" t="s">
        <v>47</v>
      </c>
      <c r="D2198" s="56" t="s">
        <v>46</v>
      </c>
      <c r="E2198" s="56" t="s">
        <v>67</v>
      </c>
      <c r="F2198" s="56" t="s">
        <v>74</v>
      </c>
      <c r="G2198" s="57">
        <v>6683898780</v>
      </c>
      <c r="H2198" s="56" t="s">
        <v>68</v>
      </c>
      <c r="I2198" s="58" t="str">
        <f t="shared" si="136"/>
        <v>Canada-Travel Agency/TMC</v>
      </c>
      <c r="J2198" s="40"/>
      <c r="K2198" s="59"/>
      <c r="L2198" s="35"/>
      <c r="M2198" s="35"/>
      <c r="N2198" s="35"/>
      <c r="O2198" s="35"/>
      <c r="P2198" s="35"/>
      <c r="Q2198" s="35"/>
      <c r="R2198" s="35"/>
      <c r="S2198" s="35"/>
      <c r="T2198" s="35"/>
      <c r="U2198" s="35"/>
      <c r="V2198" s="35"/>
      <c r="W2198" s="35"/>
      <c r="X2198" s="35"/>
      <c r="Y2198" s="35"/>
      <c r="Z2198" s="35"/>
      <c r="AA2198" s="35"/>
      <c r="AB2198" s="35"/>
      <c r="AC2198" s="35"/>
      <c r="AD2198" s="35"/>
      <c r="AE2198" s="35"/>
      <c r="AF2198" s="35"/>
      <c r="AG2198" s="35"/>
      <c r="AH2198" s="35"/>
      <c r="AI2198" s="35"/>
      <c r="AJ2198" s="35"/>
      <c r="AK2198" s="35"/>
      <c r="AL2198" s="35"/>
      <c r="AM2198" s="35"/>
      <c r="AN2198" s="35"/>
      <c r="AO2198" s="35"/>
      <c r="AP2198" s="35"/>
    </row>
    <row r="2199" spans="1:42" ht="17.25" customHeight="1" x14ac:dyDescent="0.25">
      <c r="A2199" s="60">
        <v>2023</v>
      </c>
      <c r="B2199" s="61" t="s">
        <v>66</v>
      </c>
      <c r="C2199" s="61" t="s">
        <v>47</v>
      </c>
      <c r="D2199" s="61" t="s">
        <v>46</v>
      </c>
      <c r="E2199" s="61" t="s">
        <v>69</v>
      </c>
      <c r="F2199" s="61" t="s">
        <v>70</v>
      </c>
      <c r="G2199" s="62">
        <v>13862532388</v>
      </c>
      <c r="H2199" s="61" t="s">
        <v>68</v>
      </c>
      <c r="I2199" s="63" t="str">
        <f t="shared" si="136"/>
        <v>Canada-Online Supplier-Direct</v>
      </c>
      <c r="J2199" s="47"/>
      <c r="K2199" s="54"/>
      <c r="L2199" s="35"/>
      <c r="M2199" s="35"/>
      <c r="N2199" s="35"/>
      <c r="O2199" s="35"/>
      <c r="P2199" s="35"/>
      <c r="Q2199" s="35"/>
      <c r="R2199" s="35"/>
      <c r="S2199" s="35"/>
      <c r="T2199" s="35"/>
      <c r="U2199" s="35"/>
      <c r="V2199" s="35"/>
      <c r="W2199" s="35"/>
      <c r="X2199" s="35"/>
      <c r="Y2199" s="35"/>
      <c r="Z2199" s="35"/>
      <c r="AA2199" s="35"/>
      <c r="AB2199" s="35"/>
      <c r="AC2199" s="35"/>
      <c r="AD2199" s="35"/>
      <c r="AE2199" s="35"/>
      <c r="AF2199" s="35"/>
      <c r="AG2199" s="35"/>
      <c r="AH2199" s="35"/>
      <c r="AI2199" s="35"/>
      <c r="AJ2199" s="35"/>
      <c r="AK2199" s="35"/>
      <c r="AL2199" s="35"/>
      <c r="AM2199" s="35"/>
      <c r="AN2199" s="35"/>
      <c r="AO2199" s="35"/>
      <c r="AP2199" s="35"/>
    </row>
    <row r="2200" spans="1:42" ht="17.25" customHeight="1" x14ac:dyDescent="0.25">
      <c r="A2200" s="55">
        <v>2023</v>
      </c>
      <c r="B2200" s="56" t="s">
        <v>66</v>
      </c>
      <c r="C2200" s="56" t="s">
        <v>47</v>
      </c>
      <c r="D2200" s="56" t="s">
        <v>46</v>
      </c>
      <c r="E2200" s="56" t="s">
        <v>69</v>
      </c>
      <c r="F2200" s="56" t="s">
        <v>71</v>
      </c>
      <c r="G2200" s="57">
        <v>9889086706</v>
      </c>
      <c r="H2200" s="56" t="s">
        <v>68</v>
      </c>
      <c r="I2200" s="58" t="str">
        <f t="shared" si="136"/>
        <v>Canada-OTA</v>
      </c>
      <c r="J2200" s="40"/>
      <c r="K2200" s="59"/>
      <c r="L2200" s="35"/>
      <c r="M2200" s="35"/>
      <c r="N2200" s="35"/>
      <c r="O2200" s="35"/>
      <c r="P2200" s="35"/>
      <c r="Q2200" s="35"/>
      <c r="R2200" s="35"/>
      <c r="S2200" s="35"/>
      <c r="T2200" s="35"/>
      <c r="U2200" s="35"/>
      <c r="V2200" s="35"/>
      <c r="W2200" s="35"/>
      <c r="X2200" s="35"/>
      <c r="Y2200" s="35"/>
      <c r="Z2200" s="35"/>
      <c r="AA2200" s="35"/>
      <c r="AB2200" s="35"/>
      <c r="AC2200" s="35"/>
      <c r="AD2200" s="35"/>
      <c r="AE2200" s="35"/>
      <c r="AF2200" s="35"/>
      <c r="AG2200" s="35"/>
      <c r="AH2200" s="35"/>
      <c r="AI2200" s="35"/>
      <c r="AJ2200" s="35"/>
      <c r="AK2200" s="35"/>
      <c r="AL2200" s="35"/>
      <c r="AM2200" s="35"/>
      <c r="AN2200" s="35"/>
      <c r="AO2200" s="35"/>
      <c r="AP2200" s="35"/>
    </row>
    <row r="2201" spans="1:42" ht="17.25" customHeight="1" x14ac:dyDescent="0.25">
      <c r="A2201" s="60">
        <v>2023</v>
      </c>
      <c r="B2201" s="61" t="s">
        <v>66</v>
      </c>
      <c r="C2201" s="61" t="s">
        <v>35</v>
      </c>
      <c r="D2201" s="61" t="s">
        <v>37</v>
      </c>
      <c r="E2201" s="61" t="s">
        <v>67</v>
      </c>
      <c r="F2201" s="61" t="s">
        <v>67</v>
      </c>
      <c r="G2201" s="62">
        <v>1832328022</v>
      </c>
      <c r="H2201" s="61" t="s">
        <v>68</v>
      </c>
      <c r="I2201" s="63" t="str">
        <f t="shared" si="136"/>
        <v>Chile-Offline</v>
      </c>
      <c r="J2201" s="47"/>
      <c r="K2201" s="54"/>
      <c r="L2201" s="35"/>
      <c r="M2201" s="35"/>
      <c r="N2201" s="35"/>
      <c r="O2201" s="35"/>
      <c r="P2201" s="35"/>
      <c r="Q2201" s="35"/>
      <c r="R2201" s="35"/>
      <c r="S2201" s="35"/>
      <c r="T2201" s="35"/>
      <c r="U2201" s="35"/>
      <c r="V2201" s="35"/>
      <c r="W2201" s="35"/>
      <c r="X2201" s="35"/>
      <c r="Y2201" s="35"/>
      <c r="Z2201" s="35"/>
      <c r="AA2201" s="35"/>
      <c r="AB2201" s="35"/>
      <c r="AC2201" s="35"/>
      <c r="AD2201" s="35"/>
      <c r="AE2201" s="35"/>
      <c r="AF2201" s="35"/>
      <c r="AG2201" s="35"/>
      <c r="AH2201" s="35"/>
      <c r="AI2201" s="35"/>
      <c r="AJ2201" s="35"/>
      <c r="AK2201" s="35"/>
      <c r="AL2201" s="35"/>
      <c r="AM2201" s="35"/>
      <c r="AN2201" s="35"/>
      <c r="AO2201" s="35"/>
      <c r="AP2201" s="35"/>
    </row>
    <row r="2202" spans="1:42" ht="17.25" customHeight="1" x14ac:dyDescent="0.25">
      <c r="A2202" s="55">
        <v>2023</v>
      </c>
      <c r="B2202" s="56" t="s">
        <v>66</v>
      </c>
      <c r="C2202" s="56" t="s">
        <v>35</v>
      </c>
      <c r="D2202" s="56" t="s">
        <v>37</v>
      </c>
      <c r="E2202" s="56" t="s">
        <v>69</v>
      </c>
      <c r="F2202" s="56" t="s">
        <v>70</v>
      </c>
      <c r="G2202" s="57">
        <v>952584765</v>
      </c>
      <c r="H2202" s="56" t="s">
        <v>68</v>
      </c>
      <c r="I2202" s="58" t="str">
        <f t="shared" si="136"/>
        <v>Chile-Online Supplier-Direct</v>
      </c>
      <c r="J2202" s="40"/>
      <c r="K2202" s="59"/>
      <c r="L2202" s="35"/>
      <c r="M2202" s="35"/>
      <c r="N2202" s="35"/>
      <c r="O2202" s="35"/>
      <c r="P2202" s="35"/>
      <c r="Q2202" s="35"/>
      <c r="R2202" s="35"/>
      <c r="S2202" s="35"/>
      <c r="T2202" s="35"/>
      <c r="U2202" s="35"/>
      <c r="V2202" s="35"/>
      <c r="W2202" s="35"/>
      <c r="X2202" s="35"/>
      <c r="Y2202" s="35"/>
      <c r="Z2202" s="35"/>
      <c r="AA2202" s="35"/>
      <c r="AB2202" s="35"/>
      <c r="AC2202" s="35"/>
      <c r="AD2202" s="35"/>
      <c r="AE2202" s="35"/>
      <c r="AF2202" s="35"/>
      <c r="AG2202" s="35"/>
      <c r="AH2202" s="35"/>
      <c r="AI2202" s="35"/>
      <c r="AJ2202" s="35"/>
      <c r="AK2202" s="35"/>
      <c r="AL2202" s="35"/>
      <c r="AM2202" s="35"/>
      <c r="AN2202" s="35"/>
      <c r="AO2202" s="35"/>
      <c r="AP2202" s="35"/>
    </row>
    <row r="2203" spans="1:42" ht="17.25" customHeight="1" x14ac:dyDescent="0.25">
      <c r="A2203" s="60">
        <v>2023</v>
      </c>
      <c r="B2203" s="61" t="s">
        <v>66</v>
      </c>
      <c r="C2203" s="61" t="s">
        <v>35</v>
      </c>
      <c r="D2203" s="61" t="s">
        <v>37</v>
      </c>
      <c r="E2203" s="61" t="s">
        <v>69</v>
      </c>
      <c r="F2203" s="61" t="s">
        <v>71</v>
      </c>
      <c r="G2203" s="62">
        <v>800656525</v>
      </c>
      <c r="H2203" s="61" t="s">
        <v>68</v>
      </c>
      <c r="I2203" s="63" t="str">
        <f t="shared" si="136"/>
        <v>Chile-OTA</v>
      </c>
      <c r="J2203" s="47"/>
      <c r="K2203" s="54"/>
      <c r="L2203" s="35"/>
      <c r="M2203" s="35"/>
      <c r="N2203" s="35"/>
      <c r="O2203" s="35"/>
      <c r="P2203" s="35"/>
      <c r="Q2203" s="35"/>
      <c r="R2203" s="35"/>
      <c r="S2203" s="35"/>
      <c r="T2203" s="35"/>
      <c r="U2203" s="35"/>
      <c r="V2203" s="35"/>
      <c r="W2203" s="35"/>
      <c r="X2203" s="35"/>
      <c r="Y2203" s="35"/>
      <c r="Z2203" s="35"/>
      <c r="AA2203" s="35"/>
      <c r="AB2203" s="35"/>
      <c r="AC2203" s="35"/>
      <c r="AD2203" s="35"/>
      <c r="AE2203" s="35"/>
      <c r="AF2203" s="35"/>
      <c r="AG2203" s="35"/>
      <c r="AH2203" s="35"/>
      <c r="AI2203" s="35"/>
      <c r="AJ2203" s="35"/>
      <c r="AK2203" s="35"/>
      <c r="AL2203" s="35"/>
      <c r="AM2203" s="35"/>
      <c r="AN2203" s="35"/>
      <c r="AO2203" s="35"/>
      <c r="AP2203" s="35"/>
    </row>
    <row r="2204" spans="1:42" ht="17.25" customHeight="1" x14ac:dyDescent="0.25">
      <c r="A2204" s="55">
        <v>2023</v>
      </c>
      <c r="B2204" s="56" t="s">
        <v>66</v>
      </c>
      <c r="C2204" s="56" t="s">
        <v>4</v>
      </c>
      <c r="D2204" s="56" t="s">
        <v>5</v>
      </c>
      <c r="E2204" s="56" t="s">
        <v>67</v>
      </c>
      <c r="F2204" s="56" t="s">
        <v>67</v>
      </c>
      <c r="G2204" s="57">
        <v>41667369127</v>
      </c>
      <c r="H2204" s="56" t="s">
        <v>68</v>
      </c>
      <c r="I2204" s="58" t="str">
        <f t="shared" si="136"/>
        <v>China-Offline</v>
      </c>
      <c r="J2204" s="40"/>
      <c r="K2204" s="59"/>
      <c r="L2204" s="35"/>
      <c r="M2204" s="35"/>
      <c r="N2204" s="35"/>
      <c r="O2204" s="35"/>
      <c r="P2204" s="35"/>
      <c r="Q2204" s="35"/>
      <c r="R2204" s="35"/>
      <c r="S2204" s="35"/>
      <c r="T2204" s="35"/>
      <c r="U2204" s="35"/>
      <c r="V2204" s="35"/>
      <c r="W2204" s="35"/>
      <c r="X2204" s="35"/>
      <c r="Y2204" s="35"/>
      <c r="Z2204" s="35"/>
      <c r="AA2204" s="35"/>
      <c r="AB2204" s="35"/>
      <c r="AC2204" s="35"/>
      <c r="AD2204" s="35"/>
      <c r="AE2204" s="35"/>
      <c r="AF2204" s="35"/>
      <c r="AG2204" s="35"/>
      <c r="AH2204" s="35"/>
      <c r="AI2204" s="35"/>
      <c r="AJ2204" s="35"/>
      <c r="AK2204" s="35"/>
      <c r="AL2204" s="35"/>
      <c r="AM2204" s="35"/>
      <c r="AN2204" s="35"/>
      <c r="AO2204" s="35"/>
      <c r="AP2204" s="35"/>
    </row>
    <row r="2205" spans="1:42" ht="17.25" customHeight="1" x14ac:dyDescent="0.25">
      <c r="A2205" s="60">
        <v>2023</v>
      </c>
      <c r="B2205" s="61" t="s">
        <v>66</v>
      </c>
      <c r="C2205" s="61" t="s">
        <v>4</v>
      </c>
      <c r="D2205" s="61" t="s">
        <v>5</v>
      </c>
      <c r="E2205" s="61" t="s">
        <v>69</v>
      </c>
      <c r="F2205" s="61" t="s">
        <v>70</v>
      </c>
      <c r="G2205" s="62">
        <v>49542250038</v>
      </c>
      <c r="H2205" s="61" t="s">
        <v>68</v>
      </c>
      <c r="I2205" s="63" t="str">
        <f t="shared" si="136"/>
        <v>China-Online Supplier-Direct</v>
      </c>
      <c r="J2205" s="47"/>
      <c r="K2205" s="54"/>
      <c r="L2205" s="35"/>
      <c r="M2205" s="35"/>
      <c r="N2205" s="35"/>
      <c r="O2205" s="35"/>
      <c r="P2205" s="35"/>
      <c r="Q2205" s="35"/>
      <c r="R2205" s="35"/>
      <c r="S2205" s="35"/>
      <c r="T2205" s="35"/>
      <c r="U2205" s="35"/>
      <c r="V2205" s="35"/>
      <c r="W2205" s="35"/>
      <c r="X2205" s="35"/>
      <c r="Y2205" s="35"/>
      <c r="Z2205" s="35"/>
      <c r="AA2205" s="35"/>
      <c r="AB2205" s="35"/>
      <c r="AC2205" s="35"/>
      <c r="AD2205" s="35"/>
      <c r="AE2205" s="35"/>
      <c r="AF2205" s="35"/>
      <c r="AG2205" s="35"/>
      <c r="AH2205" s="35"/>
      <c r="AI2205" s="35"/>
      <c r="AJ2205" s="35"/>
      <c r="AK2205" s="35"/>
      <c r="AL2205" s="35"/>
      <c r="AM2205" s="35"/>
      <c r="AN2205" s="35"/>
      <c r="AO2205" s="35"/>
      <c r="AP2205" s="35"/>
    </row>
    <row r="2206" spans="1:42" ht="17.25" customHeight="1" x14ac:dyDescent="0.25">
      <c r="A2206" s="55">
        <v>2023</v>
      </c>
      <c r="B2206" s="56" t="s">
        <v>66</v>
      </c>
      <c r="C2206" s="56" t="s">
        <v>4</v>
      </c>
      <c r="D2206" s="56" t="s">
        <v>5</v>
      </c>
      <c r="E2206" s="56" t="s">
        <v>69</v>
      </c>
      <c r="F2206" s="56" t="s">
        <v>71</v>
      </c>
      <c r="G2206" s="57">
        <v>51460476537</v>
      </c>
      <c r="H2206" s="56" t="s">
        <v>68</v>
      </c>
      <c r="I2206" s="58" t="str">
        <f t="shared" si="136"/>
        <v>China-OTA</v>
      </c>
      <c r="J2206" s="40"/>
      <c r="K2206" s="59"/>
      <c r="L2206" s="35"/>
      <c r="M2206" s="35"/>
      <c r="N2206" s="35"/>
      <c r="O2206" s="35"/>
      <c r="P2206" s="35"/>
      <c r="Q2206" s="35"/>
      <c r="R2206" s="35"/>
      <c r="S2206" s="35"/>
      <c r="T2206" s="35"/>
      <c r="U2206" s="35"/>
      <c r="V2206" s="35"/>
      <c r="W2206" s="35"/>
      <c r="X2206" s="35"/>
      <c r="Y2206" s="35"/>
      <c r="Z2206" s="35"/>
      <c r="AA2206" s="35"/>
      <c r="AB2206" s="35"/>
      <c r="AC2206" s="35"/>
      <c r="AD2206" s="35"/>
      <c r="AE2206" s="35"/>
      <c r="AF2206" s="35"/>
      <c r="AG2206" s="35"/>
      <c r="AH2206" s="35"/>
      <c r="AI2206" s="35"/>
      <c r="AJ2206" s="35"/>
      <c r="AK2206" s="35"/>
      <c r="AL2206" s="35"/>
      <c r="AM2206" s="35"/>
      <c r="AN2206" s="35"/>
      <c r="AO2206" s="35"/>
      <c r="AP2206" s="35"/>
    </row>
    <row r="2207" spans="1:42" ht="17.25" customHeight="1" x14ac:dyDescent="0.25">
      <c r="A2207" s="60">
        <v>2023</v>
      </c>
      <c r="B2207" s="61" t="s">
        <v>66</v>
      </c>
      <c r="C2207" s="61" t="s">
        <v>35</v>
      </c>
      <c r="D2207" s="61" t="s">
        <v>38</v>
      </c>
      <c r="E2207" s="61" t="s">
        <v>67</v>
      </c>
      <c r="F2207" s="61" t="s">
        <v>67</v>
      </c>
      <c r="G2207" s="62">
        <v>3315419461</v>
      </c>
      <c r="H2207" s="61" t="s">
        <v>68</v>
      </c>
      <c r="I2207" s="63" t="str">
        <f t="shared" si="136"/>
        <v>Colombia-Offline</v>
      </c>
      <c r="J2207" s="47"/>
      <c r="K2207" s="54"/>
      <c r="L2207" s="35"/>
      <c r="M2207" s="35"/>
      <c r="N2207" s="35"/>
      <c r="O2207" s="35"/>
      <c r="P2207" s="35"/>
      <c r="Q2207" s="35"/>
      <c r="R2207" s="35"/>
      <c r="S2207" s="35"/>
      <c r="T2207" s="35"/>
      <c r="U2207" s="35"/>
      <c r="V2207" s="35"/>
      <c r="W2207" s="35"/>
      <c r="X2207" s="35"/>
      <c r="Y2207" s="35"/>
      <c r="Z2207" s="35"/>
      <c r="AA2207" s="35"/>
      <c r="AB2207" s="35"/>
      <c r="AC2207" s="35"/>
      <c r="AD2207" s="35"/>
      <c r="AE2207" s="35"/>
      <c r="AF2207" s="35"/>
      <c r="AG2207" s="35"/>
      <c r="AH2207" s="35"/>
      <c r="AI2207" s="35"/>
      <c r="AJ2207" s="35"/>
      <c r="AK2207" s="35"/>
      <c r="AL2207" s="35"/>
      <c r="AM2207" s="35"/>
      <c r="AN2207" s="35"/>
      <c r="AO2207" s="35"/>
      <c r="AP2207" s="35"/>
    </row>
    <row r="2208" spans="1:42" ht="17.25" customHeight="1" x14ac:dyDescent="0.25">
      <c r="A2208" s="55">
        <v>2023</v>
      </c>
      <c r="B2208" s="56" t="s">
        <v>66</v>
      </c>
      <c r="C2208" s="56" t="s">
        <v>35</v>
      </c>
      <c r="D2208" s="56" t="s">
        <v>38</v>
      </c>
      <c r="E2208" s="56" t="s">
        <v>69</v>
      </c>
      <c r="F2208" s="56" t="s">
        <v>70</v>
      </c>
      <c r="G2208" s="57">
        <v>1345657307</v>
      </c>
      <c r="H2208" s="56" t="s">
        <v>68</v>
      </c>
      <c r="I2208" s="58" t="str">
        <f t="shared" si="136"/>
        <v>Colombia-Online Supplier-Direct</v>
      </c>
      <c r="J2208" s="40"/>
      <c r="K2208" s="59"/>
      <c r="L2208" s="35"/>
      <c r="M2208" s="35"/>
      <c r="N2208" s="35"/>
      <c r="O2208" s="35"/>
      <c r="P2208" s="35"/>
      <c r="Q2208" s="35"/>
      <c r="R2208" s="35"/>
      <c r="S2208" s="35"/>
      <c r="T2208" s="35"/>
      <c r="U2208" s="35"/>
      <c r="V2208" s="35"/>
      <c r="W2208" s="35"/>
      <c r="X2208" s="35"/>
      <c r="Y2208" s="35"/>
      <c r="Z2208" s="35"/>
      <c r="AA2208" s="35"/>
      <c r="AB2208" s="35"/>
      <c r="AC2208" s="35"/>
      <c r="AD2208" s="35"/>
      <c r="AE2208" s="35"/>
      <c r="AF2208" s="35"/>
      <c r="AG2208" s="35"/>
      <c r="AH2208" s="35"/>
      <c r="AI2208" s="35"/>
      <c r="AJ2208" s="35"/>
      <c r="AK2208" s="35"/>
      <c r="AL2208" s="35"/>
      <c r="AM2208" s="35"/>
      <c r="AN2208" s="35"/>
      <c r="AO2208" s="35"/>
      <c r="AP2208" s="35"/>
    </row>
    <row r="2209" spans="1:42" ht="17.25" customHeight="1" x14ac:dyDescent="0.25">
      <c r="A2209" s="60">
        <v>2023</v>
      </c>
      <c r="B2209" s="61" t="s">
        <v>66</v>
      </c>
      <c r="C2209" s="61" t="s">
        <v>35</v>
      </c>
      <c r="D2209" s="61" t="s">
        <v>38</v>
      </c>
      <c r="E2209" s="61" t="s">
        <v>69</v>
      </c>
      <c r="F2209" s="61" t="s">
        <v>71</v>
      </c>
      <c r="G2209" s="62">
        <v>1190825106</v>
      </c>
      <c r="H2209" s="61" t="s">
        <v>68</v>
      </c>
      <c r="I2209" s="63" t="str">
        <f t="shared" si="136"/>
        <v>Colombia-OTA</v>
      </c>
      <c r="J2209" s="47"/>
      <c r="K2209" s="54"/>
      <c r="L2209" s="35"/>
      <c r="M2209" s="35"/>
      <c r="N2209" s="35"/>
      <c r="O2209" s="35"/>
      <c r="P2209" s="35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  <c r="AB2209" s="35"/>
      <c r="AC2209" s="35"/>
      <c r="AD2209" s="35"/>
      <c r="AE2209" s="35"/>
      <c r="AF2209" s="35"/>
      <c r="AG2209" s="35"/>
      <c r="AH2209" s="35"/>
      <c r="AI2209" s="35"/>
      <c r="AJ2209" s="35"/>
      <c r="AK2209" s="35"/>
      <c r="AL2209" s="35"/>
      <c r="AM2209" s="35"/>
      <c r="AN2209" s="35"/>
      <c r="AO2209" s="35"/>
      <c r="AP2209" s="35"/>
    </row>
    <row r="2210" spans="1:42" ht="17.25" customHeight="1" x14ac:dyDescent="0.25">
      <c r="A2210" s="55">
        <v>2023</v>
      </c>
      <c r="B2210" s="56" t="s">
        <v>66</v>
      </c>
      <c r="C2210" s="56" t="s">
        <v>17</v>
      </c>
      <c r="D2210" s="56" t="s">
        <v>18</v>
      </c>
      <c r="E2210" s="56" t="s">
        <v>67</v>
      </c>
      <c r="F2210" s="56" t="s">
        <v>67</v>
      </c>
      <c r="G2210" s="57">
        <v>1413702845</v>
      </c>
      <c r="H2210" s="56" t="s">
        <v>68</v>
      </c>
      <c r="I2210" s="58" t="str">
        <f t="shared" si="136"/>
        <v>Czech Republic-Offline</v>
      </c>
      <c r="J2210" s="40"/>
      <c r="K2210" s="59"/>
      <c r="L2210" s="35"/>
      <c r="M2210" s="35"/>
      <c r="N2210" s="35"/>
      <c r="O2210" s="35"/>
      <c r="P2210" s="35"/>
      <c r="Q2210" s="35"/>
      <c r="R2210" s="35"/>
      <c r="S2210" s="35"/>
      <c r="T2210" s="35"/>
      <c r="U2210" s="35"/>
      <c r="V2210" s="35"/>
      <c r="W2210" s="35"/>
      <c r="X2210" s="35"/>
      <c r="Y2210" s="35"/>
      <c r="Z2210" s="35"/>
      <c r="AA2210" s="35"/>
      <c r="AB2210" s="35"/>
      <c r="AC2210" s="35"/>
      <c r="AD2210" s="35"/>
      <c r="AE2210" s="35"/>
      <c r="AF2210" s="35"/>
      <c r="AG2210" s="35"/>
      <c r="AH2210" s="35"/>
      <c r="AI2210" s="35"/>
      <c r="AJ2210" s="35"/>
      <c r="AK2210" s="35"/>
      <c r="AL2210" s="35"/>
      <c r="AM2210" s="35"/>
      <c r="AN2210" s="35"/>
      <c r="AO2210" s="35"/>
      <c r="AP2210" s="35"/>
    </row>
    <row r="2211" spans="1:42" ht="17.25" customHeight="1" x14ac:dyDescent="0.25">
      <c r="A2211" s="60">
        <v>2023</v>
      </c>
      <c r="B2211" s="61" t="s">
        <v>66</v>
      </c>
      <c r="C2211" s="61" t="s">
        <v>17</v>
      </c>
      <c r="D2211" s="61" t="s">
        <v>18</v>
      </c>
      <c r="E2211" s="61" t="s">
        <v>69</v>
      </c>
      <c r="F2211" s="61" t="s">
        <v>70</v>
      </c>
      <c r="G2211" s="62">
        <v>1467831488</v>
      </c>
      <c r="H2211" s="61" t="s">
        <v>68</v>
      </c>
      <c r="I2211" s="63" t="str">
        <f t="shared" si="136"/>
        <v>Czech Republic-Online Supplier-Direct</v>
      </c>
      <c r="J2211" s="47"/>
      <c r="K2211" s="54"/>
      <c r="L2211" s="35"/>
      <c r="M2211" s="35"/>
      <c r="N2211" s="35"/>
      <c r="O2211" s="35"/>
      <c r="P2211" s="35"/>
      <c r="Q2211" s="35"/>
      <c r="R2211" s="35"/>
      <c r="S2211" s="35"/>
      <c r="T2211" s="35"/>
      <c r="U2211" s="35"/>
      <c r="V2211" s="35"/>
      <c r="W2211" s="35"/>
      <c r="X2211" s="35"/>
      <c r="Y2211" s="35"/>
      <c r="Z2211" s="35"/>
      <c r="AA2211" s="35"/>
      <c r="AB2211" s="35"/>
      <c r="AC2211" s="35"/>
      <c r="AD2211" s="35"/>
      <c r="AE2211" s="35"/>
      <c r="AF2211" s="35"/>
      <c r="AG2211" s="35"/>
      <c r="AH2211" s="35"/>
      <c r="AI2211" s="35"/>
      <c r="AJ2211" s="35"/>
      <c r="AK2211" s="35"/>
      <c r="AL2211" s="35"/>
      <c r="AM2211" s="35"/>
      <c r="AN2211" s="35"/>
      <c r="AO2211" s="35"/>
      <c r="AP2211" s="35"/>
    </row>
    <row r="2212" spans="1:42" ht="17.25" customHeight="1" x14ac:dyDescent="0.25">
      <c r="A2212" s="55">
        <v>2023</v>
      </c>
      <c r="B2212" s="56" t="s">
        <v>66</v>
      </c>
      <c r="C2212" s="56" t="s">
        <v>17</v>
      </c>
      <c r="D2212" s="56" t="s">
        <v>18</v>
      </c>
      <c r="E2212" s="56" t="s">
        <v>69</v>
      </c>
      <c r="F2212" s="56" t="s">
        <v>71</v>
      </c>
      <c r="G2212" s="57">
        <v>1085430655</v>
      </c>
      <c r="H2212" s="56" t="s">
        <v>68</v>
      </c>
      <c r="I2212" s="58" t="str">
        <f t="shared" si="136"/>
        <v>Czech Republic-OTA</v>
      </c>
      <c r="J2212" s="40"/>
      <c r="K2212" s="59"/>
      <c r="L2212" s="35"/>
      <c r="M2212" s="35"/>
      <c r="N2212" s="35"/>
      <c r="O2212" s="35"/>
      <c r="P2212" s="35"/>
      <c r="Q2212" s="35"/>
      <c r="R2212" s="35"/>
      <c r="S2212" s="35"/>
      <c r="T2212" s="35"/>
      <c r="U2212" s="35"/>
      <c r="V2212" s="35"/>
      <c r="W2212" s="35"/>
      <c r="X2212" s="35"/>
      <c r="Y2212" s="35"/>
      <c r="Z2212" s="35"/>
      <c r="AA2212" s="35"/>
      <c r="AB2212" s="35"/>
      <c r="AC2212" s="35"/>
      <c r="AD2212" s="35"/>
      <c r="AE2212" s="35"/>
      <c r="AF2212" s="35"/>
      <c r="AG2212" s="35"/>
      <c r="AH2212" s="35"/>
      <c r="AI2212" s="35"/>
      <c r="AJ2212" s="35"/>
      <c r="AK2212" s="35"/>
      <c r="AL2212" s="35"/>
      <c r="AM2212" s="35"/>
      <c r="AN2212" s="35"/>
      <c r="AO2212" s="35"/>
      <c r="AP2212" s="35"/>
    </row>
    <row r="2213" spans="1:42" ht="17.25" customHeight="1" x14ac:dyDescent="0.25">
      <c r="A2213" s="60">
        <v>2023</v>
      </c>
      <c r="B2213" s="61" t="s">
        <v>66</v>
      </c>
      <c r="C2213" s="61" t="s">
        <v>41</v>
      </c>
      <c r="D2213" s="61" t="s">
        <v>40</v>
      </c>
      <c r="E2213" s="61" t="s">
        <v>67</v>
      </c>
      <c r="F2213" s="61" t="s">
        <v>67</v>
      </c>
      <c r="G2213" s="62">
        <v>1602093739</v>
      </c>
      <c r="H2213" s="61" t="s">
        <v>68</v>
      </c>
      <c r="I2213" s="63" t="str">
        <f t="shared" si="136"/>
        <v>Egypt-Offline</v>
      </c>
      <c r="J2213" s="47"/>
      <c r="K2213" s="54"/>
      <c r="L2213" s="35"/>
      <c r="M2213" s="35"/>
      <c r="N2213" s="35"/>
      <c r="O2213" s="35"/>
      <c r="P2213" s="35"/>
      <c r="Q2213" s="35"/>
      <c r="R2213" s="35"/>
      <c r="S2213" s="35"/>
      <c r="T2213" s="35"/>
      <c r="U2213" s="35"/>
      <c r="V2213" s="35"/>
      <c r="W2213" s="35"/>
      <c r="X2213" s="35"/>
      <c r="Y2213" s="35"/>
      <c r="Z2213" s="35"/>
      <c r="AA2213" s="35"/>
      <c r="AB2213" s="35"/>
      <c r="AC2213" s="35"/>
      <c r="AD2213" s="35"/>
      <c r="AE2213" s="35"/>
      <c r="AF2213" s="35"/>
      <c r="AG2213" s="35"/>
      <c r="AH2213" s="35"/>
      <c r="AI2213" s="35"/>
      <c r="AJ2213" s="35"/>
      <c r="AK2213" s="35"/>
      <c r="AL2213" s="35"/>
      <c r="AM2213" s="35"/>
      <c r="AN2213" s="35"/>
      <c r="AO2213" s="35"/>
      <c r="AP2213" s="35"/>
    </row>
    <row r="2214" spans="1:42" ht="17.25" customHeight="1" x14ac:dyDescent="0.25">
      <c r="A2214" s="55">
        <v>2023</v>
      </c>
      <c r="B2214" s="56" t="s">
        <v>66</v>
      </c>
      <c r="C2214" s="56" t="s">
        <v>41</v>
      </c>
      <c r="D2214" s="56" t="s">
        <v>40</v>
      </c>
      <c r="E2214" s="56" t="s">
        <v>69</v>
      </c>
      <c r="F2214" s="56" t="s">
        <v>70</v>
      </c>
      <c r="G2214" s="57">
        <v>445732045</v>
      </c>
      <c r="H2214" s="56" t="s">
        <v>68</v>
      </c>
      <c r="I2214" s="58" t="str">
        <f t="shared" si="136"/>
        <v>Egypt-Online Supplier-Direct</v>
      </c>
      <c r="J2214" s="40"/>
      <c r="K2214" s="59"/>
      <c r="L2214" s="35"/>
      <c r="M2214" s="35"/>
      <c r="N2214" s="35"/>
      <c r="O2214" s="35"/>
      <c r="P2214" s="35"/>
      <c r="Q2214" s="35"/>
      <c r="R2214" s="35"/>
      <c r="S2214" s="35"/>
      <c r="T2214" s="35"/>
      <c r="U2214" s="35"/>
      <c r="V2214" s="35"/>
      <c r="W2214" s="35"/>
      <c r="X2214" s="35"/>
      <c r="Y2214" s="35"/>
      <c r="Z2214" s="35"/>
      <c r="AA2214" s="35"/>
      <c r="AB2214" s="35"/>
      <c r="AC2214" s="35"/>
      <c r="AD2214" s="35"/>
      <c r="AE2214" s="35"/>
      <c r="AF2214" s="35"/>
      <c r="AG2214" s="35"/>
      <c r="AH2214" s="35"/>
      <c r="AI2214" s="35"/>
      <c r="AJ2214" s="35"/>
      <c r="AK2214" s="35"/>
      <c r="AL2214" s="35"/>
      <c r="AM2214" s="35"/>
      <c r="AN2214" s="35"/>
      <c r="AO2214" s="35"/>
      <c r="AP2214" s="35"/>
    </row>
    <row r="2215" spans="1:42" ht="17.25" customHeight="1" x14ac:dyDescent="0.25">
      <c r="A2215" s="60">
        <v>2023</v>
      </c>
      <c r="B2215" s="61" t="s">
        <v>66</v>
      </c>
      <c r="C2215" s="61" t="s">
        <v>41</v>
      </c>
      <c r="D2215" s="61" t="s">
        <v>40</v>
      </c>
      <c r="E2215" s="61" t="s">
        <v>69</v>
      </c>
      <c r="F2215" s="61" t="s">
        <v>71</v>
      </c>
      <c r="G2215" s="62">
        <v>480701167</v>
      </c>
      <c r="H2215" s="61" t="s">
        <v>68</v>
      </c>
      <c r="I2215" s="63" t="str">
        <f t="shared" si="136"/>
        <v>Egypt-OTA</v>
      </c>
      <c r="J2215" s="47"/>
      <c r="K2215" s="54"/>
      <c r="L2215" s="35"/>
      <c r="M2215" s="35"/>
      <c r="N2215" s="35"/>
      <c r="O2215" s="35"/>
      <c r="P2215" s="35"/>
      <c r="Q2215" s="35"/>
      <c r="R2215" s="35"/>
      <c r="S2215" s="35"/>
      <c r="T2215" s="35"/>
      <c r="U2215" s="35"/>
      <c r="V2215" s="35"/>
      <c r="W2215" s="35"/>
      <c r="X2215" s="35"/>
      <c r="Y2215" s="35"/>
      <c r="Z2215" s="35"/>
      <c r="AA2215" s="35"/>
      <c r="AB2215" s="35"/>
      <c r="AC2215" s="35"/>
      <c r="AD2215" s="35"/>
      <c r="AE2215" s="35"/>
      <c r="AF2215" s="35"/>
      <c r="AG2215" s="35"/>
      <c r="AH2215" s="35"/>
      <c r="AI2215" s="35"/>
      <c r="AJ2215" s="35"/>
      <c r="AK2215" s="35"/>
      <c r="AL2215" s="35"/>
      <c r="AM2215" s="35"/>
      <c r="AN2215" s="35"/>
      <c r="AO2215" s="35"/>
      <c r="AP2215" s="35"/>
    </row>
    <row r="2216" spans="1:42" ht="17.25" customHeight="1" x14ac:dyDescent="0.25">
      <c r="A2216" s="55">
        <v>2023</v>
      </c>
      <c r="B2216" s="56" t="s">
        <v>66</v>
      </c>
      <c r="C2216" s="56" t="s">
        <v>27</v>
      </c>
      <c r="D2216" s="56" t="s">
        <v>26</v>
      </c>
      <c r="E2216" s="56" t="s">
        <v>67</v>
      </c>
      <c r="F2216" s="56" t="s">
        <v>67</v>
      </c>
      <c r="G2216" s="57">
        <v>27994668917</v>
      </c>
      <c r="H2216" s="56" t="s">
        <v>68</v>
      </c>
      <c r="I2216" s="58" t="str">
        <f t="shared" si="136"/>
        <v>France-Offline</v>
      </c>
      <c r="J2216" s="40"/>
      <c r="K2216" s="59"/>
      <c r="L2216" s="35"/>
      <c r="M2216" s="35"/>
      <c r="N2216" s="35"/>
      <c r="O2216" s="35"/>
      <c r="P2216" s="35"/>
      <c r="Q2216" s="35"/>
      <c r="R2216" s="35"/>
      <c r="S2216" s="35"/>
      <c r="T2216" s="35"/>
      <c r="U2216" s="35"/>
      <c r="V2216" s="35"/>
      <c r="W2216" s="35"/>
      <c r="X2216" s="35"/>
      <c r="Y2216" s="35"/>
      <c r="Z2216" s="35"/>
      <c r="AA2216" s="35"/>
      <c r="AB2216" s="35"/>
      <c r="AC2216" s="35"/>
      <c r="AD2216" s="35"/>
      <c r="AE2216" s="35"/>
      <c r="AF2216" s="35"/>
      <c r="AG2216" s="35"/>
      <c r="AH2216" s="35"/>
      <c r="AI2216" s="35"/>
      <c r="AJ2216" s="35"/>
      <c r="AK2216" s="35"/>
      <c r="AL2216" s="35"/>
      <c r="AM2216" s="35"/>
      <c r="AN2216" s="35"/>
      <c r="AO2216" s="35"/>
      <c r="AP2216" s="35"/>
    </row>
    <row r="2217" spans="1:42" ht="17.25" customHeight="1" x14ac:dyDescent="0.25">
      <c r="A2217" s="60">
        <v>2023</v>
      </c>
      <c r="B2217" s="61" t="s">
        <v>66</v>
      </c>
      <c r="C2217" s="61" t="s">
        <v>27</v>
      </c>
      <c r="D2217" s="61" t="s">
        <v>26</v>
      </c>
      <c r="E2217" s="61" t="s">
        <v>69</v>
      </c>
      <c r="F2217" s="61" t="s">
        <v>70</v>
      </c>
      <c r="G2217" s="62">
        <v>23456258715</v>
      </c>
      <c r="H2217" s="61" t="s">
        <v>68</v>
      </c>
      <c r="I2217" s="63" t="str">
        <f t="shared" si="136"/>
        <v>France-Online Supplier-Direct</v>
      </c>
      <c r="J2217" s="47"/>
      <c r="K2217" s="54"/>
      <c r="L2217" s="35"/>
      <c r="M2217" s="35"/>
      <c r="N2217" s="35"/>
      <c r="O2217" s="35"/>
      <c r="P2217" s="35"/>
      <c r="Q2217" s="35"/>
      <c r="R2217" s="35"/>
      <c r="S2217" s="35"/>
      <c r="T2217" s="35"/>
      <c r="U2217" s="35"/>
      <c r="V2217" s="35"/>
      <c r="W2217" s="35"/>
      <c r="X2217" s="35"/>
      <c r="Y2217" s="35"/>
      <c r="Z2217" s="35"/>
      <c r="AA2217" s="35"/>
      <c r="AB2217" s="35"/>
      <c r="AC2217" s="35"/>
      <c r="AD2217" s="35"/>
      <c r="AE2217" s="35"/>
      <c r="AF2217" s="35"/>
      <c r="AG2217" s="35"/>
      <c r="AH2217" s="35"/>
      <c r="AI2217" s="35"/>
      <c r="AJ2217" s="35"/>
      <c r="AK2217" s="35"/>
      <c r="AL2217" s="35"/>
      <c r="AM2217" s="35"/>
      <c r="AN2217" s="35"/>
      <c r="AO2217" s="35"/>
      <c r="AP2217" s="35"/>
    </row>
    <row r="2218" spans="1:42" ht="17.25" customHeight="1" x14ac:dyDescent="0.25">
      <c r="A2218" s="55">
        <v>2023</v>
      </c>
      <c r="B2218" s="56" t="s">
        <v>66</v>
      </c>
      <c r="C2218" s="56" t="s">
        <v>27</v>
      </c>
      <c r="D2218" s="56" t="s">
        <v>26</v>
      </c>
      <c r="E2218" s="56" t="s">
        <v>69</v>
      </c>
      <c r="F2218" s="56" t="s">
        <v>71</v>
      </c>
      <c r="G2218" s="57">
        <v>8811416800</v>
      </c>
      <c r="H2218" s="56" t="s">
        <v>68</v>
      </c>
      <c r="I2218" s="58" t="str">
        <f t="shared" si="136"/>
        <v>France-OTA</v>
      </c>
      <c r="J2218" s="40"/>
      <c r="K2218" s="59"/>
      <c r="L2218" s="35"/>
      <c r="M2218" s="35"/>
      <c r="N2218" s="35"/>
      <c r="O2218" s="35"/>
      <c r="P2218" s="35"/>
      <c r="Q2218" s="35"/>
      <c r="R2218" s="35"/>
      <c r="S2218" s="35"/>
      <c r="T2218" s="35"/>
      <c r="U2218" s="35"/>
      <c r="V2218" s="35"/>
      <c r="W2218" s="35"/>
      <c r="X2218" s="35"/>
      <c r="Y2218" s="35"/>
      <c r="Z2218" s="35"/>
      <c r="AA2218" s="35"/>
      <c r="AB2218" s="35"/>
      <c r="AC2218" s="35"/>
      <c r="AD2218" s="35"/>
      <c r="AE2218" s="35"/>
      <c r="AF2218" s="35"/>
      <c r="AG2218" s="35"/>
      <c r="AH2218" s="35"/>
      <c r="AI2218" s="35"/>
      <c r="AJ2218" s="35"/>
      <c r="AK2218" s="35"/>
      <c r="AL2218" s="35"/>
      <c r="AM2218" s="35"/>
      <c r="AN2218" s="35"/>
      <c r="AO2218" s="35"/>
      <c r="AP2218" s="35"/>
    </row>
    <row r="2219" spans="1:42" ht="17.25" customHeight="1" x14ac:dyDescent="0.25">
      <c r="A2219" s="60">
        <v>2023</v>
      </c>
      <c r="B2219" s="61" t="s">
        <v>66</v>
      </c>
      <c r="C2219" s="61" t="s">
        <v>27</v>
      </c>
      <c r="D2219" s="61" t="s">
        <v>28</v>
      </c>
      <c r="E2219" s="61" t="s">
        <v>67</v>
      </c>
      <c r="F2219" s="61" t="s">
        <v>67</v>
      </c>
      <c r="G2219" s="62">
        <v>28660157443</v>
      </c>
      <c r="H2219" s="61" t="s">
        <v>68</v>
      </c>
      <c r="I2219" s="63" t="str">
        <f t="shared" si="136"/>
        <v>Germany-Offline</v>
      </c>
      <c r="J2219" s="47"/>
      <c r="K2219" s="54"/>
      <c r="L2219" s="35"/>
      <c r="M2219" s="35"/>
      <c r="N2219" s="35"/>
      <c r="O2219" s="35"/>
      <c r="P2219" s="35"/>
      <c r="Q2219" s="35"/>
      <c r="R2219" s="35"/>
      <c r="S2219" s="35"/>
      <c r="T2219" s="35"/>
      <c r="U2219" s="35"/>
      <c r="V2219" s="35"/>
      <c r="W2219" s="35"/>
      <c r="X2219" s="35"/>
      <c r="Y2219" s="35"/>
      <c r="Z2219" s="35"/>
      <c r="AA2219" s="35"/>
      <c r="AB2219" s="35"/>
      <c r="AC2219" s="35"/>
      <c r="AD2219" s="35"/>
      <c r="AE2219" s="35"/>
      <c r="AF2219" s="35"/>
      <c r="AG2219" s="35"/>
      <c r="AH2219" s="35"/>
      <c r="AI2219" s="35"/>
      <c r="AJ2219" s="35"/>
      <c r="AK2219" s="35"/>
      <c r="AL2219" s="35"/>
      <c r="AM2219" s="35"/>
      <c r="AN2219" s="35"/>
      <c r="AO2219" s="35"/>
      <c r="AP2219" s="35"/>
    </row>
    <row r="2220" spans="1:42" ht="17.25" customHeight="1" x14ac:dyDescent="0.25">
      <c r="A2220" s="55">
        <v>2023</v>
      </c>
      <c r="B2220" s="56" t="s">
        <v>66</v>
      </c>
      <c r="C2220" s="56" t="s">
        <v>27</v>
      </c>
      <c r="D2220" s="56" t="s">
        <v>28</v>
      </c>
      <c r="E2220" s="56" t="s">
        <v>69</v>
      </c>
      <c r="F2220" s="56" t="s">
        <v>70</v>
      </c>
      <c r="G2220" s="57">
        <v>29907114479</v>
      </c>
      <c r="H2220" s="56" t="s">
        <v>68</v>
      </c>
      <c r="I2220" s="58" t="str">
        <f t="shared" si="136"/>
        <v>Germany-Online Supplier-Direct</v>
      </c>
      <c r="J2220" s="40"/>
      <c r="K2220" s="59"/>
      <c r="L2220" s="35"/>
      <c r="M2220" s="35"/>
      <c r="N2220" s="35"/>
      <c r="O2220" s="35"/>
      <c r="P2220" s="35"/>
      <c r="Q2220" s="35"/>
      <c r="R2220" s="35"/>
      <c r="S2220" s="35"/>
      <c r="T2220" s="35"/>
      <c r="U2220" s="35"/>
      <c r="V2220" s="35"/>
      <c r="W2220" s="35"/>
      <c r="X2220" s="35"/>
      <c r="Y2220" s="35"/>
      <c r="Z2220" s="35"/>
      <c r="AA2220" s="35"/>
      <c r="AB2220" s="35"/>
      <c r="AC2220" s="35"/>
      <c r="AD2220" s="35"/>
      <c r="AE2220" s="35"/>
      <c r="AF2220" s="35"/>
      <c r="AG2220" s="35"/>
      <c r="AH2220" s="35"/>
      <c r="AI2220" s="35"/>
      <c r="AJ2220" s="35"/>
      <c r="AK2220" s="35"/>
      <c r="AL2220" s="35"/>
      <c r="AM2220" s="35"/>
      <c r="AN2220" s="35"/>
      <c r="AO2220" s="35"/>
      <c r="AP2220" s="35"/>
    </row>
    <row r="2221" spans="1:42" ht="17.25" customHeight="1" x14ac:dyDescent="0.25">
      <c r="A2221" s="60">
        <v>2023</v>
      </c>
      <c r="B2221" s="61" t="s">
        <v>66</v>
      </c>
      <c r="C2221" s="61" t="s">
        <v>27</v>
      </c>
      <c r="D2221" s="61" t="s">
        <v>28</v>
      </c>
      <c r="E2221" s="61" t="s">
        <v>69</v>
      </c>
      <c r="F2221" s="61" t="s">
        <v>71</v>
      </c>
      <c r="G2221" s="62">
        <v>15222265149</v>
      </c>
      <c r="H2221" s="61" t="s">
        <v>68</v>
      </c>
      <c r="I2221" s="63" t="str">
        <f t="shared" si="136"/>
        <v>Germany-OTA</v>
      </c>
      <c r="J2221" s="47"/>
      <c r="K2221" s="54"/>
      <c r="L2221" s="35"/>
      <c r="M2221" s="35"/>
      <c r="N2221" s="35"/>
      <c r="O2221" s="35"/>
      <c r="P2221" s="35"/>
      <c r="Q2221" s="35"/>
      <c r="R2221" s="35"/>
      <c r="S2221" s="35"/>
      <c r="T2221" s="35"/>
      <c r="U2221" s="35"/>
      <c r="V2221" s="35"/>
      <c r="W2221" s="35"/>
      <c r="X2221" s="35"/>
      <c r="Y2221" s="35"/>
      <c r="Z2221" s="35"/>
      <c r="AA2221" s="35"/>
      <c r="AB2221" s="35"/>
      <c r="AC2221" s="35"/>
      <c r="AD2221" s="35"/>
      <c r="AE2221" s="35"/>
      <c r="AF2221" s="35"/>
      <c r="AG2221" s="35"/>
      <c r="AH2221" s="35"/>
      <c r="AI2221" s="35"/>
      <c r="AJ2221" s="35"/>
      <c r="AK2221" s="35"/>
      <c r="AL2221" s="35"/>
      <c r="AM2221" s="35"/>
      <c r="AN2221" s="35"/>
      <c r="AO2221" s="35"/>
      <c r="AP2221" s="35"/>
    </row>
    <row r="2222" spans="1:42" ht="17.25" customHeight="1" x14ac:dyDescent="0.25">
      <c r="A2222" s="55">
        <v>2023</v>
      </c>
      <c r="B2222" s="56" t="s">
        <v>66</v>
      </c>
      <c r="C2222" s="56" t="s">
        <v>17</v>
      </c>
      <c r="D2222" s="56" t="s">
        <v>19</v>
      </c>
      <c r="E2222" s="56" t="s">
        <v>67</v>
      </c>
      <c r="F2222" s="56" t="s">
        <v>67</v>
      </c>
      <c r="G2222" s="57">
        <v>4153881783</v>
      </c>
      <c r="H2222" s="56" t="s">
        <v>68</v>
      </c>
      <c r="I2222" s="58" t="str">
        <f t="shared" si="136"/>
        <v>Greece-Offline</v>
      </c>
      <c r="J2222" s="40"/>
      <c r="K2222" s="59"/>
      <c r="L2222" s="35"/>
      <c r="M2222" s="35"/>
      <c r="N2222" s="35"/>
      <c r="O2222" s="35"/>
      <c r="P2222" s="35"/>
      <c r="Q2222" s="35"/>
      <c r="R2222" s="35"/>
      <c r="S2222" s="35"/>
      <c r="T2222" s="35"/>
      <c r="U2222" s="35"/>
      <c r="V2222" s="35"/>
      <c r="W2222" s="35"/>
      <c r="X2222" s="35"/>
      <c r="Y2222" s="35"/>
      <c r="Z2222" s="35"/>
      <c r="AA2222" s="35"/>
      <c r="AB2222" s="35"/>
      <c r="AC2222" s="35"/>
      <c r="AD2222" s="35"/>
      <c r="AE2222" s="35"/>
      <c r="AF2222" s="35"/>
      <c r="AG2222" s="35"/>
      <c r="AH2222" s="35"/>
      <c r="AI2222" s="35"/>
      <c r="AJ2222" s="35"/>
      <c r="AK2222" s="35"/>
      <c r="AL2222" s="35"/>
      <c r="AM2222" s="35"/>
      <c r="AN2222" s="35"/>
      <c r="AO2222" s="35"/>
      <c r="AP2222" s="35"/>
    </row>
    <row r="2223" spans="1:42" ht="17.25" customHeight="1" x14ac:dyDescent="0.25">
      <c r="A2223" s="60">
        <v>2023</v>
      </c>
      <c r="B2223" s="61" t="s">
        <v>66</v>
      </c>
      <c r="C2223" s="61" t="s">
        <v>17</v>
      </c>
      <c r="D2223" s="61" t="s">
        <v>19</v>
      </c>
      <c r="E2223" s="61" t="s">
        <v>69</v>
      </c>
      <c r="F2223" s="61" t="s">
        <v>70</v>
      </c>
      <c r="G2223" s="62">
        <v>1593180684</v>
      </c>
      <c r="H2223" s="61" t="s">
        <v>68</v>
      </c>
      <c r="I2223" s="63" t="str">
        <f t="shared" si="136"/>
        <v>Greece-Online Supplier-Direct</v>
      </c>
      <c r="J2223" s="47"/>
      <c r="K2223" s="54"/>
      <c r="L2223" s="35"/>
      <c r="M2223" s="35"/>
      <c r="N2223" s="35"/>
      <c r="O2223" s="35"/>
      <c r="P2223" s="35"/>
      <c r="Q2223" s="35"/>
      <c r="R2223" s="35"/>
      <c r="S2223" s="35"/>
      <c r="T2223" s="35"/>
      <c r="U2223" s="35"/>
      <c r="V2223" s="35"/>
      <c r="W2223" s="35"/>
      <c r="X2223" s="35"/>
      <c r="Y2223" s="35"/>
      <c r="Z2223" s="35"/>
      <c r="AA2223" s="35"/>
      <c r="AB2223" s="35"/>
      <c r="AC2223" s="35"/>
      <c r="AD2223" s="35"/>
      <c r="AE2223" s="35"/>
      <c r="AF2223" s="35"/>
      <c r="AG2223" s="35"/>
      <c r="AH2223" s="35"/>
      <c r="AI2223" s="35"/>
      <c r="AJ2223" s="35"/>
      <c r="AK2223" s="35"/>
      <c r="AL2223" s="35"/>
      <c r="AM2223" s="35"/>
      <c r="AN2223" s="35"/>
      <c r="AO2223" s="35"/>
      <c r="AP2223" s="35"/>
    </row>
    <row r="2224" spans="1:42" ht="17.25" customHeight="1" x14ac:dyDescent="0.25">
      <c r="A2224" s="55">
        <v>2023</v>
      </c>
      <c r="B2224" s="56" t="s">
        <v>66</v>
      </c>
      <c r="C2224" s="56" t="s">
        <v>17</v>
      </c>
      <c r="D2224" s="56" t="s">
        <v>19</v>
      </c>
      <c r="E2224" s="56" t="s">
        <v>69</v>
      </c>
      <c r="F2224" s="56" t="s">
        <v>71</v>
      </c>
      <c r="G2224" s="57">
        <v>3126740319</v>
      </c>
      <c r="H2224" s="56" t="s">
        <v>68</v>
      </c>
      <c r="I2224" s="58" t="str">
        <f t="shared" si="136"/>
        <v>Greece-OTA</v>
      </c>
      <c r="J2224" s="40"/>
      <c r="K2224" s="59"/>
      <c r="L2224" s="35"/>
      <c r="M2224" s="35"/>
      <c r="N2224" s="35"/>
      <c r="O2224" s="35"/>
      <c r="P2224" s="35"/>
      <c r="Q2224" s="35"/>
      <c r="R2224" s="35"/>
      <c r="S2224" s="35"/>
      <c r="T2224" s="35"/>
      <c r="U2224" s="35"/>
      <c r="V2224" s="35"/>
      <c r="W2224" s="35"/>
      <c r="X2224" s="35"/>
      <c r="Y2224" s="35"/>
      <c r="Z2224" s="35"/>
      <c r="AA2224" s="35"/>
      <c r="AB2224" s="35"/>
      <c r="AC2224" s="35"/>
      <c r="AD2224" s="35"/>
      <c r="AE2224" s="35"/>
      <c r="AF2224" s="35"/>
      <c r="AG2224" s="35"/>
      <c r="AH2224" s="35"/>
      <c r="AI2224" s="35"/>
      <c r="AJ2224" s="35"/>
      <c r="AK2224" s="35"/>
      <c r="AL2224" s="35"/>
      <c r="AM2224" s="35"/>
      <c r="AN2224" s="35"/>
      <c r="AO2224" s="35"/>
      <c r="AP2224" s="35"/>
    </row>
    <row r="2225" spans="1:42" ht="17.25" customHeight="1" x14ac:dyDescent="0.25">
      <c r="A2225" s="60">
        <v>2023</v>
      </c>
      <c r="B2225" s="61" t="s">
        <v>66</v>
      </c>
      <c r="C2225" s="61" t="s">
        <v>4</v>
      </c>
      <c r="D2225" s="61" t="s">
        <v>6</v>
      </c>
      <c r="E2225" s="61" t="s">
        <v>67</v>
      </c>
      <c r="F2225" s="61" t="s">
        <v>67</v>
      </c>
      <c r="G2225" s="62">
        <v>7197450281</v>
      </c>
      <c r="H2225" s="61" t="s">
        <v>68</v>
      </c>
      <c r="I2225" s="63" t="str">
        <f t="shared" si="136"/>
        <v>Hong Kong-Offline</v>
      </c>
      <c r="J2225" s="47"/>
      <c r="K2225" s="54"/>
      <c r="L2225" s="35"/>
      <c r="M2225" s="35"/>
      <c r="N2225" s="35"/>
      <c r="O2225" s="35"/>
      <c r="P2225" s="35"/>
      <c r="Q2225" s="35"/>
      <c r="R2225" s="35"/>
      <c r="S2225" s="35"/>
      <c r="T2225" s="35"/>
      <c r="U2225" s="35"/>
      <c r="V2225" s="35"/>
      <c r="W2225" s="35"/>
      <c r="X2225" s="35"/>
      <c r="Y2225" s="35"/>
      <c r="Z2225" s="35"/>
      <c r="AA2225" s="35"/>
      <c r="AB2225" s="35"/>
      <c r="AC2225" s="35"/>
      <c r="AD2225" s="35"/>
      <c r="AE2225" s="35"/>
      <c r="AF2225" s="35"/>
      <c r="AG2225" s="35"/>
      <c r="AH2225" s="35"/>
      <c r="AI2225" s="35"/>
      <c r="AJ2225" s="35"/>
      <c r="AK2225" s="35"/>
      <c r="AL2225" s="35"/>
      <c r="AM2225" s="35"/>
      <c r="AN2225" s="35"/>
      <c r="AO2225" s="35"/>
      <c r="AP2225" s="35"/>
    </row>
    <row r="2226" spans="1:42" ht="17.25" customHeight="1" x14ac:dyDescent="0.25">
      <c r="A2226" s="55">
        <v>2023</v>
      </c>
      <c r="B2226" s="56" t="s">
        <v>66</v>
      </c>
      <c r="C2226" s="56" t="s">
        <v>4</v>
      </c>
      <c r="D2226" s="56" t="s">
        <v>6</v>
      </c>
      <c r="E2226" s="56" t="s">
        <v>69</v>
      </c>
      <c r="F2226" s="56" t="s">
        <v>70</v>
      </c>
      <c r="G2226" s="57">
        <v>1869847606</v>
      </c>
      <c r="H2226" s="56" t="s">
        <v>68</v>
      </c>
      <c r="I2226" s="58" t="str">
        <f t="shared" si="136"/>
        <v>Hong Kong-Online Supplier-Direct</v>
      </c>
      <c r="J2226" s="40"/>
      <c r="K2226" s="59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  <c r="AG2226" s="35"/>
      <c r="AH2226" s="35"/>
      <c r="AI2226" s="35"/>
      <c r="AJ2226" s="35"/>
      <c r="AK2226" s="35"/>
      <c r="AL2226" s="35"/>
      <c r="AM2226" s="35"/>
      <c r="AN2226" s="35"/>
      <c r="AO2226" s="35"/>
      <c r="AP2226" s="35"/>
    </row>
    <row r="2227" spans="1:42" ht="17.25" customHeight="1" x14ac:dyDescent="0.25">
      <c r="A2227" s="60">
        <v>2023</v>
      </c>
      <c r="B2227" s="61" t="s">
        <v>66</v>
      </c>
      <c r="C2227" s="61" t="s">
        <v>4</v>
      </c>
      <c r="D2227" s="61" t="s">
        <v>6</v>
      </c>
      <c r="E2227" s="61" t="s">
        <v>69</v>
      </c>
      <c r="F2227" s="61" t="s">
        <v>71</v>
      </c>
      <c r="G2227" s="62">
        <v>2273359163</v>
      </c>
      <c r="H2227" s="61" t="s">
        <v>68</v>
      </c>
      <c r="I2227" s="63" t="str">
        <f t="shared" si="136"/>
        <v>Hong Kong-OTA</v>
      </c>
      <c r="J2227" s="47"/>
      <c r="K2227" s="54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  <c r="AG2227" s="35"/>
      <c r="AH2227" s="35"/>
      <c r="AI2227" s="35"/>
      <c r="AJ2227" s="35"/>
      <c r="AK2227" s="35"/>
      <c r="AL2227" s="35"/>
      <c r="AM2227" s="35"/>
      <c r="AN2227" s="35"/>
      <c r="AO2227" s="35"/>
      <c r="AP2227" s="35"/>
    </row>
    <row r="2228" spans="1:42" ht="17.25" customHeight="1" x14ac:dyDescent="0.25">
      <c r="A2228" s="55">
        <v>2023</v>
      </c>
      <c r="B2228" s="56" t="s">
        <v>66</v>
      </c>
      <c r="C2228" s="56" t="s">
        <v>17</v>
      </c>
      <c r="D2228" s="56" t="s">
        <v>20</v>
      </c>
      <c r="E2228" s="56" t="s">
        <v>67</v>
      </c>
      <c r="F2228" s="56" t="s">
        <v>67</v>
      </c>
      <c r="G2228" s="57">
        <v>597222038</v>
      </c>
      <c r="H2228" s="56" t="s">
        <v>68</v>
      </c>
      <c r="I2228" s="58" t="str">
        <f t="shared" si="136"/>
        <v>Hungary-Offline</v>
      </c>
      <c r="J2228" s="40"/>
      <c r="K2228" s="59"/>
      <c r="L2228" s="35"/>
      <c r="M2228" s="35"/>
      <c r="N2228" s="35"/>
      <c r="O2228" s="35"/>
      <c r="P2228" s="35"/>
      <c r="Q2228" s="35"/>
      <c r="R2228" s="35"/>
      <c r="S2228" s="35"/>
      <c r="T2228" s="35"/>
      <c r="U2228" s="35"/>
      <c r="V2228" s="35"/>
      <c r="W2228" s="35"/>
      <c r="X2228" s="35"/>
      <c r="Y2228" s="35"/>
      <c r="Z2228" s="35"/>
      <c r="AA2228" s="35"/>
      <c r="AB2228" s="35"/>
      <c r="AC2228" s="35"/>
      <c r="AD2228" s="35"/>
      <c r="AE2228" s="35"/>
      <c r="AF2228" s="35"/>
      <c r="AG2228" s="35"/>
      <c r="AH2228" s="35"/>
      <c r="AI2228" s="35"/>
      <c r="AJ2228" s="35"/>
      <c r="AK2228" s="35"/>
      <c r="AL2228" s="35"/>
      <c r="AM2228" s="35"/>
      <c r="AN2228" s="35"/>
      <c r="AO2228" s="35"/>
      <c r="AP2228" s="35"/>
    </row>
    <row r="2229" spans="1:42" ht="17.25" customHeight="1" x14ac:dyDescent="0.25">
      <c r="A2229" s="60">
        <v>2023</v>
      </c>
      <c r="B2229" s="61" t="s">
        <v>66</v>
      </c>
      <c r="C2229" s="61" t="s">
        <v>17</v>
      </c>
      <c r="D2229" s="61" t="s">
        <v>20</v>
      </c>
      <c r="E2229" s="61" t="s">
        <v>69</v>
      </c>
      <c r="F2229" s="61" t="s">
        <v>70</v>
      </c>
      <c r="G2229" s="62">
        <v>5485186025</v>
      </c>
      <c r="H2229" s="61" t="s">
        <v>68</v>
      </c>
      <c r="I2229" s="63" t="str">
        <f t="shared" si="136"/>
        <v>Hungary-Online Supplier-Direct</v>
      </c>
      <c r="J2229" s="47"/>
      <c r="K2229" s="54"/>
      <c r="L2229" s="35"/>
      <c r="M2229" s="35"/>
      <c r="N2229" s="35"/>
      <c r="O2229" s="35"/>
      <c r="P2229" s="35"/>
      <c r="Q2229" s="35"/>
      <c r="R2229" s="35"/>
      <c r="S2229" s="35"/>
      <c r="T2229" s="35"/>
      <c r="U2229" s="35"/>
      <c r="V2229" s="35"/>
      <c r="W2229" s="35"/>
      <c r="X2229" s="35"/>
      <c r="Y2229" s="35"/>
      <c r="Z2229" s="35"/>
      <c r="AA2229" s="35"/>
      <c r="AB2229" s="35"/>
      <c r="AC2229" s="35"/>
      <c r="AD2229" s="35"/>
      <c r="AE2229" s="35"/>
      <c r="AF2229" s="35"/>
      <c r="AG2229" s="35"/>
      <c r="AH2229" s="35"/>
      <c r="AI2229" s="35"/>
      <c r="AJ2229" s="35"/>
      <c r="AK2229" s="35"/>
      <c r="AL2229" s="35"/>
      <c r="AM2229" s="35"/>
      <c r="AN2229" s="35"/>
      <c r="AO2229" s="35"/>
      <c r="AP2229" s="35"/>
    </row>
    <row r="2230" spans="1:42" ht="17.25" customHeight="1" x14ac:dyDescent="0.25">
      <c r="A2230" s="55">
        <v>2023</v>
      </c>
      <c r="B2230" s="56" t="s">
        <v>66</v>
      </c>
      <c r="C2230" s="56" t="s">
        <v>17</v>
      </c>
      <c r="D2230" s="56" t="s">
        <v>20</v>
      </c>
      <c r="E2230" s="56" t="s">
        <v>69</v>
      </c>
      <c r="F2230" s="56" t="s">
        <v>71</v>
      </c>
      <c r="G2230" s="57">
        <v>873649548</v>
      </c>
      <c r="H2230" s="56" t="s">
        <v>68</v>
      </c>
      <c r="I2230" s="58" t="str">
        <f t="shared" si="136"/>
        <v>Hungary-OTA</v>
      </c>
      <c r="J2230" s="40"/>
      <c r="K2230" s="59"/>
      <c r="L2230" s="35"/>
      <c r="M2230" s="35"/>
      <c r="N2230" s="35"/>
      <c r="O2230" s="35"/>
      <c r="P2230" s="35"/>
      <c r="Q2230" s="35"/>
      <c r="R2230" s="35"/>
      <c r="S2230" s="35"/>
      <c r="T2230" s="35"/>
      <c r="U2230" s="35"/>
      <c r="V2230" s="35"/>
      <c r="W2230" s="35"/>
      <c r="X2230" s="35"/>
      <c r="Y2230" s="35"/>
      <c r="Z2230" s="35"/>
      <c r="AA2230" s="35"/>
      <c r="AB2230" s="35"/>
      <c r="AC2230" s="35"/>
      <c r="AD2230" s="35"/>
      <c r="AE2230" s="35"/>
      <c r="AF2230" s="35"/>
      <c r="AG2230" s="35"/>
      <c r="AH2230" s="35"/>
      <c r="AI2230" s="35"/>
      <c r="AJ2230" s="35"/>
      <c r="AK2230" s="35"/>
      <c r="AL2230" s="35"/>
      <c r="AM2230" s="35"/>
      <c r="AN2230" s="35"/>
      <c r="AO2230" s="35"/>
      <c r="AP2230" s="35"/>
    </row>
    <row r="2231" spans="1:42" ht="17.25" customHeight="1" x14ac:dyDescent="0.25">
      <c r="A2231" s="60">
        <v>2023</v>
      </c>
      <c r="B2231" s="61" t="s">
        <v>66</v>
      </c>
      <c r="C2231" s="61" t="s">
        <v>4</v>
      </c>
      <c r="D2231" s="61" t="s">
        <v>7</v>
      </c>
      <c r="E2231" s="61" t="s">
        <v>67</v>
      </c>
      <c r="F2231" s="61" t="s">
        <v>67</v>
      </c>
      <c r="G2231" s="62">
        <v>16919932859</v>
      </c>
      <c r="H2231" s="61" t="s">
        <v>68</v>
      </c>
      <c r="I2231" s="63" t="str">
        <f t="shared" si="136"/>
        <v>India-Offline</v>
      </c>
      <c r="J2231" s="47"/>
      <c r="K2231" s="54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  <c r="AG2231" s="35"/>
      <c r="AH2231" s="35"/>
      <c r="AI2231" s="35"/>
      <c r="AJ2231" s="35"/>
      <c r="AK2231" s="35"/>
      <c r="AL2231" s="35"/>
      <c r="AM2231" s="35"/>
      <c r="AN2231" s="35"/>
      <c r="AO2231" s="35"/>
      <c r="AP2231" s="35"/>
    </row>
    <row r="2232" spans="1:42" ht="17.25" customHeight="1" x14ac:dyDescent="0.25">
      <c r="A2232" s="55">
        <v>2023</v>
      </c>
      <c r="B2232" s="56" t="s">
        <v>66</v>
      </c>
      <c r="C2232" s="56" t="s">
        <v>4</v>
      </c>
      <c r="D2232" s="56" t="s">
        <v>7</v>
      </c>
      <c r="E2232" s="56" t="s">
        <v>69</v>
      </c>
      <c r="F2232" s="56" t="s">
        <v>70</v>
      </c>
      <c r="G2232" s="57">
        <v>9443964879</v>
      </c>
      <c r="H2232" s="56" t="s">
        <v>68</v>
      </c>
      <c r="I2232" s="58" t="str">
        <f t="shared" si="136"/>
        <v>India-Online Supplier-Direct</v>
      </c>
      <c r="J2232" s="40"/>
      <c r="K2232" s="59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  <c r="AG2232" s="35"/>
      <c r="AH2232" s="35"/>
      <c r="AI2232" s="35"/>
      <c r="AJ2232" s="35"/>
      <c r="AK2232" s="35"/>
      <c r="AL2232" s="35"/>
      <c r="AM2232" s="35"/>
      <c r="AN2232" s="35"/>
      <c r="AO2232" s="35"/>
      <c r="AP2232" s="35"/>
    </row>
    <row r="2233" spans="1:42" ht="17.25" customHeight="1" x14ac:dyDescent="0.25">
      <c r="A2233" s="60">
        <v>2023</v>
      </c>
      <c r="B2233" s="61" t="s">
        <v>66</v>
      </c>
      <c r="C2233" s="61" t="s">
        <v>4</v>
      </c>
      <c r="D2233" s="61" t="s">
        <v>7</v>
      </c>
      <c r="E2233" s="61" t="s">
        <v>69</v>
      </c>
      <c r="F2233" s="61" t="s">
        <v>71</v>
      </c>
      <c r="G2233" s="62">
        <v>11458927356</v>
      </c>
      <c r="H2233" s="61" t="s">
        <v>68</v>
      </c>
      <c r="I2233" s="63" t="str">
        <f t="shared" si="136"/>
        <v>India-OTA</v>
      </c>
      <c r="J2233" s="47"/>
      <c r="K2233" s="54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  <c r="AG2233" s="35"/>
      <c r="AH2233" s="35"/>
      <c r="AI2233" s="35"/>
      <c r="AJ2233" s="35"/>
      <c r="AK2233" s="35"/>
      <c r="AL2233" s="35"/>
      <c r="AM2233" s="35"/>
      <c r="AN2233" s="35"/>
      <c r="AO2233" s="35"/>
      <c r="AP2233" s="35"/>
    </row>
    <row r="2234" spans="1:42" ht="17.25" customHeight="1" x14ac:dyDescent="0.25">
      <c r="A2234" s="55">
        <v>2023</v>
      </c>
      <c r="B2234" s="56" t="s">
        <v>66</v>
      </c>
      <c r="C2234" s="56" t="s">
        <v>4</v>
      </c>
      <c r="D2234" s="56" t="s">
        <v>8</v>
      </c>
      <c r="E2234" s="56" t="s">
        <v>67</v>
      </c>
      <c r="F2234" s="56" t="s">
        <v>67</v>
      </c>
      <c r="G2234" s="57">
        <v>5069639008</v>
      </c>
      <c r="H2234" s="56" t="s">
        <v>68</v>
      </c>
      <c r="I2234" s="58" t="str">
        <f t="shared" si="136"/>
        <v>Indonesia-Offline</v>
      </c>
      <c r="J2234" s="40"/>
      <c r="K2234" s="59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  <c r="AG2234" s="35"/>
      <c r="AH2234" s="35"/>
      <c r="AI2234" s="35"/>
      <c r="AJ2234" s="35"/>
      <c r="AK2234" s="35"/>
      <c r="AL2234" s="35"/>
      <c r="AM2234" s="35"/>
      <c r="AN2234" s="35"/>
      <c r="AO2234" s="35"/>
      <c r="AP2234" s="35"/>
    </row>
    <row r="2235" spans="1:42" ht="17.25" customHeight="1" x14ac:dyDescent="0.25">
      <c r="A2235" s="60">
        <v>2023</v>
      </c>
      <c r="B2235" s="61" t="s">
        <v>66</v>
      </c>
      <c r="C2235" s="61" t="s">
        <v>4</v>
      </c>
      <c r="D2235" s="61" t="s">
        <v>8</v>
      </c>
      <c r="E2235" s="61" t="s">
        <v>69</v>
      </c>
      <c r="F2235" s="61" t="s">
        <v>70</v>
      </c>
      <c r="G2235" s="62">
        <v>2117990309</v>
      </c>
      <c r="H2235" s="61" t="s">
        <v>68</v>
      </c>
      <c r="I2235" s="63" t="str">
        <f t="shared" si="136"/>
        <v>Indonesia-Online Supplier-Direct</v>
      </c>
      <c r="J2235" s="47"/>
      <c r="K2235" s="54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  <c r="AG2235" s="35"/>
      <c r="AH2235" s="35"/>
      <c r="AI2235" s="35"/>
      <c r="AJ2235" s="35"/>
      <c r="AK2235" s="35"/>
      <c r="AL2235" s="35"/>
      <c r="AM2235" s="35"/>
      <c r="AN2235" s="35"/>
      <c r="AO2235" s="35"/>
      <c r="AP2235" s="35"/>
    </row>
    <row r="2236" spans="1:42" ht="17.25" customHeight="1" x14ac:dyDescent="0.25">
      <c r="A2236" s="55">
        <v>2023</v>
      </c>
      <c r="B2236" s="56" t="s">
        <v>66</v>
      </c>
      <c r="C2236" s="56" t="s">
        <v>4</v>
      </c>
      <c r="D2236" s="56" t="s">
        <v>8</v>
      </c>
      <c r="E2236" s="56" t="s">
        <v>69</v>
      </c>
      <c r="F2236" s="56" t="s">
        <v>71</v>
      </c>
      <c r="G2236" s="57">
        <v>5165543817</v>
      </c>
      <c r="H2236" s="56" t="s">
        <v>68</v>
      </c>
      <c r="I2236" s="58" t="str">
        <f t="shared" si="136"/>
        <v>Indonesia-OTA</v>
      </c>
      <c r="J2236" s="40"/>
      <c r="K2236" s="59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  <c r="AG2236" s="35"/>
      <c r="AH2236" s="35"/>
      <c r="AI2236" s="35"/>
      <c r="AJ2236" s="35"/>
      <c r="AK2236" s="35"/>
      <c r="AL2236" s="35"/>
      <c r="AM2236" s="35"/>
      <c r="AN2236" s="35"/>
      <c r="AO2236" s="35"/>
      <c r="AP2236" s="35"/>
    </row>
    <row r="2237" spans="1:42" ht="17.25" customHeight="1" x14ac:dyDescent="0.25">
      <c r="A2237" s="60">
        <v>2023</v>
      </c>
      <c r="B2237" s="61" t="s">
        <v>66</v>
      </c>
      <c r="C2237" s="61" t="s">
        <v>27</v>
      </c>
      <c r="D2237" s="61" t="s">
        <v>29</v>
      </c>
      <c r="E2237" s="61" t="s">
        <v>67</v>
      </c>
      <c r="F2237" s="61" t="s">
        <v>67</v>
      </c>
      <c r="G2237" s="62">
        <v>13130464080</v>
      </c>
      <c r="H2237" s="61" t="s">
        <v>68</v>
      </c>
      <c r="I2237" s="63" t="str">
        <f t="shared" si="136"/>
        <v>Italy-Offline</v>
      </c>
      <c r="J2237" s="47"/>
      <c r="K2237" s="54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  <c r="AG2237" s="35"/>
      <c r="AH2237" s="35"/>
      <c r="AI2237" s="35"/>
      <c r="AJ2237" s="35"/>
      <c r="AK2237" s="35"/>
      <c r="AL2237" s="35"/>
      <c r="AM2237" s="35"/>
      <c r="AN2237" s="35"/>
      <c r="AO2237" s="35"/>
      <c r="AP2237" s="35"/>
    </row>
    <row r="2238" spans="1:42" ht="17.25" customHeight="1" x14ac:dyDescent="0.25">
      <c r="A2238" s="55">
        <v>2023</v>
      </c>
      <c r="B2238" s="56" t="s">
        <v>66</v>
      </c>
      <c r="C2238" s="56" t="s">
        <v>27</v>
      </c>
      <c r="D2238" s="56" t="s">
        <v>29</v>
      </c>
      <c r="E2238" s="56" t="s">
        <v>69</v>
      </c>
      <c r="F2238" s="56" t="s">
        <v>70</v>
      </c>
      <c r="G2238" s="57">
        <v>9595940799</v>
      </c>
      <c r="H2238" s="56" t="s">
        <v>68</v>
      </c>
      <c r="I2238" s="58" t="str">
        <f t="shared" si="136"/>
        <v>Italy-Online Supplier-Direct</v>
      </c>
      <c r="J2238" s="40"/>
      <c r="K2238" s="59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  <c r="AG2238" s="35"/>
      <c r="AH2238" s="35"/>
      <c r="AI2238" s="35"/>
      <c r="AJ2238" s="35"/>
      <c r="AK2238" s="35"/>
      <c r="AL2238" s="35"/>
      <c r="AM2238" s="35"/>
      <c r="AN2238" s="35"/>
      <c r="AO2238" s="35"/>
      <c r="AP2238" s="35"/>
    </row>
    <row r="2239" spans="1:42" ht="17.25" customHeight="1" x14ac:dyDescent="0.25">
      <c r="A2239" s="60">
        <v>2023</v>
      </c>
      <c r="B2239" s="61" t="s">
        <v>66</v>
      </c>
      <c r="C2239" s="61" t="s">
        <v>27</v>
      </c>
      <c r="D2239" s="61" t="s">
        <v>29</v>
      </c>
      <c r="E2239" s="61" t="s">
        <v>69</v>
      </c>
      <c r="F2239" s="61" t="s">
        <v>71</v>
      </c>
      <c r="G2239" s="62">
        <v>6427331735</v>
      </c>
      <c r="H2239" s="61" t="s">
        <v>68</v>
      </c>
      <c r="I2239" s="63" t="str">
        <f t="shared" si="136"/>
        <v>Italy-OTA</v>
      </c>
      <c r="J2239" s="47"/>
      <c r="K2239" s="54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  <c r="AG2239" s="35"/>
      <c r="AH2239" s="35"/>
      <c r="AI2239" s="35"/>
      <c r="AJ2239" s="35"/>
      <c r="AK2239" s="35"/>
      <c r="AL2239" s="35"/>
      <c r="AM2239" s="35"/>
      <c r="AN2239" s="35"/>
      <c r="AO2239" s="35"/>
      <c r="AP2239" s="35"/>
    </row>
    <row r="2240" spans="1:42" ht="17.25" customHeight="1" x14ac:dyDescent="0.25">
      <c r="A2240" s="55">
        <v>2023</v>
      </c>
      <c r="B2240" s="56" t="s">
        <v>66</v>
      </c>
      <c r="C2240" s="56" t="s">
        <v>4</v>
      </c>
      <c r="D2240" s="56" t="s">
        <v>9</v>
      </c>
      <c r="E2240" s="56" t="s">
        <v>67</v>
      </c>
      <c r="F2240" s="56" t="s">
        <v>67</v>
      </c>
      <c r="G2240" s="57">
        <v>38690275617</v>
      </c>
      <c r="H2240" s="56" t="s">
        <v>68</v>
      </c>
      <c r="I2240" s="58" t="str">
        <f t="shared" si="136"/>
        <v>Japan-Offline</v>
      </c>
      <c r="J2240" s="40"/>
      <c r="K2240" s="59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  <c r="AG2240" s="35"/>
      <c r="AH2240" s="35"/>
      <c r="AI2240" s="35"/>
      <c r="AJ2240" s="35"/>
      <c r="AK2240" s="35"/>
      <c r="AL2240" s="35"/>
      <c r="AM2240" s="35"/>
      <c r="AN2240" s="35"/>
      <c r="AO2240" s="35"/>
      <c r="AP2240" s="35"/>
    </row>
    <row r="2241" spans="1:42" ht="17.25" customHeight="1" x14ac:dyDescent="0.25">
      <c r="A2241" s="60">
        <v>2023</v>
      </c>
      <c r="B2241" s="61" t="s">
        <v>66</v>
      </c>
      <c r="C2241" s="61" t="s">
        <v>4</v>
      </c>
      <c r="D2241" s="61" t="s">
        <v>9</v>
      </c>
      <c r="E2241" s="61" t="s">
        <v>69</v>
      </c>
      <c r="F2241" s="61" t="s">
        <v>70</v>
      </c>
      <c r="G2241" s="62">
        <v>26072733473</v>
      </c>
      <c r="H2241" s="61" t="s">
        <v>68</v>
      </c>
      <c r="I2241" s="63" t="str">
        <f t="shared" si="136"/>
        <v>Japan-Online Supplier-Direct</v>
      </c>
      <c r="J2241" s="47"/>
      <c r="K2241" s="54"/>
      <c r="L2241" s="35"/>
      <c r="M2241" s="35"/>
      <c r="N2241" s="35"/>
      <c r="O2241" s="35"/>
      <c r="P2241" s="35"/>
      <c r="Q2241" s="35"/>
      <c r="R2241" s="35"/>
      <c r="S2241" s="35"/>
      <c r="T2241" s="35"/>
      <c r="U2241" s="35"/>
      <c r="V2241" s="35"/>
      <c r="W2241" s="35"/>
      <c r="X2241" s="35"/>
      <c r="Y2241" s="35"/>
      <c r="Z2241" s="35"/>
      <c r="AA2241" s="35"/>
      <c r="AB2241" s="35"/>
      <c r="AC2241" s="35"/>
      <c r="AD2241" s="35"/>
      <c r="AE2241" s="35"/>
      <c r="AF2241" s="35"/>
      <c r="AG2241" s="35"/>
      <c r="AH2241" s="35"/>
      <c r="AI2241" s="35"/>
      <c r="AJ2241" s="35"/>
      <c r="AK2241" s="35"/>
      <c r="AL2241" s="35"/>
      <c r="AM2241" s="35"/>
      <c r="AN2241" s="35"/>
      <c r="AO2241" s="35"/>
      <c r="AP2241" s="35"/>
    </row>
    <row r="2242" spans="1:42" ht="17.25" customHeight="1" x14ac:dyDescent="0.25">
      <c r="A2242" s="55">
        <v>2023</v>
      </c>
      <c r="B2242" s="56" t="s">
        <v>66</v>
      </c>
      <c r="C2242" s="56" t="s">
        <v>4</v>
      </c>
      <c r="D2242" s="56" t="s">
        <v>9</v>
      </c>
      <c r="E2242" s="56" t="s">
        <v>69</v>
      </c>
      <c r="F2242" s="56" t="s">
        <v>71</v>
      </c>
      <c r="G2242" s="57">
        <v>20330587201</v>
      </c>
      <c r="H2242" s="56" t="s">
        <v>68</v>
      </c>
      <c r="I2242" s="58" t="str">
        <f t="shared" si="136"/>
        <v>Japan-OTA</v>
      </c>
      <c r="J2242" s="40"/>
      <c r="K2242" s="59"/>
      <c r="L2242" s="35"/>
      <c r="M2242" s="35"/>
      <c r="N2242" s="35"/>
      <c r="O2242" s="35"/>
      <c r="P2242" s="35"/>
      <c r="Q2242" s="35"/>
      <c r="R2242" s="35"/>
      <c r="S2242" s="35"/>
      <c r="T2242" s="35"/>
      <c r="U2242" s="35"/>
      <c r="V2242" s="35"/>
      <c r="W2242" s="35"/>
      <c r="X2242" s="35"/>
      <c r="Y2242" s="35"/>
      <c r="Z2242" s="35"/>
      <c r="AA2242" s="35"/>
      <c r="AB2242" s="35"/>
      <c r="AC2242" s="35"/>
      <c r="AD2242" s="35"/>
      <c r="AE2242" s="35"/>
      <c r="AF2242" s="35"/>
      <c r="AG2242" s="35"/>
      <c r="AH2242" s="35"/>
      <c r="AI2242" s="35"/>
      <c r="AJ2242" s="35"/>
      <c r="AK2242" s="35"/>
      <c r="AL2242" s="35"/>
      <c r="AM2242" s="35"/>
      <c r="AN2242" s="35"/>
      <c r="AO2242" s="35"/>
      <c r="AP2242" s="35"/>
    </row>
    <row r="2243" spans="1:42" ht="17.25" customHeight="1" x14ac:dyDescent="0.25">
      <c r="A2243" s="60">
        <v>2023</v>
      </c>
      <c r="B2243" s="61" t="s">
        <v>66</v>
      </c>
      <c r="C2243" s="61" t="s">
        <v>4</v>
      </c>
      <c r="D2243" s="61" t="s">
        <v>10</v>
      </c>
      <c r="E2243" s="61" t="s">
        <v>67</v>
      </c>
      <c r="F2243" s="61" t="s">
        <v>67</v>
      </c>
      <c r="G2243" s="62">
        <v>1019365083</v>
      </c>
      <c r="H2243" s="61" t="s">
        <v>68</v>
      </c>
      <c r="I2243" s="63" t="str">
        <f t="shared" si="136"/>
        <v>Macau-Offline</v>
      </c>
      <c r="J2243" s="47"/>
      <c r="K2243" s="54"/>
      <c r="L2243" s="35"/>
      <c r="M2243" s="35"/>
      <c r="N2243" s="35"/>
      <c r="O2243" s="35"/>
      <c r="P2243" s="35"/>
      <c r="Q2243" s="35"/>
      <c r="R2243" s="35"/>
      <c r="S2243" s="35"/>
      <c r="T2243" s="35"/>
      <c r="U2243" s="35"/>
      <c r="V2243" s="35"/>
      <c r="W2243" s="35"/>
      <c r="X2243" s="35"/>
      <c r="Y2243" s="35"/>
      <c r="Z2243" s="35"/>
      <c r="AA2243" s="35"/>
      <c r="AB2243" s="35"/>
      <c r="AC2243" s="35"/>
      <c r="AD2243" s="35"/>
      <c r="AE2243" s="35"/>
      <c r="AF2243" s="35"/>
      <c r="AG2243" s="35"/>
      <c r="AH2243" s="35"/>
      <c r="AI2243" s="35"/>
      <c r="AJ2243" s="35"/>
      <c r="AK2243" s="35"/>
      <c r="AL2243" s="35"/>
      <c r="AM2243" s="35"/>
      <c r="AN2243" s="35"/>
      <c r="AO2243" s="35"/>
      <c r="AP2243" s="35"/>
    </row>
    <row r="2244" spans="1:42" ht="17.25" customHeight="1" x14ac:dyDescent="0.25">
      <c r="A2244" s="55">
        <v>2023</v>
      </c>
      <c r="B2244" s="56" t="s">
        <v>66</v>
      </c>
      <c r="C2244" s="56" t="s">
        <v>4</v>
      </c>
      <c r="D2244" s="56" t="s">
        <v>10</v>
      </c>
      <c r="E2244" s="56" t="s">
        <v>69</v>
      </c>
      <c r="F2244" s="56" t="s">
        <v>70</v>
      </c>
      <c r="G2244" s="57">
        <v>150495354</v>
      </c>
      <c r="H2244" s="56" t="s">
        <v>68</v>
      </c>
      <c r="I2244" s="58" t="str">
        <f t="shared" si="136"/>
        <v>Macau-Online Supplier-Direct</v>
      </c>
      <c r="J2244" s="40"/>
      <c r="K2244" s="59"/>
      <c r="L2244" s="35"/>
      <c r="M2244" s="35"/>
      <c r="N2244" s="35"/>
      <c r="O2244" s="35"/>
      <c r="P2244" s="35"/>
      <c r="Q2244" s="35"/>
      <c r="R2244" s="35"/>
      <c r="S2244" s="35"/>
      <c r="T2244" s="35"/>
      <c r="U2244" s="35"/>
      <c r="V2244" s="35"/>
      <c r="W2244" s="35"/>
      <c r="X2244" s="35"/>
      <c r="Y2244" s="35"/>
      <c r="Z2244" s="35"/>
      <c r="AA2244" s="35"/>
      <c r="AB2244" s="35"/>
      <c r="AC2244" s="35"/>
      <c r="AD2244" s="35"/>
      <c r="AE2244" s="35"/>
      <c r="AF2244" s="35"/>
      <c r="AG2244" s="35"/>
      <c r="AH2244" s="35"/>
      <c r="AI2244" s="35"/>
      <c r="AJ2244" s="35"/>
      <c r="AK2244" s="35"/>
      <c r="AL2244" s="35"/>
      <c r="AM2244" s="35"/>
      <c r="AN2244" s="35"/>
      <c r="AO2244" s="35"/>
      <c r="AP2244" s="35"/>
    </row>
    <row r="2245" spans="1:42" ht="17.25" customHeight="1" x14ac:dyDescent="0.25">
      <c r="A2245" s="60">
        <v>2023</v>
      </c>
      <c r="B2245" s="61" t="s">
        <v>66</v>
      </c>
      <c r="C2245" s="61" t="s">
        <v>4</v>
      </c>
      <c r="D2245" s="61" t="s">
        <v>10</v>
      </c>
      <c r="E2245" s="61" t="s">
        <v>69</v>
      </c>
      <c r="F2245" s="61" t="s">
        <v>71</v>
      </c>
      <c r="G2245" s="62">
        <v>1146878388</v>
      </c>
      <c r="H2245" s="61" t="s">
        <v>68</v>
      </c>
      <c r="I2245" s="63" t="str">
        <f t="shared" si="136"/>
        <v>Macau-OTA</v>
      </c>
      <c r="J2245" s="47"/>
      <c r="K2245" s="54"/>
      <c r="L2245" s="35"/>
      <c r="M2245" s="35"/>
      <c r="N2245" s="35"/>
      <c r="O2245" s="35"/>
      <c r="P2245" s="35"/>
      <c r="Q2245" s="35"/>
      <c r="R2245" s="35"/>
      <c r="S2245" s="35"/>
      <c r="T2245" s="35"/>
      <c r="U2245" s="35"/>
      <c r="V2245" s="35"/>
      <c r="W2245" s="35"/>
      <c r="X2245" s="35"/>
      <c r="Y2245" s="35"/>
      <c r="Z2245" s="35"/>
      <c r="AA2245" s="35"/>
      <c r="AB2245" s="35"/>
      <c r="AC2245" s="35"/>
      <c r="AD2245" s="35"/>
      <c r="AE2245" s="35"/>
      <c r="AF2245" s="35"/>
      <c r="AG2245" s="35"/>
      <c r="AH2245" s="35"/>
      <c r="AI2245" s="35"/>
      <c r="AJ2245" s="35"/>
      <c r="AK2245" s="35"/>
      <c r="AL2245" s="35"/>
      <c r="AM2245" s="35"/>
      <c r="AN2245" s="35"/>
      <c r="AO2245" s="35"/>
      <c r="AP2245" s="35"/>
    </row>
    <row r="2246" spans="1:42" ht="17.25" customHeight="1" x14ac:dyDescent="0.25">
      <c r="A2246" s="55">
        <v>2023</v>
      </c>
      <c r="B2246" s="56" t="s">
        <v>66</v>
      </c>
      <c r="C2246" s="56" t="s">
        <v>4</v>
      </c>
      <c r="D2246" s="56" t="s">
        <v>11</v>
      </c>
      <c r="E2246" s="56" t="s">
        <v>67</v>
      </c>
      <c r="F2246" s="56" t="s">
        <v>67</v>
      </c>
      <c r="G2246" s="57">
        <v>3320116775</v>
      </c>
      <c r="H2246" s="56" t="s">
        <v>68</v>
      </c>
      <c r="I2246" s="58" t="str">
        <f t="shared" si="136"/>
        <v>Malaysia-Offline</v>
      </c>
      <c r="J2246" s="40"/>
      <c r="K2246" s="59"/>
      <c r="L2246" s="35"/>
      <c r="M2246" s="35"/>
      <c r="N2246" s="35"/>
      <c r="O2246" s="35"/>
      <c r="P2246" s="35"/>
      <c r="Q2246" s="35"/>
      <c r="R2246" s="35"/>
      <c r="S2246" s="35"/>
      <c r="T2246" s="35"/>
      <c r="U2246" s="35"/>
      <c r="V2246" s="35"/>
      <c r="W2246" s="35"/>
      <c r="X2246" s="35"/>
      <c r="Y2246" s="35"/>
      <c r="Z2246" s="35"/>
      <c r="AA2246" s="35"/>
      <c r="AB2246" s="35"/>
      <c r="AC2246" s="35"/>
      <c r="AD2246" s="35"/>
      <c r="AE2246" s="35"/>
      <c r="AF2246" s="35"/>
      <c r="AG2246" s="35"/>
      <c r="AH2246" s="35"/>
      <c r="AI2246" s="35"/>
      <c r="AJ2246" s="35"/>
      <c r="AK2246" s="35"/>
      <c r="AL2246" s="35"/>
      <c r="AM2246" s="35"/>
      <c r="AN2246" s="35"/>
      <c r="AO2246" s="35"/>
      <c r="AP2246" s="35"/>
    </row>
    <row r="2247" spans="1:42" ht="17.25" customHeight="1" x14ac:dyDescent="0.25">
      <c r="A2247" s="60">
        <v>2023</v>
      </c>
      <c r="B2247" s="61" t="s">
        <v>66</v>
      </c>
      <c r="C2247" s="61" t="s">
        <v>4</v>
      </c>
      <c r="D2247" s="61" t="s">
        <v>11</v>
      </c>
      <c r="E2247" s="61" t="s">
        <v>69</v>
      </c>
      <c r="F2247" s="61" t="s">
        <v>70</v>
      </c>
      <c r="G2247" s="62">
        <v>3947035172</v>
      </c>
      <c r="H2247" s="61" t="s">
        <v>68</v>
      </c>
      <c r="I2247" s="63" t="str">
        <f t="shared" si="136"/>
        <v>Malaysia-Online Supplier-Direct</v>
      </c>
      <c r="J2247" s="47"/>
      <c r="K2247" s="54"/>
      <c r="L2247" s="35"/>
      <c r="M2247" s="35"/>
      <c r="N2247" s="35"/>
      <c r="O2247" s="35"/>
      <c r="P2247" s="35"/>
      <c r="Q2247" s="35"/>
      <c r="R2247" s="35"/>
      <c r="S2247" s="35"/>
      <c r="T2247" s="35"/>
      <c r="U2247" s="35"/>
      <c r="V2247" s="35"/>
      <c r="W2247" s="35"/>
      <c r="X2247" s="35"/>
      <c r="Y2247" s="35"/>
      <c r="Z2247" s="35"/>
      <c r="AA2247" s="35"/>
      <c r="AB2247" s="35"/>
      <c r="AC2247" s="35"/>
      <c r="AD2247" s="35"/>
      <c r="AE2247" s="35"/>
      <c r="AF2247" s="35"/>
      <c r="AG2247" s="35"/>
      <c r="AH2247" s="35"/>
      <c r="AI2247" s="35"/>
      <c r="AJ2247" s="35"/>
      <c r="AK2247" s="35"/>
      <c r="AL2247" s="35"/>
      <c r="AM2247" s="35"/>
      <c r="AN2247" s="35"/>
      <c r="AO2247" s="35"/>
      <c r="AP2247" s="35"/>
    </row>
    <row r="2248" spans="1:42" ht="17.25" customHeight="1" x14ac:dyDescent="0.25">
      <c r="A2248" s="55">
        <v>2023</v>
      </c>
      <c r="B2248" s="56" t="s">
        <v>66</v>
      </c>
      <c r="C2248" s="56" t="s">
        <v>4</v>
      </c>
      <c r="D2248" s="56" t="s">
        <v>11</v>
      </c>
      <c r="E2248" s="56" t="s">
        <v>69</v>
      </c>
      <c r="F2248" s="56" t="s">
        <v>71</v>
      </c>
      <c r="G2248" s="57">
        <v>2384508510</v>
      </c>
      <c r="H2248" s="56" t="s">
        <v>68</v>
      </c>
      <c r="I2248" s="58" t="str">
        <f t="shared" si="136"/>
        <v>Malaysia-OTA</v>
      </c>
      <c r="J2248" s="40"/>
      <c r="K2248" s="59"/>
      <c r="L2248" s="35"/>
      <c r="M2248" s="35"/>
      <c r="N2248" s="35"/>
      <c r="O2248" s="35"/>
      <c r="P2248" s="35"/>
      <c r="Q2248" s="35"/>
      <c r="R2248" s="35"/>
      <c r="S2248" s="35"/>
      <c r="T2248" s="35"/>
      <c r="U2248" s="35"/>
      <c r="V2248" s="35"/>
      <c r="W2248" s="35"/>
      <c r="X2248" s="35"/>
      <c r="Y2248" s="35"/>
      <c r="Z2248" s="35"/>
      <c r="AA2248" s="35"/>
      <c r="AB2248" s="35"/>
      <c r="AC2248" s="35"/>
      <c r="AD2248" s="35"/>
      <c r="AE2248" s="35"/>
      <c r="AF2248" s="35"/>
      <c r="AG2248" s="35"/>
      <c r="AH2248" s="35"/>
      <c r="AI2248" s="35"/>
      <c r="AJ2248" s="35"/>
      <c r="AK2248" s="35"/>
      <c r="AL2248" s="35"/>
      <c r="AM2248" s="35"/>
      <c r="AN2248" s="35"/>
      <c r="AO2248" s="35"/>
      <c r="AP2248" s="35"/>
    </row>
    <row r="2249" spans="1:42" ht="17.25" customHeight="1" x14ac:dyDescent="0.25">
      <c r="A2249" s="60">
        <v>2023</v>
      </c>
      <c r="B2249" s="61" t="s">
        <v>66</v>
      </c>
      <c r="C2249" s="61" t="s">
        <v>35</v>
      </c>
      <c r="D2249" s="61" t="s">
        <v>39</v>
      </c>
      <c r="E2249" s="61" t="s">
        <v>67</v>
      </c>
      <c r="F2249" s="61" t="s">
        <v>67</v>
      </c>
      <c r="G2249" s="62">
        <v>16134077127</v>
      </c>
      <c r="H2249" s="61" t="s">
        <v>68</v>
      </c>
      <c r="I2249" s="63" t="str">
        <f t="shared" si="136"/>
        <v>Mexico-Offline</v>
      </c>
      <c r="J2249" s="47"/>
      <c r="K2249" s="54"/>
      <c r="L2249" s="35"/>
      <c r="M2249" s="35"/>
      <c r="N2249" s="35"/>
      <c r="O2249" s="35"/>
      <c r="P2249" s="35"/>
      <c r="Q2249" s="35"/>
      <c r="R2249" s="35"/>
      <c r="S2249" s="35"/>
      <c r="T2249" s="35"/>
      <c r="U2249" s="35"/>
      <c r="V2249" s="35"/>
      <c r="W2249" s="35"/>
      <c r="X2249" s="35"/>
      <c r="Y2249" s="35"/>
      <c r="Z2249" s="35"/>
      <c r="AA2249" s="35"/>
      <c r="AB2249" s="35"/>
      <c r="AC2249" s="35"/>
      <c r="AD2249" s="35"/>
      <c r="AE2249" s="35"/>
      <c r="AF2249" s="35"/>
      <c r="AG2249" s="35"/>
      <c r="AH2249" s="35"/>
      <c r="AI2249" s="35"/>
      <c r="AJ2249" s="35"/>
      <c r="AK2249" s="35"/>
      <c r="AL2249" s="35"/>
      <c r="AM2249" s="35"/>
      <c r="AN2249" s="35"/>
      <c r="AO2249" s="35"/>
      <c r="AP2249" s="35"/>
    </row>
    <row r="2250" spans="1:42" ht="17.25" customHeight="1" x14ac:dyDescent="0.25">
      <c r="A2250" s="55">
        <v>2023</v>
      </c>
      <c r="B2250" s="56" t="s">
        <v>66</v>
      </c>
      <c r="C2250" s="56" t="s">
        <v>35</v>
      </c>
      <c r="D2250" s="56" t="s">
        <v>39</v>
      </c>
      <c r="E2250" s="56" t="s">
        <v>69</v>
      </c>
      <c r="F2250" s="56" t="s">
        <v>70</v>
      </c>
      <c r="G2250" s="57">
        <v>7296402121</v>
      </c>
      <c r="H2250" s="56" t="s">
        <v>68</v>
      </c>
      <c r="I2250" s="58" t="str">
        <f t="shared" si="136"/>
        <v>Mexico-Online Supplier-Direct</v>
      </c>
      <c r="J2250" s="40"/>
      <c r="K2250" s="59"/>
      <c r="L2250" s="35"/>
      <c r="M2250" s="35"/>
      <c r="N2250" s="35"/>
      <c r="O2250" s="35"/>
      <c r="P2250" s="35"/>
      <c r="Q2250" s="35"/>
      <c r="R2250" s="35"/>
      <c r="S2250" s="35"/>
      <c r="T2250" s="35"/>
      <c r="U2250" s="35"/>
      <c r="V2250" s="35"/>
      <c r="W2250" s="35"/>
      <c r="X2250" s="35"/>
      <c r="Y2250" s="35"/>
      <c r="Z2250" s="35"/>
      <c r="AA2250" s="35"/>
      <c r="AB2250" s="35"/>
      <c r="AC2250" s="35"/>
      <c r="AD2250" s="35"/>
      <c r="AE2250" s="35"/>
      <c r="AF2250" s="35"/>
      <c r="AG2250" s="35"/>
      <c r="AH2250" s="35"/>
      <c r="AI2250" s="35"/>
      <c r="AJ2250" s="35"/>
      <c r="AK2250" s="35"/>
      <c r="AL2250" s="35"/>
      <c r="AM2250" s="35"/>
      <c r="AN2250" s="35"/>
      <c r="AO2250" s="35"/>
      <c r="AP2250" s="35"/>
    </row>
    <row r="2251" spans="1:42" ht="17.25" customHeight="1" x14ac:dyDescent="0.25">
      <c r="A2251" s="60">
        <v>2023</v>
      </c>
      <c r="B2251" s="61" t="s">
        <v>66</v>
      </c>
      <c r="C2251" s="61" t="s">
        <v>35</v>
      </c>
      <c r="D2251" s="61" t="s">
        <v>39</v>
      </c>
      <c r="E2251" s="61" t="s">
        <v>69</v>
      </c>
      <c r="F2251" s="61" t="s">
        <v>71</v>
      </c>
      <c r="G2251" s="62">
        <v>8087747998</v>
      </c>
      <c r="H2251" s="61" t="s">
        <v>68</v>
      </c>
      <c r="I2251" s="63" t="str">
        <f t="shared" si="136"/>
        <v>Mexico-OTA</v>
      </c>
      <c r="J2251" s="47"/>
      <c r="K2251" s="54"/>
      <c r="L2251" s="35"/>
      <c r="M2251" s="35"/>
      <c r="N2251" s="35"/>
      <c r="O2251" s="35"/>
      <c r="P2251" s="35"/>
      <c r="Q2251" s="35"/>
      <c r="R2251" s="35"/>
      <c r="S2251" s="35"/>
      <c r="T2251" s="35"/>
      <c r="U2251" s="35"/>
      <c r="V2251" s="35"/>
      <c r="W2251" s="35"/>
      <c r="X2251" s="35"/>
      <c r="Y2251" s="35"/>
      <c r="Z2251" s="35"/>
      <c r="AA2251" s="35"/>
      <c r="AB2251" s="35"/>
      <c r="AC2251" s="35"/>
      <c r="AD2251" s="35"/>
      <c r="AE2251" s="35"/>
      <c r="AF2251" s="35"/>
      <c r="AG2251" s="35"/>
      <c r="AH2251" s="35"/>
      <c r="AI2251" s="35"/>
      <c r="AJ2251" s="35"/>
      <c r="AK2251" s="35"/>
      <c r="AL2251" s="35"/>
      <c r="AM2251" s="35"/>
      <c r="AN2251" s="35"/>
      <c r="AO2251" s="35"/>
      <c r="AP2251" s="35"/>
    </row>
    <row r="2252" spans="1:42" ht="17.25" customHeight="1" x14ac:dyDescent="0.25">
      <c r="A2252" s="55">
        <v>2023</v>
      </c>
      <c r="B2252" s="56" t="s">
        <v>66</v>
      </c>
      <c r="C2252" s="56" t="s">
        <v>17</v>
      </c>
      <c r="D2252" s="56" t="s">
        <v>21</v>
      </c>
      <c r="E2252" s="56" t="s">
        <v>67</v>
      </c>
      <c r="F2252" s="56" t="s">
        <v>67</v>
      </c>
      <c r="G2252" s="57">
        <v>2559947036</v>
      </c>
      <c r="H2252" s="56" t="s">
        <v>68</v>
      </c>
      <c r="I2252" s="58" t="str">
        <f t="shared" si="136"/>
        <v>Poland-Offline</v>
      </c>
      <c r="J2252" s="40"/>
      <c r="K2252" s="59"/>
      <c r="L2252" s="35"/>
      <c r="M2252" s="35"/>
      <c r="N2252" s="35"/>
      <c r="O2252" s="35"/>
      <c r="P2252" s="35"/>
      <c r="Q2252" s="35"/>
      <c r="R2252" s="35"/>
      <c r="S2252" s="35"/>
      <c r="T2252" s="35"/>
      <c r="U2252" s="35"/>
      <c r="V2252" s="35"/>
      <c r="W2252" s="35"/>
      <c r="X2252" s="35"/>
      <c r="Y2252" s="35"/>
      <c r="Z2252" s="35"/>
      <c r="AA2252" s="35"/>
      <c r="AB2252" s="35"/>
      <c r="AC2252" s="35"/>
      <c r="AD2252" s="35"/>
      <c r="AE2252" s="35"/>
      <c r="AF2252" s="35"/>
      <c r="AG2252" s="35"/>
      <c r="AH2252" s="35"/>
      <c r="AI2252" s="35"/>
      <c r="AJ2252" s="35"/>
      <c r="AK2252" s="35"/>
      <c r="AL2252" s="35"/>
      <c r="AM2252" s="35"/>
      <c r="AN2252" s="35"/>
      <c r="AO2252" s="35"/>
      <c r="AP2252" s="35"/>
    </row>
    <row r="2253" spans="1:42" ht="17.25" customHeight="1" x14ac:dyDescent="0.25">
      <c r="A2253" s="60">
        <v>2023</v>
      </c>
      <c r="B2253" s="61" t="s">
        <v>66</v>
      </c>
      <c r="C2253" s="61" t="s">
        <v>17</v>
      </c>
      <c r="D2253" s="61" t="s">
        <v>21</v>
      </c>
      <c r="E2253" s="61" t="s">
        <v>69</v>
      </c>
      <c r="F2253" s="61" t="s">
        <v>70</v>
      </c>
      <c r="G2253" s="62">
        <v>1621171117</v>
      </c>
      <c r="H2253" s="61" t="s">
        <v>68</v>
      </c>
      <c r="I2253" s="63" t="str">
        <f t="shared" si="136"/>
        <v>Poland-Online Supplier-Direct</v>
      </c>
      <c r="J2253" s="47"/>
      <c r="K2253" s="54"/>
      <c r="L2253" s="35"/>
      <c r="M2253" s="35"/>
      <c r="N2253" s="35"/>
      <c r="O2253" s="35"/>
      <c r="P2253" s="35"/>
      <c r="Q2253" s="35"/>
      <c r="R2253" s="35"/>
      <c r="S2253" s="35"/>
      <c r="T2253" s="35"/>
      <c r="U2253" s="35"/>
      <c r="V2253" s="35"/>
      <c r="W2253" s="35"/>
      <c r="X2253" s="35"/>
      <c r="Y2253" s="35"/>
      <c r="Z2253" s="35"/>
      <c r="AA2253" s="35"/>
      <c r="AB2253" s="35"/>
      <c r="AC2253" s="35"/>
      <c r="AD2253" s="35"/>
      <c r="AE2253" s="35"/>
      <c r="AF2253" s="35"/>
      <c r="AG2253" s="35"/>
      <c r="AH2253" s="35"/>
      <c r="AI2253" s="35"/>
      <c r="AJ2253" s="35"/>
      <c r="AK2253" s="35"/>
      <c r="AL2253" s="35"/>
      <c r="AM2253" s="35"/>
      <c r="AN2253" s="35"/>
      <c r="AO2253" s="35"/>
      <c r="AP2253" s="35"/>
    </row>
    <row r="2254" spans="1:42" ht="17.25" customHeight="1" x14ac:dyDescent="0.25">
      <c r="A2254" s="55">
        <v>2023</v>
      </c>
      <c r="B2254" s="56" t="s">
        <v>66</v>
      </c>
      <c r="C2254" s="56" t="s">
        <v>17</v>
      </c>
      <c r="D2254" s="56" t="s">
        <v>21</v>
      </c>
      <c r="E2254" s="56" t="s">
        <v>69</v>
      </c>
      <c r="F2254" s="56" t="s">
        <v>71</v>
      </c>
      <c r="G2254" s="57">
        <v>1317593581</v>
      </c>
      <c r="H2254" s="56" t="s">
        <v>68</v>
      </c>
      <c r="I2254" s="58" t="str">
        <f t="shared" si="136"/>
        <v>Poland-OTA</v>
      </c>
      <c r="J2254" s="40"/>
      <c r="K2254" s="59"/>
      <c r="L2254" s="35"/>
      <c r="M2254" s="35"/>
      <c r="N2254" s="35"/>
      <c r="O2254" s="35"/>
      <c r="P2254" s="35"/>
      <c r="Q2254" s="35"/>
      <c r="R2254" s="35"/>
      <c r="S2254" s="35"/>
      <c r="T2254" s="35"/>
      <c r="U2254" s="35"/>
      <c r="V2254" s="35"/>
      <c r="W2254" s="35"/>
      <c r="X2254" s="35"/>
      <c r="Y2254" s="35"/>
      <c r="Z2254" s="35"/>
      <c r="AA2254" s="35"/>
      <c r="AB2254" s="35"/>
      <c r="AC2254" s="35"/>
      <c r="AD2254" s="35"/>
      <c r="AE2254" s="35"/>
      <c r="AF2254" s="35"/>
      <c r="AG2254" s="35"/>
      <c r="AH2254" s="35"/>
      <c r="AI2254" s="35"/>
      <c r="AJ2254" s="35"/>
      <c r="AK2254" s="35"/>
      <c r="AL2254" s="35"/>
      <c r="AM2254" s="35"/>
      <c r="AN2254" s="35"/>
      <c r="AO2254" s="35"/>
      <c r="AP2254" s="35"/>
    </row>
    <row r="2255" spans="1:42" ht="17.25" customHeight="1" x14ac:dyDescent="0.25">
      <c r="A2255" s="60">
        <v>2023</v>
      </c>
      <c r="B2255" s="61" t="s">
        <v>66</v>
      </c>
      <c r="C2255" s="61" t="s">
        <v>41</v>
      </c>
      <c r="D2255" s="61" t="s">
        <v>42</v>
      </c>
      <c r="E2255" s="61" t="s">
        <v>67</v>
      </c>
      <c r="F2255" s="61" t="s">
        <v>67</v>
      </c>
      <c r="G2255" s="62">
        <v>8950135051</v>
      </c>
      <c r="H2255" s="61" t="s">
        <v>68</v>
      </c>
      <c r="I2255" s="63" t="str">
        <f t="shared" si="136"/>
        <v>Qatar-Offline</v>
      </c>
      <c r="J2255" s="47"/>
      <c r="K2255" s="54"/>
      <c r="L2255" s="35"/>
      <c r="M2255" s="35"/>
      <c r="N2255" s="35"/>
      <c r="O2255" s="35"/>
      <c r="P2255" s="35"/>
      <c r="Q2255" s="35"/>
      <c r="R2255" s="35"/>
      <c r="S2255" s="35"/>
      <c r="T2255" s="35"/>
      <c r="U2255" s="35"/>
      <c r="V2255" s="35"/>
      <c r="W2255" s="35"/>
      <c r="X2255" s="35"/>
      <c r="Y2255" s="35"/>
      <c r="Z2255" s="35"/>
      <c r="AA2255" s="35"/>
      <c r="AB2255" s="35"/>
      <c r="AC2255" s="35"/>
      <c r="AD2255" s="35"/>
      <c r="AE2255" s="35"/>
      <c r="AF2255" s="35"/>
      <c r="AG2255" s="35"/>
      <c r="AH2255" s="35"/>
      <c r="AI2255" s="35"/>
      <c r="AJ2255" s="35"/>
      <c r="AK2255" s="35"/>
      <c r="AL2255" s="35"/>
      <c r="AM2255" s="35"/>
      <c r="AN2255" s="35"/>
      <c r="AO2255" s="35"/>
      <c r="AP2255" s="35"/>
    </row>
    <row r="2256" spans="1:42" ht="17.25" customHeight="1" x14ac:dyDescent="0.25">
      <c r="A2256" s="55">
        <v>2023</v>
      </c>
      <c r="B2256" s="56" t="s">
        <v>66</v>
      </c>
      <c r="C2256" s="56" t="s">
        <v>41</v>
      </c>
      <c r="D2256" s="56" t="s">
        <v>42</v>
      </c>
      <c r="E2256" s="56" t="s">
        <v>69</v>
      </c>
      <c r="F2256" s="56" t="s">
        <v>70</v>
      </c>
      <c r="G2256" s="57">
        <v>5472297378</v>
      </c>
      <c r="H2256" s="56" t="s">
        <v>68</v>
      </c>
      <c r="I2256" s="58" t="str">
        <f t="shared" si="136"/>
        <v>Qatar-Online Supplier-Direct</v>
      </c>
      <c r="J2256" s="40"/>
      <c r="K2256" s="59"/>
      <c r="L2256" s="35"/>
      <c r="M2256" s="35"/>
      <c r="N2256" s="35"/>
      <c r="O2256" s="35"/>
      <c r="P2256" s="35"/>
      <c r="Q2256" s="35"/>
      <c r="R2256" s="35"/>
      <c r="S2256" s="35"/>
      <c r="T2256" s="35"/>
      <c r="U2256" s="35"/>
      <c r="V2256" s="35"/>
      <c r="W2256" s="35"/>
      <c r="X2256" s="35"/>
      <c r="Y2256" s="35"/>
      <c r="Z2256" s="35"/>
      <c r="AA2256" s="35"/>
      <c r="AB2256" s="35"/>
      <c r="AC2256" s="35"/>
      <c r="AD2256" s="35"/>
      <c r="AE2256" s="35"/>
      <c r="AF2256" s="35"/>
      <c r="AG2256" s="35"/>
      <c r="AH2256" s="35"/>
      <c r="AI2256" s="35"/>
      <c r="AJ2256" s="35"/>
      <c r="AK2256" s="35"/>
      <c r="AL2256" s="35"/>
      <c r="AM2256" s="35"/>
      <c r="AN2256" s="35"/>
      <c r="AO2256" s="35"/>
      <c r="AP2256" s="35"/>
    </row>
    <row r="2257" spans="1:42" ht="17.25" customHeight="1" x14ac:dyDescent="0.25">
      <c r="A2257" s="60">
        <v>2023</v>
      </c>
      <c r="B2257" s="61" t="s">
        <v>66</v>
      </c>
      <c r="C2257" s="61" t="s">
        <v>41</v>
      </c>
      <c r="D2257" s="61" t="s">
        <v>42</v>
      </c>
      <c r="E2257" s="61" t="s">
        <v>69</v>
      </c>
      <c r="F2257" s="61" t="s">
        <v>71</v>
      </c>
      <c r="G2257" s="62">
        <v>1550221657</v>
      </c>
      <c r="H2257" s="61" t="s">
        <v>68</v>
      </c>
      <c r="I2257" s="63" t="str">
        <f t="shared" si="136"/>
        <v>Qatar-OTA</v>
      </c>
      <c r="J2257" s="47"/>
      <c r="K2257" s="54"/>
      <c r="L2257" s="35"/>
      <c r="M2257" s="35"/>
      <c r="N2257" s="35"/>
      <c r="O2257" s="35"/>
      <c r="P2257" s="35"/>
      <c r="Q2257" s="35"/>
      <c r="R2257" s="35"/>
      <c r="S2257" s="35"/>
      <c r="T2257" s="35"/>
      <c r="U2257" s="35"/>
      <c r="V2257" s="35"/>
      <c r="W2257" s="35"/>
      <c r="X2257" s="35"/>
      <c r="Y2257" s="35"/>
      <c r="Z2257" s="35"/>
      <c r="AA2257" s="35"/>
      <c r="AB2257" s="35"/>
      <c r="AC2257" s="35"/>
      <c r="AD2257" s="35"/>
      <c r="AE2257" s="35"/>
      <c r="AF2257" s="35"/>
      <c r="AG2257" s="35"/>
      <c r="AH2257" s="35"/>
      <c r="AI2257" s="35"/>
      <c r="AJ2257" s="35"/>
      <c r="AK2257" s="35"/>
      <c r="AL2257" s="35"/>
      <c r="AM2257" s="35"/>
      <c r="AN2257" s="35"/>
      <c r="AO2257" s="35"/>
      <c r="AP2257" s="35"/>
    </row>
    <row r="2258" spans="1:42" ht="17.25" customHeight="1" x14ac:dyDescent="0.25">
      <c r="A2258" s="55">
        <v>2023</v>
      </c>
      <c r="B2258" s="56" t="s">
        <v>66</v>
      </c>
      <c r="C2258" s="56" t="s">
        <v>17</v>
      </c>
      <c r="D2258" s="56" t="s">
        <v>22</v>
      </c>
      <c r="E2258" s="56" t="s">
        <v>67</v>
      </c>
      <c r="F2258" s="56" t="s">
        <v>67</v>
      </c>
      <c r="G2258" s="57">
        <v>930045547</v>
      </c>
      <c r="H2258" s="56" t="s">
        <v>68</v>
      </c>
      <c r="I2258" s="58" t="str">
        <f t="shared" si="136"/>
        <v>Rest of Eastern Europe-Offline</v>
      </c>
      <c r="J2258" s="40"/>
      <c r="K2258" s="59"/>
      <c r="L2258" s="35"/>
      <c r="M2258" s="35"/>
      <c r="N2258" s="35"/>
      <c r="O2258" s="35"/>
      <c r="P2258" s="35"/>
      <c r="Q2258" s="35"/>
      <c r="R2258" s="35"/>
      <c r="S2258" s="35"/>
      <c r="T2258" s="35"/>
      <c r="U2258" s="35"/>
      <c r="V2258" s="35"/>
      <c r="W2258" s="35"/>
      <c r="X2258" s="35"/>
      <c r="Y2258" s="35"/>
      <c r="Z2258" s="35"/>
      <c r="AA2258" s="35"/>
      <c r="AB2258" s="35"/>
      <c r="AC2258" s="35"/>
      <c r="AD2258" s="35"/>
      <c r="AE2258" s="35"/>
      <c r="AF2258" s="35"/>
      <c r="AG2258" s="35"/>
      <c r="AH2258" s="35"/>
      <c r="AI2258" s="35"/>
      <c r="AJ2258" s="35"/>
      <c r="AK2258" s="35"/>
      <c r="AL2258" s="35"/>
      <c r="AM2258" s="35"/>
      <c r="AN2258" s="35"/>
      <c r="AO2258" s="35"/>
      <c r="AP2258" s="35"/>
    </row>
    <row r="2259" spans="1:42" ht="17.25" customHeight="1" x14ac:dyDescent="0.25">
      <c r="A2259" s="60">
        <v>2023</v>
      </c>
      <c r="B2259" s="61" t="s">
        <v>66</v>
      </c>
      <c r="C2259" s="61" t="s">
        <v>17</v>
      </c>
      <c r="D2259" s="61" t="s">
        <v>22</v>
      </c>
      <c r="E2259" s="61" t="s">
        <v>69</v>
      </c>
      <c r="F2259" s="61" t="s">
        <v>70</v>
      </c>
      <c r="G2259" s="62">
        <v>905853349</v>
      </c>
      <c r="H2259" s="61" t="s">
        <v>68</v>
      </c>
      <c r="I2259" s="63" t="str">
        <f t="shared" si="136"/>
        <v>Rest of Eastern Europe-Online Supplier-Direct</v>
      </c>
      <c r="J2259" s="47"/>
      <c r="K2259" s="54"/>
      <c r="L2259" s="35"/>
      <c r="M2259" s="35"/>
      <c r="N2259" s="35"/>
      <c r="O2259" s="35"/>
      <c r="P2259" s="35"/>
      <c r="Q2259" s="35"/>
      <c r="R2259" s="35"/>
      <c r="S2259" s="35"/>
      <c r="T2259" s="35"/>
      <c r="U2259" s="35"/>
      <c r="V2259" s="35"/>
      <c r="W2259" s="35"/>
      <c r="X2259" s="35"/>
      <c r="Y2259" s="35"/>
      <c r="Z2259" s="35"/>
      <c r="AA2259" s="35"/>
      <c r="AB2259" s="35"/>
      <c r="AC2259" s="35"/>
      <c r="AD2259" s="35"/>
      <c r="AE2259" s="35"/>
      <c r="AF2259" s="35"/>
      <c r="AG2259" s="35"/>
      <c r="AH2259" s="35"/>
      <c r="AI2259" s="35"/>
      <c r="AJ2259" s="35"/>
      <c r="AK2259" s="35"/>
      <c r="AL2259" s="35"/>
      <c r="AM2259" s="35"/>
      <c r="AN2259" s="35"/>
      <c r="AO2259" s="35"/>
      <c r="AP2259" s="35"/>
    </row>
    <row r="2260" spans="1:42" ht="17.25" customHeight="1" x14ac:dyDescent="0.25">
      <c r="A2260" s="55">
        <v>2023</v>
      </c>
      <c r="B2260" s="56" t="s">
        <v>66</v>
      </c>
      <c r="C2260" s="56" t="s">
        <v>17</v>
      </c>
      <c r="D2260" s="56" t="s">
        <v>22</v>
      </c>
      <c r="E2260" s="56" t="s">
        <v>69</v>
      </c>
      <c r="F2260" s="56" t="s">
        <v>71</v>
      </c>
      <c r="G2260" s="57">
        <v>668951780</v>
      </c>
      <c r="H2260" s="56" t="s">
        <v>68</v>
      </c>
      <c r="I2260" s="58" t="str">
        <f t="shared" si="136"/>
        <v>Rest of Eastern Europe-OTA</v>
      </c>
      <c r="J2260" s="40"/>
      <c r="K2260" s="59"/>
      <c r="L2260" s="35"/>
      <c r="M2260" s="35"/>
      <c r="N2260" s="35"/>
      <c r="O2260" s="35"/>
      <c r="P2260" s="35"/>
      <c r="Q2260" s="35"/>
      <c r="R2260" s="35"/>
      <c r="S2260" s="35"/>
      <c r="T2260" s="35"/>
      <c r="U2260" s="35"/>
      <c r="V2260" s="35"/>
      <c r="W2260" s="35"/>
      <c r="X2260" s="35"/>
      <c r="Y2260" s="35"/>
      <c r="Z2260" s="35"/>
      <c r="AA2260" s="35"/>
      <c r="AB2260" s="35"/>
      <c r="AC2260" s="35"/>
      <c r="AD2260" s="35"/>
      <c r="AE2260" s="35"/>
      <c r="AF2260" s="35"/>
      <c r="AG2260" s="35"/>
      <c r="AH2260" s="35"/>
      <c r="AI2260" s="35"/>
      <c r="AJ2260" s="35"/>
      <c r="AK2260" s="35"/>
      <c r="AL2260" s="35"/>
      <c r="AM2260" s="35"/>
      <c r="AN2260" s="35"/>
      <c r="AO2260" s="35"/>
      <c r="AP2260" s="35"/>
    </row>
    <row r="2261" spans="1:42" ht="17.25" customHeight="1" x14ac:dyDescent="0.25">
      <c r="A2261" s="60">
        <v>2023</v>
      </c>
      <c r="B2261" s="61" t="s">
        <v>66</v>
      </c>
      <c r="C2261" s="61" t="s">
        <v>27</v>
      </c>
      <c r="D2261" s="61" t="s">
        <v>30</v>
      </c>
      <c r="E2261" s="61" t="s">
        <v>67</v>
      </c>
      <c r="F2261" s="61" t="s">
        <v>67</v>
      </c>
      <c r="G2261" s="62">
        <v>25663015463</v>
      </c>
      <c r="H2261" s="61" t="s">
        <v>68</v>
      </c>
      <c r="I2261" s="63" t="str">
        <f t="shared" si="136"/>
        <v>Rest of Europe-Offline</v>
      </c>
      <c r="J2261" s="47"/>
      <c r="K2261" s="54"/>
      <c r="L2261" s="35"/>
      <c r="M2261" s="35"/>
      <c r="N2261" s="35"/>
      <c r="O2261" s="35"/>
      <c r="P2261" s="35"/>
      <c r="Q2261" s="35"/>
      <c r="R2261" s="35"/>
      <c r="S2261" s="35"/>
      <c r="T2261" s="35"/>
      <c r="U2261" s="35"/>
      <c r="V2261" s="35"/>
      <c r="W2261" s="35"/>
      <c r="X2261" s="35"/>
      <c r="Y2261" s="35"/>
      <c r="Z2261" s="35"/>
      <c r="AA2261" s="35"/>
      <c r="AB2261" s="35"/>
      <c r="AC2261" s="35"/>
      <c r="AD2261" s="35"/>
      <c r="AE2261" s="35"/>
      <c r="AF2261" s="35"/>
      <c r="AG2261" s="35"/>
      <c r="AH2261" s="35"/>
      <c r="AI2261" s="35"/>
      <c r="AJ2261" s="35"/>
      <c r="AK2261" s="35"/>
      <c r="AL2261" s="35"/>
      <c r="AM2261" s="35"/>
      <c r="AN2261" s="35"/>
      <c r="AO2261" s="35"/>
      <c r="AP2261" s="35"/>
    </row>
    <row r="2262" spans="1:42" ht="17.25" customHeight="1" x14ac:dyDescent="0.25">
      <c r="A2262" s="55">
        <v>2023</v>
      </c>
      <c r="B2262" s="56" t="s">
        <v>66</v>
      </c>
      <c r="C2262" s="56" t="s">
        <v>27</v>
      </c>
      <c r="D2262" s="56" t="s">
        <v>30</v>
      </c>
      <c r="E2262" s="56" t="s">
        <v>69</v>
      </c>
      <c r="F2262" s="56" t="s">
        <v>70</v>
      </c>
      <c r="G2262" s="57">
        <v>36807052667</v>
      </c>
      <c r="H2262" s="56" t="s">
        <v>68</v>
      </c>
      <c r="I2262" s="58" t="str">
        <f t="shared" si="136"/>
        <v>Rest of Europe-Online Supplier-Direct</v>
      </c>
      <c r="J2262" s="40"/>
      <c r="K2262" s="59"/>
      <c r="L2262" s="35"/>
      <c r="M2262" s="35"/>
      <c r="N2262" s="35"/>
      <c r="O2262" s="35"/>
      <c r="P2262" s="35"/>
      <c r="Q2262" s="35"/>
      <c r="R2262" s="35"/>
      <c r="S2262" s="35"/>
      <c r="T2262" s="35"/>
      <c r="U2262" s="35"/>
      <c r="V2262" s="35"/>
      <c r="W2262" s="35"/>
      <c r="X2262" s="35"/>
      <c r="Y2262" s="35"/>
      <c r="Z2262" s="35"/>
      <c r="AA2262" s="35"/>
      <c r="AB2262" s="35"/>
      <c r="AC2262" s="35"/>
      <c r="AD2262" s="35"/>
      <c r="AE2262" s="35"/>
      <c r="AF2262" s="35"/>
      <c r="AG2262" s="35"/>
      <c r="AH2262" s="35"/>
      <c r="AI2262" s="35"/>
      <c r="AJ2262" s="35"/>
      <c r="AK2262" s="35"/>
      <c r="AL2262" s="35"/>
      <c r="AM2262" s="35"/>
      <c r="AN2262" s="35"/>
      <c r="AO2262" s="35"/>
      <c r="AP2262" s="35"/>
    </row>
    <row r="2263" spans="1:42" ht="17.25" customHeight="1" x14ac:dyDescent="0.25">
      <c r="A2263" s="60">
        <v>2023</v>
      </c>
      <c r="B2263" s="61" t="s">
        <v>66</v>
      </c>
      <c r="C2263" s="61" t="s">
        <v>27</v>
      </c>
      <c r="D2263" s="61" t="s">
        <v>30</v>
      </c>
      <c r="E2263" s="61" t="s">
        <v>69</v>
      </c>
      <c r="F2263" s="61" t="s">
        <v>71</v>
      </c>
      <c r="G2263" s="62">
        <v>12506413053</v>
      </c>
      <c r="H2263" s="61" t="s">
        <v>68</v>
      </c>
      <c r="I2263" s="63" t="str">
        <f t="shared" si="136"/>
        <v>Rest of Europe-OTA</v>
      </c>
      <c r="J2263" s="47"/>
      <c r="K2263" s="54"/>
      <c r="L2263" s="35"/>
      <c r="M2263" s="35"/>
      <c r="N2263" s="35"/>
      <c r="O2263" s="35"/>
      <c r="P2263" s="35"/>
      <c r="Q2263" s="35"/>
      <c r="R2263" s="35"/>
      <c r="S2263" s="35"/>
      <c r="T2263" s="35"/>
      <c r="U2263" s="35"/>
      <c r="V2263" s="35"/>
      <c r="W2263" s="35"/>
      <c r="X2263" s="35"/>
      <c r="Y2263" s="35"/>
      <c r="Z2263" s="35"/>
      <c r="AA2263" s="35"/>
      <c r="AB2263" s="35"/>
      <c r="AC2263" s="35"/>
      <c r="AD2263" s="35"/>
      <c r="AE2263" s="35"/>
      <c r="AF2263" s="35"/>
      <c r="AG2263" s="35"/>
      <c r="AH2263" s="35"/>
      <c r="AI2263" s="35"/>
      <c r="AJ2263" s="35"/>
      <c r="AK2263" s="35"/>
      <c r="AL2263" s="35"/>
      <c r="AM2263" s="35"/>
      <c r="AN2263" s="35"/>
      <c r="AO2263" s="35"/>
      <c r="AP2263" s="35"/>
    </row>
    <row r="2264" spans="1:42" ht="17.25" customHeight="1" x14ac:dyDescent="0.25">
      <c r="A2264" s="55">
        <v>2023</v>
      </c>
      <c r="B2264" s="56" t="s">
        <v>66</v>
      </c>
      <c r="C2264" s="56" t="s">
        <v>41</v>
      </c>
      <c r="D2264" s="56" t="s">
        <v>43</v>
      </c>
      <c r="E2264" s="56" t="s">
        <v>67</v>
      </c>
      <c r="F2264" s="56" t="s">
        <v>67</v>
      </c>
      <c r="G2264" s="57">
        <v>6448007801</v>
      </c>
      <c r="H2264" s="56" t="s">
        <v>68</v>
      </c>
      <c r="I2264" s="58" t="str">
        <f t="shared" si="136"/>
        <v>Rest of Middle East-Offline</v>
      </c>
      <c r="J2264" s="40"/>
      <c r="K2264" s="59"/>
      <c r="L2264" s="35"/>
      <c r="M2264" s="35"/>
      <c r="N2264" s="35"/>
      <c r="O2264" s="35"/>
      <c r="P2264" s="35"/>
      <c r="Q2264" s="35"/>
      <c r="R2264" s="35"/>
      <c r="S2264" s="35"/>
      <c r="T2264" s="35"/>
      <c r="U2264" s="35"/>
      <c r="V2264" s="35"/>
      <c r="W2264" s="35"/>
      <c r="X2264" s="35"/>
      <c r="Y2264" s="35"/>
      <c r="Z2264" s="35"/>
      <c r="AA2264" s="35"/>
      <c r="AB2264" s="35"/>
      <c r="AC2264" s="35"/>
      <c r="AD2264" s="35"/>
      <c r="AE2264" s="35"/>
      <c r="AF2264" s="35"/>
      <c r="AG2264" s="35"/>
      <c r="AH2264" s="35"/>
      <c r="AI2264" s="35"/>
      <c r="AJ2264" s="35"/>
      <c r="AK2264" s="35"/>
      <c r="AL2264" s="35"/>
      <c r="AM2264" s="35"/>
      <c r="AN2264" s="35"/>
      <c r="AO2264" s="35"/>
      <c r="AP2264" s="35"/>
    </row>
    <row r="2265" spans="1:42" ht="17.25" customHeight="1" x14ac:dyDescent="0.25">
      <c r="A2265" s="60">
        <v>2023</v>
      </c>
      <c r="B2265" s="61" t="s">
        <v>66</v>
      </c>
      <c r="C2265" s="61" t="s">
        <v>41</v>
      </c>
      <c r="D2265" s="61" t="s">
        <v>43</v>
      </c>
      <c r="E2265" s="61" t="s">
        <v>69</v>
      </c>
      <c r="F2265" s="61" t="s">
        <v>70</v>
      </c>
      <c r="G2265" s="62">
        <v>2435198901</v>
      </c>
      <c r="H2265" s="61" t="s">
        <v>68</v>
      </c>
      <c r="I2265" s="63" t="str">
        <f t="shared" si="136"/>
        <v>Rest of Middle East-Online Supplier-Direct</v>
      </c>
      <c r="J2265" s="47"/>
      <c r="K2265" s="54"/>
      <c r="L2265" s="35"/>
      <c r="M2265" s="35"/>
      <c r="N2265" s="35"/>
      <c r="O2265" s="35"/>
      <c r="P2265" s="35"/>
      <c r="Q2265" s="35"/>
      <c r="R2265" s="35"/>
      <c r="S2265" s="35"/>
      <c r="T2265" s="35"/>
      <c r="U2265" s="35"/>
      <c r="V2265" s="35"/>
      <c r="W2265" s="35"/>
      <c r="X2265" s="35"/>
      <c r="Y2265" s="35"/>
      <c r="Z2265" s="35"/>
      <c r="AA2265" s="35"/>
      <c r="AB2265" s="35"/>
      <c r="AC2265" s="35"/>
      <c r="AD2265" s="35"/>
      <c r="AE2265" s="35"/>
      <c r="AF2265" s="35"/>
      <c r="AG2265" s="35"/>
      <c r="AH2265" s="35"/>
      <c r="AI2265" s="35"/>
      <c r="AJ2265" s="35"/>
      <c r="AK2265" s="35"/>
      <c r="AL2265" s="35"/>
      <c r="AM2265" s="35"/>
      <c r="AN2265" s="35"/>
      <c r="AO2265" s="35"/>
      <c r="AP2265" s="35"/>
    </row>
    <row r="2266" spans="1:42" ht="17.25" customHeight="1" x14ac:dyDescent="0.25">
      <c r="A2266" s="55">
        <v>2023</v>
      </c>
      <c r="B2266" s="56" t="s">
        <v>66</v>
      </c>
      <c r="C2266" s="56" t="s">
        <v>41</v>
      </c>
      <c r="D2266" s="56" t="s">
        <v>43</v>
      </c>
      <c r="E2266" s="56" t="s">
        <v>69</v>
      </c>
      <c r="F2266" s="56" t="s">
        <v>71</v>
      </c>
      <c r="G2266" s="57">
        <v>2097660230</v>
      </c>
      <c r="H2266" s="56" t="s">
        <v>68</v>
      </c>
      <c r="I2266" s="58" t="str">
        <f t="shared" si="136"/>
        <v>Rest of Middle East-OTA</v>
      </c>
      <c r="J2266" s="40"/>
      <c r="K2266" s="59"/>
      <c r="L2266" s="35"/>
      <c r="M2266" s="35"/>
      <c r="N2266" s="35"/>
      <c r="O2266" s="35"/>
      <c r="P2266" s="35"/>
      <c r="Q2266" s="35"/>
      <c r="R2266" s="35"/>
      <c r="S2266" s="35"/>
      <c r="T2266" s="35"/>
      <c r="U2266" s="35"/>
      <c r="V2266" s="35"/>
      <c r="W2266" s="35"/>
      <c r="X2266" s="35"/>
      <c r="Y2266" s="35"/>
      <c r="Z2266" s="35"/>
      <c r="AA2266" s="35"/>
      <c r="AB2266" s="35"/>
      <c r="AC2266" s="35"/>
      <c r="AD2266" s="35"/>
      <c r="AE2266" s="35"/>
      <c r="AF2266" s="35"/>
      <c r="AG2266" s="35"/>
      <c r="AH2266" s="35"/>
      <c r="AI2266" s="35"/>
      <c r="AJ2266" s="35"/>
      <c r="AK2266" s="35"/>
      <c r="AL2266" s="35"/>
      <c r="AM2266" s="35"/>
      <c r="AN2266" s="35"/>
      <c r="AO2266" s="35"/>
      <c r="AP2266" s="35"/>
    </row>
    <row r="2267" spans="1:42" ht="17.25" customHeight="1" x14ac:dyDescent="0.25">
      <c r="A2267" s="60">
        <v>2023</v>
      </c>
      <c r="B2267" s="61" t="s">
        <v>66</v>
      </c>
      <c r="C2267" s="61" t="s">
        <v>17</v>
      </c>
      <c r="D2267" s="61" t="s">
        <v>23</v>
      </c>
      <c r="E2267" s="61" t="s">
        <v>67</v>
      </c>
      <c r="F2267" s="61" t="s">
        <v>67</v>
      </c>
      <c r="G2267" s="62">
        <v>893364884</v>
      </c>
      <c r="H2267" s="61" t="s">
        <v>68</v>
      </c>
      <c r="I2267" s="63" t="str">
        <f t="shared" si="136"/>
        <v>Romania-Offline</v>
      </c>
      <c r="J2267" s="47"/>
      <c r="K2267" s="54"/>
      <c r="L2267" s="35"/>
      <c r="M2267" s="35"/>
      <c r="N2267" s="35"/>
      <c r="O2267" s="35"/>
      <c r="P2267" s="35"/>
      <c r="Q2267" s="35"/>
      <c r="R2267" s="35"/>
      <c r="S2267" s="35"/>
      <c r="T2267" s="35"/>
      <c r="U2267" s="35"/>
      <c r="V2267" s="35"/>
      <c r="W2267" s="35"/>
      <c r="X2267" s="35"/>
      <c r="Y2267" s="35"/>
      <c r="Z2267" s="35"/>
      <c r="AA2267" s="35"/>
      <c r="AB2267" s="35"/>
      <c r="AC2267" s="35"/>
      <c r="AD2267" s="35"/>
      <c r="AE2267" s="35"/>
      <c r="AF2267" s="35"/>
      <c r="AG2267" s="35"/>
      <c r="AH2267" s="35"/>
      <c r="AI2267" s="35"/>
      <c r="AJ2267" s="35"/>
      <c r="AK2267" s="35"/>
      <c r="AL2267" s="35"/>
      <c r="AM2267" s="35"/>
      <c r="AN2267" s="35"/>
      <c r="AO2267" s="35"/>
      <c r="AP2267" s="35"/>
    </row>
    <row r="2268" spans="1:42" ht="17.25" customHeight="1" x14ac:dyDescent="0.25">
      <c r="A2268" s="55">
        <v>2023</v>
      </c>
      <c r="B2268" s="56" t="s">
        <v>66</v>
      </c>
      <c r="C2268" s="56" t="s">
        <v>17</v>
      </c>
      <c r="D2268" s="56" t="s">
        <v>23</v>
      </c>
      <c r="E2268" s="56" t="s">
        <v>69</v>
      </c>
      <c r="F2268" s="56" t="s">
        <v>70</v>
      </c>
      <c r="G2268" s="57">
        <v>373450203</v>
      </c>
      <c r="H2268" s="56" t="s">
        <v>68</v>
      </c>
      <c r="I2268" s="58" t="str">
        <f t="shared" si="136"/>
        <v>Romania-Online Supplier-Direct</v>
      </c>
      <c r="J2268" s="40"/>
      <c r="K2268" s="59"/>
      <c r="L2268" s="35"/>
      <c r="M2268" s="35"/>
      <c r="N2268" s="35"/>
      <c r="O2268" s="35"/>
      <c r="P2268" s="35"/>
      <c r="Q2268" s="35"/>
      <c r="R2268" s="35"/>
      <c r="S2268" s="35"/>
      <c r="T2268" s="35"/>
      <c r="U2268" s="35"/>
      <c r="V2268" s="35"/>
      <c r="W2268" s="35"/>
      <c r="X2268" s="35"/>
      <c r="Y2268" s="35"/>
      <c r="Z2268" s="35"/>
      <c r="AA2268" s="35"/>
      <c r="AB2268" s="35"/>
      <c r="AC2268" s="35"/>
      <c r="AD2268" s="35"/>
      <c r="AE2268" s="35"/>
      <c r="AF2268" s="35"/>
      <c r="AG2268" s="35"/>
      <c r="AH2268" s="35"/>
      <c r="AI2268" s="35"/>
      <c r="AJ2268" s="35"/>
      <c r="AK2268" s="35"/>
      <c r="AL2268" s="35"/>
      <c r="AM2268" s="35"/>
      <c r="AN2268" s="35"/>
      <c r="AO2268" s="35"/>
      <c r="AP2268" s="35"/>
    </row>
    <row r="2269" spans="1:42" ht="17.25" customHeight="1" x14ac:dyDescent="0.25">
      <c r="A2269" s="60">
        <v>2023</v>
      </c>
      <c r="B2269" s="61" t="s">
        <v>66</v>
      </c>
      <c r="C2269" s="61" t="s">
        <v>17</v>
      </c>
      <c r="D2269" s="61" t="s">
        <v>23</v>
      </c>
      <c r="E2269" s="61" t="s">
        <v>69</v>
      </c>
      <c r="F2269" s="61" t="s">
        <v>71</v>
      </c>
      <c r="G2269" s="62">
        <v>681318562</v>
      </c>
      <c r="H2269" s="61" t="s">
        <v>68</v>
      </c>
      <c r="I2269" s="63" t="str">
        <f t="shared" si="136"/>
        <v>Romania-OTA</v>
      </c>
      <c r="J2269" s="47"/>
      <c r="K2269" s="54"/>
      <c r="L2269" s="35"/>
      <c r="M2269" s="35"/>
      <c r="N2269" s="35"/>
      <c r="O2269" s="35"/>
      <c r="P2269" s="35"/>
      <c r="Q2269" s="35"/>
      <c r="R2269" s="35"/>
      <c r="S2269" s="35"/>
      <c r="T2269" s="35"/>
      <c r="U2269" s="35"/>
      <c r="V2269" s="35"/>
      <c r="W2269" s="35"/>
      <c r="X2269" s="35"/>
      <c r="Y2269" s="35"/>
      <c r="Z2269" s="35"/>
      <c r="AA2269" s="35"/>
      <c r="AB2269" s="35"/>
      <c r="AC2269" s="35"/>
      <c r="AD2269" s="35"/>
      <c r="AE2269" s="35"/>
      <c r="AF2269" s="35"/>
      <c r="AG2269" s="35"/>
      <c r="AH2269" s="35"/>
      <c r="AI2269" s="35"/>
      <c r="AJ2269" s="35"/>
      <c r="AK2269" s="35"/>
      <c r="AL2269" s="35"/>
      <c r="AM2269" s="35"/>
      <c r="AN2269" s="35"/>
      <c r="AO2269" s="35"/>
      <c r="AP2269" s="35"/>
    </row>
    <row r="2270" spans="1:42" ht="17.25" customHeight="1" x14ac:dyDescent="0.25">
      <c r="A2270" s="55">
        <v>2023</v>
      </c>
      <c r="B2270" s="56" t="s">
        <v>66</v>
      </c>
      <c r="C2270" s="56" t="s">
        <v>17</v>
      </c>
      <c r="D2270" s="56" t="s">
        <v>24</v>
      </c>
      <c r="E2270" s="56" t="s">
        <v>67</v>
      </c>
      <c r="F2270" s="56" t="s">
        <v>67</v>
      </c>
      <c r="G2270" s="57">
        <v>13361585765</v>
      </c>
      <c r="H2270" s="56" t="s">
        <v>68</v>
      </c>
      <c r="I2270" s="58" t="str">
        <f t="shared" si="136"/>
        <v>Russia-Offline</v>
      </c>
      <c r="J2270" s="40"/>
      <c r="K2270" s="59"/>
      <c r="L2270" s="35"/>
      <c r="M2270" s="35"/>
      <c r="N2270" s="35"/>
      <c r="O2270" s="35"/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  <c r="Z2270" s="35"/>
      <c r="AA2270" s="35"/>
      <c r="AB2270" s="35"/>
      <c r="AC2270" s="35"/>
      <c r="AD2270" s="35"/>
      <c r="AE2270" s="35"/>
      <c r="AF2270" s="35"/>
      <c r="AG2270" s="35"/>
      <c r="AH2270" s="35"/>
      <c r="AI2270" s="35"/>
      <c r="AJ2270" s="35"/>
      <c r="AK2270" s="35"/>
      <c r="AL2270" s="35"/>
      <c r="AM2270" s="35"/>
      <c r="AN2270" s="35"/>
      <c r="AO2270" s="35"/>
      <c r="AP2270" s="35"/>
    </row>
    <row r="2271" spans="1:42" ht="17.25" customHeight="1" x14ac:dyDescent="0.25">
      <c r="A2271" s="60">
        <v>2023</v>
      </c>
      <c r="B2271" s="61" t="s">
        <v>66</v>
      </c>
      <c r="C2271" s="61" t="s">
        <v>17</v>
      </c>
      <c r="D2271" s="61" t="s">
        <v>24</v>
      </c>
      <c r="E2271" s="61" t="s">
        <v>69</v>
      </c>
      <c r="F2271" s="61" t="s">
        <v>70</v>
      </c>
      <c r="G2271" s="62">
        <v>8761119692</v>
      </c>
      <c r="H2271" s="61" t="s">
        <v>68</v>
      </c>
      <c r="I2271" s="63" t="str">
        <f t="shared" si="136"/>
        <v>Russia-Online Supplier-Direct</v>
      </c>
      <c r="J2271" s="47"/>
      <c r="K2271" s="54"/>
      <c r="L2271" s="35"/>
      <c r="M2271" s="35"/>
      <c r="N2271" s="35"/>
      <c r="O2271" s="35"/>
      <c r="P2271" s="35"/>
      <c r="Q2271" s="35"/>
      <c r="R2271" s="35"/>
      <c r="S2271" s="35"/>
      <c r="T2271" s="35"/>
      <c r="U2271" s="35"/>
      <c r="V2271" s="35"/>
      <c r="W2271" s="35"/>
      <c r="X2271" s="35"/>
      <c r="Y2271" s="35"/>
      <c r="Z2271" s="35"/>
      <c r="AA2271" s="35"/>
      <c r="AB2271" s="35"/>
      <c r="AC2271" s="35"/>
      <c r="AD2271" s="35"/>
      <c r="AE2271" s="35"/>
      <c r="AF2271" s="35"/>
      <c r="AG2271" s="35"/>
      <c r="AH2271" s="35"/>
      <c r="AI2271" s="35"/>
      <c r="AJ2271" s="35"/>
      <c r="AK2271" s="35"/>
      <c r="AL2271" s="35"/>
      <c r="AM2271" s="35"/>
      <c r="AN2271" s="35"/>
      <c r="AO2271" s="35"/>
      <c r="AP2271" s="35"/>
    </row>
    <row r="2272" spans="1:42" ht="17.25" customHeight="1" x14ac:dyDescent="0.25">
      <c r="A2272" s="55">
        <v>2023</v>
      </c>
      <c r="B2272" s="56" t="s">
        <v>66</v>
      </c>
      <c r="C2272" s="56" t="s">
        <v>17</v>
      </c>
      <c r="D2272" s="56" t="s">
        <v>24</v>
      </c>
      <c r="E2272" s="56" t="s">
        <v>69</v>
      </c>
      <c r="F2272" s="56" t="s">
        <v>71</v>
      </c>
      <c r="G2272" s="57">
        <v>5231719149</v>
      </c>
      <c r="H2272" s="56" t="s">
        <v>68</v>
      </c>
      <c r="I2272" s="58" t="str">
        <f t="shared" si="136"/>
        <v>Russia-OTA</v>
      </c>
      <c r="J2272" s="40"/>
      <c r="K2272" s="59"/>
      <c r="L2272" s="35"/>
      <c r="M2272" s="35"/>
      <c r="N2272" s="35"/>
      <c r="O2272" s="35"/>
      <c r="P2272" s="35"/>
      <c r="Q2272" s="35"/>
      <c r="R2272" s="35"/>
      <c r="S2272" s="35"/>
      <c r="T2272" s="35"/>
      <c r="U2272" s="35"/>
      <c r="V2272" s="35"/>
      <c r="W2272" s="35"/>
      <c r="X2272" s="35"/>
      <c r="Y2272" s="35"/>
      <c r="Z2272" s="35"/>
      <c r="AA2272" s="35"/>
      <c r="AB2272" s="35"/>
      <c r="AC2272" s="35"/>
      <c r="AD2272" s="35"/>
      <c r="AE2272" s="35"/>
      <c r="AF2272" s="35"/>
      <c r="AG2272" s="35"/>
      <c r="AH2272" s="35"/>
      <c r="AI2272" s="35"/>
      <c r="AJ2272" s="35"/>
      <c r="AK2272" s="35"/>
      <c r="AL2272" s="35"/>
      <c r="AM2272" s="35"/>
      <c r="AN2272" s="35"/>
      <c r="AO2272" s="35"/>
      <c r="AP2272" s="35"/>
    </row>
    <row r="2273" spans="1:42" ht="17.25" customHeight="1" x14ac:dyDescent="0.25">
      <c r="A2273" s="60">
        <v>2023</v>
      </c>
      <c r="B2273" s="61" t="s">
        <v>66</v>
      </c>
      <c r="C2273" s="61" t="s">
        <v>41</v>
      </c>
      <c r="D2273" s="61" t="s">
        <v>44</v>
      </c>
      <c r="E2273" s="61" t="s">
        <v>67</v>
      </c>
      <c r="F2273" s="61" t="s">
        <v>67</v>
      </c>
      <c r="G2273" s="62">
        <v>8789012094</v>
      </c>
      <c r="H2273" s="61" t="s">
        <v>68</v>
      </c>
      <c r="I2273" s="63" t="str">
        <f t="shared" si="136"/>
        <v>Saudi Arabia-Offline</v>
      </c>
      <c r="J2273" s="47"/>
      <c r="K2273" s="54"/>
      <c r="L2273" s="35"/>
      <c r="M2273" s="35"/>
      <c r="N2273" s="35"/>
      <c r="O2273" s="35"/>
      <c r="P2273" s="35"/>
      <c r="Q2273" s="35"/>
      <c r="R2273" s="35"/>
      <c r="S2273" s="35"/>
      <c r="T2273" s="35"/>
      <c r="U2273" s="35"/>
      <c r="V2273" s="35"/>
      <c r="W2273" s="35"/>
      <c r="X2273" s="35"/>
      <c r="Y2273" s="35"/>
      <c r="Z2273" s="35"/>
      <c r="AA2273" s="35"/>
      <c r="AB2273" s="35"/>
      <c r="AC2273" s="35"/>
      <c r="AD2273" s="35"/>
      <c r="AE2273" s="35"/>
      <c r="AF2273" s="35"/>
      <c r="AG2273" s="35"/>
      <c r="AH2273" s="35"/>
      <c r="AI2273" s="35"/>
      <c r="AJ2273" s="35"/>
      <c r="AK2273" s="35"/>
      <c r="AL2273" s="35"/>
      <c r="AM2273" s="35"/>
      <c r="AN2273" s="35"/>
      <c r="AO2273" s="35"/>
      <c r="AP2273" s="35"/>
    </row>
    <row r="2274" spans="1:42" ht="17.25" customHeight="1" x14ac:dyDescent="0.25">
      <c r="A2274" s="55">
        <v>2023</v>
      </c>
      <c r="B2274" s="56" t="s">
        <v>66</v>
      </c>
      <c r="C2274" s="56" t="s">
        <v>41</v>
      </c>
      <c r="D2274" s="56" t="s">
        <v>44</v>
      </c>
      <c r="E2274" s="56" t="s">
        <v>69</v>
      </c>
      <c r="F2274" s="56" t="s">
        <v>70</v>
      </c>
      <c r="G2274" s="57">
        <v>4970161356</v>
      </c>
      <c r="H2274" s="56" t="s">
        <v>68</v>
      </c>
      <c r="I2274" s="58" t="str">
        <f t="shared" si="136"/>
        <v>Saudi Arabia-Online Supplier-Direct</v>
      </c>
      <c r="J2274" s="40"/>
      <c r="K2274" s="59"/>
      <c r="L2274" s="35"/>
      <c r="M2274" s="35"/>
      <c r="N2274" s="35"/>
      <c r="O2274" s="35"/>
      <c r="P2274" s="35"/>
      <c r="Q2274" s="35"/>
      <c r="R2274" s="35"/>
      <c r="S2274" s="35"/>
      <c r="T2274" s="35"/>
      <c r="U2274" s="35"/>
      <c r="V2274" s="35"/>
      <c r="W2274" s="35"/>
      <c r="X2274" s="35"/>
      <c r="Y2274" s="35"/>
      <c r="Z2274" s="35"/>
      <c r="AA2274" s="35"/>
      <c r="AB2274" s="35"/>
      <c r="AC2274" s="35"/>
      <c r="AD2274" s="35"/>
      <c r="AE2274" s="35"/>
      <c r="AF2274" s="35"/>
      <c r="AG2274" s="35"/>
      <c r="AH2274" s="35"/>
      <c r="AI2274" s="35"/>
      <c r="AJ2274" s="35"/>
      <c r="AK2274" s="35"/>
      <c r="AL2274" s="35"/>
      <c r="AM2274" s="35"/>
      <c r="AN2274" s="35"/>
      <c r="AO2274" s="35"/>
      <c r="AP2274" s="35"/>
    </row>
    <row r="2275" spans="1:42" ht="17.25" customHeight="1" x14ac:dyDescent="0.25">
      <c r="A2275" s="60">
        <v>2023</v>
      </c>
      <c r="B2275" s="61" t="s">
        <v>66</v>
      </c>
      <c r="C2275" s="61" t="s">
        <v>41</v>
      </c>
      <c r="D2275" s="61" t="s">
        <v>44</v>
      </c>
      <c r="E2275" s="61" t="s">
        <v>69</v>
      </c>
      <c r="F2275" s="61" t="s">
        <v>71</v>
      </c>
      <c r="G2275" s="62">
        <v>3229208242</v>
      </c>
      <c r="H2275" s="61" t="s">
        <v>68</v>
      </c>
      <c r="I2275" s="63" t="str">
        <f t="shared" si="136"/>
        <v>Saudi Arabia-OTA</v>
      </c>
      <c r="J2275" s="47"/>
      <c r="K2275" s="54"/>
      <c r="L2275" s="35"/>
      <c r="M2275" s="35"/>
      <c r="N2275" s="35"/>
      <c r="O2275" s="35"/>
      <c r="P2275" s="35"/>
      <c r="Q2275" s="35"/>
      <c r="R2275" s="35"/>
      <c r="S2275" s="35"/>
      <c r="T2275" s="35"/>
      <c r="U2275" s="35"/>
      <c r="V2275" s="35"/>
      <c r="W2275" s="35"/>
      <c r="X2275" s="35"/>
      <c r="Y2275" s="35"/>
      <c r="Z2275" s="35"/>
      <c r="AA2275" s="35"/>
      <c r="AB2275" s="35"/>
      <c r="AC2275" s="35"/>
      <c r="AD2275" s="35"/>
      <c r="AE2275" s="35"/>
      <c r="AF2275" s="35"/>
      <c r="AG2275" s="35"/>
      <c r="AH2275" s="35"/>
      <c r="AI2275" s="35"/>
      <c r="AJ2275" s="35"/>
      <c r="AK2275" s="35"/>
      <c r="AL2275" s="35"/>
      <c r="AM2275" s="35"/>
      <c r="AN2275" s="35"/>
      <c r="AO2275" s="35"/>
      <c r="AP2275" s="35"/>
    </row>
    <row r="2276" spans="1:42" ht="17.25" customHeight="1" x14ac:dyDescent="0.25">
      <c r="A2276" s="55">
        <v>2023</v>
      </c>
      <c r="B2276" s="56" t="s">
        <v>66</v>
      </c>
      <c r="C2276" s="56" t="s">
        <v>27</v>
      </c>
      <c r="D2276" s="56" t="s">
        <v>31</v>
      </c>
      <c r="E2276" s="56" t="s">
        <v>67</v>
      </c>
      <c r="F2276" s="56" t="s">
        <v>67</v>
      </c>
      <c r="G2276" s="57">
        <v>4163442599</v>
      </c>
      <c r="H2276" s="56" t="s">
        <v>68</v>
      </c>
      <c r="I2276" s="58" t="str">
        <f t="shared" si="136"/>
        <v>Scandinavia-Offline</v>
      </c>
      <c r="J2276" s="40"/>
      <c r="K2276" s="59"/>
      <c r="L2276" s="35"/>
      <c r="M2276" s="35"/>
      <c r="N2276" s="35"/>
      <c r="O2276" s="35"/>
      <c r="P2276" s="35"/>
      <c r="Q2276" s="35"/>
      <c r="R2276" s="35"/>
      <c r="S2276" s="35"/>
      <c r="T2276" s="35"/>
      <c r="U2276" s="35"/>
      <c r="V2276" s="35"/>
      <c r="W2276" s="35"/>
      <c r="X2276" s="35"/>
      <c r="Y2276" s="35"/>
      <c r="Z2276" s="35"/>
      <c r="AA2276" s="35"/>
      <c r="AB2276" s="35"/>
      <c r="AC2276" s="35"/>
      <c r="AD2276" s="35"/>
      <c r="AE2276" s="35"/>
      <c r="AF2276" s="35"/>
      <c r="AG2276" s="35"/>
      <c r="AH2276" s="35"/>
      <c r="AI2276" s="35"/>
      <c r="AJ2276" s="35"/>
      <c r="AK2276" s="35"/>
      <c r="AL2276" s="35"/>
      <c r="AM2276" s="35"/>
      <c r="AN2276" s="35"/>
      <c r="AO2276" s="35"/>
      <c r="AP2276" s="35"/>
    </row>
    <row r="2277" spans="1:42" ht="17.25" customHeight="1" x14ac:dyDescent="0.25">
      <c r="A2277" s="60">
        <v>2023</v>
      </c>
      <c r="B2277" s="61" t="s">
        <v>66</v>
      </c>
      <c r="C2277" s="61" t="s">
        <v>27</v>
      </c>
      <c r="D2277" s="61" t="s">
        <v>31</v>
      </c>
      <c r="E2277" s="61" t="s">
        <v>69</v>
      </c>
      <c r="F2277" s="61" t="s">
        <v>70</v>
      </c>
      <c r="G2277" s="62">
        <v>10061145428</v>
      </c>
      <c r="H2277" s="61" t="s">
        <v>68</v>
      </c>
      <c r="I2277" s="63" t="str">
        <f t="shared" si="136"/>
        <v>Scandinavia-Online Supplier-Direct</v>
      </c>
      <c r="J2277" s="47"/>
      <c r="K2277" s="54"/>
      <c r="L2277" s="35"/>
      <c r="M2277" s="35"/>
      <c r="N2277" s="35"/>
      <c r="O2277" s="35"/>
      <c r="P2277" s="35"/>
      <c r="Q2277" s="35"/>
      <c r="R2277" s="35"/>
      <c r="S2277" s="35"/>
      <c r="T2277" s="35"/>
      <c r="U2277" s="35"/>
      <c r="V2277" s="35"/>
      <c r="W2277" s="35"/>
      <c r="X2277" s="35"/>
      <c r="Y2277" s="35"/>
      <c r="Z2277" s="35"/>
      <c r="AA2277" s="35"/>
      <c r="AB2277" s="35"/>
      <c r="AC2277" s="35"/>
      <c r="AD2277" s="35"/>
      <c r="AE2277" s="35"/>
      <c r="AF2277" s="35"/>
      <c r="AG2277" s="35"/>
      <c r="AH2277" s="35"/>
      <c r="AI2277" s="35"/>
      <c r="AJ2277" s="35"/>
      <c r="AK2277" s="35"/>
      <c r="AL2277" s="35"/>
      <c r="AM2277" s="35"/>
      <c r="AN2277" s="35"/>
      <c r="AO2277" s="35"/>
      <c r="AP2277" s="35"/>
    </row>
    <row r="2278" spans="1:42" ht="17.25" customHeight="1" x14ac:dyDescent="0.25">
      <c r="A2278" s="55">
        <v>2023</v>
      </c>
      <c r="B2278" s="56" t="s">
        <v>66</v>
      </c>
      <c r="C2278" s="56" t="s">
        <v>27</v>
      </c>
      <c r="D2278" s="56" t="s">
        <v>31</v>
      </c>
      <c r="E2278" s="56" t="s">
        <v>69</v>
      </c>
      <c r="F2278" s="56" t="s">
        <v>71</v>
      </c>
      <c r="G2278" s="57">
        <v>4338484529</v>
      </c>
      <c r="H2278" s="56" t="s">
        <v>68</v>
      </c>
      <c r="I2278" s="58" t="str">
        <f t="shared" si="136"/>
        <v>Scandinavia-OTA</v>
      </c>
      <c r="J2278" s="40"/>
      <c r="K2278" s="59"/>
      <c r="L2278" s="35"/>
      <c r="M2278" s="35"/>
      <c r="N2278" s="35"/>
      <c r="O2278" s="35"/>
      <c r="P2278" s="35"/>
      <c r="Q2278" s="35"/>
      <c r="R2278" s="35"/>
      <c r="S2278" s="35"/>
      <c r="T2278" s="35"/>
      <c r="U2278" s="35"/>
      <c r="V2278" s="35"/>
      <c r="W2278" s="35"/>
      <c r="X2278" s="35"/>
      <c r="Y2278" s="35"/>
      <c r="Z2278" s="35"/>
      <c r="AA2278" s="35"/>
      <c r="AB2278" s="35"/>
      <c r="AC2278" s="35"/>
      <c r="AD2278" s="35"/>
      <c r="AE2278" s="35"/>
      <c r="AF2278" s="35"/>
      <c r="AG2278" s="35"/>
      <c r="AH2278" s="35"/>
      <c r="AI2278" s="35"/>
      <c r="AJ2278" s="35"/>
      <c r="AK2278" s="35"/>
      <c r="AL2278" s="35"/>
      <c r="AM2278" s="35"/>
      <c r="AN2278" s="35"/>
      <c r="AO2278" s="35"/>
      <c r="AP2278" s="35"/>
    </row>
    <row r="2279" spans="1:42" ht="17.25" customHeight="1" x14ac:dyDescent="0.25">
      <c r="A2279" s="60">
        <v>2023</v>
      </c>
      <c r="B2279" s="61" t="s">
        <v>66</v>
      </c>
      <c r="C2279" s="61" t="s">
        <v>4</v>
      </c>
      <c r="D2279" s="61" t="s">
        <v>12</v>
      </c>
      <c r="E2279" s="61" t="s">
        <v>67</v>
      </c>
      <c r="F2279" s="61" t="s">
        <v>67</v>
      </c>
      <c r="G2279" s="62">
        <v>5131650232</v>
      </c>
      <c r="H2279" s="61" t="s">
        <v>68</v>
      </c>
      <c r="I2279" s="63" t="str">
        <f t="shared" si="136"/>
        <v>Singapore-Offline</v>
      </c>
      <c r="J2279" s="47"/>
      <c r="K2279" s="54"/>
      <c r="L2279" s="35"/>
      <c r="M2279" s="35"/>
      <c r="N2279" s="35"/>
      <c r="O2279" s="35"/>
      <c r="P2279" s="35"/>
      <c r="Q2279" s="35"/>
      <c r="R2279" s="35"/>
      <c r="S2279" s="35"/>
      <c r="T2279" s="35"/>
      <c r="U2279" s="35"/>
      <c r="V2279" s="35"/>
      <c r="W2279" s="35"/>
      <c r="X2279" s="35"/>
      <c r="Y2279" s="35"/>
      <c r="Z2279" s="35"/>
      <c r="AA2279" s="35"/>
      <c r="AB2279" s="35"/>
      <c r="AC2279" s="35"/>
      <c r="AD2279" s="35"/>
      <c r="AE2279" s="35"/>
      <c r="AF2279" s="35"/>
      <c r="AG2279" s="35"/>
      <c r="AH2279" s="35"/>
      <c r="AI2279" s="35"/>
      <c r="AJ2279" s="35"/>
      <c r="AK2279" s="35"/>
      <c r="AL2279" s="35"/>
      <c r="AM2279" s="35"/>
      <c r="AN2279" s="35"/>
      <c r="AO2279" s="35"/>
      <c r="AP2279" s="35"/>
    </row>
    <row r="2280" spans="1:42" ht="17.25" customHeight="1" x14ac:dyDescent="0.25">
      <c r="A2280" s="55">
        <v>2023</v>
      </c>
      <c r="B2280" s="56" t="s">
        <v>66</v>
      </c>
      <c r="C2280" s="56" t="s">
        <v>4</v>
      </c>
      <c r="D2280" s="56" t="s">
        <v>12</v>
      </c>
      <c r="E2280" s="56" t="s">
        <v>69</v>
      </c>
      <c r="F2280" s="56" t="s">
        <v>70</v>
      </c>
      <c r="G2280" s="57">
        <v>5120639129</v>
      </c>
      <c r="H2280" s="56" t="s">
        <v>68</v>
      </c>
      <c r="I2280" s="58" t="str">
        <f t="shared" si="136"/>
        <v>Singapore-Online Supplier-Direct</v>
      </c>
      <c r="J2280" s="40"/>
      <c r="K2280" s="59"/>
      <c r="L2280" s="35"/>
      <c r="M2280" s="35"/>
      <c r="N2280" s="35"/>
      <c r="O2280" s="35"/>
      <c r="P2280" s="35"/>
      <c r="Q2280" s="35"/>
      <c r="R2280" s="35"/>
      <c r="S2280" s="35"/>
      <c r="T2280" s="35"/>
      <c r="U2280" s="35"/>
      <c r="V2280" s="35"/>
      <c r="W2280" s="35"/>
      <c r="X2280" s="35"/>
      <c r="Y2280" s="35"/>
      <c r="Z2280" s="35"/>
      <c r="AA2280" s="35"/>
      <c r="AB2280" s="35"/>
      <c r="AC2280" s="35"/>
      <c r="AD2280" s="35"/>
      <c r="AE2280" s="35"/>
      <c r="AF2280" s="35"/>
      <c r="AG2280" s="35"/>
      <c r="AH2280" s="35"/>
      <c r="AI2280" s="35"/>
      <c r="AJ2280" s="35"/>
      <c r="AK2280" s="35"/>
      <c r="AL2280" s="35"/>
      <c r="AM2280" s="35"/>
      <c r="AN2280" s="35"/>
      <c r="AO2280" s="35"/>
      <c r="AP2280" s="35"/>
    </row>
    <row r="2281" spans="1:42" ht="17.25" customHeight="1" x14ac:dyDescent="0.25">
      <c r="A2281" s="60">
        <v>2023</v>
      </c>
      <c r="B2281" s="61" t="s">
        <v>66</v>
      </c>
      <c r="C2281" s="61" t="s">
        <v>4</v>
      </c>
      <c r="D2281" s="61" t="s">
        <v>12</v>
      </c>
      <c r="E2281" s="61" t="s">
        <v>69</v>
      </c>
      <c r="F2281" s="61" t="s">
        <v>71</v>
      </c>
      <c r="G2281" s="62">
        <v>4738883499</v>
      </c>
      <c r="H2281" s="61" t="s">
        <v>68</v>
      </c>
      <c r="I2281" s="63" t="str">
        <f t="shared" si="136"/>
        <v>Singapore-OTA</v>
      </c>
      <c r="J2281" s="47"/>
      <c r="K2281" s="54"/>
      <c r="L2281" s="35"/>
      <c r="M2281" s="35"/>
      <c r="N2281" s="35"/>
      <c r="O2281" s="35"/>
      <c r="P2281" s="35"/>
      <c r="Q2281" s="35"/>
      <c r="R2281" s="35"/>
      <c r="S2281" s="35"/>
      <c r="T2281" s="35"/>
      <c r="U2281" s="35"/>
      <c r="V2281" s="35"/>
      <c r="W2281" s="35"/>
      <c r="X2281" s="35"/>
      <c r="Y2281" s="35"/>
      <c r="Z2281" s="35"/>
      <c r="AA2281" s="35"/>
      <c r="AB2281" s="35"/>
      <c r="AC2281" s="35"/>
      <c r="AD2281" s="35"/>
      <c r="AE2281" s="35"/>
      <c r="AF2281" s="35"/>
      <c r="AG2281" s="35"/>
      <c r="AH2281" s="35"/>
      <c r="AI2281" s="35"/>
      <c r="AJ2281" s="35"/>
      <c r="AK2281" s="35"/>
      <c r="AL2281" s="35"/>
      <c r="AM2281" s="35"/>
      <c r="AN2281" s="35"/>
      <c r="AO2281" s="35"/>
      <c r="AP2281" s="35"/>
    </row>
    <row r="2282" spans="1:42" ht="17.25" customHeight="1" x14ac:dyDescent="0.25">
      <c r="A2282" s="55">
        <v>2023</v>
      </c>
      <c r="B2282" s="56" t="s">
        <v>66</v>
      </c>
      <c r="C2282" s="56" t="s">
        <v>4</v>
      </c>
      <c r="D2282" s="56" t="s">
        <v>13</v>
      </c>
      <c r="E2282" s="56" t="s">
        <v>67</v>
      </c>
      <c r="F2282" s="56" t="s">
        <v>67</v>
      </c>
      <c r="G2282" s="57">
        <v>8860113008</v>
      </c>
      <c r="H2282" s="56" t="s">
        <v>68</v>
      </c>
      <c r="I2282" s="58" t="str">
        <f t="shared" si="136"/>
        <v>South Korea-Offline</v>
      </c>
      <c r="J2282" s="40"/>
      <c r="K2282" s="59"/>
      <c r="L2282" s="35"/>
      <c r="M2282" s="35"/>
      <c r="N2282" s="35"/>
      <c r="O2282" s="35"/>
      <c r="P2282" s="35"/>
      <c r="Q2282" s="35"/>
      <c r="R2282" s="35"/>
      <c r="S2282" s="35"/>
      <c r="T2282" s="35"/>
      <c r="U2282" s="35"/>
      <c r="V2282" s="35"/>
      <c r="W2282" s="35"/>
      <c r="X2282" s="35"/>
      <c r="Y2282" s="35"/>
      <c r="Z2282" s="35"/>
      <c r="AA2282" s="35"/>
      <c r="AB2282" s="35"/>
      <c r="AC2282" s="35"/>
      <c r="AD2282" s="35"/>
      <c r="AE2282" s="35"/>
      <c r="AF2282" s="35"/>
      <c r="AG2282" s="35"/>
      <c r="AH2282" s="35"/>
      <c r="AI2282" s="35"/>
      <c r="AJ2282" s="35"/>
      <c r="AK2282" s="35"/>
      <c r="AL2282" s="35"/>
      <c r="AM2282" s="35"/>
      <c r="AN2282" s="35"/>
      <c r="AO2282" s="35"/>
      <c r="AP2282" s="35"/>
    </row>
    <row r="2283" spans="1:42" ht="17.25" customHeight="1" x14ac:dyDescent="0.25">
      <c r="A2283" s="60">
        <v>2023</v>
      </c>
      <c r="B2283" s="61" t="s">
        <v>66</v>
      </c>
      <c r="C2283" s="61" t="s">
        <v>4</v>
      </c>
      <c r="D2283" s="61" t="s">
        <v>13</v>
      </c>
      <c r="E2283" s="61" t="s">
        <v>69</v>
      </c>
      <c r="F2283" s="61" t="s">
        <v>70</v>
      </c>
      <c r="G2283" s="62">
        <v>6494671150</v>
      </c>
      <c r="H2283" s="61" t="s">
        <v>68</v>
      </c>
      <c r="I2283" s="63" t="str">
        <f t="shared" si="136"/>
        <v>South Korea-Online Supplier-Direct</v>
      </c>
      <c r="J2283" s="47"/>
      <c r="K2283" s="54"/>
      <c r="L2283" s="35"/>
      <c r="M2283" s="35"/>
      <c r="N2283" s="35"/>
      <c r="O2283" s="35"/>
      <c r="P2283" s="35"/>
      <c r="Q2283" s="35"/>
      <c r="R2283" s="35"/>
      <c r="S2283" s="35"/>
      <c r="T2283" s="35"/>
      <c r="U2283" s="35"/>
      <c r="V2283" s="35"/>
      <c r="W2283" s="35"/>
      <c r="X2283" s="35"/>
      <c r="Y2283" s="35"/>
      <c r="Z2283" s="35"/>
      <c r="AA2283" s="35"/>
      <c r="AB2283" s="35"/>
      <c r="AC2283" s="35"/>
      <c r="AD2283" s="35"/>
      <c r="AE2283" s="35"/>
      <c r="AF2283" s="35"/>
      <c r="AG2283" s="35"/>
      <c r="AH2283" s="35"/>
      <c r="AI2283" s="35"/>
      <c r="AJ2283" s="35"/>
      <c r="AK2283" s="35"/>
      <c r="AL2283" s="35"/>
      <c r="AM2283" s="35"/>
      <c r="AN2283" s="35"/>
      <c r="AO2283" s="35"/>
      <c r="AP2283" s="35"/>
    </row>
    <row r="2284" spans="1:42" ht="17.25" customHeight="1" x14ac:dyDescent="0.25">
      <c r="A2284" s="55">
        <v>2023</v>
      </c>
      <c r="B2284" s="56" t="s">
        <v>66</v>
      </c>
      <c r="C2284" s="56" t="s">
        <v>4</v>
      </c>
      <c r="D2284" s="56" t="s">
        <v>13</v>
      </c>
      <c r="E2284" s="56" t="s">
        <v>69</v>
      </c>
      <c r="F2284" s="56" t="s">
        <v>71</v>
      </c>
      <c r="G2284" s="57">
        <v>4590795608</v>
      </c>
      <c r="H2284" s="56" t="s">
        <v>68</v>
      </c>
      <c r="I2284" s="58" t="str">
        <f t="shared" si="136"/>
        <v>South Korea-OTA</v>
      </c>
      <c r="J2284" s="40"/>
      <c r="K2284" s="59"/>
      <c r="L2284" s="35"/>
      <c r="M2284" s="35"/>
      <c r="N2284" s="35"/>
      <c r="O2284" s="35"/>
      <c r="P2284" s="35"/>
      <c r="Q2284" s="35"/>
      <c r="R2284" s="35"/>
      <c r="S2284" s="35"/>
      <c r="T2284" s="35"/>
      <c r="U2284" s="35"/>
      <c r="V2284" s="35"/>
      <c r="W2284" s="35"/>
      <c r="X2284" s="35"/>
      <c r="Y2284" s="35"/>
      <c r="Z2284" s="35"/>
      <c r="AA2284" s="35"/>
      <c r="AB2284" s="35"/>
      <c r="AC2284" s="35"/>
      <c r="AD2284" s="35"/>
      <c r="AE2284" s="35"/>
      <c r="AF2284" s="35"/>
      <c r="AG2284" s="35"/>
      <c r="AH2284" s="35"/>
      <c r="AI2284" s="35"/>
      <c r="AJ2284" s="35"/>
      <c r="AK2284" s="35"/>
      <c r="AL2284" s="35"/>
      <c r="AM2284" s="35"/>
      <c r="AN2284" s="35"/>
      <c r="AO2284" s="35"/>
      <c r="AP2284" s="35"/>
    </row>
    <row r="2285" spans="1:42" ht="17.25" customHeight="1" x14ac:dyDescent="0.25">
      <c r="A2285" s="60">
        <v>2023</v>
      </c>
      <c r="B2285" s="61" t="s">
        <v>66</v>
      </c>
      <c r="C2285" s="61" t="s">
        <v>27</v>
      </c>
      <c r="D2285" s="61" t="s">
        <v>32</v>
      </c>
      <c r="E2285" s="61" t="s">
        <v>67</v>
      </c>
      <c r="F2285" s="61" t="s">
        <v>67</v>
      </c>
      <c r="G2285" s="62">
        <v>15287492173</v>
      </c>
      <c r="H2285" s="61" t="s">
        <v>68</v>
      </c>
      <c r="I2285" s="63" t="str">
        <f t="shared" si="136"/>
        <v>Spain-Offline</v>
      </c>
      <c r="J2285" s="47"/>
      <c r="K2285" s="54"/>
      <c r="L2285" s="35"/>
      <c r="M2285" s="35"/>
      <c r="N2285" s="35"/>
      <c r="O2285" s="35"/>
      <c r="P2285" s="35"/>
      <c r="Q2285" s="35"/>
      <c r="R2285" s="35"/>
      <c r="S2285" s="35"/>
      <c r="T2285" s="35"/>
      <c r="U2285" s="35"/>
      <c r="V2285" s="35"/>
      <c r="W2285" s="35"/>
      <c r="X2285" s="35"/>
      <c r="Y2285" s="35"/>
      <c r="Z2285" s="35"/>
      <c r="AA2285" s="35"/>
      <c r="AB2285" s="35"/>
      <c r="AC2285" s="35"/>
      <c r="AD2285" s="35"/>
      <c r="AE2285" s="35"/>
      <c r="AF2285" s="35"/>
      <c r="AG2285" s="35"/>
      <c r="AH2285" s="35"/>
      <c r="AI2285" s="35"/>
      <c r="AJ2285" s="35"/>
      <c r="AK2285" s="35"/>
      <c r="AL2285" s="35"/>
      <c r="AM2285" s="35"/>
      <c r="AN2285" s="35"/>
      <c r="AO2285" s="35"/>
      <c r="AP2285" s="35"/>
    </row>
    <row r="2286" spans="1:42" ht="17.25" customHeight="1" x14ac:dyDescent="0.25">
      <c r="A2286" s="55">
        <v>2023</v>
      </c>
      <c r="B2286" s="56" t="s">
        <v>66</v>
      </c>
      <c r="C2286" s="56" t="s">
        <v>27</v>
      </c>
      <c r="D2286" s="56" t="s">
        <v>32</v>
      </c>
      <c r="E2286" s="56" t="s">
        <v>69</v>
      </c>
      <c r="F2286" s="56" t="s">
        <v>70</v>
      </c>
      <c r="G2286" s="57">
        <v>11546135422</v>
      </c>
      <c r="H2286" s="56" t="s">
        <v>68</v>
      </c>
      <c r="I2286" s="58" t="str">
        <f t="shared" si="136"/>
        <v>Spain-Online Supplier-Direct</v>
      </c>
      <c r="J2286" s="40"/>
      <c r="K2286" s="59"/>
      <c r="L2286" s="35"/>
      <c r="M2286" s="35"/>
      <c r="N2286" s="35"/>
      <c r="O2286" s="35"/>
      <c r="P2286" s="35"/>
      <c r="Q2286" s="35"/>
      <c r="R2286" s="35"/>
      <c r="S2286" s="35"/>
      <c r="T2286" s="35"/>
      <c r="U2286" s="35"/>
      <c r="V2286" s="35"/>
      <c r="W2286" s="35"/>
      <c r="X2286" s="35"/>
      <c r="Y2286" s="35"/>
      <c r="Z2286" s="35"/>
      <c r="AA2286" s="35"/>
      <c r="AB2286" s="35"/>
      <c r="AC2286" s="35"/>
      <c r="AD2286" s="35"/>
      <c r="AE2286" s="35"/>
      <c r="AF2286" s="35"/>
      <c r="AG2286" s="35"/>
      <c r="AH2286" s="35"/>
      <c r="AI2286" s="35"/>
      <c r="AJ2286" s="35"/>
      <c r="AK2286" s="35"/>
      <c r="AL2286" s="35"/>
      <c r="AM2286" s="35"/>
      <c r="AN2286" s="35"/>
      <c r="AO2286" s="35"/>
      <c r="AP2286" s="35"/>
    </row>
    <row r="2287" spans="1:42" ht="17.25" customHeight="1" x14ac:dyDescent="0.25">
      <c r="A2287" s="60">
        <v>2023</v>
      </c>
      <c r="B2287" s="61" t="s">
        <v>66</v>
      </c>
      <c r="C2287" s="61" t="s">
        <v>27</v>
      </c>
      <c r="D2287" s="61" t="s">
        <v>32</v>
      </c>
      <c r="E2287" s="61" t="s">
        <v>69</v>
      </c>
      <c r="F2287" s="61" t="s">
        <v>71</v>
      </c>
      <c r="G2287" s="62">
        <v>10505348300</v>
      </c>
      <c r="H2287" s="61" t="s">
        <v>68</v>
      </c>
      <c r="I2287" s="63" t="str">
        <f t="shared" si="136"/>
        <v>Spain-OTA</v>
      </c>
      <c r="J2287" s="47"/>
      <c r="K2287" s="54"/>
      <c r="L2287" s="35"/>
      <c r="M2287" s="35"/>
      <c r="N2287" s="35"/>
      <c r="O2287" s="35"/>
      <c r="P2287" s="35"/>
      <c r="Q2287" s="35"/>
      <c r="R2287" s="35"/>
      <c r="S2287" s="35"/>
      <c r="T2287" s="35"/>
      <c r="U2287" s="35"/>
      <c r="V2287" s="35"/>
      <c r="W2287" s="35"/>
      <c r="X2287" s="35"/>
      <c r="Y2287" s="35"/>
      <c r="Z2287" s="35"/>
      <c r="AA2287" s="35"/>
      <c r="AB2287" s="35"/>
      <c r="AC2287" s="35"/>
      <c r="AD2287" s="35"/>
      <c r="AE2287" s="35"/>
      <c r="AF2287" s="35"/>
      <c r="AG2287" s="35"/>
      <c r="AH2287" s="35"/>
      <c r="AI2287" s="35"/>
      <c r="AJ2287" s="35"/>
      <c r="AK2287" s="35"/>
      <c r="AL2287" s="35"/>
      <c r="AM2287" s="35"/>
      <c r="AN2287" s="35"/>
      <c r="AO2287" s="35"/>
      <c r="AP2287" s="35"/>
    </row>
    <row r="2288" spans="1:42" ht="17.25" customHeight="1" x14ac:dyDescent="0.25">
      <c r="A2288" s="55">
        <v>2023</v>
      </c>
      <c r="B2288" s="56" t="s">
        <v>66</v>
      </c>
      <c r="C2288" s="56" t="s">
        <v>4</v>
      </c>
      <c r="D2288" s="56" t="s">
        <v>14</v>
      </c>
      <c r="E2288" s="56" t="s">
        <v>67</v>
      </c>
      <c r="F2288" s="56" t="s">
        <v>67</v>
      </c>
      <c r="G2288" s="57">
        <v>6108307082</v>
      </c>
      <c r="H2288" s="56" t="s">
        <v>68</v>
      </c>
      <c r="I2288" s="58" t="str">
        <f t="shared" si="136"/>
        <v>Taiwan-Offline</v>
      </c>
      <c r="J2288" s="40"/>
      <c r="K2288" s="59"/>
      <c r="L2288" s="35"/>
      <c r="M2288" s="35"/>
      <c r="N2288" s="35"/>
      <c r="O2288" s="35"/>
      <c r="P2288" s="35"/>
      <c r="Q2288" s="35"/>
      <c r="R2288" s="35"/>
      <c r="S2288" s="35"/>
      <c r="T2288" s="35"/>
      <c r="U2288" s="35"/>
      <c r="V2288" s="35"/>
      <c r="W2288" s="35"/>
      <c r="X2288" s="35"/>
      <c r="Y2288" s="35"/>
      <c r="Z2288" s="35"/>
      <c r="AA2288" s="35"/>
      <c r="AB2288" s="35"/>
      <c r="AC2288" s="35"/>
      <c r="AD2288" s="35"/>
      <c r="AE2288" s="35"/>
      <c r="AF2288" s="35"/>
      <c r="AG2288" s="35"/>
      <c r="AH2288" s="35"/>
      <c r="AI2288" s="35"/>
      <c r="AJ2288" s="35"/>
      <c r="AK2288" s="35"/>
      <c r="AL2288" s="35"/>
      <c r="AM2288" s="35"/>
      <c r="AN2288" s="35"/>
      <c r="AO2288" s="35"/>
      <c r="AP2288" s="35"/>
    </row>
    <row r="2289" spans="1:42" ht="17.25" customHeight="1" x14ac:dyDescent="0.25">
      <c r="A2289" s="60">
        <v>2023</v>
      </c>
      <c r="B2289" s="61" t="s">
        <v>66</v>
      </c>
      <c r="C2289" s="61" t="s">
        <v>4</v>
      </c>
      <c r="D2289" s="61" t="s">
        <v>14</v>
      </c>
      <c r="E2289" s="61" t="s">
        <v>69</v>
      </c>
      <c r="F2289" s="61" t="s">
        <v>70</v>
      </c>
      <c r="G2289" s="62">
        <v>3175883422</v>
      </c>
      <c r="H2289" s="61" t="s">
        <v>68</v>
      </c>
      <c r="I2289" s="63" t="str">
        <f t="shared" si="136"/>
        <v>Taiwan-Online Supplier-Direct</v>
      </c>
      <c r="J2289" s="47"/>
      <c r="K2289" s="54"/>
      <c r="L2289" s="35"/>
      <c r="M2289" s="35"/>
      <c r="N2289" s="35"/>
      <c r="O2289" s="35"/>
      <c r="P2289" s="35"/>
      <c r="Q2289" s="35"/>
      <c r="R2289" s="35"/>
      <c r="S2289" s="35"/>
      <c r="T2289" s="35"/>
      <c r="U2289" s="35"/>
      <c r="V2289" s="35"/>
      <c r="W2289" s="35"/>
      <c r="X2289" s="35"/>
      <c r="Y2289" s="35"/>
      <c r="Z2289" s="35"/>
      <c r="AA2289" s="35"/>
      <c r="AB2289" s="35"/>
      <c r="AC2289" s="35"/>
      <c r="AD2289" s="35"/>
      <c r="AE2289" s="35"/>
      <c r="AF2289" s="35"/>
      <c r="AG2289" s="35"/>
      <c r="AH2289" s="35"/>
      <c r="AI2289" s="35"/>
      <c r="AJ2289" s="35"/>
      <c r="AK2289" s="35"/>
      <c r="AL2289" s="35"/>
      <c r="AM2289" s="35"/>
      <c r="AN2289" s="35"/>
      <c r="AO2289" s="35"/>
      <c r="AP2289" s="35"/>
    </row>
    <row r="2290" spans="1:42" ht="17.25" customHeight="1" x14ac:dyDescent="0.25">
      <c r="A2290" s="55">
        <v>2023</v>
      </c>
      <c r="B2290" s="56" t="s">
        <v>66</v>
      </c>
      <c r="C2290" s="56" t="s">
        <v>4</v>
      </c>
      <c r="D2290" s="56" t="s">
        <v>14</v>
      </c>
      <c r="E2290" s="56" t="s">
        <v>69</v>
      </c>
      <c r="F2290" s="56" t="s">
        <v>71</v>
      </c>
      <c r="G2290" s="57">
        <v>1600987474</v>
      </c>
      <c r="H2290" s="56" t="s">
        <v>68</v>
      </c>
      <c r="I2290" s="58" t="str">
        <f t="shared" si="136"/>
        <v>Taiwan-OTA</v>
      </c>
      <c r="J2290" s="40"/>
      <c r="K2290" s="59"/>
      <c r="L2290" s="35"/>
      <c r="M2290" s="35"/>
      <c r="N2290" s="35"/>
      <c r="O2290" s="35"/>
      <c r="P2290" s="35"/>
      <c r="Q2290" s="35"/>
      <c r="R2290" s="35"/>
      <c r="S2290" s="35"/>
      <c r="T2290" s="35"/>
      <c r="U2290" s="35"/>
      <c r="V2290" s="35"/>
      <c r="W2290" s="35"/>
      <c r="X2290" s="35"/>
      <c r="Y2290" s="35"/>
      <c r="Z2290" s="35"/>
      <c r="AA2290" s="35"/>
      <c r="AB2290" s="35"/>
      <c r="AC2290" s="35"/>
      <c r="AD2290" s="35"/>
      <c r="AE2290" s="35"/>
      <c r="AF2290" s="35"/>
      <c r="AG2290" s="35"/>
      <c r="AH2290" s="35"/>
      <c r="AI2290" s="35"/>
      <c r="AJ2290" s="35"/>
      <c r="AK2290" s="35"/>
      <c r="AL2290" s="35"/>
      <c r="AM2290" s="35"/>
      <c r="AN2290" s="35"/>
      <c r="AO2290" s="35"/>
      <c r="AP2290" s="35"/>
    </row>
    <row r="2291" spans="1:42" ht="17.25" customHeight="1" x14ac:dyDescent="0.25">
      <c r="A2291" s="60">
        <v>2023</v>
      </c>
      <c r="B2291" s="61" t="s">
        <v>66</v>
      </c>
      <c r="C2291" s="61" t="s">
        <v>4</v>
      </c>
      <c r="D2291" s="61" t="s">
        <v>15</v>
      </c>
      <c r="E2291" s="61" t="s">
        <v>67</v>
      </c>
      <c r="F2291" s="61" t="s">
        <v>67</v>
      </c>
      <c r="G2291" s="62">
        <v>5509867969</v>
      </c>
      <c r="H2291" s="61" t="s">
        <v>68</v>
      </c>
      <c r="I2291" s="63" t="str">
        <f t="shared" si="136"/>
        <v>Thailand-Offline</v>
      </c>
      <c r="J2291" s="47"/>
      <c r="K2291" s="54"/>
      <c r="L2291" s="35"/>
      <c r="M2291" s="35"/>
      <c r="N2291" s="35"/>
      <c r="O2291" s="35"/>
      <c r="P2291" s="35"/>
      <c r="Q2291" s="35"/>
      <c r="R2291" s="35"/>
      <c r="S2291" s="35"/>
      <c r="T2291" s="35"/>
      <c r="U2291" s="35"/>
      <c r="V2291" s="35"/>
      <c r="W2291" s="35"/>
      <c r="X2291" s="35"/>
      <c r="Y2291" s="35"/>
      <c r="Z2291" s="35"/>
      <c r="AA2291" s="35"/>
      <c r="AB2291" s="35"/>
      <c r="AC2291" s="35"/>
      <c r="AD2291" s="35"/>
      <c r="AE2291" s="35"/>
      <c r="AF2291" s="35"/>
      <c r="AG2291" s="35"/>
      <c r="AH2291" s="35"/>
      <c r="AI2291" s="35"/>
      <c r="AJ2291" s="35"/>
      <c r="AK2291" s="35"/>
      <c r="AL2291" s="35"/>
      <c r="AM2291" s="35"/>
      <c r="AN2291" s="35"/>
      <c r="AO2291" s="35"/>
      <c r="AP2291" s="35"/>
    </row>
    <row r="2292" spans="1:42" ht="17.25" customHeight="1" x14ac:dyDescent="0.25">
      <c r="A2292" s="55">
        <v>2023</v>
      </c>
      <c r="B2292" s="56" t="s">
        <v>66</v>
      </c>
      <c r="C2292" s="56" t="s">
        <v>4</v>
      </c>
      <c r="D2292" s="56" t="s">
        <v>15</v>
      </c>
      <c r="E2292" s="56" t="s">
        <v>69</v>
      </c>
      <c r="F2292" s="56" t="s">
        <v>70</v>
      </c>
      <c r="G2292" s="57">
        <v>2265545656</v>
      </c>
      <c r="H2292" s="56" t="s">
        <v>68</v>
      </c>
      <c r="I2292" s="58" t="str">
        <f t="shared" si="136"/>
        <v>Thailand-Online Supplier-Direct</v>
      </c>
      <c r="J2292" s="40"/>
      <c r="K2292" s="59"/>
      <c r="L2292" s="35"/>
      <c r="M2292" s="35"/>
      <c r="N2292" s="35"/>
      <c r="O2292" s="35"/>
      <c r="P2292" s="35"/>
      <c r="Q2292" s="35"/>
      <c r="R2292" s="35"/>
      <c r="S2292" s="35"/>
      <c r="T2292" s="35"/>
      <c r="U2292" s="35"/>
      <c r="V2292" s="35"/>
      <c r="W2292" s="35"/>
      <c r="X2292" s="35"/>
      <c r="Y2292" s="35"/>
      <c r="Z2292" s="35"/>
      <c r="AA2292" s="35"/>
      <c r="AB2292" s="35"/>
      <c r="AC2292" s="35"/>
      <c r="AD2292" s="35"/>
      <c r="AE2292" s="35"/>
      <c r="AF2292" s="35"/>
      <c r="AG2292" s="35"/>
      <c r="AH2292" s="35"/>
      <c r="AI2292" s="35"/>
      <c r="AJ2292" s="35"/>
      <c r="AK2292" s="35"/>
      <c r="AL2292" s="35"/>
      <c r="AM2292" s="35"/>
      <c r="AN2292" s="35"/>
      <c r="AO2292" s="35"/>
      <c r="AP2292" s="35"/>
    </row>
    <row r="2293" spans="1:42" ht="17.25" customHeight="1" x14ac:dyDescent="0.25">
      <c r="A2293" s="60">
        <v>2023</v>
      </c>
      <c r="B2293" s="61" t="s">
        <v>66</v>
      </c>
      <c r="C2293" s="61" t="s">
        <v>4</v>
      </c>
      <c r="D2293" s="61" t="s">
        <v>15</v>
      </c>
      <c r="E2293" s="61" t="s">
        <v>69</v>
      </c>
      <c r="F2293" s="61" t="s">
        <v>71</v>
      </c>
      <c r="G2293" s="62">
        <v>5060374974</v>
      </c>
      <c r="H2293" s="61" t="s">
        <v>68</v>
      </c>
      <c r="I2293" s="63" t="str">
        <f t="shared" si="136"/>
        <v>Thailand-OTA</v>
      </c>
      <c r="J2293" s="47"/>
      <c r="K2293" s="54"/>
      <c r="L2293" s="35"/>
      <c r="M2293" s="35"/>
      <c r="N2293" s="35"/>
      <c r="O2293" s="35"/>
      <c r="P2293" s="35"/>
      <c r="Q2293" s="35"/>
      <c r="R2293" s="35"/>
      <c r="S2293" s="35"/>
      <c r="T2293" s="35"/>
      <c r="U2293" s="35"/>
      <c r="V2293" s="35"/>
      <c r="W2293" s="35"/>
      <c r="X2293" s="35"/>
      <c r="Y2293" s="35"/>
      <c r="Z2293" s="35"/>
      <c r="AA2293" s="35"/>
      <c r="AB2293" s="35"/>
      <c r="AC2293" s="35"/>
      <c r="AD2293" s="35"/>
      <c r="AE2293" s="35"/>
      <c r="AF2293" s="35"/>
      <c r="AG2293" s="35"/>
      <c r="AH2293" s="35"/>
      <c r="AI2293" s="35"/>
      <c r="AJ2293" s="35"/>
      <c r="AK2293" s="35"/>
      <c r="AL2293" s="35"/>
      <c r="AM2293" s="35"/>
      <c r="AN2293" s="35"/>
      <c r="AO2293" s="35"/>
      <c r="AP2293" s="35"/>
    </row>
    <row r="2294" spans="1:42" ht="17.25" customHeight="1" x14ac:dyDescent="0.25">
      <c r="A2294" s="55">
        <v>2023</v>
      </c>
      <c r="B2294" s="56" t="s">
        <v>66</v>
      </c>
      <c r="C2294" s="56" t="s">
        <v>41</v>
      </c>
      <c r="D2294" s="56" t="s">
        <v>45</v>
      </c>
      <c r="E2294" s="56" t="s">
        <v>67</v>
      </c>
      <c r="F2294" s="56" t="s">
        <v>67</v>
      </c>
      <c r="G2294" s="57">
        <v>23547255227</v>
      </c>
      <c r="H2294" s="56" t="s">
        <v>68</v>
      </c>
      <c r="I2294" s="58" t="str">
        <f t="shared" si="136"/>
        <v>U.A.E.-Offline</v>
      </c>
      <c r="J2294" s="40"/>
      <c r="K2294" s="59"/>
      <c r="L2294" s="35"/>
      <c r="M2294" s="35"/>
      <c r="N2294" s="35"/>
      <c r="O2294" s="35"/>
      <c r="P2294" s="35"/>
      <c r="Q2294" s="35"/>
      <c r="R2294" s="35"/>
      <c r="S2294" s="35"/>
      <c r="T2294" s="35"/>
      <c r="U2294" s="35"/>
      <c r="V2294" s="35"/>
      <c r="W2294" s="35"/>
      <c r="X2294" s="35"/>
      <c r="Y2294" s="35"/>
      <c r="Z2294" s="35"/>
      <c r="AA2294" s="35"/>
      <c r="AB2294" s="35"/>
      <c r="AC2294" s="35"/>
      <c r="AD2294" s="35"/>
      <c r="AE2294" s="35"/>
      <c r="AF2294" s="35"/>
      <c r="AG2294" s="35"/>
      <c r="AH2294" s="35"/>
      <c r="AI2294" s="35"/>
      <c r="AJ2294" s="35"/>
      <c r="AK2294" s="35"/>
      <c r="AL2294" s="35"/>
      <c r="AM2294" s="35"/>
      <c r="AN2294" s="35"/>
      <c r="AO2294" s="35"/>
      <c r="AP2294" s="35"/>
    </row>
    <row r="2295" spans="1:42" ht="17.25" customHeight="1" x14ac:dyDescent="0.25">
      <c r="A2295" s="60">
        <v>2023</v>
      </c>
      <c r="B2295" s="61" t="s">
        <v>66</v>
      </c>
      <c r="C2295" s="61" t="s">
        <v>41</v>
      </c>
      <c r="D2295" s="61" t="s">
        <v>45</v>
      </c>
      <c r="E2295" s="61" t="s">
        <v>69</v>
      </c>
      <c r="F2295" s="61" t="s">
        <v>70</v>
      </c>
      <c r="G2295" s="62">
        <v>15142169102</v>
      </c>
      <c r="H2295" s="61" t="s">
        <v>68</v>
      </c>
      <c r="I2295" s="63" t="str">
        <f t="shared" si="136"/>
        <v>U.A.E.-Online Supplier-Direct</v>
      </c>
      <c r="J2295" s="47"/>
      <c r="K2295" s="54"/>
      <c r="L2295" s="35"/>
      <c r="M2295" s="35"/>
      <c r="N2295" s="35"/>
      <c r="O2295" s="35"/>
      <c r="P2295" s="35"/>
      <c r="Q2295" s="35"/>
      <c r="R2295" s="35"/>
      <c r="S2295" s="35"/>
      <c r="T2295" s="35"/>
      <c r="U2295" s="35"/>
      <c r="V2295" s="35"/>
      <c r="W2295" s="35"/>
      <c r="X2295" s="35"/>
      <c r="Y2295" s="35"/>
      <c r="Z2295" s="35"/>
      <c r="AA2295" s="35"/>
      <c r="AB2295" s="35"/>
      <c r="AC2295" s="35"/>
      <c r="AD2295" s="35"/>
      <c r="AE2295" s="35"/>
      <c r="AF2295" s="35"/>
      <c r="AG2295" s="35"/>
      <c r="AH2295" s="35"/>
      <c r="AI2295" s="35"/>
      <c r="AJ2295" s="35"/>
      <c r="AK2295" s="35"/>
      <c r="AL2295" s="35"/>
      <c r="AM2295" s="35"/>
      <c r="AN2295" s="35"/>
      <c r="AO2295" s="35"/>
      <c r="AP2295" s="35"/>
    </row>
    <row r="2296" spans="1:42" ht="17.25" customHeight="1" x14ac:dyDescent="0.25">
      <c r="A2296" s="55">
        <v>2023</v>
      </c>
      <c r="B2296" s="56" t="s">
        <v>66</v>
      </c>
      <c r="C2296" s="56" t="s">
        <v>41</v>
      </c>
      <c r="D2296" s="56" t="s">
        <v>45</v>
      </c>
      <c r="E2296" s="56" t="s">
        <v>69</v>
      </c>
      <c r="F2296" s="56" t="s">
        <v>71</v>
      </c>
      <c r="G2296" s="57">
        <v>5846363548</v>
      </c>
      <c r="H2296" s="56" t="s">
        <v>68</v>
      </c>
      <c r="I2296" s="58" t="str">
        <f t="shared" si="136"/>
        <v>U.A.E.-OTA</v>
      </c>
      <c r="J2296" s="40"/>
      <c r="K2296" s="59"/>
      <c r="L2296" s="35"/>
      <c r="M2296" s="35"/>
      <c r="N2296" s="35"/>
      <c r="O2296" s="35"/>
      <c r="P2296" s="35"/>
      <c r="Q2296" s="35"/>
      <c r="R2296" s="35"/>
      <c r="S2296" s="35"/>
      <c r="T2296" s="35"/>
      <c r="U2296" s="35"/>
      <c r="V2296" s="35"/>
      <c r="W2296" s="35"/>
      <c r="X2296" s="35"/>
      <c r="Y2296" s="35"/>
      <c r="Z2296" s="35"/>
      <c r="AA2296" s="35"/>
      <c r="AB2296" s="35"/>
      <c r="AC2296" s="35"/>
      <c r="AD2296" s="35"/>
      <c r="AE2296" s="35"/>
      <c r="AF2296" s="35"/>
      <c r="AG2296" s="35"/>
      <c r="AH2296" s="35"/>
      <c r="AI2296" s="35"/>
      <c r="AJ2296" s="35"/>
      <c r="AK2296" s="35"/>
      <c r="AL2296" s="35"/>
      <c r="AM2296" s="35"/>
      <c r="AN2296" s="35"/>
      <c r="AO2296" s="35"/>
      <c r="AP2296" s="35"/>
    </row>
    <row r="2297" spans="1:42" ht="17.25" customHeight="1" x14ac:dyDescent="0.25">
      <c r="A2297" s="60">
        <v>2023</v>
      </c>
      <c r="B2297" s="61" t="s">
        <v>66</v>
      </c>
      <c r="C2297" s="61" t="s">
        <v>27</v>
      </c>
      <c r="D2297" s="61" t="s">
        <v>33</v>
      </c>
      <c r="E2297" s="61" t="s">
        <v>67</v>
      </c>
      <c r="F2297" s="61" t="s">
        <v>67</v>
      </c>
      <c r="G2297" s="62">
        <v>9852372658</v>
      </c>
      <c r="H2297" s="61" t="s">
        <v>68</v>
      </c>
      <c r="I2297" s="63" t="str">
        <f t="shared" ref="I2297:I2551" si="137">D2297&amp;"-"&amp;F2297</f>
        <v>U.K.-Offline</v>
      </c>
      <c r="J2297" s="47"/>
      <c r="K2297" s="54"/>
      <c r="L2297" s="35"/>
      <c r="M2297" s="35"/>
      <c r="N2297" s="35"/>
      <c r="O2297" s="35"/>
      <c r="P2297" s="35"/>
      <c r="Q2297" s="35"/>
      <c r="R2297" s="35"/>
      <c r="S2297" s="35"/>
      <c r="T2297" s="35"/>
      <c r="U2297" s="35"/>
      <c r="V2297" s="35"/>
      <c r="W2297" s="35"/>
      <c r="X2297" s="35"/>
      <c r="Y2297" s="35"/>
      <c r="Z2297" s="35"/>
      <c r="AA2297" s="35"/>
      <c r="AB2297" s="35"/>
      <c r="AC2297" s="35"/>
      <c r="AD2297" s="35"/>
      <c r="AE2297" s="35"/>
      <c r="AF2297" s="35"/>
      <c r="AG2297" s="35"/>
      <c r="AH2297" s="35"/>
      <c r="AI2297" s="35"/>
      <c r="AJ2297" s="35"/>
      <c r="AK2297" s="35"/>
      <c r="AL2297" s="35"/>
      <c r="AM2297" s="35"/>
      <c r="AN2297" s="35"/>
      <c r="AO2297" s="35"/>
      <c r="AP2297" s="35"/>
    </row>
    <row r="2298" spans="1:42" ht="17.25" customHeight="1" x14ac:dyDescent="0.25">
      <c r="A2298" s="55">
        <v>2023</v>
      </c>
      <c r="B2298" s="56" t="s">
        <v>66</v>
      </c>
      <c r="C2298" s="56" t="s">
        <v>27</v>
      </c>
      <c r="D2298" s="56" t="s">
        <v>33</v>
      </c>
      <c r="E2298" s="56" t="s">
        <v>69</v>
      </c>
      <c r="F2298" s="56" t="s">
        <v>70</v>
      </c>
      <c r="G2298" s="57">
        <v>37950014402</v>
      </c>
      <c r="H2298" s="56" t="s">
        <v>68</v>
      </c>
      <c r="I2298" s="58" t="str">
        <f t="shared" si="137"/>
        <v>U.K.-Online Supplier-Direct</v>
      </c>
      <c r="J2298" s="40"/>
      <c r="K2298" s="59"/>
      <c r="L2298" s="35"/>
      <c r="M2298" s="35"/>
      <c r="N2298" s="35"/>
      <c r="O2298" s="35"/>
      <c r="P2298" s="35"/>
      <c r="Q2298" s="35"/>
      <c r="R2298" s="35"/>
      <c r="S2298" s="35"/>
      <c r="T2298" s="35"/>
      <c r="U2298" s="35"/>
      <c r="V2298" s="35"/>
      <c r="W2298" s="35"/>
      <c r="X2298" s="35"/>
      <c r="Y2298" s="35"/>
      <c r="Z2298" s="35"/>
      <c r="AA2298" s="35"/>
      <c r="AB2298" s="35"/>
      <c r="AC2298" s="35"/>
      <c r="AD2298" s="35"/>
      <c r="AE2298" s="35"/>
      <c r="AF2298" s="35"/>
      <c r="AG2298" s="35"/>
      <c r="AH2298" s="35"/>
      <c r="AI2298" s="35"/>
      <c r="AJ2298" s="35"/>
      <c r="AK2298" s="35"/>
      <c r="AL2298" s="35"/>
      <c r="AM2298" s="35"/>
      <c r="AN2298" s="35"/>
      <c r="AO2298" s="35"/>
      <c r="AP2298" s="35"/>
    </row>
    <row r="2299" spans="1:42" ht="17.25" customHeight="1" x14ac:dyDescent="0.25">
      <c r="A2299" s="60">
        <v>2023</v>
      </c>
      <c r="B2299" s="61" t="s">
        <v>66</v>
      </c>
      <c r="C2299" s="61" t="s">
        <v>27</v>
      </c>
      <c r="D2299" s="61" t="s">
        <v>33</v>
      </c>
      <c r="E2299" s="61" t="s">
        <v>69</v>
      </c>
      <c r="F2299" s="61" t="s">
        <v>71</v>
      </c>
      <c r="G2299" s="62">
        <v>10963529028</v>
      </c>
      <c r="H2299" s="61" t="s">
        <v>68</v>
      </c>
      <c r="I2299" s="63" t="str">
        <f t="shared" si="137"/>
        <v>U.K.-OTA</v>
      </c>
      <c r="J2299" s="47"/>
      <c r="K2299" s="54"/>
      <c r="L2299" s="35"/>
      <c r="M2299" s="35"/>
      <c r="N2299" s="35"/>
      <c r="O2299" s="35"/>
      <c r="P2299" s="35"/>
      <c r="Q2299" s="35"/>
      <c r="R2299" s="35"/>
      <c r="S2299" s="35"/>
      <c r="T2299" s="35"/>
      <c r="U2299" s="35"/>
      <c r="V2299" s="35"/>
      <c r="W2299" s="35"/>
      <c r="X2299" s="35"/>
      <c r="Y2299" s="35"/>
      <c r="Z2299" s="35"/>
      <c r="AA2299" s="35"/>
      <c r="AB2299" s="35"/>
      <c r="AC2299" s="35"/>
      <c r="AD2299" s="35"/>
      <c r="AE2299" s="35"/>
      <c r="AF2299" s="35"/>
      <c r="AG2299" s="35"/>
      <c r="AH2299" s="35"/>
      <c r="AI2299" s="35"/>
      <c r="AJ2299" s="35"/>
      <c r="AK2299" s="35"/>
      <c r="AL2299" s="35"/>
      <c r="AM2299" s="35"/>
      <c r="AN2299" s="35"/>
      <c r="AO2299" s="35"/>
      <c r="AP2299" s="35"/>
    </row>
    <row r="2300" spans="1:42" ht="17.25" customHeight="1" x14ac:dyDescent="0.25">
      <c r="A2300" s="55">
        <v>2023</v>
      </c>
      <c r="B2300" s="56" t="s">
        <v>66</v>
      </c>
      <c r="C2300" s="56" t="s">
        <v>47</v>
      </c>
      <c r="D2300" s="56" t="s">
        <v>48</v>
      </c>
      <c r="E2300" s="56" t="s">
        <v>72</v>
      </c>
      <c r="F2300" s="56" t="s">
        <v>73</v>
      </c>
      <c r="G2300" s="57">
        <v>86786157704</v>
      </c>
      <c r="H2300" s="56" t="s">
        <v>68</v>
      </c>
      <c r="I2300" s="58" t="str">
        <f t="shared" si="137"/>
        <v>U.S.-Central Reservation</v>
      </c>
      <c r="J2300" s="40"/>
      <c r="K2300" s="59"/>
      <c r="L2300" s="35"/>
      <c r="M2300" s="35"/>
      <c r="N2300" s="35"/>
      <c r="O2300" s="35"/>
      <c r="P2300" s="35"/>
      <c r="Q2300" s="35"/>
      <c r="R2300" s="35"/>
      <c r="S2300" s="35"/>
      <c r="T2300" s="35"/>
      <c r="U2300" s="35"/>
      <c r="V2300" s="35"/>
      <c r="W2300" s="35"/>
      <c r="X2300" s="35"/>
      <c r="Y2300" s="35"/>
      <c r="Z2300" s="35"/>
      <c r="AA2300" s="35"/>
      <c r="AB2300" s="35"/>
      <c r="AC2300" s="35"/>
      <c r="AD2300" s="35"/>
      <c r="AE2300" s="35"/>
      <c r="AF2300" s="35"/>
      <c r="AG2300" s="35"/>
      <c r="AH2300" s="35"/>
      <c r="AI2300" s="35"/>
      <c r="AJ2300" s="35"/>
      <c r="AK2300" s="35"/>
      <c r="AL2300" s="35"/>
      <c r="AM2300" s="35"/>
      <c r="AN2300" s="35"/>
      <c r="AO2300" s="35"/>
      <c r="AP2300" s="35"/>
    </row>
    <row r="2301" spans="1:42" ht="17.25" customHeight="1" x14ac:dyDescent="0.25">
      <c r="A2301" s="60">
        <v>2023</v>
      </c>
      <c r="B2301" s="61" t="s">
        <v>66</v>
      </c>
      <c r="C2301" s="61" t="s">
        <v>47</v>
      </c>
      <c r="D2301" s="61" t="s">
        <v>48</v>
      </c>
      <c r="E2301" s="61" t="s">
        <v>67</v>
      </c>
      <c r="F2301" s="61" t="s">
        <v>74</v>
      </c>
      <c r="G2301" s="62">
        <v>89688915550</v>
      </c>
      <c r="H2301" s="61" t="s">
        <v>68</v>
      </c>
      <c r="I2301" s="63" t="str">
        <f t="shared" si="137"/>
        <v>U.S.-Travel Agency/TMC</v>
      </c>
      <c r="J2301" s="47"/>
      <c r="K2301" s="54"/>
      <c r="L2301" s="35"/>
      <c r="M2301" s="35"/>
      <c r="N2301" s="35"/>
      <c r="O2301" s="35"/>
      <c r="P2301" s="35"/>
      <c r="Q2301" s="35"/>
      <c r="R2301" s="35"/>
      <c r="S2301" s="35"/>
      <c r="T2301" s="35"/>
      <c r="U2301" s="35"/>
      <c r="V2301" s="35"/>
      <c r="W2301" s="35"/>
      <c r="X2301" s="35"/>
      <c r="Y2301" s="35"/>
      <c r="Z2301" s="35"/>
      <c r="AA2301" s="35"/>
      <c r="AB2301" s="35"/>
      <c r="AC2301" s="35"/>
      <c r="AD2301" s="35"/>
      <c r="AE2301" s="35"/>
      <c r="AF2301" s="35"/>
      <c r="AG2301" s="35"/>
      <c r="AH2301" s="35"/>
      <c r="AI2301" s="35"/>
      <c r="AJ2301" s="35"/>
      <c r="AK2301" s="35"/>
      <c r="AL2301" s="35"/>
      <c r="AM2301" s="35"/>
      <c r="AN2301" s="35"/>
      <c r="AO2301" s="35"/>
      <c r="AP2301" s="35"/>
    </row>
    <row r="2302" spans="1:42" ht="17.25" customHeight="1" x14ac:dyDescent="0.25">
      <c r="A2302" s="55">
        <v>2023</v>
      </c>
      <c r="B2302" s="56" t="s">
        <v>66</v>
      </c>
      <c r="C2302" s="56" t="s">
        <v>47</v>
      </c>
      <c r="D2302" s="56" t="s">
        <v>48</v>
      </c>
      <c r="E2302" s="56" t="s">
        <v>69</v>
      </c>
      <c r="F2302" s="56" t="s">
        <v>70</v>
      </c>
      <c r="G2302" s="57">
        <v>197494190244</v>
      </c>
      <c r="H2302" s="56" t="s">
        <v>68</v>
      </c>
      <c r="I2302" s="58" t="str">
        <f t="shared" si="137"/>
        <v>U.S.-Online Supplier-Direct</v>
      </c>
      <c r="J2302" s="40"/>
      <c r="K2302" s="59"/>
      <c r="L2302" s="35"/>
      <c r="M2302" s="35"/>
      <c r="N2302" s="35"/>
      <c r="O2302" s="35"/>
      <c r="P2302" s="35"/>
      <c r="Q2302" s="35"/>
      <c r="R2302" s="35"/>
      <c r="S2302" s="35"/>
      <c r="T2302" s="35"/>
      <c r="U2302" s="35"/>
      <c r="V2302" s="35"/>
      <c r="W2302" s="35"/>
      <c r="X2302" s="35"/>
      <c r="Y2302" s="35"/>
      <c r="Z2302" s="35"/>
      <c r="AA2302" s="35"/>
      <c r="AB2302" s="35"/>
      <c r="AC2302" s="35"/>
      <c r="AD2302" s="35"/>
      <c r="AE2302" s="35"/>
      <c r="AF2302" s="35"/>
      <c r="AG2302" s="35"/>
      <c r="AH2302" s="35"/>
      <c r="AI2302" s="35"/>
      <c r="AJ2302" s="35"/>
      <c r="AK2302" s="35"/>
      <c r="AL2302" s="35"/>
      <c r="AM2302" s="35"/>
      <c r="AN2302" s="35"/>
      <c r="AO2302" s="35"/>
      <c r="AP2302" s="35"/>
    </row>
    <row r="2303" spans="1:42" ht="17.25" customHeight="1" x14ac:dyDescent="0.25">
      <c r="A2303" s="60">
        <v>2023</v>
      </c>
      <c r="B2303" s="61" t="s">
        <v>66</v>
      </c>
      <c r="C2303" s="61" t="s">
        <v>47</v>
      </c>
      <c r="D2303" s="61" t="s">
        <v>48</v>
      </c>
      <c r="E2303" s="61" t="s">
        <v>69</v>
      </c>
      <c r="F2303" s="61" t="s">
        <v>71</v>
      </c>
      <c r="G2303" s="62">
        <v>101811510002</v>
      </c>
      <c r="H2303" s="61" t="s">
        <v>68</v>
      </c>
      <c r="I2303" s="63" t="str">
        <f t="shared" si="137"/>
        <v>U.S.-OTA</v>
      </c>
      <c r="J2303" s="47"/>
      <c r="K2303" s="54"/>
      <c r="L2303" s="35"/>
      <c r="M2303" s="35"/>
      <c r="N2303" s="35"/>
      <c r="O2303" s="35"/>
      <c r="P2303" s="35"/>
      <c r="Q2303" s="35"/>
      <c r="R2303" s="35"/>
      <c r="S2303" s="35"/>
      <c r="T2303" s="35"/>
      <c r="U2303" s="35"/>
      <c r="V2303" s="35"/>
      <c r="W2303" s="35"/>
      <c r="X2303" s="35"/>
      <c r="Y2303" s="35"/>
      <c r="Z2303" s="35"/>
      <c r="AA2303" s="35"/>
      <c r="AB2303" s="35"/>
      <c r="AC2303" s="35"/>
      <c r="AD2303" s="35"/>
      <c r="AE2303" s="35"/>
      <c r="AF2303" s="35"/>
      <c r="AG2303" s="35"/>
      <c r="AH2303" s="35"/>
      <c r="AI2303" s="35"/>
      <c r="AJ2303" s="35"/>
      <c r="AK2303" s="35"/>
      <c r="AL2303" s="35"/>
      <c r="AM2303" s="35"/>
      <c r="AN2303" s="35"/>
      <c r="AO2303" s="35"/>
      <c r="AP2303" s="35"/>
    </row>
    <row r="2304" spans="1:42" ht="17.25" customHeight="1" x14ac:dyDescent="0.25">
      <c r="A2304" s="55">
        <v>2023</v>
      </c>
      <c r="B2304" s="56" t="s">
        <v>66</v>
      </c>
      <c r="C2304" s="56" t="s">
        <v>17</v>
      </c>
      <c r="D2304" s="56" t="s">
        <v>25</v>
      </c>
      <c r="E2304" s="56" t="s">
        <v>67</v>
      </c>
      <c r="F2304" s="56" t="s">
        <v>67</v>
      </c>
      <c r="G2304" s="57">
        <v>0</v>
      </c>
      <c r="H2304" s="56" t="s">
        <v>68</v>
      </c>
      <c r="I2304" s="58" t="str">
        <f t="shared" si="137"/>
        <v>Ukraine-Offline</v>
      </c>
      <c r="J2304" s="40"/>
      <c r="K2304" s="59"/>
      <c r="L2304" s="35"/>
      <c r="M2304" s="35"/>
      <c r="N2304" s="35"/>
      <c r="O2304" s="35"/>
      <c r="P2304" s="35"/>
      <c r="Q2304" s="35"/>
      <c r="R2304" s="35"/>
      <c r="S2304" s="35"/>
      <c r="T2304" s="35"/>
      <c r="U2304" s="35"/>
      <c r="V2304" s="35"/>
      <c r="W2304" s="35"/>
      <c r="X2304" s="35"/>
      <c r="Y2304" s="35"/>
      <c r="Z2304" s="35"/>
      <c r="AA2304" s="35"/>
      <c r="AB2304" s="35"/>
      <c r="AC2304" s="35"/>
      <c r="AD2304" s="35"/>
      <c r="AE2304" s="35"/>
      <c r="AF2304" s="35"/>
      <c r="AG2304" s="35"/>
      <c r="AH2304" s="35"/>
      <c r="AI2304" s="35"/>
      <c r="AJ2304" s="35"/>
      <c r="AK2304" s="35"/>
      <c r="AL2304" s="35"/>
      <c r="AM2304" s="35"/>
      <c r="AN2304" s="35"/>
      <c r="AO2304" s="35"/>
      <c r="AP2304" s="35"/>
    </row>
    <row r="2305" spans="1:42" ht="17.25" customHeight="1" x14ac:dyDescent="0.25">
      <c r="A2305" s="60">
        <v>2023</v>
      </c>
      <c r="B2305" s="61" t="s">
        <v>66</v>
      </c>
      <c r="C2305" s="61" t="s">
        <v>17</v>
      </c>
      <c r="D2305" s="61" t="s">
        <v>25</v>
      </c>
      <c r="E2305" s="61" t="s">
        <v>69</v>
      </c>
      <c r="F2305" s="61" t="s">
        <v>70</v>
      </c>
      <c r="G2305" s="62">
        <v>0</v>
      </c>
      <c r="H2305" s="61" t="s">
        <v>68</v>
      </c>
      <c r="I2305" s="63" t="str">
        <f t="shared" si="137"/>
        <v>Ukraine-Online Supplier-Direct</v>
      </c>
      <c r="J2305" s="47"/>
      <c r="K2305" s="54"/>
      <c r="L2305" s="35"/>
      <c r="M2305" s="35"/>
      <c r="N2305" s="35"/>
      <c r="O2305" s="35"/>
      <c r="P2305" s="35"/>
      <c r="Q2305" s="35"/>
      <c r="R2305" s="35"/>
      <c r="S2305" s="35"/>
      <c r="T2305" s="35"/>
      <c r="U2305" s="35"/>
      <c r="V2305" s="35"/>
      <c r="W2305" s="35"/>
      <c r="X2305" s="35"/>
      <c r="Y2305" s="35"/>
      <c r="Z2305" s="35"/>
      <c r="AA2305" s="35"/>
      <c r="AB2305" s="35"/>
      <c r="AC2305" s="35"/>
      <c r="AD2305" s="35"/>
      <c r="AE2305" s="35"/>
      <c r="AF2305" s="35"/>
      <c r="AG2305" s="35"/>
      <c r="AH2305" s="35"/>
      <c r="AI2305" s="35"/>
      <c r="AJ2305" s="35"/>
      <c r="AK2305" s="35"/>
      <c r="AL2305" s="35"/>
      <c r="AM2305" s="35"/>
      <c r="AN2305" s="35"/>
      <c r="AO2305" s="35"/>
      <c r="AP2305" s="35"/>
    </row>
    <row r="2306" spans="1:42" ht="17.25" customHeight="1" x14ac:dyDescent="0.25">
      <c r="A2306" s="55">
        <v>2023</v>
      </c>
      <c r="B2306" s="56" t="s">
        <v>66</v>
      </c>
      <c r="C2306" s="56" t="s">
        <v>17</v>
      </c>
      <c r="D2306" s="56" t="s">
        <v>25</v>
      </c>
      <c r="E2306" s="56" t="s">
        <v>69</v>
      </c>
      <c r="F2306" s="56" t="s">
        <v>71</v>
      </c>
      <c r="G2306" s="57">
        <v>0</v>
      </c>
      <c r="H2306" s="56" t="s">
        <v>68</v>
      </c>
      <c r="I2306" s="58" t="str">
        <f t="shared" si="137"/>
        <v>Ukraine-OTA</v>
      </c>
      <c r="J2306" s="40"/>
      <c r="K2306" s="59"/>
      <c r="L2306" s="35"/>
      <c r="M2306" s="35"/>
      <c r="N2306" s="35"/>
      <c r="O2306" s="35"/>
      <c r="P2306" s="35"/>
      <c r="Q2306" s="35"/>
      <c r="R2306" s="35"/>
      <c r="S2306" s="35"/>
      <c r="T2306" s="35"/>
      <c r="U2306" s="35"/>
      <c r="V2306" s="35"/>
      <c r="W2306" s="35"/>
      <c r="X2306" s="35"/>
      <c r="Y2306" s="35"/>
      <c r="Z2306" s="35"/>
      <c r="AA2306" s="35"/>
      <c r="AB2306" s="35"/>
      <c r="AC2306" s="35"/>
      <c r="AD2306" s="35"/>
      <c r="AE2306" s="35"/>
      <c r="AF2306" s="35"/>
      <c r="AG2306" s="35"/>
      <c r="AH2306" s="35"/>
      <c r="AI2306" s="35"/>
      <c r="AJ2306" s="35"/>
      <c r="AK2306" s="35"/>
      <c r="AL2306" s="35"/>
      <c r="AM2306" s="35"/>
      <c r="AN2306" s="35"/>
      <c r="AO2306" s="35"/>
      <c r="AP2306" s="35"/>
    </row>
    <row r="2307" spans="1:42" ht="17.25" customHeight="1" x14ac:dyDescent="0.25">
      <c r="A2307" s="60">
        <v>2024</v>
      </c>
      <c r="B2307" s="61" t="s">
        <v>66</v>
      </c>
      <c r="C2307" s="61" t="s">
        <v>35</v>
      </c>
      <c r="D2307" s="61" t="s">
        <v>34</v>
      </c>
      <c r="E2307" s="61" t="s">
        <v>67</v>
      </c>
      <c r="F2307" s="61" t="s">
        <v>67</v>
      </c>
      <c r="G2307" s="62">
        <v>4074759361</v>
      </c>
      <c r="H2307" s="61" t="s">
        <v>68</v>
      </c>
      <c r="I2307" s="63" t="str">
        <f t="shared" si="137"/>
        <v>Argentina-Offline</v>
      </c>
      <c r="J2307" s="47"/>
      <c r="K2307" s="54"/>
      <c r="L2307" s="35"/>
      <c r="M2307" s="35"/>
      <c r="N2307" s="35"/>
      <c r="O2307" s="35"/>
      <c r="P2307" s="35"/>
      <c r="Q2307" s="35"/>
      <c r="R2307" s="35"/>
      <c r="S2307" s="35"/>
      <c r="T2307" s="35"/>
      <c r="U2307" s="35"/>
      <c r="V2307" s="35"/>
      <c r="W2307" s="35"/>
      <c r="X2307" s="35"/>
      <c r="Y2307" s="35"/>
      <c r="Z2307" s="35"/>
      <c r="AA2307" s="35"/>
      <c r="AB2307" s="35"/>
      <c r="AC2307" s="35"/>
      <c r="AD2307" s="35"/>
      <c r="AE2307" s="35"/>
      <c r="AF2307" s="35"/>
      <c r="AG2307" s="35"/>
      <c r="AH2307" s="35"/>
      <c r="AI2307" s="35"/>
      <c r="AJ2307" s="35"/>
      <c r="AK2307" s="35"/>
      <c r="AL2307" s="35"/>
      <c r="AM2307" s="35"/>
      <c r="AN2307" s="35"/>
      <c r="AO2307" s="35"/>
      <c r="AP2307" s="35"/>
    </row>
    <row r="2308" spans="1:42" ht="17.25" customHeight="1" x14ac:dyDescent="0.25">
      <c r="A2308" s="55">
        <v>2024</v>
      </c>
      <c r="B2308" s="56" t="s">
        <v>66</v>
      </c>
      <c r="C2308" s="56" t="s">
        <v>35</v>
      </c>
      <c r="D2308" s="56" t="s">
        <v>34</v>
      </c>
      <c r="E2308" s="56" t="s">
        <v>69</v>
      </c>
      <c r="F2308" s="56" t="s">
        <v>70</v>
      </c>
      <c r="G2308" s="57">
        <v>1372403448</v>
      </c>
      <c r="H2308" s="56" t="s">
        <v>68</v>
      </c>
      <c r="I2308" s="58" t="str">
        <f t="shared" si="137"/>
        <v>Argentina-Online Supplier-Direct</v>
      </c>
      <c r="J2308" s="40"/>
      <c r="K2308" s="59"/>
      <c r="L2308" s="35"/>
      <c r="M2308" s="35"/>
      <c r="N2308" s="35"/>
      <c r="O2308" s="35"/>
      <c r="P2308" s="35"/>
      <c r="Q2308" s="35"/>
      <c r="R2308" s="35"/>
      <c r="S2308" s="35"/>
      <c r="T2308" s="35"/>
      <c r="U2308" s="35"/>
      <c r="V2308" s="35"/>
      <c r="W2308" s="35"/>
      <c r="X2308" s="35"/>
      <c r="Y2308" s="35"/>
      <c r="Z2308" s="35"/>
      <c r="AA2308" s="35"/>
      <c r="AB2308" s="35"/>
      <c r="AC2308" s="35"/>
      <c r="AD2308" s="35"/>
      <c r="AE2308" s="35"/>
      <c r="AF2308" s="35"/>
      <c r="AG2308" s="35"/>
      <c r="AH2308" s="35"/>
      <c r="AI2308" s="35"/>
      <c r="AJ2308" s="35"/>
      <c r="AK2308" s="35"/>
      <c r="AL2308" s="35"/>
      <c r="AM2308" s="35"/>
      <c r="AN2308" s="35"/>
      <c r="AO2308" s="35"/>
      <c r="AP2308" s="35"/>
    </row>
    <row r="2309" spans="1:42" ht="17.25" customHeight="1" x14ac:dyDescent="0.25">
      <c r="A2309" s="60">
        <v>2024</v>
      </c>
      <c r="B2309" s="61" t="s">
        <v>66</v>
      </c>
      <c r="C2309" s="61" t="s">
        <v>35</v>
      </c>
      <c r="D2309" s="61" t="s">
        <v>34</v>
      </c>
      <c r="E2309" s="61" t="s">
        <v>69</v>
      </c>
      <c r="F2309" s="61" t="s">
        <v>71</v>
      </c>
      <c r="G2309" s="62">
        <v>1619014324</v>
      </c>
      <c r="H2309" s="61" t="s">
        <v>68</v>
      </c>
      <c r="I2309" s="63" t="str">
        <f t="shared" si="137"/>
        <v>Argentina-OTA</v>
      </c>
      <c r="J2309" s="47"/>
      <c r="K2309" s="54"/>
      <c r="L2309" s="35"/>
      <c r="M2309" s="35"/>
      <c r="N2309" s="35"/>
      <c r="O2309" s="35"/>
      <c r="P2309" s="35"/>
      <c r="Q2309" s="35"/>
      <c r="R2309" s="35"/>
      <c r="S2309" s="35"/>
      <c r="T2309" s="35"/>
      <c r="U2309" s="35"/>
      <c r="V2309" s="35"/>
      <c r="W2309" s="35"/>
      <c r="X2309" s="35"/>
      <c r="Y2309" s="35"/>
      <c r="Z2309" s="35"/>
      <c r="AA2309" s="35"/>
      <c r="AB2309" s="35"/>
      <c r="AC2309" s="35"/>
      <c r="AD2309" s="35"/>
      <c r="AE2309" s="35"/>
      <c r="AF2309" s="35"/>
      <c r="AG2309" s="35"/>
      <c r="AH2309" s="35"/>
      <c r="AI2309" s="35"/>
      <c r="AJ2309" s="35"/>
      <c r="AK2309" s="35"/>
      <c r="AL2309" s="35"/>
      <c r="AM2309" s="35"/>
      <c r="AN2309" s="35"/>
      <c r="AO2309" s="35"/>
      <c r="AP2309" s="35"/>
    </row>
    <row r="2310" spans="1:42" ht="17.25" customHeight="1" x14ac:dyDescent="0.25">
      <c r="A2310" s="55">
        <v>2024</v>
      </c>
      <c r="B2310" s="56" t="s">
        <v>66</v>
      </c>
      <c r="C2310" s="56" t="s">
        <v>4</v>
      </c>
      <c r="D2310" s="56" t="s">
        <v>3</v>
      </c>
      <c r="E2310" s="56" t="s">
        <v>67</v>
      </c>
      <c r="F2310" s="56" t="s">
        <v>67</v>
      </c>
      <c r="G2310" s="57">
        <v>16319826438</v>
      </c>
      <c r="H2310" s="56" t="s">
        <v>68</v>
      </c>
      <c r="I2310" s="58" t="str">
        <f t="shared" si="137"/>
        <v>Australia-New Zealand-Offline</v>
      </c>
      <c r="J2310" s="40"/>
      <c r="K2310" s="59"/>
      <c r="L2310" s="35"/>
      <c r="M2310" s="35"/>
      <c r="N2310" s="35"/>
      <c r="O2310" s="35"/>
      <c r="P2310" s="35"/>
      <c r="Q2310" s="35"/>
      <c r="R2310" s="35"/>
      <c r="S2310" s="35"/>
      <c r="T2310" s="35"/>
      <c r="U2310" s="35"/>
      <c r="V2310" s="35"/>
      <c r="W2310" s="35"/>
      <c r="X2310" s="35"/>
      <c r="Y2310" s="35"/>
      <c r="Z2310" s="35"/>
      <c r="AA2310" s="35"/>
      <c r="AB2310" s="35"/>
      <c r="AC2310" s="35"/>
      <c r="AD2310" s="35"/>
      <c r="AE2310" s="35"/>
      <c r="AF2310" s="35"/>
      <c r="AG2310" s="35"/>
      <c r="AH2310" s="35"/>
      <c r="AI2310" s="35"/>
      <c r="AJ2310" s="35"/>
      <c r="AK2310" s="35"/>
      <c r="AL2310" s="35"/>
      <c r="AM2310" s="35"/>
      <c r="AN2310" s="35"/>
      <c r="AO2310" s="35"/>
      <c r="AP2310" s="35"/>
    </row>
    <row r="2311" spans="1:42" ht="17.25" customHeight="1" x14ac:dyDescent="0.25">
      <c r="A2311" s="60">
        <v>2024</v>
      </c>
      <c r="B2311" s="61" t="s">
        <v>66</v>
      </c>
      <c r="C2311" s="61" t="s">
        <v>4</v>
      </c>
      <c r="D2311" s="61" t="s">
        <v>3</v>
      </c>
      <c r="E2311" s="61" t="s">
        <v>69</v>
      </c>
      <c r="F2311" s="61" t="s">
        <v>70</v>
      </c>
      <c r="G2311" s="62">
        <v>15700670005</v>
      </c>
      <c r="H2311" s="61" t="s">
        <v>68</v>
      </c>
      <c r="I2311" s="63" t="str">
        <f t="shared" si="137"/>
        <v>Australia-New Zealand-Online Supplier-Direct</v>
      </c>
      <c r="J2311" s="47"/>
      <c r="K2311" s="54"/>
      <c r="L2311" s="35"/>
      <c r="M2311" s="35"/>
      <c r="N2311" s="35"/>
      <c r="O2311" s="35"/>
      <c r="P2311" s="35"/>
      <c r="Q2311" s="35"/>
      <c r="R2311" s="35"/>
      <c r="S2311" s="35"/>
      <c r="T2311" s="35"/>
      <c r="U2311" s="35"/>
      <c r="V2311" s="35"/>
      <c r="W2311" s="35"/>
      <c r="X2311" s="35"/>
      <c r="Y2311" s="35"/>
      <c r="Z2311" s="35"/>
      <c r="AA2311" s="35"/>
      <c r="AB2311" s="35"/>
      <c r="AC2311" s="35"/>
      <c r="AD2311" s="35"/>
      <c r="AE2311" s="35"/>
      <c r="AF2311" s="35"/>
      <c r="AG2311" s="35"/>
      <c r="AH2311" s="35"/>
      <c r="AI2311" s="35"/>
      <c r="AJ2311" s="35"/>
      <c r="AK2311" s="35"/>
      <c r="AL2311" s="35"/>
      <c r="AM2311" s="35"/>
      <c r="AN2311" s="35"/>
      <c r="AO2311" s="35"/>
      <c r="AP2311" s="35"/>
    </row>
    <row r="2312" spans="1:42" ht="17.25" customHeight="1" x14ac:dyDescent="0.25">
      <c r="A2312" s="55">
        <v>2024</v>
      </c>
      <c r="B2312" s="56" t="s">
        <v>66</v>
      </c>
      <c r="C2312" s="56" t="s">
        <v>4</v>
      </c>
      <c r="D2312" s="56" t="s">
        <v>3</v>
      </c>
      <c r="E2312" s="56" t="s">
        <v>69</v>
      </c>
      <c r="F2312" s="56" t="s">
        <v>71</v>
      </c>
      <c r="G2312" s="57">
        <v>7045742542</v>
      </c>
      <c r="H2312" s="56" t="s">
        <v>68</v>
      </c>
      <c r="I2312" s="58" t="str">
        <f t="shared" si="137"/>
        <v>Australia-New Zealand-OTA</v>
      </c>
      <c r="J2312" s="40"/>
      <c r="K2312" s="59"/>
      <c r="L2312" s="35"/>
      <c r="M2312" s="35"/>
      <c r="N2312" s="35"/>
      <c r="O2312" s="35"/>
      <c r="P2312" s="35"/>
      <c r="Q2312" s="35"/>
      <c r="R2312" s="35"/>
      <c r="S2312" s="35"/>
      <c r="T2312" s="35"/>
      <c r="U2312" s="35"/>
      <c r="V2312" s="35"/>
      <c r="W2312" s="35"/>
      <c r="X2312" s="35"/>
      <c r="Y2312" s="35"/>
      <c r="Z2312" s="35"/>
      <c r="AA2312" s="35"/>
      <c r="AB2312" s="35"/>
      <c r="AC2312" s="35"/>
      <c r="AD2312" s="35"/>
      <c r="AE2312" s="35"/>
      <c r="AF2312" s="35"/>
      <c r="AG2312" s="35"/>
      <c r="AH2312" s="35"/>
      <c r="AI2312" s="35"/>
      <c r="AJ2312" s="35"/>
      <c r="AK2312" s="35"/>
      <c r="AL2312" s="35"/>
      <c r="AM2312" s="35"/>
      <c r="AN2312" s="35"/>
      <c r="AO2312" s="35"/>
      <c r="AP2312" s="35"/>
    </row>
    <row r="2313" spans="1:42" ht="17.25" customHeight="1" x14ac:dyDescent="0.25">
      <c r="A2313" s="60">
        <v>2024</v>
      </c>
      <c r="B2313" s="61" t="s">
        <v>66</v>
      </c>
      <c r="C2313" s="61" t="s">
        <v>35</v>
      </c>
      <c r="D2313" s="61" t="s">
        <v>36</v>
      </c>
      <c r="E2313" s="61" t="s">
        <v>67</v>
      </c>
      <c r="F2313" s="61" t="s">
        <v>67</v>
      </c>
      <c r="G2313" s="62">
        <v>11647587791</v>
      </c>
      <c r="H2313" s="61" t="s">
        <v>68</v>
      </c>
      <c r="I2313" s="63" t="str">
        <f t="shared" si="137"/>
        <v>Brazil-Offline</v>
      </c>
      <c r="J2313" s="47"/>
      <c r="K2313" s="54"/>
      <c r="L2313" s="35"/>
      <c r="M2313" s="35"/>
      <c r="N2313" s="35"/>
      <c r="O2313" s="35"/>
      <c r="P2313" s="35"/>
      <c r="Q2313" s="35"/>
      <c r="R2313" s="35"/>
      <c r="S2313" s="35"/>
      <c r="T2313" s="35"/>
      <c r="U2313" s="35"/>
      <c r="V2313" s="35"/>
      <c r="W2313" s="35"/>
      <c r="X2313" s="35"/>
      <c r="Y2313" s="35"/>
      <c r="Z2313" s="35"/>
      <c r="AA2313" s="35"/>
      <c r="AB2313" s="35"/>
      <c r="AC2313" s="35"/>
      <c r="AD2313" s="35"/>
      <c r="AE2313" s="35"/>
      <c r="AF2313" s="35"/>
      <c r="AG2313" s="35"/>
      <c r="AH2313" s="35"/>
      <c r="AI2313" s="35"/>
      <c r="AJ2313" s="35"/>
      <c r="AK2313" s="35"/>
      <c r="AL2313" s="35"/>
      <c r="AM2313" s="35"/>
      <c r="AN2313" s="35"/>
      <c r="AO2313" s="35"/>
      <c r="AP2313" s="35"/>
    </row>
    <row r="2314" spans="1:42" ht="17.25" customHeight="1" x14ac:dyDescent="0.25">
      <c r="A2314" s="55">
        <v>2024</v>
      </c>
      <c r="B2314" s="56" t="s">
        <v>66</v>
      </c>
      <c r="C2314" s="56" t="s">
        <v>35</v>
      </c>
      <c r="D2314" s="56" t="s">
        <v>36</v>
      </c>
      <c r="E2314" s="56" t="s">
        <v>69</v>
      </c>
      <c r="F2314" s="56" t="s">
        <v>70</v>
      </c>
      <c r="G2314" s="57">
        <v>5345913856</v>
      </c>
      <c r="H2314" s="56" t="s">
        <v>68</v>
      </c>
      <c r="I2314" s="58" t="str">
        <f t="shared" si="137"/>
        <v>Brazil-Online Supplier-Direct</v>
      </c>
      <c r="J2314" s="40"/>
      <c r="K2314" s="59"/>
      <c r="L2314" s="35"/>
      <c r="M2314" s="35"/>
      <c r="N2314" s="35"/>
      <c r="O2314" s="35"/>
      <c r="P2314" s="35"/>
      <c r="Q2314" s="35"/>
      <c r="R2314" s="35"/>
      <c r="S2314" s="35"/>
      <c r="T2314" s="35"/>
      <c r="U2314" s="35"/>
      <c r="V2314" s="35"/>
      <c r="W2314" s="35"/>
      <c r="X2314" s="35"/>
      <c r="Y2314" s="35"/>
      <c r="Z2314" s="35"/>
      <c r="AA2314" s="35"/>
      <c r="AB2314" s="35"/>
      <c r="AC2314" s="35"/>
      <c r="AD2314" s="35"/>
      <c r="AE2314" s="35"/>
      <c r="AF2314" s="35"/>
      <c r="AG2314" s="35"/>
      <c r="AH2314" s="35"/>
      <c r="AI2314" s="35"/>
      <c r="AJ2314" s="35"/>
      <c r="AK2314" s="35"/>
      <c r="AL2314" s="35"/>
      <c r="AM2314" s="35"/>
      <c r="AN2314" s="35"/>
      <c r="AO2314" s="35"/>
      <c r="AP2314" s="35"/>
    </row>
    <row r="2315" spans="1:42" ht="17.25" customHeight="1" x14ac:dyDescent="0.25">
      <c r="A2315" s="60">
        <v>2024</v>
      </c>
      <c r="B2315" s="61" t="s">
        <v>66</v>
      </c>
      <c r="C2315" s="61" t="s">
        <v>35</v>
      </c>
      <c r="D2315" s="61" t="s">
        <v>36</v>
      </c>
      <c r="E2315" s="61" t="s">
        <v>69</v>
      </c>
      <c r="F2315" s="61" t="s">
        <v>71</v>
      </c>
      <c r="G2315" s="62">
        <v>6379031383</v>
      </c>
      <c r="H2315" s="61" t="s">
        <v>68</v>
      </c>
      <c r="I2315" s="63" t="str">
        <f t="shared" si="137"/>
        <v>Brazil-OTA</v>
      </c>
      <c r="J2315" s="47"/>
      <c r="K2315" s="54"/>
      <c r="L2315" s="35"/>
      <c r="M2315" s="35"/>
      <c r="N2315" s="35"/>
      <c r="O2315" s="35"/>
      <c r="P2315" s="35"/>
      <c r="Q2315" s="35"/>
      <c r="R2315" s="35"/>
      <c r="S2315" s="35"/>
      <c r="T2315" s="35"/>
      <c r="U2315" s="35"/>
      <c r="V2315" s="35"/>
      <c r="W2315" s="35"/>
      <c r="X2315" s="35"/>
      <c r="Y2315" s="35"/>
      <c r="Z2315" s="35"/>
      <c r="AA2315" s="35"/>
      <c r="AB2315" s="35"/>
      <c r="AC2315" s="35"/>
      <c r="AD2315" s="35"/>
      <c r="AE2315" s="35"/>
      <c r="AF2315" s="35"/>
      <c r="AG2315" s="35"/>
      <c r="AH2315" s="35"/>
      <c r="AI2315" s="35"/>
      <c r="AJ2315" s="35"/>
      <c r="AK2315" s="35"/>
      <c r="AL2315" s="35"/>
      <c r="AM2315" s="35"/>
      <c r="AN2315" s="35"/>
      <c r="AO2315" s="35"/>
      <c r="AP2315" s="35"/>
    </row>
    <row r="2316" spans="1:42" ht="17.25" customHeight="1" x14ac:dyDescent="0.25">
      <c r="A2316" s="55">
        <v>2024</v>
      </c>
      <c r="B2316" s="56" t="s">
        <v>66</v>
      </c>
      <c r="C2316" s="56" t="s">
        <v>17</v>
      </c>
      <c r="D2316" s="56" t="s">
        <v>16</v>
      </c>
      <c r="E2316" s="56" t="s">
        <v>67</v>
      </c>
      <c r="F2316" s="56" t="s">
        <v>67</v>
      </c>
      <c r="G2316" s="57">
        <v>822934450</v>
      </c>
      <c r="H2316" s="56" t="s">
        <v>68</v>
      </c>
      <c r="I2316" s="58" t="str">
        <f t="shared" si="137"/>
        <v>Bulgaria-Offline</v>
      </c>
      <c r="J2316" s="40"/>
      <c r="K2316" s="59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  <c r="AG2316" s="35"/>
      <c r="AH2316" s="35"/>
      <c r="AI2316" s="35"/>
      <c r="AJ2316" s="35"/>
      <c r="AK2316" s="35"/>
      <c r="AL2316" s="35"/>
      <c r="AM2316" s="35"/>
      <c r="AN2316" s="35"/>
      <c r="AO2316" s="35"/>
      <c r="AP2316" s="35"/>
    </row>
    <row r="2317" spans="1:42" ht="17.25" customHeight="1" x14ac:dyDescent="0.25">
      <c r="A2317" s="60">
        <v>2024</v>
      </c>
      <c r="B2317" s="61" t="s">
        <v>66</v>
      </c>
      <c r="C2317" s="61" t="s">
        <v>17</v>
      </c>
      <c r="D2317" s="61" t="s">
        <v>16</v>
      </c>
      <c r="E2317" s="61" t="s">
        <v>69</v>
      </c>
      <c r="F2317" s="61" t="s">
        <v>70</v>
      </c>
      <c r="G2317" s="62">
        <v>244128361</v>
      </c>
      <c r="H2317" s="61" t="s">
        <v>68</v>
      </c>
      <c r="I2317" s="63" t="str">
        <f t="shared" si="137"/>
        <v>Bulgaria-Online Supplier-Direct</v>
      </c>
      <c r="J2317" s="47"/>
      <c r="K2317" s="54"/>
      <c r="L2317" s="35"/>
      <c r="M2317" s="35"/>
      <c r="N2317" s="35"/>
      <c r="O2317" s="35"/>
      <c r="P2317" s="35"/>
      <c r="Q2317" s="35"/>
      <c r="R2317" s="35"/>
      <c r="S2317" s="35"/>
      <c r="T2317" s="35"/>
      <c r="U2317" s="35"/>
      <c r="V2317" s="35"/>
      <c r="W2317" s="35"/>
      <c r="X2317" s="35"/>
      <c r="Y2317" s="35"/>
      <c r="Z2317" s="35"/>
      <c r="AA2317" s="35"/>
      <c r="AB2317" s="35"/>
      <c r="AC2317" s="35"/>
      <c r="AD2317" s="35"/>
      <c r="AE2317" s="35"/>
      <c r="AF2317" s="35"/>
      <c r="AG2317" s="35"/>
      <c r="AH2317" s="35"/>
      <c r="AI2317" s="35"/>
      <c r="AJ2317" s="35"/>
      <c r="AK2317" s="35"/>
      <c r="AL2317" s="35"/>
      <c r="AM2317" s="35"/>
      <c r="AN2317" s="35"/>
      <c r="AO2317" s="35"/>
      <c r="AP2317" s="35"/>
    </row>
    <row r="2318" spans="1:42" ht="17.25" customHeight="1" x14ac:dyDescent="0.25">
      <c r="A2318" s="55">
        <v>2024</v>
      </c>
      <c r="B2318" s="56" t="s">
        <v>66</v>
      </c>
      <c r="C2318" s="56" t="s">
        <v>17</v>
      </c>
      <c r="D2318" s="56" t="s">
        <v>16</v>
      </c>
      <c r="E2318" s="56" t="s">
        <v>69</v>
      </c>
      <c r="F2318" s="56" t="s">
        <v>71</v>
      </c>
      <c r="G2318" s="57">
        <v>566819549</v>
      </c>
      <c r="H2318" s="56" t="s">
        <v>68</v>
      </c>
      <c r="I2318" s="58" t="str">
        <f t="shared" si="137"/>
        <v>Bulgaria-OTA</v>
      </c>
      <c r="J2318" s="40"/>
      <c r="K2318" s="59"/>
      <c r="L2318" s="35"/>
      <c r="M2318" s="35"/>
      <c r="N2318" s="35"/>
      <c r="O2318" s="35"/>
      <c r="P2318" s="35"/>
      <c r="Q2318" s="35"/>
      <c r="R2318" s="35"/>
      <c r="S2318" s="35"/>
      <c r="T2318" s="35"/>
      <c r="U2318" s="35"/>
      <c r="V2318" s="35"/>
      <c r="W2318" s="35"/>
      <c r="X2318" s="35"/>
      <c r="Y2318" s="35"/>
      <c r="Z2318" s="35"/>
      <c r="AA2318" s="35"/>
      <c r="AB2318" s="35"/>
      <c r="AC2318" s="35"/>
      <c r="AD2318" s="35"/>
      <c r="AE2318" s="35"/>
      <c r="AF2318" s="35"/>
      <c r="AG2318" s="35"/>
      <c r="AH2318" s="35"/>
      <c r="AI2318" s="35"/>
      <c r="AJ2318" s="35"/>
      <c r="AK2318" s="35"/>
      <c r="AL2318" s="35"/>
      <c r="AM2318" s="35"/>
      <c r="AN2318" s="35"/>
      <c r="AO2318" s="35"/>
      <c r="AP2318" s="35"/>
    </row>
    <row r="2319" spans="1:42" ht="17.25" customHeight="1" x14ac:dyDescent="0.25">
      <c r="A2319" s="60">
        <v>2024</v>
      </c>
      <c r="B2319" s="61" t="s">
        <v>66</v>
      </c>
      <c r="C2319" s="61" t="s">
        <v>47</v>
      </c>
      <c r="D2319" s="61" t="s">
        <v>46</v>
      </c>
      <c r="E2319" s="61" t="s">
        <v>72</v>
      </c>
      <c r="F2319" s="61" t="s">
        <v>73</v>
      </c>
      <c r="G2319" s="62">
        <v>8515658500</v>
      </c>
      <c r="H2319" s="61" t="s">
        <v>68</v>
      </c>
      <c r="I2319" s="63" t="str">
        <f t="shared" si="137"/>
        <v>Canada-Central Reservation</v>
      </c>
      <c r="J2319" s="47"/>
      <c r="K2319" s="54"/>
      <c r="L2319" s="35"/>
      <c r="M2319" s="35"/>
      <c r="N2319" s="35"/>
      <c r="O2319" s="35"/>
      <c r="P2319" s="35"/>
      <c r="Q2319" s="35"/>
      <c r="R2319" s="35"/>
      <c r="S2319" s="35"/>
      <c r="T2319" s="35"/>
      <c r="U2319" s="35"/>
      <c r="V2319" s="35"/>
      <c r="W2319" s="35"/>
      <c r="X2319" s="35"/>
      <c r="Y2319" s="35"/>
      <c r="Z2319" s="35"/>
      <c r="AA2319" s="35"/>
      <c r="AB2319" s="35"/>
      <c r="AC2319" s="35"/>
      <c r="AD2319" s="35"/>
      <c r="AE2319" s="35"/>
      <c r="AF2319" s="35"/>
      <c r="AG2319" s="35"/>
      <c r="AH2319" s="35"/>
      <c r="AI2319" s="35"/>
      <c r="AJ2319" s="35"/>
      <c r="AK2319" s="35"/>
      <c r="AL2319" s="35"/>
      <c r="AM2319" s="35"/>
      <c r="AN2319" s="35"/>
      <c r="AO2319" s="35"/>
      <c r="AP2319" s="35"/>
    </row>
    <row r="2320" spans="1:42" ht="17.25" customHeight="1" x14ac:dyDescent="0.25">
      <c r="A2320" s="55">
        <v>2024</v>
      </c>
      <c r="B2320" s="56" t="s">
        <v>66</v>
      </c>
      <c r="C2320" s="56" t="s">
        <v>47</v>
      </c>
      <c r="D2320" s="56" t="s">
        <v>46</v>
      </c>
      <c r="E2320" s="56" t="s">
        <v>67</v>
      </c>
      <c r="F2320" s="56" t="s">
        <v>74</v>
      </c>
      <c r="G2320" s="57">
        <v>7481250310</v>
      </c>
      <c r="H2320" s="56" t="s">
        <v>68</v>
      </c>
      <c r="I2320" s="58" t="str">
        <f t="shared" si="137"/>
        <v>Canada-Travel Agency/TMC</v>
      </c>
      <c r="J2320" s="40"/>
      <c r="K2320" s="59"/>
      <c r="L2320" s="35"/>
      <c r="M2320" s="35"/>
      <c r="N2320" s="35"/>
      <c r="O2320" s="35"/>
      <c r="P2320" s="35"/>
      <c r="Q2320" s="35"/>
      <c r="R2320" s="35"/>
      <c r="S2320" s="35"/>
      <c r="T2320" s="35"/>
      <c r="U2320" s="35"/>
      <c r="V2320" s="35"/>
      <c r="W2320" s="35"/>
      <c r="X2320" s="35"/>
      <c r="Y2320" s="35"/>
      <c r="Z2320" s="35"/>
      <c r="AA2320" s="35"/>
      <c r="AB2320" s="35"/>
      <c r="AC2320" s="35"/>
      <c r="AD2320" s="35"/>
      <c r="AE2320" s="35"/>
      <c r="AF2320" s="35"/>
      <c r="AG2320" s="35"/>
      <c r="AH2320" s="35"/>
      <c r="AI2320" s="35"/>
      <c r="AJ2320" s="35"/>
      <c r="AK2320" s="35"/>
      <c r="AL2320" s="35"/>
      <c r="AM2320" s="35"/>
      <c r="AN2320" s="35"/>
      <c r="AO2320" s="35"/>
      <c r="AP2320" s="35"/>
    </row>
    <row r="2321" spans="1:42" ht="17.25" customHeight="1" x14ac:dyDescent="0.25">
      <c r="A2321" s="60">
        <v>2024</v>
      </c>
      <c r="B2321" s="61" t="s">
        <v>66</v>
      </c>
      <c r="C2321" s="61" t="s">
        <v>47</v>
      </c>
      <c r="D2321" s="61" t="s">
        <v>46</v>
      </c>
      <c r="E2321" s="61" t="s">
        <v>69</v>
      </c>
      <c r="F2321" s="61" t="s">
        <v>70</v>
      </c>
      <c r="G2321" s="62">
        <v>14951280803</v>
      </c>
      <c r="H2321" s="61" t="s">
        <v>68</v>
      </c>
      <c r="I2321" s="63" t="str">
        <f t="shared" si="137"/>
        <v>Canada-Online Supplier-Direct</v>
      </c>
      <c r="J2321" s="47"/>
      <c r="K2321" s="54"/>
      <c r="L2321" s="35"/>
      <c r="M2321" s="35"/>
      <c r="N2321" s="35"/>
      <c r="O2321" s="35"/>
      <c r="P2321" s="35"/>
      <c r="Q2321" s="35"/>
      <c r="R2321" s="35"/>
      <c r="S2321" s="35"/>
      <c r="T2321" s="35"/>
      <c r="U2321" s="35"/>
      <c r="V2321" s="35"/>
      <c r="W2321" s="35"/>
      <c r="X2321" s="35"/>
      <c r="Y2321" s="35"/>
      <c r="Z2321" s="35"/>
      <c r="AA2321" s="35"/>
      <c r="AB2321" s="35"/>
      <c r="AC2321" s="35"/>
      <c r="AD2321" s="35"/>
      <c r="AE2321" s="35"/>
      <c r="AF2321" s="35"/>
      <c r="AG2321" s="35"/>
      <c r="AH2321" s="35"/>
      <c r="AI2321" s="35"/>
      <c r="AJ2321" s="35"/>
      <c r="AK2321" s="35"/>
      <c r="AL2321" s="35"/>
      <c r="AM2321" s="35"/>
      <c r="AN2321" s="35"/>
      <c r="AO2321" s="35"/>
      <c r="AP2321" s="35"/>
    </row>
    <row r="2322" spans="1:42" ht="17.25" customHeight="1" x14ac:dyDescent="0.25">
      <c r="A2322" s="55">
        <v>2024</v>
      </c>
      <c r="B2322" s="56" t="s">
        <v>66</v>
      </c>
      <c r="C2322" s="56" t="s">
        <v>47</v>
      </c>
      <c r="D2322" s="56" t="s">
        <v>46</v>
      </c>
      <c r="E2322" s="56" t="s">
        <v>69</v>
      </c>
      <c r="F2322" s="56" t="s">
        <v>71</v>
      </c>
      <c r="G2322" s="57">
        <v>10328159380</v>
      </c>
      <c r="H2322" s="56" t="s">
        <v>68</v>
      </c>
      <c r="I2322" s="58" t="str">
        <f t="shared" si="137"/>
        <v>Canada-OTA</v>
      </c>
      <c r="J2322" s="40"/>
      <c r="K2322" s="59"/>
      <c r="L2322" s="35"/>
      <c r="M2322" s="35"/>
      <c r="N2322" s="35"/>
      <c r="O2322" s="35"/>
      <c r="P2322" s="35"/>
      <c r="Q2322" s="35"/>
      <c r="R2322" s="35"/>
      <c r="S2322" s="35"/>
      <c r="T2322" s="35"/>
      <c r="U2322" s="35"/>
      <c r="V2322" s="35"/>
      <c r="W2322" s="35"/>
      <c r="X2322" s="35"/>
      <c r="Y2322" s="35"/>
      <c r="Z2322" s="35"/>
      <c r="AA2322" s="35"/>
      <c r="AB2322" s="35"/>
      <c r="AC2322" s="35"/>
      <c r="AD2322" s="35"/>
      <c r="AE2322" s="35"/>
      <c r="AF2322" s="35"/>
      <c r="AG2322" s="35"/>
      <c r="AH2322" s="35"/>
      <c r="AI2322" s="35"/>
      <c r="AJ2322" s="35"/>
      <c r="AK2322" s="35"/>
      <c r="AL2322" s="35"/>
      <c r="AM2322" s="35"/>
      <c r="AN2322" s="35"/>
      <c r="AO2322" s="35"/>
      <c r="AP2322" s="35"/>
    </row>
    <row r="2323" spans="1:42" ht="17.25" customHeight="1" x14ac:dyDescent="0.25">
      <c r="A2323" s="60">
        <v>2024</v>
      </c>
      <c r="B2323" s="61" t="s">
        <v>66</v>
      </c>
      <c r="C2323" s="61" t="s">
        <v>35</v>
      </c>
      <c r="D2323" s="61" t="s">
        <v>37</v>
      </c>
      <c r="E2323" s="61" t="s">
        <v>67</v>
      </c>
      <c r="F2323" s="61" t="s">
        <v>67</v>
      </c>
      <c r="G2323" s="62">
        <v>1900308887</v>
      </c>
      <c r="H2323" s="61" t="s">
        <v>68</v>
      </c>
      <c r="I2323" s="63" t="str">
        <f t="shared" si="137"/>
        <v>Chile-Offline</v>
      </c>
      <c r="J2323" s="47"/>
      <c r="K2323" s="54"/>
      <c r="L2323" s="35"/>
      <c r="M2323" s="35"/>
      <c r="N2323" s="35"/>
      <c r="O2323" s="35"/>
      <c r="P2323" s="35"/>
      <c r="Q2323" s="35"/>
      <c r="R2323" s="35"/>
      <c r="S2323" s="35"/>
      <c r="T2323" s="35"/>
      <c r="U2323" s="35"/>
      <c r="V2323" s="35"/>
      <c r="W2323" s="35"/>
      <c r="X2323" s="35"/>
      <c r="Y2323" s="35"/>
      <c r="Z2323" s="35"/>
      <c r="AA2323" s="35"/>
      <c r="AB2323" s="35"/>
      <c r="AC2323" s="35"/>
      <c r="AD2323" s="35"/>
      <c r="AE2323" s="35"/>
      <c r="AF2323" s="35"/>
      <c r="AG2323" s="35"/>
      <c r="AH2323" s="35"/>
      <c r="AI2323" s="35"/>
      <c r="AJ2323" s="35"/>
      <c r="AK2323" s="35"/>
      <c r="AL2323" s="35"/>
      <c r="AM2323" s="35"/>
      <c r="AN2323" s="35"/>
      <c r="AO2323" s="35"/>
      <c r="AP2323" s="35"/>
    </row>
    <row r="2324" spans="1:42" ht="17.25" customHeight="1" x14ac:dyDescent="0.25">
      <c r="A2324" s="55">
        <v>2024</v>
      </c>
      <c r="B2324" s="56" t="s">
        <v>66</v>
      </c>
      <c r="C2324" s="56" t="s">
        <v>35</v>
      </c>
      <c r="D2324" s="56" t="s">
        <v>37</v>
      </c>
      <c r="E2324" s="56" t="s">
        <v>69</v>
      </c>
      <c r="F2324" s="56" t="s">
        <v>70</v>
      </c>
      <c r="G2324" s="57">
        <v>1142281021</v>
      </c>
      <c r="H2324" s="56" t="s">
        <v>68</v>
      </c>
      <c r="I2324" s="58" t="str">
        <f t="shared" si="137"/>
        <v>Chile-Online Supplier-Direct</v>
      </c>
      <c r="J2324" s="40"/>
      <c r="K2324" s="59"/>
      <c r="L2324" s="35"/>
      <c r="M2324" s="35"/>
      <c r="N2324" s="35"/>
      <c r="O2324" s="35"/>
      <c r="P2324" s="35"/>
      <c r="Q2324" s="35"/>
      <c r="R2324" s="35"/>
      <c r="S2324" s="35"/>
      <c r="T2324" s="35"/>
      <c r="U2324" s="35"/>
      <c r="V2324" s="35"/>
      <c r="W2324" s="35"/>
      <c r="X2324" s="35"/>
      <c r="Y2324" s="35"/>
      <c r="Z2324" s="35"/>
      <c r="AA2324" s="35"/>
      <c r="AB2324" s="35"/>
      <c r="AC2324" s="35"/>
      <c r="AD2324" s="35"/>
      <c r="AE2324" s="35"/>
      <c r="AF2324" s="35"/>
      <c r="AG2324" s="35"/>
      <c r="AH2324" s="35"/>
      <c r="AI2324" s="35"/>
      <c r="AJ2324" s="35"/>
      <c r="AK2324" s="35"/>
      <c r="AL2324" s="35"/>
      <c r="AM2324" s="35"/>
      <c r="AN2324" s="35"/>
      <c r="AO2324" s="35"/>
      <c r="AP2324" s="35"/>
    </row>
    <row r="2325" spans="1:42" ht="17.25" customHeight="1" x14ac:dyDescent="0.25">
      <c r="A2325" s="60">
        <v>2024</v>
      </c>
      <c r="B2325" s="61" t="s">
        <v>66</v>
      </c>
      <c r="C2325" s="61" t="s">
        <v>35</v>
      </c>
      <c r="D2325" s="61" t="s">
        <v>37</v>
      </c>
      <c r="E2325" s="61" t="s">
        <v>69</v>
      </c>
      <c r="F2325" s="61" t="s">
        <v>71</v>
      </c>
      <c r="G2325" s="62">
        <v>945579845</v>
      </c>
      <c r="H2325" s="61" t="s">
        <v>68</v>
      </c>
      <c r="I2325" s="63" t="str">
        <f t="shared" si="137"/>
        <v>Chile-OTA</v>
      </c>
      <c r="J2325" s="47"/>
      <c r="K2325" s="54"/>
      <c r="L2325" s="35"/>
      <c r="M2325" s="35"/>
      <c r="N2325" s="35"/>
      <c r="O2325" s="35"/>
      <c r="P2325" s="35"/>
      <c r="Q2325" s="35"/>
      <c r="R2325" s="35"/>
      <c r="S2325" s="35"/>
      <c r="T2325" s="35"/>
      <c r="U2325" s="35"/>
      <c r="V2325" s="35"/>
      <c r="W2325" s="35"/>
      <c r="X2325" s="35"/>
      <c r="Y2325" s="35"/>
      <c r="Z2325" s="35"/>
      <c r="AA2325" s="35"/>
      <c r="AB2325" s="35"/>
      <c r="AC2325" s="35"/>
      <c r="AD2325" s="35"/>
      <c r="AE2325" s="35"/>
      <c r="AF2325" s="35"/>
      <c r="AG2325" s="35"/>
      <c r="AH2325" s="35"/>
      <c r="AI2325" s="35"/>
      <c r="AJ2325" s="35"/>
      <c r="AK2325" s="35"/>
      <c r="AL2325" s="35"/>
      <c r="AM2325" s="35"/>
      <c r="AN2325" s="35"/>
      <c r="AO2325" s="35"/>
      <c r="AP2325" s="35"/>
    </row>
    <row r="2326" spans="1:42" ht="17.25" customHeight="1" x14ac:dyDescent="0.25">
      <c r="A2326" s="55">
        <v>2024</v>
      </c>
      <c r="B2326" s="56" t="s">
        <v>66</v>
      </c>
      <c r="C2326" s="56" t="s">
        <v>4</v>
      </c>
      <c r="D2326" s="56" t="s">
        <v>5</v>
      </c>
      <c r="E2326" s="56" t="s">
        <v>67</v>
      </c>
      <c r="F2326" s="56" t="s">
        <v>67</v>
      </c>
      <c r="G2326" s="57">
        <v>46404613974</v>
      </c>
      <c r="H2326" s="56" t="s">
        <v>68</v>
      </c>
      <c r="I2326" s="58" t="str">
        <f t="shared" si="137"/>
        <v>China-Offline</v>
      </c>
      <c r="J2326" s="40"/>
      <c r="K2326" s="59"/>
      <c r="L2326" s="35"/>
      <c r="M2326" s="35"/>
      <c r="N2326" s="35"/>
      <c r="O2326" s="35"/>
      <c r="P2326" s="35"/>
      <c r="Q2326" s="35"/>
      <c r="R2326" s="35"/>
      <c r="S2326" s="35"/>
      <c r="T2326" s="35"/>
      <c r="U2326" s="35"/>
      <c r="V2326" s="35"/>
      <c r="W2326" s="35"/>
      <c r="X2326" s="35"/>
      <c r="Y2326" s="35"/>
      <c r="Z2326" s="35"/>
      <c r="AA2326" s="35"/>
      <c r="AB2326" s="35"/>
      <c r="AC2326" s="35"/>
      <c r="AD2326" s="35"/>
      <c r="AE2326" s="35"/>
      <c r="AF2326" s="35"/>
      <c r="AG2326" s="35"/>
      <c r="AH2326" s="35"/>
      <c r="AI2326" s="35"/>
      <c r="AJ2326" s="35"/>
      <c r="AK2326" s="35"/>
      <c r="AL2326" s="35"/>
      <c r="AM2326" s="35"/>
      <c r="AN2326" s="35"/>
      <c r="AO2326" s="35"/>
      <c r="AP2326" s="35"/>
    </row>
    <row r="2327" spans="1:42" ht="17.25" customHeight="1" x14ac:dyDescent="0.25">
      <c r="A2327" s="60">
        <v>2024</v>
      </c>
      <c r="B2327" s="61" t="s">
        <v>66</v>
      </c>
      <c r="C2327" s="61" t="s">
        <v>4</v>
      </c>
      <c r="D2327" s="61" t="s">
        <v>5</v>
      </c>
      <c r="E2327" s="61" t="s">
        <v>69</v>
      </c>
      <c r="F2327" s="61" t="s">
        <v>70</v>
      </c>
      <c r="G2327" s="62">
        <v>59074677207</v>
      </c>
      <c r="H2327" s="61" t="s">
        <v>68</v>
      </c>
      <c r="I2327" s="63" t="str">
        <f t="shared" si="137"/>
        <v>China-Online Supplier-Direct</v>
      </c>
      <c r="J2327" s="47"/>
      <c r="K2327" s="54"/>
      <c r="L2327" s="35"/>
      <c r="M2327" s="35"/>
      <c r="N2327" s="35"/>
      <c r="O2327" s="35"/>
      <c r="P2327" s="35"/>
      <c r="Q2327" s="35"/>
      <c r="R2327" s="35"/>
      <c r="S2327" s="35"/>
      <c r="T2327" s="35"/>
      <c r="U2327" s="35"/>
      <c r="V2327" s="35"/>
      <c r="W2327" s="35"/>
      <c r="X2327" s="35"/>
      <c r="Y2327" s="35"/>
      <c r="Z2327" s="35"/>
      <c r="AA2327" s="35"/>
      <c r="AB2327" s="35"/>
      <c r="AC2327" s="35"/>
      <c r="AD2327" s="35"/>
      <c r="AE2327" s="35"/>
      <c r="AF2327" s="35"/>
      <c r="AG2327" s="35"/>
      <c r="AH2327" s="35"/>
      <c r="AI2327" s="35"/>
      <c r="AJ2327" s="35"/>
      <c r="AK2327" s="35"/>
      <c r="AL2327" s="35"/>
      <c r="AM2327" s="35"/>
      <c r="AN2327" s="35"/>
      <c r="AO2327" s="35"/>
      <c r="AP2327" s="35"/>
    </row>
    <row r="2328" spans="1:42" ht="17.25" customHeight="1" x14ac:dyDescent="0.25">
      <c r="A2328" s="55">
        <v>2024</v>
      </c>
      <c r="B2328" s="56" t="s">
        <v>66</v>
      </c>
      <c r="C2328" s="56" t="s">
        <v>4</v>
      </c>
      <c r="D2328" s="56" t="s">
        <v>5</v>
      </c>
      <c r="E2328" s="56" t="s">
        <v>69</v>
      </c>
      <c r="F2328" s="56" t="s">
        <v>71</v>
      </c>
      <c r="G2328" s="57">
        <v>62314975756</v>
      </c>
      <c r="H2328" s="56" t="s">
        <v>68</v>
      </c>
      <c r="I2328" s="58" t="str">
        <f t="shared" si="137"/>
        <v>China-OTA</v>
      </c>
      <c r="J2328" s="40"/>
      <c r="K2328" s="59"/>
      <c r="L2328" s="35"/>
      <c r="M2328" s="35"/>
      <c r="N2328" s="35"/>
      <c r="O2328" s="35"/>
      <c r="P2328" s="35"/>
      <c r="Q2328" s="35"/>
      <c r="R2328" s="35"/>
      <c r="S2328" s="35"/>
      <c r="T2328" s="35"/>
      <c r="U2328" s="35"/>
      <c r="V2328" s="35"/>
      <c r="W2328" s="35"/>
      <c r="X2328" s="35"/>
      <c r="Y2328" s="35"/>
      <c r="Z2328" s="35"/>
      <c r="AA2328" s="35"/>
      <c r="AB2328" s="35"/>
      <c r="AC2328" s="35"/>
      <c r="AD2328" s="35"/>
      <c r="AE2328" s="35"/>
      <c r="AF2328" s="35"/>
      <c r="AG2328" s="35"/>
      <c r="AH2328" s="35"/>
      <c r="AI2328" s="35"/>
      <c r="AJ2328" s="35"/>
      <c r="AK2328" s="35"/>
      <c r="AL2328" s="35"/>
      <c r="AM2328" s="35"/>
      <c r="AN2328" s="35"/>
      <c r="AO2328" s="35"/>
      <c r="AP2328" s="35"/>
    </row>
    <row r="2329" spans="1:42" ht="17.25" customHeight="1" x14ac:dyDescent="0.25">
      <c r="A2329" s="60">
        <v>2024</v>
      </c>
      <c r="B2329" s="61" t="s">
        <v>66</v>
      </c>
      <c r="C2329" s="61" t="s">
        <v>35</v>
      </c>
      <c r="D2329" s="61" t="s">
        <v>38</v>
      </c>
      <c r="E2329" s="61" t="s">
        <v>67</v>
      </c>
      <c r="F2329" s="61" t="s">
        <v>67</v>
      </c>
      <c r="G2329" s="62">
        <v>3111420641</v>
      </c>
      <c r="H2329" s="61" t="s">
        <v>68</v>
      </c>
      <c r="I2329" s="63" t="str">
        <f t="shared" si="137"/>
        <v>Colombia-Offline</v>
      </c>
      <c r="J2329" s="47"/>
      <c r="K2329" s="54"/>
      <c r="L2329" s="35"/>
      <c r="M2329" s="35"/>
      <c r="N2329" s="35"/>
      <c r="O2329" s="35"/>
      <c r="P2329" s="35"/>
      <c r="Q2329" s="35"/>
      <c r="R2329" s="35"/>
      <c r="S2329" s="35"/>
      <c r="T2329" s="35"/>
      <c r="U2329" s="35"/>
      <c r="V2329" s="35"/>
      <c r="W2329" s="35"/>
      <c r="X2329" s="35"/>
      <c r="Y2329" s="35"/>
      <c r="Z2329" s="35"/>
      <c r="AA2329" s="35"/>
      <c r="AB2329" s="35"/>
      <c r="AC2329" s="35"/>
      <c r="AD2329" s="35"/>
      <c r="AE2329" s="35"/>
      <c r="AF2329" s="35"/>
      <c r="AG2329" s="35"/>
      <c r="AH2329" s="35"/>
      <c r="AI2329" s="35"/>
      <c r="AJ2329" s="35"/>
      <c r="AK2329" s="35"/>
      <c r="AL2329" s="35"/>
      <c r="AM2329" s="35"/>
      <c r="AN2329" s="35"/>
      <c r="AO2329" s="35"/>
      <c r="AP2329" s="35"/>
    </row>
    <row r="2330" spans="1:42" ht="17.25" customHeight="1" x14ac:dyDescent="0.25">
      <c r="A2330" s="55">
        <v>2024</v>
      </c>
      <c r="B2330" s="56" t="s">
        <v>66</v>
      </c>
      <c r="C2330" s="56" t="s">
        <v>35</v>
      </c>
      <c r="D2330" s="56" t="s">
        <v>38</v>
      </c>
      <c r="E2330" s="56" t="s">
        <v>69</v>
      </c>
      <c r="F2330" s="56" t="s">
        <v>70</v>
      </c>
      <c r="G2330" s="57">
        <v>1517428173</v>
      </c>
      <c r="H2330" s="56" t="s">
        <v>68</v>
      </c>
      <c r="I2330" s="58" t="str">
        <f t="shared" si="137"/>
        <v>Colombia-Online Supplier-Direct</v>
      </c>
      <c r="J2330" s="40"/>
      <c r="K2330" s="59"/>
      <c r="L2330" s="35"/>
      <c r="M2330" s="35"/>
      <c r="N2330" s="35"/>
      <c r="O2330" s="35"/>
      <c r="P2330" s="35"/>
      <c r="Q2330" s="35"/>
      <c r="R2330" s="35"/>
      <c r="S2330" s="35"/>
      <c r="T2330" s="35"/>
      <c r="U2330" s="35"/>
      <c r="V2330" s="35"/>
      <c r="W2330" s="35"/>
      <c r="X2330" s="35"/>
      <c r="Y2330" s="35"/>
      <c r="Z2330" s="35"/>
      <c r="AA2330" s="35"/>
      <c r="AB2330" s="35"/>
      <c r="AC2330" s="35"/>
      <c r="AD2330" s="35"/>
      <c r="AE2330" s="35"/>
      <c r="AF2330" s="35"/>
      <c r="AG2330" s="35"/>
      <c r="AH2330" s="35"/>
      <c r="AI2330" s="35"/>
      <c r="AJ2330" s="35"/>
      <c r="AK2330" s="35"/>
      <c r="AL2330" s="35"/>
      <c r="AM2330" s="35"/>
      <c r="AN2330" s="35"/>
      <c r="AO2330" s="35"/>
      <c r="AP2330" s="35"/>
    </row>
    <row r="2331" spans="1:42" ht="17.25" customHeight="1" x14ac:dyDescent="0.25">
      <c r="A2331" s="60">
        <v>2024</v>
      </c>
      <c r="B2331" s="61" t="s">
        <v>66</v>
      </c>
      <c r="C2331" s="61" t="s">
        <v>35</v>
      </c>
      <c r="D2331" s="61" t="s">
        <v>38</v>
      </c>
      <c r="E2331" s="61" t="s">
        <v>69</v>
      </c>
      <c r="F2331" s="61" t="s">
        <v>71</v>
      </c>
      <c r="G2331" s="62">
        <v>1309244137</v>
      </c>
      <c r="H2331" s="61" t="s">
        <v>68</v>
      </c>
      <c r="I2331" s="63" t="str">
        <f t="shared" si="137"/>
        <v>Colombia-OTA</v>
      </c>
      <c r="J2331" s="47"/>
      <c r="K2331" s="54"/>
      <c r="L2331" s="35"/>
      <c r="M2331" s="35"/>
      <c r="N2331" s="35"/>
      <c r="O2331" s="35"/>
      <c r="P2331" s="35"/>
      <c r="Q2331" s="35"/>
      <c r="R2331" s="35"/>
      <c r="S2331" s="35"/>
      <c r="T2331" s="35"/>
      <c r="U2331" s="35"/>
      <c r="V2331" s="35"/>
      <c r="W2331" s="35"/>
      <c r="X2331" s="35"/>
      <c r="Y2331" s="35"/>
      <c r="Z2331" s="35"/>
      <c r="AA2331" s="35"/>
      <c r="AB2331" s="35"/>
      <c r="AC2331" s="35"/>
      <c r="AD2331" s="35"/>
      <c r="AE2331" s="35"/>
      <c r="AF2331" s="35"/>
      <c r="AG2331" s="35"/>
      <c r="AH2331" s="35"/>
      <c r="AI2331" s="35"/>
      <c r="AJ2331" s="35"/>
      <c r="AK2331" s="35"/>
      <c r="AL2331" s="35"/>
      <c r="AM2331" s="35"/>
      <c r="AN2331" s="35"/>
      <c r="AO2331" s="35"/>
      <c r="AP2331" s="35"/>
    </row>
    <row r="2332" spans="1:42" ht="17.25" customHeight="1" x14ac:dyDescent="0.25">
      <c r="A2332" s="55">
        <v>2024</v>
      </c>
      <c r="B2332" s="56" t="s">
        <v>66</v>
      </c>
      <c r="C2332" s="56" t="s">
        <v>17</v>
      </c>
      <c r="D2332" s="56" t="s">
        <v>18</v>
      </c>
      <c r="E2332" s="56" t="s">
        <v>67</v>
      </c>
      <c r="F2332" s="56" t="s">
        <v>67</v>
      </c>
      <c r="G2332" s="57">
        <v>1508625473</v>
      </c>
      <c r="H2332" s="56" t="s">
        <v>68</v>
      </c>
      <c r="I2332" s="58" t="str">
        <f t="shared" si="137"/>
        <v>Czech Republic-Offline</v>
      </c>
      <c r="J2332" s="40"/>
      <c r="K2332" s="59"/>
      <c r="L2332" s="35"/>
      <c r="M2332" s="35"/>
      <c r="N2332" s="35"/>
      <c r="O2332" s="35"/>
      <c r="P2332" s="35"/>
      <c r="Q2332" s="35"/>
      <c r="R2332" s="35"/>
      <c r="S2332" s="35"/>
      <c r="T2332" s="35"/>
      <c r="U2332" s="35"/>
      <c r="V2332" s="35"/>
      <c r="W2332" s="35"/>
      <c r="X2332" s="35"/>
      <c r="Y2332" s="35"/>
      <c r="Z2332" s="35"/>
      <c r="AA2332" s="35"/>
      <c r="AB2332" s="35"/>
      <c r="AC2332" s="35"/>
      <c r="AD2332" s="35"/>
      <c r="AE2332" s="35"/>
      <c r="AF2332" s="35"/>
      <c r="AG2332" s="35"/>
      <c r="AH2332" s="35"/>
      <c r="AI2332" s="35"/>
      <c r="AJ2332" s="35"/>
      <c r="AK2332" s="35"/>
      <c r="AL2332" s="35"/>
      <c r="AM2332" s="35"/>
      <c r="AN2332" s="35"/>
      <c r="AO2332" s="35"/>
      <c r="AP2332" s="35"/>
    </row>
    <row r="2333" spans="1:42" ht="17.25" customHeight="1" x14ac:dyDescent="0.25">
      <c r="A2333" s="60">
        <v>2024</v>
      </c>
      <c r="B2333" s="61" t="s">
        <v>66</v>
      </c>
      <c r="C2333" s="61" t="s">
        <v>17</v>
      </c>
      <c r="D2333" s="61" t="s">
        <v>18</v>
      </c>
      <c r="E2333" s="61" t="s">
        <v>69</v>
      </c>
      <c r="F2333" s="61" t="s">
        <v>70</v>
      </c>
      <c r="G2333" s="62">
        <v>1731169565</v>
      </c>
      <c r="H2333" s="61" t="s">
        <v>68</v>
      </c>
      <c r="I2333" s="63" t="str">
        <f t="shared" si="137"/>
        <v>Czech Republic-Online Supplier-Direct</v>
      </c>
      <c r="J2333" s="47"/>
      <c r="K2333" s="54"/>
      <c r="L2333" s="35"/>
      <c r="M2333" s="35"/>
      <c r="N2333" s="35"/>
      <c r="O2333" s="35"/>
      <c r="P2333" s="35"/>
      <c r="Q2333" s="35"/>
      <c r="R2333" s="35"/>
      <c r="S2333" s="35"/>
      <c r="T2333" s="35"/>
      <c r="U2333" s="35"/>
      <c r="V2333" s="35"/>
      <c r="W2333" s="35"/>
      <c r="X2333" s="35"/>
      <c r="Y2333" s="35"/>
      <c r="Z2333" s="35"/>
      <c r="AA2333" s="35"/>
      <c r="AB2333" s="35"/>
      <c r="AC2333" s="35"/>
      <c r="AD2333" s="35"/>
      <c r="AE2333" s="35"/>
      <c r="AF2333" s="35"/>
      <c r="AG2333" s="35"/>
      <c r="AH2333" s="35"/>
      <c r="AI2333" s="35"/>
      <c r="AJ2333" s="35"/>
      <c r="AK2333" s="35"/>
      <c r="AL2333" s="35"/>
      <c r="AM2333" s="35"/>
      <c r="AN2333" s="35"/>
      <c r="AO2333" s="35"/>
      <c r="AP2333" s="35"/>
    </row>
    <row r="2334" spans="1:42" ht="17.25" customHeight="1" x14ac:dyDescent="0.25">
      <c r="A2334" s="55">
        <v>2024</v>
      </c>
      <c r="B2334" s="56" t="s">
        <v>66</v>
      </c>
      <c r="C2334" s="56" t="s">
        <v>17</v>
      </c>
      <c r="D2334" s="56" t="s">
        <v>18</v>
      </c>
      <c r="E2334" s="56" t="s">
        <v>69</v>
      </c>
      <c r="F2334" s="56" t="s">
        <v>71</v>
      </c>
      <c r="G2334" s="57">
        <v>1260356098</v>
      </c>
      <c r="H2334" s="56" t="s">
        <v>68</v>
      </c>
      <c r="I2334" s="58" t="str">
        <f t="shared" si="137"/>
        <v>Czech Republic-OTA</v>
      </c>
      <c r="J2334" s="40"/>
      <c r="K2334" s="59"/>
      <c r="L2334" s="35"/>
      <c r="M2334" s="35"/>
      <c r="N2334" s="35"/>
      <c r="O2334" s="35"/>
      <c r="P2334" s="35"/>
      <c r="Q2334" s="35"/>
      <c r="R2334" s="35"/>
      <c r="S2334" s="35"/>
      <c r="T2334" s="35"/>
      <c r="U2334" s="35"/>
      <c r="V2334" s="35"/>
      <c r="W2334" s="35"/>
      <c r="X2334" s="35"/>
      <c r="Y2334" s="35"/>
      <c r="Z2334" s="35"/>
      <c r="AA2334" s="35"/>
      <c r="AB2334" s="35"/>
      <c r="AC2334" s="35"/>
      <c r="AD2334" s="35"/>
      <c r="AE2334" s="35"/>
      <c r="AF2334" s="35"/>
      <c r="AG2334" s="35"/>
      <c r="AH2334" s="35"/>
      <c r="AI2334" s="35"/>
      <c r="AJ2334" s="35"/>
      <c r="AK2334" s="35"/>
      <c r="AL2334" s="35"/>
      <c r="AM2334" s="35"/>
      <c r="AN2334" s="35"/>
      <c r="AO2334" s="35"/>
      <c r="AP2334" s="35"/>
    </row>
    <row r="2335" spans="1:42" ht="17.25" customHeight="1" x14ac:dyDescent="0.25">
      <c r="A2335" s="60">
        <v>2024</v>
      </c>
      <c r="B2335" s="61" t="s">
        <v>66</v>
      </c>
      <c r="C2335" s="61" t="s">
        <v>41</v>
      </c>
      <c r="D2335" s="61" t="s">
        <v>40</v>
      </c>
      <c r="E2335" s="61" t="s">
        <v>67</v>
      </c>
      <c r="F2335" s="61" t="s">
        <v>67</v>
      </c>
      <c r="G2335" s="62">
        <v>1568284595</v>
      </c>
      <c r="H2335" s="61" t="s">
        <v>68</v>
      </c>
      <c r="I2335" s="63" t="str">
        <f t="shared" si="137"/>
        <v>Egypt-Offline</v>
      </c>
      <c r="J2335" s="47"/>
      <c r="K2335" s="54"/>
      <c r="L2335" s="35"/>
      <c r="M2335" s="35"/>
      <c r="N2335" s="35"/>
      <c r="O2335" s="35"/>
      <c r="P2335" s="35"/>
      <c r="Q2335" s="35"/>
      <c r="R2335" s="35"/>
      <c r="S2335" s="35"/>
      <c r="T2335" s="35"/>
      <c r="U2335" s="35"/>
      <c r="V2335" s="35"/>
      <c r="W2335" s="35"/>
      <c r="X2335" s="35"/>
      <c r="Y2335" s="35"/>
      <c r="Z2335" s="35"/>
      <c r="AA2335" s="35"/>
      <c r="AB2335" s="35"/>
      <c r="AC2335" s="35"/>
      <c r="AD2335" s="35"/>
      <c r="AE2335" s="35"/>
      <c r="AF2335" s="35"/>
      <c r="AG2335" s="35"/>
      <c r="AH2335" s="35"/>
      <c r="AI2335" s="35"/>
      <c r="AJ2335" s="35"/>
      <c r="AK2335" s="35"/>
      <c r="AL2335" s="35"/>
      <c r="AM2335" s="35"/>
      <c r="AN2335" s="35"/>
      <c r="AO2335" s="35"/>
      <c r="AP2335" s="35"/>
    </row>
    <row r="2336" spans="1:42" ht="17.25" customHeight="1" x14ac:dyDescent="0.25">
      <c r="A2336" s="55">
        <v>2024</v>
      </c>
      <c r="B2336" s="56" t="s">
        <v>66</v>
      </c>
      <c r="C2336" s="56" t="s">
        <v>41</v>
      </c>
      <c r="D2336" s="56" t="s">
        <v>40</v>
      </c>
      <c r="E2336" s="56" t="s">
        <v>69</v>
      </c>
      <c r="F2336" s="56" t="s">
        <v>70</v>
      </c>
      <c r="G2336" s="57">
        <v>463298804</v>
      </c>
      <c r="H2336" s="56" t="s">
        <v>68</v>
      </c>
      <c r="I2336" s="58" t="str">
        <f t="shared" si="137"/>
        <v>Egypt-Online Supplier-Direct</v>
      </c>
      <c r="J2336" s="40"/>
      <c r="K2336" s="59"/>
      <c r="L2336" s="35"/>
      <c r="M2336" s="35"/>
      <c r="N2336" s="35"/>
      <c r="O2336" s="35"/>
      <c r="P2336" s="35"/>
      <c r="Q2336" s="35"/>
      <c r="R2336" s="35"/>
      <c r="S2336" s="35"/>
      <c r="T2336" s="35"/>
      <c r="U2336" s="35"/>
      <c r="V2336" s="35"/>
      <c r="W2336" s="35"/>
      <c r="X2336" s="35"/>
      <c r="Y2336" s="35"/>
      <c r="Z2336" s="35"/>
      <c r="AA2336" s="35"/>
      <c r="AB2336" s="35"/>
      <c r="AC2336" s="35"/>
      <c r="AD2336" s="35"/>
      <c r="AE2336" s="35"/>
      <c r="AF2336" s="35"/>
      <c r="AG2336" s="35"/>
      <c r="AH2336" s="35"/>
      <c r="AI2336" s="35"/>
      <c r="AJ2336" s="35"/>
      <c r="AK2336" s="35"/>
      <c r="AL2336" s="35"/>
      <c r="AM2336" s="35"/>
      <c r="AN2336" s="35"/>
      <c r="AO2336" s="35"/>
      <c r="AP2336" s="35"/>
    </row>
    <row r="2337" spans="1:42" ht="17.25" customHeight="1" x14ac:dyDescent="0.25">
      <c r="A2337" s="60">
        <v>2024</v>
      </c>
      <c r="B2337" s="61" t="s">
        <v>66</v>
      </c>
      <c r="C2337" s="61" t="s">
        <v>41</v>
      </c>
      <c r="D2337" s="61" t="s">
        <v>40</v>
      </c>
      <c r="E2337" s="61" t="s">
        <v>69</v>
      </c>
      <c r="F2337" s="61" t="s">
        <v>71</v>
      </c>
      <c r="G2337" s="62">
        <v>512900885</v>
      </c>
      <c r="H2337" s="61" t="s">
        <v>68</v>
      </c>
      <c r="I2337" s="63" t="str">
        <f t="shared" si="137"/>
        <v>Egypt-OTA</v>
      </c>
      <c r="J2337" s="47"/>
      <c r="K2337" s="54"/>
      <c r="L2337" s="35"/>
      <c r="M2337" s="35"/>
      <c r="N2337" s="35"/>
      <c r="O2337" s="35"/>
      <c r="P2337" s="35"/>
      <c r="Q2337" s="35"/>
      <c r="R2337" s="35"/>
      <c r="S2337" s="35"/>
      <c r="T2337" s="35"/>
      <c r="U2337" s="35"/>
      <c r="V2337" s="35"/>
      <c r="W2337" s="35"/>
      <c r="X2337" s="35"/>
      <c r="Y2337" s="35"/>
      <c r="Z2337" s="35"/>
      <c r="AA2337" s="35"/>
      <c r="AB2337" s="35"/>
      <c r="AC2337" s="35"/>
      <c r="AD2337" s="35"/>
      <c r="AE2337" s="35"/>
      <c r="AF2337" s="35"/>
      <c r="AG2337" s="35"/>
      <c r="AH2337" s="35"/>
      <c r="AI2337" s="35"/>
      <c r="AJ2337" s="35"/>
      <c r="AK2337" s="35"/>
      <c r="AL2337" s="35"/>
      <c r="AM2337" s="35"/>
      <c r="AN2337" s="35"/>
      <c r="AO2337" s="35"/>
      <c r="AP2337" s="35"/>
    </row>
    <row r="2338" spans="1:42" ht="17.25" customHeight="1" x14ac:dyDescent="0.25">
      <c r="A2338" s="55">
        <v>2024</v>
      </c>
      <c r="B2338" s="56" t="s">
        <v>66</v>
      </c>
      <c r="C2338" s="56" t="s">
        <v>27</v>
      </c>
      <c r="D2338" s="56" t="s">
        <v>26</v>
      </c>
      <c r="E2338" s="56" t="s">
        <v>67</v>
      </c>
      <c r="F2338" s="56" t="s">
        <v>67</v>
      </c>
      <c r="G2338" s="57">
        <v>30012132574</v>
      </c>
      <c r="H2338" s="56" t="s">
        <v>68</v>
      </c>
      <c r="I2338" s="58" t="str">
        <f t="shared" si="137"/>
        <v>France-Offline</v>
      </c>
      <c r="J2338" s="40"/>
      <c r="K2338" s="59"/>
      <c r="L2338" s="35"/>
      <c r="M2338" s="35"/>
      <c r="N2338" s="35"/>
      <c r="O2338" s="35"/>
      <c r="P2338" s="35"/>
      <c r="Q2338" s="35"/>
      <c r="R2338" s="35"/>
      <c r="S2338" s="35"/>
      <c r="T2338" s="35"/>
      <c r="U2338" s="35"/>
      <c r="V2338" s="35"/>
      <c r="W2338" s="35"/>
      <c r="X2338" s="35"/>
      <c r="Y2338" s="35"/>
      <c r="Z2338" s="35"/>
      <c r="AA2338" s="35"/>
      <c r="AB2338" s="35"/>
      <c r="AC2338" s="35"/>
      <c r="AD2338" s="35"/>
      <c r="AE2338" s="35"/>
      <c r="AF2338" s="35"/>
      <c r="AG2338" s="35"/>
      <c r="AH2338" s="35"/>
      <c r="AI2338" s="35"/>
      <c r="AJ2338" s="35"/>
      <c r="AK2338" s="35"/>
      <c r="AL2338" s="35"/>
      <c r="AM2338" s="35"/>
      <c r="AN2338" s="35"/>
      <c r="AO2338" s="35"/>
      <c r="AP2338" s="35"/>
    </row>
    <row r="2339" spans="1:42" ht="17.25" customHeight="1" x14ac:dyDescent="0.25">
      <c r="A2339" s="60">
        <v>2024</v>
      </c>
      <c r="B2339" s="61" t="s">
        <v>66</v>
      </c>
      <c r="C2339" s="61" t="s">
        <v>27</v>
      </c>
      <c r="D2339" s="61" t="s">
        <v>26</v>
      </c>
      <c r="E2339" s="61" t="s">
        <v>69</v>
      </c>
      <c r="F2339" s="61" t="s">
        <v>70</v>
      </c>
      <c r="G2339" s="62">
        <v>26646271552</v>
      </c>
      <c r="H2339" s="61" t="s">
        <v>68</v>
      </c>
      <c r="I2339" s="63" t="str">
        <f t="shared" si="137"/>
        <v>France-Online Supplier-Direct</v>
      </c>
      <c r="J2339" s="47"/>
      <c r="K2339" s="54"/>
      <c r="L2339" s="35"/>
      <c r="M2339" s="35"/>
      <c r="N2339" s="35"/>
      <c r="O2339" s="35"/>
      <c r="P2339" s="35"/>
      <c r="Q2339" s="35"/>
      <c r="R2339" s="35"/>
      <c r="S2339" s="35"/>
      <c r="T2339" s="35"/>
      <c r="U2339" s="35"/>
      <c r="V2339" s="35"/>
      <c r="W2339" s="35"/>
      <c r="X2339" s="35"/>
      <c r="Y2339" s="35"/>
      <c r="Z2339" s="35"/>
      <c r="AA2339" s="35"/>
      <c r="AB2339" s="35"/>
      <c r="AC2339" s="35"/>
      <c r="AD2339" s="35"/>
      <c r="AE2339" s="35"/>
      <c r="AF2339" s="35"/>
      <c r="AG2339" s="35"/>
      <c r="AH2339" s="35"/>
      <c r="AI2339" s="35"/>
      <c r="AJ2339" s="35"/>
      <c r="AK2339" s="35"/>
      <c r="AL2339" s="35"/>
      <c r="AM2339" s="35"/>
      <c r="AN2339" s="35"/>
      <c r="AO2339" s="35"/>
      <c r="AP2339" s="35"/>
    </row>
    <row r="2340" spans="1:42" ht="17.25" customHeight="1" x14ac:dyDescent="0.25">
      <c r="A2340" s="55">
        <v>2024</v>
      </c>
      <c r="B2340" s="56" t="s">
        <v>66</v>
      </c>
      <c r="C2340" s="56" t="s">
        <v>27</v>
      </c>
      <c r="D2340" s="56" t="s">
        <v>26</v>
      </c>
      <c r="E2340" s="56" t="s">
        <v>69</v>
      </c>
      <c r="F2340" s="56" t="s">
        <v>71</v>
      </c>
      <c r="G2340" s="57">
        <v>10548421380</v>
      </c>
      <c r="H2340" s="56" t="s">
        <v>68</v>
      </c>
      <c r="I2340" s="58" t="str">
        <f t="shared" si="137"/>
        <v>France-OTA</v>
      </c>
      <c r="J2340" s="40"/>
      <c r="K2340" s="59"/>
      <c r="L2340" s="35"/>
      <c r="M2340" s="35"/>
      <c r="N2340" s="35"/>
      <c r="O2340" s="35"/>
      <c r="P2340" s="35"/>
      <c r="Q2340" s="35"/>
      <c r="R2340" s="35"/>
      <c r="S2340" s="35"/>
      <c r="T2340" s="35"/>
      <c r="U2340" s="35"/>
      <c r="V2340" s="35"/>
      <c r="W2340" s="35"/>
      <c r="X2340" s="35"/>
      <c r="Y2340" s="35"/>
      <c r="Z2340" s="35"/>
      <c r="AA2340" s="35"/>
      <c r="AB2340" s="35"/>
      <c r="AC2340" s="35"/>
      <c r="AD2340" s="35"/>
      <c r="AE2340" s="35"/>
      <c r="AF2340" s="35"/>
      <c r="AG2340" s="35"/>
      <c r="AH2340" s="35"/>
      <c r="AI2340" s="35"/>
      <c r="AJ2340" s="35"/>
      <c r="AK2340" s="35"/>
      <c r="AL2340" s="35"/>
      <c r="AM2340" s="35"/>
      <c r="AN2340" s="35"/>
      <c r="AO2340" s="35"/>
      <c r="AP2340" s="35"/>
    </row>
    <row r="2341" spans="1:42" ht="17.25" customHeight="1" x14ac:dyDescent="0.25">
      <c r="A2341" s="60">
        <v>2024</v>
      </c>
      <c r="B2341" s="61" t="s">
        <v>66</v>
      </c>
      <c r="C2341" s="61" t="s">
        <v>27</v>
      </c>
      <c r="D2341" s="61" t="s">
        <v>28</v>
      </c>
      <c r="E2341" s="61" t="s">
        <v>67</v>
      </c>
      <c r="F2341" s="61" t="s">
        <v>67</v>
      </c>
      <c r="G2341" s="62">
        <v>27715487765</v>
      </c>
      <c r="H2341" s="61" t="s">
        <v>68</v>
      </c>
      <c r="I2341" s="63" t="str">
        <f t="shared" si="137"/>
        <v>Germany-Offline</v>
      </c>
      <c r="J2341" s="47"/>
      <c r="K2341" s="54"/>
      <c r="L2341" s="35"/>
      <c r="M2341" s="35"/>
      <c r="N2341" s="35"/>
      <c r="O2341" s="35"/>
      <c r="P2341" s="35"/>
      <c r="Q2341" s="35"/>
      <c r="R2341" s="35"/>
      <c r="S2341" s="35"/>
      <c r="T2341" s="35"/>
      <c r="U2341" s="35"/>
      <c r="V2341" s="35"/>
      <c r="W2341" s="35"/>
      <c r="X2341" s="35"/>
      <c r="Y2341" s="35"/>
      <c r="Z2341" s="35"/>
      <c r="AA2341" s="35"/>
      <c r="AB2341" s="35"/>
      <c r="AC2341" s="35"/>
      <c r="AD2341" s="35"/>
      <c r="AE2341" s="35"/>
      <c r="AF2341" s="35"/>
      <c r="AG2341" s="35"/>
      <c r="AH2341" s="35"/>
      <c r="AI2341" s="35"/>
      <c r="AJ2341" s="35"/>
      <c r="AK2341" s="35"/>
      <c r="AL2341" s="35"/>
      <c r="AM2341" s="35"/>
      <c r="AN2341" s="35"/>
      <c r="AO2341" s="35"/>
      <c r="AP2341" s="35"/>
    </row>
    <row r="2342" spans="1:42" ht="17.25" customHeight="1" x14ac:dyDescent="0.25">
      <c r="A2342" s="55">
        <v>2024</v>
      </c>
      <c r="B2342" s="56" t="s">
        <v>66</v>
      </c>
      <c r="C2342" s="56" t="s">
        <v>27</v>
      </c>
      <c r="D2342" s="56" t="s">
        <v>28</v>
      </c>
      <c r="E2342" s="56" t="s">
        <v>69</v>
      </c>
      <c r="F2342" s="56" t="s">
        <v>70</v>
      </c>
      <c r="G2342" s="57">
        <v>33327658082</v>
      </c>
      <c r="H2342" s="56" t="s">
        <v>68</v>
      </c>
      <c r="I2342" s="58" t="str">
        <f t="shared" si="137"/>
        <v>Germany-Online Supplier-Direct</v>
      </c>
      <c r="J2342" s="40"/>
      <c r="K2342" s="59"/>
      <c r="L2342" s="35"/>
      <c r="M2342" s="35"/>
      <c r="N2342" s="35"/>
      <c r="O2342" s="35"/>
      <c r="P2342" s="35"/>
      <c r="Q2342" s="35"/>
      <c r="R2342" s="35"/>
      <c r="S2342" s="35"/>
      <c r="T2342" s="35"/>
      <c r="U2342" s="35"/>
      <c r="V2342" s="35"/>
      <c r="W2342" s="35"/>
      <c r="X2342" s="35"/>
      <c r="Y2342" s="35"/>
      <c r="Z2342" s="35"/>
      <c r="AA2342" s="35"/>
      <c r="AB2342" s="35"/>
      <c r="AC2342" s="35"/>
      <c r="AD2342" s="35"/>
      <c r="AE2342" s="35"/>
      <c r="AF2342" s="35"/>
      <c r="AG2342" s="35"/>
      <c r="AH2342" s="35"/>
      <c r="AI2342" s="35"/>
      <c r="AJ2342" s="35"/>
      <c r="AK2342" s="35"/>
      <c r="AL2342" s="35"/>
      <c r="AM2342" s="35"/>
      <c r="AN2342" s="35"/>
      <c r="AO2342" s="35"/>
      <c r="AP2342" s="35"/>
    </row>
    <row r="2343" spans="1:42" ht="17.25" customHeight="1" x14ac:dyDescent="0.25">
      <c r="A2343" s="60">
        <v>2024</v>
      </c>
      <c r="B2343" s="61" t="s">
        <v>66</v>
      </c>
      <c r="C2343" s="61" t="s">
        <v>27</v>
      </c>
      <c r="D2343" s="61" t="s">
        <v>28</v>
      </c>
      <c r="E2343" s="61" t="s">
        <v>69</v>
      </c>
      <c r="F2343" s="61" t="s">
        <v>71</v>
      </c>
      <c r="G2343" s="62">
        <v>15999359632</v>
      </c>
      <c r="H2343" s="61" t="s">
        <v>68</v>
      </c>
      <c r="I2343" s="63" t="str">
        <f t="shared" si="137"/>
        <v>Germany-OTA</v>
      </c>
      <c r="J2343" s="47"/>
      <c r="K2343" s="54"/>
      <c r="L2343" s="35"/>
      <c r="M2343" s="35"/>
      <c r="N2343" s="35"/>
      <c r="O2343" s="35"/>
      <c r="P2343" s="35"/>
      <c r="Q2343" s="35"/>
      <c r="R2343" s="35"/>
      <c r="S2343" s="35"/>
      <c r="T2343" s="35"/>
      <c r="U2343" s="35"/>
      <c r="V2343" s="35"/>
      <c r="W2343" s="35"/>
      <c r="X2343" s="35"/>
      <c r="Y2343" s="35"/>
      <c r="Z2343" s="35"/>
      <c r="AA2343" s="35"/>
      <c r="AB2343" s="35"/>
      <c r="AC2343" s="35"/>
      <c r="AD2343" s="35"/>
      <c r="AE2343" s="35"/>
      <c r="AF2343" s="35"/>
      <c r="AG2343" s="35"/>
      <c r="AH2343" s="35"/>
      <c r="AI2343" s="35"/>
      <c r="AJ2343" s="35"/>
      <c r="AK2343" s="35"/>
      <c r="AL2343" s="35"/>
      <c r="AM2343" s="35"/>
      <c r="AN2343" s="35"/>
      <c r="AO2343" s="35"/>
      <c r="AP2343" s="35"/>
    </row>
    <row r="2344" spans="1:42" ht="17.25" customHeight="1" x14ac:dyDescent="0.25">
      <c r="A2344" s="55">
        <v>2024</v>
      </c>
      <c r="B2344" s="56" t="s">
        <v>66</v>
      </c>
      <c r="C2344" s="56" t="s">
        <v>17</v>
      </c>
      <c r="D2344" s="56" t="s">
        <v>19</v>
      </c>
      <c r="E2344" s="56" t="s">
        <v>67</v>
      </c>
      <c r="F2344" s="56" t="s">
        <v>67</v>
      </c>
      <c r="G2344" s="57">
        <v>4586589232</v>
      </c>
      <c r="H2344" s="56" t="s">
        <v>68</v>
      </c>
      <c r="I2344" s="58" t="str">
        <f t="shared" si="137"/>
        <v>Greece-Offline</v>
      </c>
      <c r="J2344" s="40"/>
      <c r="K2344" s="59"/>
      <c r="L2344" s="35"/>
      <c r="M2344" s="35"/>
      <c r="N2344" s="35"/>
      <c r="O2344" s="35"/>
      <c r="P2344" s="35"/>
      <c r="Q2344" s="35"/>
      <c r="R2344" s="35"/>
      <c r="S2344" s="35"/>
      <c r="T2344" s="35"/>
      <c r="U2344" s="35"/>
      <c r="V2344" s="35"/>
      <c r="W2344" s="35"/>
      <c r="X2344" s="35"/>
      <c r="Y2344" s="35"/>
      <c r="Z2344" s="35"/>
      <c r="AA2344" s="35"/>
      <c r="AB2344" s="35"/>
      <c r="AC2344" s="35"/>
      <c r="AD2344" s="35"/>
      <c r="AE2344" s="35"/>
      <c r="AF2344" s="35"/>
      <c r="AG2344" s="35"/>
      <c r="AH2344" s="35"/>
      <c r="AI2344" s="35"/>
      <c r="AJ2344" s="35"/>
      <c r="AK2344" s="35"/>
      <c r="AL2344" s="35"/>
      <c r="AM2344" s="35"/>
      <c r="AN2344" s="35"/>
      <c r="AO2344" s="35"/>
      <c r="AP2344" s="35"/>
    </row>
    <row r="2345" spans="1:42" ht="17.25" customHeight="1" x14ac:dyDescent="0.25">
      <c r="A2345" s="60">
        <v>2024</v>
      </c>
      <c r="B2345" s="61" t="s">
        <v>66</v>
      </c>
      <c r="C2345" s="61" t="s">
        <v>17</v>
      </c>
      <c r="D2345" s="61" t="s">
        <v>19</v>
      </c>
      <c r="E2345" s="61" t="s">
        <v>69</v>
      </c>
      <c r="F2345" s="61" t="s">
        <v>70</v>
      </c>
      <c r="G2345" s="62">
        <v>1918428796</v>
      </c>
      <c r="H2345" s="61" t="s">
        <v>68</v>
      </c>
      <c r="I2345" s="63" t="str">
        <f t="shared" si="137"/>
        <v>Greece-Online Supplier-Direct</v>
      </c>
      <c r="J2345" s="47"/>
      <c r="K2345" s="54"/>
      <c r="L2345" s="35"/>
      <c r="M2345" s="35"/>
      <c r="N2345" s="35"/>
      <c r="O2345" s="35"/>
      <c r="P2345" s="35"/>
      <c r="Q2345" s="35"/>
      <c r="R2345" s="35"/>
      <c r="S2345" s="35"/>
      <c r="T2345" s="35"/>
      <c r="U2345" s="35"/>
      <c r="V2345" s="35"/>
      <c r="W2345" s="35"/>
      <c r="X2345" s="35"/>
      <c r="Y2345" s="35"/>
      <c r="Z2345" s="35"/>
      <c r="AA2345" s="35"/>
      <c r="AB2345" s="35"/>
      <c r="AC2345" s="35"/>
      <c r="AD2345" s="35"/>
      <c r="AE2345" s="35"/>
      <c r="AF2345" s="35"/>
      <c r="AG2345" s="35"/>
      <c r="AH2345" s="35"/>
      <c r="AI2345" s="35"/>
      <c r="AJ2345" s="35"/>
      <c r="AK2345" s="35"/>
      <c r="AL2345" s="35"/>
      <c r="AM2345" s="35"/>
      <c r="AN2345" s="35"/>
      <c r="AO2345" s="35"/>
      <c r="AP2345" s="35"/>
    </row>
    <row r="2346" spans="1:42" ht="17.25" customHeight="1" x14ac:dyDescent="0.25">
      <c r="A2346" s="55">
        <v>2024</v>
      </c>
      <c r="B2346" s="56" t="s">
        <v>66</v>
      </c>
      <c r="C2346" s="56" t="s">
        <v>17</v>
      </c>
      <c r="D2346" s="56" t="s">
        <v>19</v>
      </c>
      <c r="E2346" s="56" t="s">
        <v>69</v>
      </c>
      <c r="F2346" s="56" t="s">
        <v>71</v>
      </c>
      <c r="G2346" s="57">
        <v>3755103831</v>
      </c>
      <c r="H2346" s="56" t="s">
        <v>68</v>
      </c>
      <c r="I2346" s="58" t="str">
        <f t="shared" si="137"/>
        <v>Greece-OTA</v>
      </c>
      <c r="J2346" s="40"/>
      <c r="K2346" s="59"/>
      <c r="L2346" s="35"/>
      <c r="M2346" s="35"/>
      <c r="N2346" s="35"/>
      <c r="O2346" s="35"/>
      <c r="P2346" s="35"/>
      <c r="Q2346" s="35"/>
      <c r="R2346" s="35"/>
      <c r="S2346" s="35"/>
      <c r="T2346" s="35"/>
      <c r="U2346" s="35"/>
      <c r="V2346" s="35"/>
      <c r="W2346" s="35"/>
      <c r="X2346" s="35"/>
      <c r="Y2346" s="35"/>
      <c r="Z2346" s="35"/>
      <c r="AA2346" s="35"/>
      <c r="AB2346" s="35"/>
      <c r="AC2346" s="35"/>
      <c r="AD2346" s="35"/>
      <c r="AE2346" s="35"/>
      <c r="AF2346" s="35"/>
      <c r="AG2346" s="35"/>
      <c r="AH2346" s="35"/>
      <c r="AI2346" s="35"/>
      <c r="AJ2346" s="35"/>
      <c r="AK2346" s="35"/>
      <c r="AL2346" s="35"/>
      <c r="AM2346" s="35"/>
      <c r="AN2346" s="35"/>
      <c r="AO2346" s="35"/>
      <c r="AP2346" s="35"/>
    </row>
    <row r="2347" spans="1:42" ht="17.25" customHeight="1" x14ac:dyDescent="0.25">
      <c r="A2347" s="60">
        <v>2024</v>
      </c>
      <c r="B2347" s="61" t="s">
        <v>66</v>
      </c>
      <c r="C2347" s="61" t="s">
        <v>4</v>
      </c>
      <c r="D2347" s="61" t="s">
        <v>6</v>
      </c>
      <c r="E2347" s="61" t="s">
        <v>67</v>
      </c>
      <c r="F2347" s="61" t="s">
        <v>67</v>
      </c>
      <c r="G2347" s="62">
        <v>7594603825</v>
      </c>
      <c r="H2347" s="61" t="s">
        <v>68</v>
      </c>
      <c r="I2347" s="63" t="str">
        <f t="shared" si="137"/>
        <v>Hong Kong-Offline</v>
      </c>
      <c r="J2347" s="47"/>
      <c r="K2347" s="54"/>
      <c r="L2347" s="35"/>
      <c r="M2347" s="35"/>
      <c r="N2347" s="35"/>
      <c r="O2347" s="35"/>
      <c r="P2347" s="35"/>
      <c r="Q2347" s="35"/>
      <c r="R2347" s="35"/>
      <c r="S2347" s="35"/>
      <c r="T2347" s="35"/>
      <c r="U2347" s="35"/>
      <c r="V2347" s="35"/>
      <c r="W2347" s="35"/>
      <c r="X2347" s="35"/>
      <c r="Y2347" s="35"/>
      <c r="Z2347" s="35"/>
      <c r="AA2347" s="35"/>
      <c r="AB2347" s="35"/>
      <c r="AC2347" s="35"/>
      <c r="AD2347" s="35"/>
      <c r="AE2347" s="35"/>
      <c r="AF2347" s="35"/>
      <c r="AG2347" s="35"/>
      <c r="AH2347" s="35"/>
      <c r="AI2347" s="35"/>
      <c r="AJ2347" s="35"/>
      <c r="AK2347" s="35"/>
      <c r="AL2347" s="35"/>
      <c r="AM2347" s="35"/>
      <c r="AN2347" s="35"/>
      <c r="AO2347" s="35"/>
      <c r="AP2347" s="35"/>
    </row>
    <row r="2348" spans="1:42" ht="17.25" customHeight="1" x14ac:dyDescent="0.25">
      <c r="A2348" s="55">
        <v>2024</v>
      </c>
      <c r="B2348" s="56" t="s">
        <v>66</v>
      </c>
      <c r="C2348" s="56" t="s">
        <v>4</v>
      </c>
      <c r="D2348" s="56" t="s">
        <v>6</v>
      </c>
      <c r="E2348" s="56" t="s">
        <v>69</v>
      </c>
      <c r="F2348" s="56" t="s">
        <v>70</v>
      </c>
      <c r="G2348" s="57">
        <v>2248949826</v>
      </c>
      <c r="H2348" s="56" t="s">
        <v>68</v>
      </c>
      <c r="I2348" s="58" t="str">
        <f t="shared" si="137"/>
        <v>Hong Kong-Online Supplier-Direct</v>
      </c>
      <c r="J2348" s="40"/>
      <c r="K2348" s="59"/>
      <c r="L2348" s="35"/>
      <c r="M2348" s="35"/>
      <c r="N2348" s="35"/>
      <c r="O2348" s="35"/>
      <c r="P2348" s="35"/>
      <c r="Q2348" s="35"/>
      <c r="R2348" s="35"/>
      <c r="S2348" s="35"/>
      <c r="T2348" s="35"/>
      <c r="U2348" s="35"/>
      <c r="V2348" s="35"/>
      <c r="W2348" s="35"/>
      <c r="X2348" s="35"/>
      <c r="Y2348" s="35"/>
      <c r="Z2348" s="35"/>
      <c r="AA2348" s="35"/>
      <c r="AB2348" s="35"/>
      <c r="AC2348" s="35"/>
      <c r="AD2348" s="35"/>
      <c r="AE2348" s="35"/>
      <c r="AF2348" s="35"/>
      <c r="AG2348" s="35"/>
      <c r="AH2348" s="35"/>
      <c r="AI2348" s="35"/>
      <c r="AJ2348" s="35"/>
      <c r="AK2348" s="35"/>
      <c r="AL2348" s="35"/>
      <c r="AM2348" s="35"/>
      <c r="AN2348" s="35"/>
      <c r="AO2348" s="35"/>
      <c r="AP2348" s="35"/>
    </row>
    <row r="2349" spans="1:42" ht="17.25" customHeight="1" x14ac:dyDescent="0.25">
      <c r="A2349" s="60">
        <v>2024</v>
      </c>
      <c r="B2349" s="61" t="s">
        <v>66</v>
      </c>
      <c r="C2349" s="61" t="s">
        <v>4</v>
      </c>
      <c r="D2349" s="61" t="s">
        <v>6</v>
      </c>
      <c r="E2349" s="61" t="s">
        <v>69</v>
      </c>
      <c r="F2349" s="61" t="s">
        <v>71</v>
      </c>
      <c r="G2349" s="62">
        <v>2822274783</v>
      </c>
      <c r="H2349" s="61" t="s">
        <v>68</v>
      </c>
      <c r="I2349" s="63" t="str">
        <f t="shared" si="137"/>
        <v>Hong Kong-OTA</v>
      </c>
      <c r="J2349" s="47"/>
      <c r="K2349" s="54"/>
      <c r="L2349" s="35"/>
      <c r="M2349" s="35"/>
      <c r="N2349" s="35"/>
      <c r="O2349" s="35"/>
      <c r="P2349" s="35"/>
      <c r="Q2349" s="35"/>
      <c r="R2349" s="35"/>
      <c r="S2349" s="35"/>
      <c r="T2349" s="35"/>
      <c r="U2349" s="35"/>
      <c r="V2349" s="35"/>
      <c r="W2349" s="35"/>
      <c r="X2349" s="35"/>
      <c r="Y2349" s="35"/>
      <c r="Z2349" s="35"/>
      <c r="AA2349" s="35"/>
      <c r="AB2349" s="35"/>
      <c r="AC2349" s="35"/>
      <c r="AD2349" s="35"/>
      <c r="AE2349" s="35"/>
      <c r="AF2349" s="35"/>
      <c r="AG2349" s="35"/>
      <c r="AH2349" s="35"/>
      <c r="AI2349" s="35"/>
      <c r="AJ2349" s="35"/>
      <c r="AK2349" s="35"/>
      <c r="AL2349" s="35"/>
      <c r="AM2349" s="35"/>
      <c r="AN2349" s="35"/>
      <c r="AO2349" s="35"/>
      <c r="AP2349" s="35"/>
    </row>
    <row r="2350" spans="1:42" ht="17.25" customHeight="1" x14ac:dyDescent="0.25">
      <c r="A2350" s="55">
        <v>2024</v>
      </c>
      <c r="B2350" s="56" t="s">
        <v>66</v>
      </c>
      <c r="C2350" s="56" t="s">
        <v>17</v>
      </c>
      <c r="D2350" s="56" t="s">
        <v>20</v>
      </c>
      <c r="E2350" s="56" t="s">
        <v>67</v>
      </c>
      <c r="F2350" s="56" t="s">
        <v>67</v>
      </c>
      <c r="G2350" s="57">
        <v>625828990</v>
      </c>
      <c r="H2350" s="56" t="s">
        <v>68</v>
      </c>
      <c r="I2350" s="58" t="str">
        <f t="shared" si="137"/>
        <v>Hungary-Offline</v>
      </c>
      <c r="J2350" s="40"/>
      <c r="K2350" s="59"/>
      <c r="L2350" s="35"/>
      <c r="M2350" s="35"/>
      <c r="N2350" s="35"/>
      <c r="O2350" s="35"/>
      <c r="P2350" s="35"/>
      <c r="Q2350" s="35"/>
      <c r="R2350" s="35"/>
      <c r="S2350" s="35"/>
      <c r="T2350" s="35"/>
      <c r="U2350" s="35"/>
      <c r="V2350" s="35"/>
      <c r="W2350" s="35"/>
      <c r="X2350" s="35"/>
      <c r="Y2350" s="35"/>
      <c r="Z2350" s="35"/>
      <c r="AA2350" s="35"/>
      <c r="AB2350" s="35"/>
      <c r="AC2350" s="35"/>
      <c r="AD2350" s="35"/>
      <c r="AE2350" s="35"/>
      <c r="AF2350" s="35"/>
      <c r="AG2350" s="35"/>
      <c r="AH2350" s="35"/>
      <c r="AI2350" s="35"/>
      <c r="AJ2350" s="35"/>
      <c r="AK2350" s="35"/>
      <c r="AL2350" s="35"/>
      <c r="AM2350" s="35"/>
      <c r="AN2350" s="35"/>
      <c r="AO2350" s="35"/>
      <c r="AP2350" s="35"/>
    </row>
    <row r="2351" spans="1:42" ht="17.25" customHeight="1" x14ac:dyDescent="0.25">
      <c r="A2351" s="60">
        <v>2024</v>
      </c>
      <c r="B2351" s="61" t="s">
        <v>66</v>
      </c>
      <c r="C2351" s="61" t="s">
        <v>17</v>
      </c>
      <c r="D2351" s="61" t="s">
        <v>20</v>
      </c>
      <c r="E2351" s="61" t="s">
        <v>69</v>
      </c>
      <c r="F2351" s="61" t="s">
        <v>70</v>
      </c>
      <c r="G2351" s="62">
        <v>6027446242</v>
      </c>
      <c r="H2351" s="61" t="s">
        <v>68</v>
      </c>
      <c r="I2351" s="63" t="str">
        <f t="shared" si="137"/>
        <v>Hungary-Online Supplier-Direct</v>
      </c>
      <c r="J2351" s="47"/>
      <c r="K2351" s="54"/>
      <c r="L2351" s="35"/>
      <c r="M2351" s="35"/>
      <c r="N2351" s="35"/>
      <c r="O2351" s="35"/>
      <c r="P2351" s="35"/>
      <c r="Q2351" s="35"/>
      <c r="R2351" s="35"/>
      <c r="S2351" s="35"/>
      <c r="T2351" s="35"/>
      <c r="U2351" s="35"/>
      <c r="V2351" s="35"/>
      <c r="W2351" s="35"/>
      <c r="X2351" s="35"/>
      <c r="Y2351" s="35"/>
      <c r="Z2351" s="35"/>
      <c r="AA2351" s="35"/>
      <c r="AB2351" s="35"/>
      <c r="AC2351" s="35"/>
      <c r="AD2351" s="35"/>
      <c r="AE2351" s="35"/>
      <c r="AF2351" s="35"/>
      <c r="AG2351" s="35"/>
      <c r="AH2351" s="35"/>
      <c r="AI2351" s="35"/>
      <c r="AJ2351" s="35"/>
      <c r="AK2351" s="35"/>
      <c r="AL2351" s="35"/>
      <c r="AM2351" s="35"/>
      <c r="AN2351" s="35"/>
      <c r="AO2351" s="35"/>
      <c r="AP2351" s="35"/>
    </row>
    <row r="2352" spans="1:42" ht="17.25" customHeight="1" x14ac:dyDescent="0.25">
      <c r="A2352" s="55">
        <v>2024</v>
      </c>
      <c r="B2352" s="56" t="s">
        <v>66</v>
      </c>
      <c r="C2352" s="56" t="s">
        <v>17</v>
      </c>
      <c r="D2352" s="56" t="s">
        <v>20</v>
      </c>
      <c r="E2352" s="56" t="s">
        <v>69</v>
      </c>
      <c r="F2352" s="56" t="s">
        <v>71</v>
      </c>
      <c r="G2352" s="57">
        <v>990363013</v>
      </c>
      <c r="H2352" s="56" t="s">
        <v>68</v>
      </c>
      <c r="I2352" s="58" t="str">
        <f t="shared" si="137"/>
        <v>Hungary-OTA</v>
      </c>
      <c r="J2352" s="40"/>
      <c r="K2352" s="59"/>
      <c r="L2352" s="35"/>
      <c r="M2352" s="35"/>
      <c r="N2352" s="35"/>
      <c r="O2352" s="35"/>
      <c r="P2352" s="35"/>
      <c r="Q2352" s="35"/>
      <c r="R2352" s="35"/>
      <c r="S2352" s="35"/>
      <c r="T2352" s="35"/>
      <c r="U2352" s="35"/>
      <c r="V2352" s="35"/>
      <c r="W2352" s="35"/>
      <c r="X2352" s="35"/>
      <c r="Y2352" s="35"/>
      <c r="Z2352" s="35"/>
      <c r="AA2352" s="35"/>
      <c r="AB2352" s="35"/>
      <c r="AC2352" s="35"/>
      <c r="AD2352" s="35"/>
      <c r="AE2352" s="35"/>
      <c r="AF2352" s="35"/>
      <c r="AG2352" s="35"/>
      <c r="AH2352" s="35"/>
      <c r="AI2352" s="35"/>
      <c r="AJ2352" s="35"/>
      <c r="AK2352" s="35"/>
      <c r="AL2352" s="35"/>
      <c r="AM2352" s="35"/>
      <c r="AN2352" s="35"/>
      <c r="AO2352" s="35"/>
      <c r="AP2352" s="35"/>
    </row>
    <row r="2353" spans="1:42" ht="17.25" customHeight="1" x14ac:dyDescent="0.25">
      <c r="A2353" s="60">
        <v>2024</v>
      </c>
      <c r="B2353" s="61" t="s">
        <v>66</v>
      </c>
      <c r="C2353" s="61" t="s">
        <v>4</v>
      </c>
      <c r="D2353" s="61" t="s">
        <v>7</v>
      </c>
      <c r="E2353" s="61" t="s">
        <v>67</v>
      </c>
      <c r="F2353" s="61" t="s">
        <v>67</v>
      </c>
      <c r="G2353" s="62">
        <v>18293217360</v>
      </c>
      <c r="H2353" s="61" t="s">
        <v>68</v>
      </c>
      <c r="I2353" s="63" t="str">
        <f t="shared" si="137"/>
        <v>India-Offline</v>
      </c>
      <c r="J2353" s="47"/>
      <c r="K2353" s="54"/>
      <c r="L2353" s="35"/>
      <c r="M2353" s="35"/>
      <c r="N2353" s="35"/>
      <c r="O2353" s="35"/>
      <c r="P2353" s="35"/>
      <c r="Q2353" s="35"/>
      <c r="R2353" s="35"/>
      <c r="S2353" s="35"/>
      <c r="T2353" s="35"/>
      <c r="U2353" s="35"/>
      <c r="V2353" s="35"/>
      <c r="W2353" s="35"/>
      <c r="X2353" s="35"/>
      <c r="Y2353" s="35"/>
      <c r="Z2353" s="35"/>
      <c r="AA2353" s="35"/>
      <c r="AB2353" s="35"/>
      <c r="AC2353" s="35"/>
      <c r="AD2353" s="35"/>
      <c r="AE2353" s="35"/>
      <c r="AF2353" s="35"/>
      <c r="AG2353" s="35"/>
      <c r="AH2353" s="35"/>
      <c r="AI2353" s="35"/>
      <c r="AJ2353" s="35"/>
      <c r="AK2353" s="35"/>
      <c r="AL2353" s="35"/>
      <c r="AM2353" s="35"/>
      <c r="AN2353" s="35"/>
      <c r="AO2353" s="35"/>
      <c r="AP2353" s="35"/>
    </row>
    <row r="2354" spans="1:42" ht="17.25" customHeight="1" x14ac:dyDescent="0.25">
      <c r="A2354" s="55">
        <v>2024</v>
      </c>
      <c r="B2354" s="56" t="s">
        <v>66</v>
      </c>
      <c r="C2354" s="56" t="s">
        <v>4</v>
      </c>
      <c r="D2354" s="56" t="s">
        <v>7</v>
      </c>
      <c r="E2354" s="56" t="s">
        <v>69</v>
      </c>
      <c r="F2354" s="56" t="s">
        <v>70</v>
      </c>
      <c r="G2354" s="57">
        <v>10691702503</v>
      </c>
      <c r="H2354" s="56" t="s">
        <v>68</v>
      </c>
      <c r="I2354" s="58" t="str">
        <f t="shared" si="137"/>
        <v>India-Online Supplier-Direct</v>
      </c>
      <c r="J2354" s="40"/>
      <c r="K2354" s="59"/>
      <c r="L2354" s="35"/>
      <c r="M2354" s="35"/>
      <c r="N2354" s="35"/>
      <c r="O2354" s="35"/>
      <c r="P2354" s="35"/>
      <c r="Q2354" s="35"/>
      <c r="R2354" s="35"/>
      <c r="S2354" s="35"/>
      <c r="T2354" s="35"/>
      <c r="U2354" s="35"/>
      <c r="V2354" s="35"/>
      <c r="W2354" s="35"/>
      <c r="X2354" s="35"/>
      <c r="Y2354" s="35"/>
      <c r="Z2354" s="35"/>
      <c r="AA2354" s="35"/>
      <c r="AB2354" s="35"/>
      <c r="AC2354" s="35"/>
      <c r="AD2354" s="35"/>
      <c r="AE2354" s="35"/>
      <c r="AF2354" s="35"/>
      <c r="AG2354" s="35"/>
      <c r="AH2354" s="35"/>
      <c r="AI2354" s="35"/>
      <c r="AJ2354" s="35"/>
      <c r="AK2354" s="35"/>
      <c r="AL2354" s="35"/>
      <c r="AM2354" s="35"/>
      <c r="AN2354" s="35"/>
      <c r="AO2354" s="35"/>
      <c r="AP2354" s="35"/>
    </row>
    <row r="2355" spans="1:42" ht="17.25" customHeight="1" x14ac:dyDescent="0.25">
      <c r="A2355" s="60">
        <v>2024</v>
      </c>
      <c r="B2355" s="61" t="s">
        <v>66</v>
      </c>
      <c r="C2355" s="61" t="s">
        <v>4</v>
      </c>
      <c r="D2355" s="61" t="s">
        <v>7</v>
      </c>
      <c r="E2355" s="61" t="s">
        <v>69</v>
      </c>
      <c r="F2355" s="61" t="s">
        <v>71</v>
      </c>
      <c r="G2355" s="62">
        <v>13137462553</v>
      </c>
      <c r="H2355" s="61" t="s">
        <v>68</v>
      </c>
      <c r="I2355" s="63" t="str">
        <f t="shared" si="137"/>
        <v>India-OTA</v>
      </c>
      <c r="J2355" s="47"/>
      <c r="K2355" s="54"/>
      <c r="L2355" s="35"/>
      <c r="M2355" s="35"/>
      <c r="N2355" s="35"/>
      <c r="O2355" s="35"/>
      <c r="P2355" s="35"/>
      <c r="Q2355" s="35"/>
      <c r="R2355" s="35"/>
      <c r="S2355" s="35"/>
      <c r="T2355" s="35"/>
      <c r="U2355" s="35"/>
      <c r="V2355" s="35"/>
      <c r="W2355" s="35"/>
      <c r="X2355" s="35"/>
      <c r="Y2355" s="35"/>
      <c r="Z2355" s="35"/>
      <c r="AA2355" s="35"/>
      <c r="AB2355" s="35"/>
      <c r="AC2355" s="35"/>
      <c r="AD2355" s="35"/>
      <c r="AE2355" s="35"/>
      <c r="AF2355" s="35"/>
      <c r="AG2355" s="35"/>
      <c r="AH2355" s="35"/>
      <c r="AI2355" s="35"/>
      <c r="AJ2355" s="35"/>
      <c r="AK2355" s="35"/>
      <c r="AL2355" s="35"/>
      <c r="AM2355" s="35"/>
      <c r="AN2355" s="35"/>
      <c r="AO2355" s="35"/>
      <c r="AP2355" s="35"/>
    </row>
    <row r="2356" spans="1:42" ht="17.25" customHeight="1" x14ac:dyDescent="0.25">
      <c r="A2356" s="55">
        <v>2024</v>
      </c>
      <c r="B2356" s="56" t="s">
        <v>66</v>
      </c>
      <c r="C2356" s="56" t="s">
        <v>4</v>
      </c>
      <c r="D2356" s="56" t="s">
        <v>8</v>
      </c>
      <c r="E2356" s="56" t="s">
        <v>67</v>
      </c>
      <c r="F2356" s="56" t="s">
        <v>67</v>
      </c>
      <c r="G2356" s="57">
        <v>5169082812</v>
      </c>
      <c r="H2356" s="56" t="s">
        <v>68</v>
      </c>
      <c r="I2356" s="58" t="str">
        <f t="shared" si="137"/>
        <v>Indonesia-Offline</v>
      </c>
      <c r="J2356" s="40"/>
      <c r="K2356" s="59"/>
      <c r="L2356" s="35"/>
      <c r="M2356" s="35"/>
      <c r="N2356" s="35"/>
      <c r="O2356" s="35"/>
      <c r="P2356" s="35"/>
      <c r="Q2356" s="35"/>
      <c r="R2356" s="35"/>
      <c r="S2356" s="35"/>
      <c r="T2356" s="35"/>
      <c r="U2356" s="35"/>
      <c r="V2356" s="35"/>
      <c r="W2356" s="35"/>
      <c r="X2356" s="35"/>
      <c r="Y2356" s="35"/>
      <c r="Z2356" s="35"/>
      <c r="AA2356" s="35"/>
      <c r="AB2356" s="35"/>
      <c r="AC2356" s="35"/>
      <c r="AD2356" s="35"/>
      <c r="AE2356" s="35"/>
      <c r="AF2356" s="35"/>
      <c r="AG2356" s="35"/>
      <c r="AH2356" s="35"/>
      <c r="AI2356" s="35"/>
      <c r="AJ2356" s="35"/>
      <c r="AK2356" s="35"/>
      <c r="AL2356" s="35"/>
      <c r="AM2356" s="35"/>
      <c r="AN2356" s="35"/>
      <c r="AO2356" s="35"/>
      <c r="AP2356" s="35"/>
    </row>
    <row r="2357" spans="1:42" ht="17.25" customHeight="1" x14ac:dyDescent="0.25">
      <c r="A2357" s="60">
        <v>2024</v>
      </c>
      <c r="B2357" s="61" t="s">
        <v>66</v>
      </c>
      <c r="C2357" s="61" t="s">
        <v>4</v>
      </c>
      <c r="D2357" s="61" t="s">
        <v>8</v>
      </c>
      <c r="E2357" s="61" t="s">
        <v>69</v>
      </c>
      <c r="F2357" s="61" t="s">
        <v>70</v>
      </c>
      <c r="G2357" s="62">
        <v>2676042183</v>
      </c>
      <c r="H2357" s="61" t="s">
        <v>68</v>
      </c>
      <c r="I2357" s="63" t="str">
        <f t="shared" si="137"/>
        <v>Indonesia-Online Supplier-Direct</v>
      </c>
      <c r="J2357" s="47"/>
      <c r="K2357" s="54"/>
      <c r="L2357" s="35"/>
      <c r="M2357" s="35"/>
      <c r="N2357" s="35"/>
      <c r="O2357" s="35"/>
      <c r="P2357" s="35"/>
      <c r="Q2357" s="35"/>
      <c r="R2357" s="35"/>
      <c r="S2357" s="35"/>
      <c r="T2357" s="35"/>
      <c r="U2357" s="35"/>
      <c r="V2357" s="35"/>
      <c r="W2357" s="35"/>
      <c r="X2357" s="35"/>
      <c r="Y2357" s="35"/>
      <c r="Z2357" s="35"/>
      <c r="AA2357" s="35"/>
      <c r="AB2357" s="35"/>
      <c r="AC2357" s="35"/>
      <c r="AD2357" s="35"/>
      <c r="AE2357" s="35"/>
      <c r="AF2357" s="35"/>
      <c r="AG2357" s="35"/>
      <c r="AH2357" s="35"/>
      <c r="AI2357" s="35"/>
      <c r="AJ2357" s="35"/>
      <c r="AK2357" s="35"/>
      <c r="AL2357" s="35"/>
      <c r="AM2357" s="35"/>
      <c r="AN2357" s="35"/>
      <c r="AO2357" s="35"/>
      <c r="AP2357" s="35"/>
    </row>
    <row r="2358" spans="1:42" ht="17.25" customHeight="1" x14ac:dyDescent="0.25">
      <c r="A2358" s="55">
        <v>2024</v>
      </c>
      <c r="B2358" s="56" t="s">
        <v>66</v>
      </c>
      <c r="C2358" s="56" t="s">
        <v>4</v>
      </c>
      <c r="D2358" s="56" t="s">
        <v>8</v>
      </c>
      <c r="E2358" s="56" t="s">
        <v>69</v>
      </c>
      <c r="F2358" s="56" t="s">
        <v>71</v>
      </c>
      <c r="G2358" s="57">
        <v>6285699357</v>
      </c>
      <c r="H2358" s="56" t="s">
        <v>68</v>
      </c>
      <c r="I2358" s="58" t="str">
        <f t="shared" si="137"/>
        <v>Indonesia-OTA</v>
      </c>
      <c r="J2358" s="40"/>
      <c r="K2358" s="59"/>
      <c r="L2358" s="35"/>
      <c r="M2358" s="35"/>
      <c r="N2358" s="35"/>
      <c r="O2358" s="35"/>
      <c r="P2358" s="35"/>
      <c r="Q2358" s="35"/>
      <c r="R2358" s="35"/>
      <c r="S2358" s="35"/>
      <c r="T2358" s="35"/>
      <c r="U2358" s="35"/>
      <c r="V2358" s="35"/>
      <c r="W2358" s="35"/>
      <c r="X2358" s="35"/>
      <c r="Y2358" s="35"/>
      <c r="Z2358" s="35"/>
      <c r="AA2358" s="35"/>
      <c r="AB2358" s="35"/>
      <c r="AC2358" s="35"/>
      <c r="AD2358" s="35"/>
      <c r="AE2358" s="35"/>
      <c r="AF2358" s="35"/>
      <c r="AG2358" s="35"/>
      <c r="AH2358" s="35"/>
      <c r="AI2358" s="35"/>
      <c r="AJ2358" s="35"/>
      <c r="AK2358" s="35"/>
      <c r="AL2358" s="35"/>
      <c r="AM2358" s="35"/>
      <c r="AN2358" s="35"/>
      <c r="AO2358" s="35"/>
      <c r="AP2358" s="35"/>
    </row>
    <row r="2359" spans="1:42" ht="17.25" customHeight="1" x14ac:dyDescent="0.25">
      <c r="A2359" s="60">
        <v>2024</v>
      </c>
      <c r="B2359" s="61" t="s">
        <v>66</v>
      </c>
      <c r="C2359" s="61" t="s">
        <v>27</v>
      </c>
      <c r="D2359" s="61" t="s">
        <v>29</v>
      </c>
      <c r="E2359" s="61" t="s">
        <v>67</v>
      </c>
      <c r="F2359" s="61" t="s">
        <v>67</v>
      </c>
      <c r="G2359" s="62">
        <v>14272116934</v>
      </c>
      <c r="H2359" s="61" t="s">
        <v>68</v>
      </c>
      <c r="I2359" s="63" t="str">
        <f t="shared" si="137"/>
        <v>Italy-Offline</v>
      </c>
      <c r="J2359" s="47"/>
      <c r="K2359" s="54"/>
      <c r="L2359" s="35"/>
      <c r="M2359" s="35"/>
      <c r="N2359" s="35"/>
      <c r="O2359" s="35"/>
      <c r="P2359" s="35"/>
      <c r="Q2359" s="35"/>
      <c r="R2359" s="35"/>
      <c r="S2359" s="35"/>
      <c r="T2359" s="35"/>
      <c r="U2359" s="35"/>
      <c r="V2359" s="35"/>
      <c r="W2359" s="35"/>
      <c r="X2359" s="35"/>
      <c r="Y2359" s="35"/>
      <c r="Z2359" s="35"/>
      <c r="AA2359" s="35"/>
      <c r="AB2359" s="35"/>
      <c r="AC2359" s="35"/>
      <c r="AD2359" s="35"/>
      <c r="AE2359" s="35"/>
      <c r="AF2359" s="35"/>
      <c r="AG2359" s="35"/>
      <c r="AH2359" s="35"/>
      <c r="AI2359" s="35"/>
      <c r="AJ2359" s="35"/>
      <c r="AK2359" s="35"/>
      <c r="AL2359" s="35"/>
      <c r="AM2359" s="35"/>
      <c r="AN2359" s="35"/>
      <c r="AO2359" s="35"/>
      <c r="AP2359" s="35"/>
    </row>
    <row r="2360" spans="1:42" ht="17.25" customHeight="1" x14ac:dyDescent="0.25">
      <c r="A2360" s="55">
        <v>2024</v>
      </c>
      <c r="B2360" s="56" t="s">
        <v>66</v>
      </c>
      <c r="C2360" s="56" t="s">
        <v>27</v>
      </c>
      <c r="D2360" s="56" t="s">
        <v>29</v>
      </c>
      <c r="E2360" s="56" t="s">
        <v>69</v>
      </c>
      <c r="F2360" s="56" t="s">
        <v>70</v>
      </c>
      <c r="G2360" s="57">
        <v>11167230534</v>
      </c>
      <c r="H2360" s="56" t="s">
        <v>68</v>
      </c>
      <c r="I2360" s="58" t="str">
        <f t="shared" si="137"/>
        <v>Italy-Online Supplier-Direct</v>
      </c>
      <c r="J2360" s="40"/>
      <c r="K2360" s="59"/>
      <c r="L2360" s="35"/>
      <c r="M2360" s="35"/>
      <c r="N2360" s="35"/>
      <c r="O2360" s="35"/>
      <c r="P2360" s="35"/>
      <c r="Q2360" s="35"/>
      <c r="R2360" s="35"/>
      <c r="S2360" s="35"/>
      <c r="T2360" s="35"/>
      <c r="U2360" s="35"/>
      <c r="V2360" s="35"/>
      <c r="W2360" s="35"/>
      <c r="X2360" s="35"/>
      <c r="Y2360" s="35"/>
      <c r="Z2360" s="35"/>
      <c r="AA2360" s="35"/>
      <c r="AB2360" s="35"/>
      <c r="AC2360" s="35"/>
      <c r="AD2360" s="35"/>
      <c r="AE2360" s="35"/>
      <c r="AF2360" s="35"/>
      <c r="AG2360" s="35"/>
      <c r="AH2360" s="35"/>
      <c r="AI2360" s="35"/>
      <c r="AJ2360" s="35"/>
      <c r="AK2360" s="35"/>
      <c r="AL2360" s="35"/>
      <c r="AM2360" s="35"/>
      <c r="AN2360" s="35"/>
      <c r="AO2360" s="35"/>
      <c r="AP2360" s="35"/>
    </row>
    <row r="2361" spans="1:42" ht="17.25" customHeight="1" x14ac:dyDescent="0.25">
      <c r="A2361" s="60">
        <v>2024</v>
      </c>
      <c r="B2361" s="61" t="s">
        <v>66</v>
      </c>
      <c r="C2361" s="61" t="s">
        <v>27</v>
      </c>
      <c r="D2361" s="61" t="s">
        <v>29</v>
      </c>
      <c r="E2361" s="61" t="s">
        <v>69</v>
      </c>
      <c r="F2361" s="61" t="s">
        <v>71</v>
      </c>
      <c r="G2361" s="62">
        <v>6909366324</v>
      </c>
      <c r="H2361" s="61" t="s">
        <v>68</v>
      </c>
      <c r="I2361" s="63" t="str">
        <f t="shared" si="137"/>
        <v>Italy-OTA</v>
      </c>
      <c r="J2361" s="47"/>
      <c r="K2361" s="54"/>
      <c r="L2361" s="35"/>
      <c r="M2361" s="35"/>
      <c r="N2361" s="35"/>
      <c r="O2361" s="35"/>
      <c r="P2361" s="35"/>
      <c r="Q2361" s="35"/>
      <c r="R2361" s="35"/>
      <c r="S2361" s="35"/>
      <c r="T2361" s="35"/>
      <c r="U2361" s="35"/>
      <c r="V2361" s="35"/>
      <c r="W2361" s="35"/>
      <c r="X2361" s="35"/>
      <c r="Y2361" s="35"/>
      <c r="Z2361" s="35"/>
      <c r="AA2361" s="35"/>
      <c r="AB2361" s="35"/>
      <c r="AC2361" s="35"/>
      <c r="AD2361" s="35"/>
      <c r="AE2361" s="35"/>
      <c r="AF2361" s="35"/>
      <c r="AG2361" s="35"/>
      <c r="AH2361" s="35"/>
      <c r="AI2361" s="35"/>
      <c r="AJ2361" s="35"/>
      <c r="AK2361" s="35"/>
      <c r="AL2361" s="35"/>
      <c r="AM2361" s="35"/>
      <c r="AN2361" s="35"/>
      <c r="AO2361" s="35"/>
      <c r="AP2361" s="35"/>
    </row>
    <row r="2362" spans="1:42" ht="17.25" customHeight="1" x14ac:dyDescent="0.25">
      <c r="A2362" s="55">
        <v>2024</v>
      </c>
      <c r="B2362" s="56" t="s">
        <v>66</v>
      </c>
      <c r="C2362" s="56" t="s">
        <v>4</v>
      </c>
      <c r="D2362" s="56" t="s">
        <v>9</v>
      </c>
      <c r="E2362" s="56" t="s">
        <v>67</v>
      </c>
      <c r="F2362" s="56" t="s">
        <v>67</v>
      </c>
      <c r="G2362" s="57">
        <v>40168510795</v>
      </c>
      <c r="H2362" s="56" t="s">
        <v>68</v>
      </c>
      <c r="I2362" s="58" t="str">
        <f t="shared" si="137"/>
        <v>Japan-Offline</v>
      </c>
      <c r="J2362" s="40"/>
      <c r="K2362" s="59"/>
      <c r="L2362" s="35"/>
      <c r="M2362" s="35"/>
      <c r="N2362" s="35"/>
      <c r="O2362" s="35"/>
      <c r="P2362" s="35"/>
      <c r="Q2362" s="35"/>
      <c r="R2362" s="35"/>
      <c r="S2362" s="35"/>
      <c r="T2362" s="35"/>
      <c r="U2362" s="35"/>
      <c r="V2362" s="35"/>
      <c r="W2362" s="35"/>
      <c r="X2362" s="35"/>
      <c r="Y2362" s="35"/>
      <c r="Z2362" s="35"/>
      <c r="AA2362" s="35"/>
      <c r="AB2362" s="35"/>
      <c r="AC2362" s="35"/>
      <c r="AD2362" s="35"/>
      <c r="AE2362" s="35"/>
      <c r="AF2362" s="35"/>
      <c r="AG2362" s="35"/>
      <c r="AH2362" s="35"/>
      <c r="AI2362" s="35"/>
      <c r="AJ2362" s="35"/>
      <c r="AK2362" s="35"/>
      <c r="AL2362" s="35"/>
      <c r="AM2362" s="35"/>
      <c r="AN2362" s="35"/>
      <c r="AO2362" s="35"/>
      <c r="AP2362" s="35"/>
    </row>
    <row r="2363" spans="1:42" ht="17.25" customHeight="1" x14ac:dyDescent="0.25">
      <c r="A2363" s="60">
        <v>2024</v>
      </c>
      <c r="B2363" s="61" t="s">
        <v>66</v>
      </c>
      <c r="C2363" s="61" t="s">
        <v>4</v>
      </c>
      <c r="D2363" s="61" t="s">
        <v>9</v>
      </c>
      <c r="E2363" s="61" t="s">
        <v>69</v>
      </c>
      <c r="F2363" s="61" t="s">
        <v>70</v>
      </c>
      <c r="G2363" s="62">
        <v>28419333112</v>
      </c>
      <c r="H2363" s="61" t="s">
        <v>68</v>
      </c>
      <c r="I2363" s="63" t="str">
        <f t="shared" si="137"/>
        <v>Japan-Online Supplier-Direct</v>
      </c>
      <c r="J2363" s="47"/>
      <c r="K2363" s="54"/>
      <c r="L2363" s="35"/>
      <c r="M2363" s="35"/>
      <c r="N2363" s="35"/>
      <c r="O2363" s="35"/>
      <c r="P2363" s="35"/>
      <c r="Q2363" s="35"/>
      <c r="R2363" s="35"/>
      <c r="S2363" s="35"/>
      <c r="T2363" s="35"/>
      <c r="U2363" s="35"/>
      <c r="V2363" s="35"/>
      <c r="W2363" s="35"/>
      <c r="X2363" s="35"/>
      <c r="Y2363" s="35"/>
      <c r="Z2363" s="35"/>
      <c r="AA2363" s="35"/>
      <c r="AB2363" s="35"/>
      <c r="AC2363" s="35"/>
      <c r="AD2363" s="35"/>
      <c r="AE2363" s="35"/>
      <c r="AF2363" s="35"/>
      <c r="AG2363" s="35"/>
      <c r="AH2363" s="35"/>
      <c r="AI2363" s="35"/>
      <c r="AJ2363" s="35"/>
      <c r="AK2363" s="35"/>
      <c r="AL2363" s="35"/>
      <c r="AM2363" s="35"/>
      <c r="AN2363" s="35"/>
      <c r="AO2363" s="35"/>
      <c r="AP2363" s="35"/>
    </row>
    <row r="2364" spans="1:42" ht="17.25" customHeight="1" x14ac:dyDescent="0.25">
      <c r="A2364" s="55">
        <v>2024</v>
      </c>
      <c r="B2364" s="56" t="s">
        <v>66</v>
      </c>
      <c r="C2364" s="56" t="s">
        <v>4</v>
      </c>
      <c r="D2364" s="56" t="s">
        <v>9</v>
      </c>
      <c r="E2364" s="56" t="s">
        <v>69</v>
      </c>
      <c r="F2364" s="56" t="s">
        <v>71</v>
      </c>
      <c r="G2364" s="57">
        <v>22847379898</v>
      </c>
      <c r="H2364" s="56" t="s">
        <v>68</v>
      </c>
      <c r="I2364" s="58" t="str">
        <f t="shared" si="137"/>
        <v>Japan-OTA</v>
      </c>
      <c r="J2364" s="40"/>
      <c r="K2364" s="59"/>
      <c r="L2364" s="35"/>
      <c r="M2364" s="35"/>
      <c r="N2364" s="35"/>
      <c r="O2364" s="35"/>
      <c r="P2364" s="35"/>
      <c r="Q2364" s="35"/>
      <c r="R2364" s="35"/>
      <c r="S2364" s="35"/>
      <c r="T2364" s="35"/>
      <c r="U2364" s="35"/>
      <c r="V2364" s="35"/>
      <c r="W2364" s="35"/>
      <c r="X2364" s="35"/>
      <c r="Y2364" s="35"/>
      <c r="Z2364" s="35"/>
      <c r="AA2364" s="35"/>
      <c r="AB2364" s="35"/>
      <c r="AC2364" s="35"/>
      <c r="AD2364" s="35"/>
      <c r="AE2364" s="35"/>
      <c r="AF2364" s="35"/>
      <c r="AG2364" s="35"/>
      <c r="AH2364" s="35"/>
      <c r="AI2364" s="35"/>
      <c r="AJ2364" s="35"/>
      <c r="AK2364" s="35"/>
      <c r="AL2364" s="35"/>
      <c r="AM2364" s="35"/>
      <c r="AN2364" s="35"/>
      <c r="AO2364" s="35"/>
      <c r="AP2364" s="35"/>
    </row>
    <row r="2365" spans="1:42" ht="17.25" customHeight="1" x14ac:dyDescent="0.25">
      <c r="A2365" s="60">
        <v>2024</v>
      </c>
      <c r="B2365" s="61" t="s">
        <v>66</v>
      </c>
      <c r="C2365" s="61" t="s">
        <v>4</v>
      </c>
      <c r="D2365" s="61" t="s">
        <v>10</v>
      </c>
      <c r="E2365" s="61" t="s">
        <v>67</v>
      </c>
      <c r="F2365" s="61" t="s">
        <v>67</v>
      </c>
      <c r="G2365" s="62">
        <v>989357268</v>
      </c>
      <c r="H2365" s="61" t="s">
        <v>68</v>
      </c>
      <c r="I2365" s="63" t="str">
        <f t="shared" si="137"/>
        <v>Macau-Offline</v>
      </c>
      <c r="J2365" s="47"/>
      <c r="K2365" s="54"/>
      <c r="L2365" s="35"/>
      <c r="M2365" s="35"/>
      <c r="N2365" s="35"/>
      <c r="O2365" s="35"/>
      <c r="P2365" s="35"/>
      <c r="Q2365" s="35"/>
      <c r="R2365" s="35"/>
      <c r="S2365" s="35"/>
      <c r="T2365" s="35"/>
      <c r="U2365" s="35"/>
      <c r="V2365" s="35"/>
      <c r="W2365" s="35"/>
      <c r="X2365" s="35"/>
      <c r="Y2365" s="35"/>
      <c r="Z2365" s="35"/>
      <c r="AA2365" s="35"/>
      <c r="AB2365" s="35"/>
      <c r="AC2365" s="35"/>
      <c r="AD2365" s="35"/>
      <c r="AE2365" s="35"/>
      <c r="AF2365" s="35"/>
      <c r="AG2365" s="35"/>
      <c r="AH2365" s="35"/>
      <c r="AI2365" s="35"/>
      <c r="AJ2365" s="35"/>
      <c r="AK2365" s="35"/>
      <c r="AL2365" s="35"/>
      <c r="AM2365" s="35"/>
      <c r="AN2365" s="35"/>
      <c r="AO2365" s="35"/>
      <c r="AP2365" s="35"/>
    </row>
    <row r="2366" spans="1:42" ht="17.25" customHeight="1" x14ac:dyDescent="0.25">
      <c r="A2366" s="55">
        <v>2024</v>
      </c>
      <c r="B2366" s="56" t="s">
        <v>66</v>
      </c>
      <c r="C2366" s="56" t="s">
        <v>4</v>
      </c>
      <c r="D2366" s="56" t="s">
        <v>10</v>
      </c>
      <c r="E2366" s="56" t="s">
        <v>69</v>
      </c>
      <c r="F2366" s="56" t="s">
        <v>70</v>
      </c>
      <c r="G2366" s="57">
        <v>174862555</v>
      </c>
      <c r="H2366" s="56" t="s">
        <v>68</v>
      </c>
      <c r="I2366" s="58" t="str">
        <f t="shared" si="137"/>
        <v>Macau-Online Supplier-Direct</v>
      </c>
      <c r="J2366" s="40"/>
      <c r="K2366" s="59"/>
      <c r="L2366" s="35"/>
      <c r="M2366" s="35"/>
      <c r="N2366" s="35"/>
      <c r="O2366" s="35"/>
      <c r="P2366" s="35"/>
      <c r="Q2366" s="35"/>
      <c r="R2366" s="35"/>
      <c r="S2366" s="35"/>
      <c r="T2366" s="35"/>
      <c r="U2366" s="35"/>
      <c r="V2366" s="35"/>
      <c r="W2366" s="35"/>
      <c r="X2366" s="35"/>
      <c r="Y2366" s="35"/>
      <c r="Z2366" s="35"/>
      <c r="AA2366" s="35"/>
      <c r="AB2366" s="35"/>
      <c r="AC2366" s="35"/>
      <c r="AD2366" s="35"/>
      <c r="AE2366" s="35"/>
      <c r="AF2366" s="35"/>
      <c r="AG2366" s="35"/>
      <c r="AH2366" s="35"/>
      <c r="AI2366" s="35"/>
      <c r="AJ2366" s="35"/>
      <c r="AK2366" s="35"/>
      <c r="AL2366" s="35"/>
      <c r="AM2366" s="35"/>
      <c r="AN2366" s="35"/>
      <c r="AO2366" s="35"/>
      <c r="AP2366" s="35"/>
    </row>
    <row r="2367" spans="1:42" ht="17.25" customHeight="1" x14ac:dyDescent="0.25">
      <c r="A2367" s="60">
        <v>2024</v>
      </c>
      <c r="B2367" s="61" t="s">
        <v>66</v>
      </c>
      <c r="C2367" s="61" t="s">
        <v>4</v>
      </c>
      <c r="D2367" s="61" t="s">
        <v>10</v>
      </c>
      <c r="E2367" s="61" t="s">
        <v>69</v>
      </c>
      <c r="F2367" s="61" t="s">
        <v>71</v>
      </c>
      <c r="G2367" s="62">
        <v>1372593684</v>
      </c>
      <c r="H2367" s="61" t="s">
        <v>68</v>
      </c>
      <c r="I2367" s="63" t="str">
        <f t="shared" si="137"/>
        <v>Macau-OTA</v>
      </c>
      <c r="J2367" s="47"/>
      <c r="K2367" s="54"/>
      <c r="L2367" s="35"/>
      <c r="M2367" s="35"/>
      <c r="N2367" s="35"/>
      <c r="O2367" s="35"/>
      <c r="P2367" s="35"/>
      <c r="Q2367" s="35"/>
      <c r="R2367" s="35"/>
      <c r="S2367" s="35"/>
      <c r="T2367" s="35"/>
      <c r="U2367" s="35"/>
      <c r="V2367" s="35"/>
      <c r="W2367" s="35"/>
      <c r="X2367" s="35"/>
      <c r="Y2367" s="35"/>
      <c r="Z2367" s="35"/>
      <c r="AA2367" s="35"/>
      <c r="AB2367" s="35"/>
      <c r="AC2367" s="35"/>
      <c r="AD2367" s="35"/>
      <c r="AE2367" s="35"/>
      <c r="AF2367" s="35"/>
      <c r="AG2367" s="35"/>
      <c r="AH2367" s="35"/>
      <c r="AI2367" s="35"/>
      <c r="AJ2367" s="35"/>
      <c r="AK2367" s="35"/>
      <c r="AL2367" s="35"/>
      <c r="AM2367" s="35"/>
      <c r="AN2367" s="35"/>
      <c r="AO2367" s="35"/>
      <c r="AP2367" s="35"/>
    </row>
    <row r="2368" spans="1:42" ht="17.25" customHeight="1" x14ac:dyDescent="0.25">
      <c r="A2368" s="55">
        <v>2024</v>
      </c>
      <c r="B2368" s="56" t="s">
        <v>66</v>
      </c>
      <c r="C2368" s="56" t="s">
        <v>4</v>
      </c>
      <c r="D2368" s="56" t="s">
        <v>11</v>
      </c>
      <c r="E2368" s="56" t="s">
        <v>67</v>
      </c>
      <c r="F2368" s="56" t="s">
        <v>67</v>
      </c>
      <c r="G2368" s="57">
        <v>3388265401</v>
      </c>
      <c r="H2368" s="56" t="s">
        <v>68</v>
      </c>
      <c r="I2368" s="58" t="str">
        <f t="shared" si="137"/>
        <v>Malaysia-Offline</v>
      </c>
      <c r="J2368" s="40"/>
      <c r="K2368" s="59"/>
      <c r="L2368" s="35"/>
      <c r="M2368" s="35"/>
      <c r="N2368" s="35"/>
      <c r="O2368" s="35"/>
      <c r="P2368" s="35"/>
      <c r="Q2368" s="35"/>
      <c r="R2368" s="35"/>
      <c r="S2368" s="35"/>
      <c r="T2368" s="35"/>
      <c r="U2368" s="35"/>
      <c r="V2368" s="35"/>
      <c r="W2368" s="35"/>
      <c r="X2368" s="35"/>
      <c r="Y2368" s="35"/>
      <c r="Z2368" s="35"/>
      <c r="AA2368" s="35"/>
      <c r="AB2368" s="35"/>
      <c r="AC2368" s="35"/>
      <c r="AD2368" s="35"/>
      <c r="AE2368" s="35"/>
      <c r="AF2368" s="35"/>
      <c r="AG2368" s="35"/>
      <c r="AH2368" s="35"/>
      <c r="AI2368" s="35"/>
      <c r="AJ2368" s="35"/>
      <c r="AK2368" s="35"/>
      <c r="AL2368" s="35"/>
      <c r="AM2368" s="35"/>
      <c r="AN2368" s="35"/>
      <c r="AO2368" s="35"/>
      <c r="AP2368" s="35"/>
    </row>
    <row r="2369" spans="1:42" ht="17.25" customHeight="1" x14ac:dyDescent="0.25">
      <c r="A2369" s="60">
        <v>2024</v>
      </c>
      <c r="B2369" s="61" t="s">
        <v>66</v>
      </c>
      <c r="C2369" s="61" t="s">
        <v>4</v>
      </c>
      <c r="D2369" s="61" t="s">
        <v>11</v>
      </c>
      <c r="E2369" s="61" t="s">
        <v>69</v>
      </c>
      <c r="F2369" s="61" t="s">
        <v>70</v>
      </c>
      <c r="G2369" s="62">
        <v>5679441620</v>
      </c>
      <c r="H2369" s="61" t="s">
        <v>68</v>
      </c>
      <c r="I2369" s="63" t="str">
        <f t="shared" si="137"/>
        <v>Malaysia-Online Supplier-Direct</v>
      </c>
      <c r="J2369" s="47"/>
      <c r="K2369" s="54"/>
      <c r="L2369" s="35"/>
      <c r="M2369" s="35"/>
      <c r="N2369" s="35"/>
      <c r="O2369" s="35"/>
      <c r="P2369" s="35"/>
      <c r="Q2369" s="35"/>
      <c r="R2369" s="35"/>
      <c r="S2369" s="35"/>
      <c r="T2369" s="35"/>
      <c r="U2369" s="35"/>
      <c r="V2369" s="35"/>
      <c r="W2369" s="35"/>
      <c r="X2369" s="35"/>
      <c r="Y2369" s="35"/>
      <c r="Z2369" s="35"/>
      <c r="AA2369" s="35"/>
      <c r="AB2369" s="35"/>
      <c r="AC2369" s="35"/>
      <c r="AD2369" s="35"/>
      <c r="AE2369" s="35"/>
      <c r="AF2369" s="35"/>
      <c r="AG2369" s="35"/>
      <c r="AH2369" s="35"/>
      <c r="AI2369" s="35"/>
      <c r="AJ2369" s="35"/>
      <c r="AK2369" s="35"/>
      <c r="AL2369" s="35"/>
      <c r="AM2369" s="35"/>
      <c r="AN2369" s="35"/>
      <c r="AO2369" s="35"/>
      <c r="AP2369" s="35"/>
    </row>
    <row r="2370" spans="1:42" ht="17.25" customHeight="1" x14ac:dyDescent="0.25">
      <c r="A2370" s="55">
        <v>2024</v>
      </c>
      <c r="B2370" s="56" t="s">
        <v>66</v>
      </c>
      <c r="C2370" s="56" t="s">
        <v>4</v>
      </c>
      <c r="D2370" s="56" t="s">
        <v>11</v>
      </c>
      <c r="E2370" s="56" t="s">
        <v>69</v>
      </c>
      <c r="F2370" s="56" t="s">
        <v>71</v>
      </c>
      <c r="G2370" s="57">
        <v>3009386160</v>
      </c>
      <c r="H2370" s="56" t="s">
        <v>68</v>
      </c>
      <c r="I2370" s="58" t="str">
        <f t="shared" si="137"/>
        <v>Malaysia-OTA</v>
      </c>
      <c r="J2370" s="40"/>
      <c r="K2370" s="59"/>
      <c r="L2370" s="35"/>
      <c r="M2370" s="35"/>
      <c r="N2370" s="35"/>
      <c r="O2370" s="35"/>
      <c r="P2370" s="35"/>
      <c r="Q2370" s="35"/>
      <c r="R2370" s="35"/>
      <c r="S2370" s="35"/>
      <c r="T2370" s="35"/>
      <c r="U2370" s="35"/>
      <c r="V2370" s="35"/>
      <c r="W2370" s="35"/>
      <c r="X2370" s="35"/>
      <c r="Y2370" s="35"/>
      <c r="Z2370" s="35"/>
      <c r="AA2370" s="35"/>
      <c r="AB2370" s="35"/>
      <c r="AC2370" s="35"/>
      <c r="AD2370" s="35"/>
      <c r="AE2370" s="35"/>
      <c r="AF2370" s="35"/>
      <c r="AG2370" s="35"/>
      <c r="AH2370" s="35"/>
      <c r="AI2370" s="35"/>
      <c r="AJ2370" s="35"/>
      <c r="AK2370" s="35"/>
      <c r="AL2370" s="35"/>
      <c r="AM2370" s="35"/>
      <c r="AN2370" s="35"/>
      <c r="AO2370" s="35"/>
      <c r="AP2370" s="35"/>
    </row>
    <row r="2371" spans="1:42" ht="17.25" customHeight="1" x14ac:dyDescent="0.25">
      <c r="A2371" s="60">
        <v>2024</v>
      </c>
      <c r="B2371" s="61" t="s">
        <v>66</v>
      </c>
      <c r="C2371" s="61" t="s">
        <v>35</v>
      </c>
      <c r="D2371" s="61" t="s">
        <v>39</v>
      </c>
      <c r="E2371" s="61" t="s">
        <v>67</v>
      </c>
      <c r="F2371" s="61" t="s">
        <v>67</v>
      </c>
      <c r="G2371" s="62">
        <v>15179611499</v>
      </c>
      <c r="H2371" s="61" t="s">
        <v>68</v>
      </c>
      <c r="I2371" s="63" t="str">
        <f t="shared" si="137"/>
        <v>Mexico-Offline</v>
      </c>
      <c r="J2371" s="47"/>
      <c r="K2371" s="54"/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  <c r="AB2371" s="35"/>
      <c r="AC2371" s="35"/>
      <c r="AD2371" s="35"/>
      <c r="AE2371" s="35"/>
      <c r="AF2371" s="35"/>
      <c r="AG2371" s="35"/>
      <c r="AH2371" s="35"/>
      <c r="AI2371" s="35"/>
      <c r="AJ2371" s="35"/>
      <c r="AK2371" s="35"/>
      <c r="AL2371" s="35"/>
      <c r="AM2371" s="35"/>
      <c r="AN2371" s="35"/>
      <c r="AO2371" s="35"/>
      <c r="AP2371" s="35"/>
    </row>
    <row r="2372" spans="1:42" ht="17.25" customHeight="1" x14ac:dyDescent="0.25">
      <c r="A2372" s="55">
        <v>2024</v>
      </c>
      <c r="B2372" s="56" t="s">
        <v>66</v>
      </c>
      <c r="C2372" s="56" t="s">
        <v>35</v>
      </c>
      <c r="D2372" s="56" t="s">
        <v>39</v>
      </c>
      <c r="E2372" s="56" t="s">
        <v>69</v>
      </c>
      <c r="F2372" s="56" t="s">
        <v>70</v>
      </c>
      <c r="G2372" s="57">
        <v>7519780699</v>
      </c>
      <c r="H2372" s="56" t="s">
        <v>68</v>
      </c>
      <c r="I2372" s="58" t="str">
        <f t="shared" si="137"/>
        <v>Mexico-Online Supplier-Direct</v>
      </c>
      <c r="J2372" s="40"/>
      <c r="K2372" s="59"/>
      <c r="L2372" s="35"/>
      <c r="M2372" s="35"/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  <c r="Z2372" s="35"/>
      <c r="AA2372" s="35"/>
      <c r="AB2372" s="35"/>
      <c r="AC2372" s="35"/>
      <c r="AD2372" s="35"/>
      <c r="AE2372" s="35"/>
      <c r="AF2372" s="35"/>
      <c r="AG2372" s="35"/>
      <c r="AH2372" s="35"/>
      <c r="AI2372" s="35"/>
      <c r="AJ2372" s="35"/>
      <c r="AK2372" s="35"/>
      <c r="AL2372" s="35"/>
      <c r="AM2372" s="35"/>
      <c r="AN2372" s="35"/>
      <c r="AO2372" s="35"/>
      <c r="AP2372" s="35"/>
    </row>
    <row r="2373" spans="1:42" ht="17.25" customHeight="1" x14ac:dyDescent="0.25">
      <c r="A2373" s="60">
        <v>2024</v>
      </c>
      <c r="B2373" s="61" t="s">
        <v>66</v>
      </c>
      <c r="C2373" s="61" t="s">
        <v>35</v>
      </c>
      <c r="D2373" s="61" t="s">
        <v>39</v>
      </c>
      <c r="E2373" s="61" t="s">
        <v>69</v>
      </c>
      <c r="F2373" s="61" t="s">
        <v>71</v>
      </c>
      <c r="G2373" s="62">
        <v>8084034188</v>
      </c>
      <c r="H2373" s="61" t="s">
        <v>68</v>
      </c>
      <c r="I2373" s="63" t="str">
        <f t="shared" si="137"/>
        <v>Mexico-OTA</v>
      </c>
      <c r="J2373" s="47"/>
      <c r="K2373" s="54"/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  <c r="AB2373" s="35"/>
      <c r="AC2373" s="35"/>
      <c r="AD2373" s="35"/>
      <c r="AE2373" s="35"/>
      <c r="AF2373" s="35"/>
      <c r="AG2373" s="35"/>
      <c r="AH2373" s="35"/>
      <c r="AI2373" s="35"/>
      <c r="AJ2373" s="35"/>
      <c r="AK2373" s="35"/>
      <c r="AL2373" s="35"/>
      <c r="AM2373" s="35"/>
      <c r="AN2373" s="35"/>
      <c r="AO2373" s="35"/>
      <c r="AP2373" s="35"/>
    </row>
    <row r="2374" spans="1:42" ht="17.25" customHeight="1" x14ac:dyDescent="0.25">
      <c r="A2374" s="55">
        <v>2024</v>
      </c>
      <c r="B2374" s="56" t="s">
        <v>66</v>
      </c>
      <c r="C2374" s="56" t="s">
        <v>17</v>
      </c>
      <c r="D2374" s="56" t="s">
        <v>21</v>
      </c>
      <c r="E2374" s="56" t="s">
        <v>67</v>
      </c>
      <c r="F2374" s="56" t="s">
        <v>67</v>
      </c>
      <c r="G2374" s="57">
        <v>2896101284</v>
      </c>
      <c r="H2374" s="56" t="s">
        <v>68</v>
      </c>
      <c r="I2374" s="58" t="str">
        <f t="shared" si="137"/>
        <v>Poland-Offline</v>
      </c>
      <c r="J2374" s="40"/>
      <c r="K2374" s="59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  <c r="AG2374" s="35"/>
      <c r="AH2374" s="35"/>
      <c r="AI2374" s="35"/>
      <c r="AJ2374" s="35"/>
      <c r="AK2374" s="35"/>
      <c r="AL2374" s="35"/>
      <c r="AM2374" s="35"/>
      <c r="AN2374" s="35"/>
      <c r="AO2374" s="35"/>
      <c r="AP2374" s="35"/>
    </row>
    <row r="2375" spans="1:42" ht="17.25" customHeight="1" x14ac:dyDescent="0.25">
      <c r="A2375" s="60">
        <v>2024</v>
      </c>
      <c r="B2375" s="61" t="s">
        <v>66</v>
      </c>
      <c r="C2375" s="61" t="s">
        <v>17</v>
      </c>
      <c r="D2375" s="61" t="s">
        <v>21</v>
      </c>
      <c r="E2375" s="61" t="s">
        <v>69</v>
      </c>
      <c r="F2375" s="61" t="s">
        <v>70</v>
      </c>
      <c r="G2375" s="62">
        <v>2022710556</v>
      </c>
      <c r="H2375" s="61" t="s">
        <v>68</v>
      </c>
      <c r="I2375" s="63" t="str">
        <f t="shared" si="137"/>
        <v>Poland-Online Supplier-Direct</v>
      </c>
      <c r="J2375" s="47"/>
      <c r="K2375" s="54"/>
      <c r="L2375" s="35"/>
      <c r="M2375" s="35"/>
      <c r="N2375" s="35"/>
      <c r="O2375" s="35"/>
      <c r="P2375" s="35"/>
      <c r="Q2375" s="35"/>
      <c r="R2375" s="35"/>
      <c r="S2375" s="35"/>
      <c r="T2375" s="35"/>
      <c r="U2375" s="35"/>
      <c r="V2375" s="35"/>
      <c r="W2375" s="35"/>
      <c r="X2375" s="35"/>
      <c r="Y2375" s="35"/>
      <c r="Z2375" s="35"/>
      <c r="AA2375" s="35"/>
      <c r="AB2375" s="35"/>
      <c r="AC2375" s="35"/>
      <c r="AD2375" s="35"/>
      <c r="AE2375" s="35"/>
      <c r="AF2375" s="35"/>
      <c r="AG2375" s="35"/>
      <c r="AH2375" s="35"/>
      <c r="AI2375" s="35"/>
      <c r="AJ2375" s="35"/>
      <c r="AK2375" s="35"/>
      <c r="AL2375" s="35"/>
      <c r="AM2375" s="35"/>
      <c r="AN2375" s="35"/>
      <c r="AO2375" s="35"/>
      <c r="AP2375" s="35"/>
    </row>
    <row r="2376" spans="1:42" ht="17.25" customHeight="1" x14ac:dyDescent="0.25">
      <c r="A2376" s="55">
        <v>2024</v>
      </c>
      <c r="B2376" s="56" t="s">
        <v>66</v>
      </c>
      <c r="C2376" s="56" t="s">
        <v>17</v>
      </c>
      <c r="D2376" s="56" t="s">
        <v>21</v>
      </c>
      <c r="E2376" s="56" t="s">
        <v>69</v>
      </c>
      <c r="F2376" s="56" t="s">
        <v>71</v>
      </c>
      <c r="G2376" s="57">
        <v>1608448764</v>
      </c>
      <c r="H2376" s="56" t="s">
        <v>68</v>
      </c>
      <c r="I2376" s="58" t="str">
        <f t="shared" si="137"/>
        <v>Poland-OTA</v>
      </c>
      <c r="J2376" s="40"/>
      <c r="K2376" s="59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  <c r="AG2376" s="35"/>
      <c r="AH2376" s="35"/>
      <c r="AI2376" s="35"/>
      <c r="AJ2376" s="35"/>
      <c r="AK2376" s="35"/>
      <c r="AL2376" s="35"/>
      <c r="AM2376" s="35"/>
      <c r="AN2376" s="35"/>
      <c r="AO2376" s="35"/>
      <c r="AP2376" s="35"/>
    </row>
    <row r="2377" spans="1:42" ht="17.25" customHeight="1" x14ac:dyDescent="0.25">
      <c r="A2377" s="60">
        <v>2024</v>
      </c>
      <c r="B2377" s="61" t="s">
        <v>66</v>
      </c>
      <c r="C2377" s="61" t="s">
        <v>41</v>
      </c>
      <c r="D2377" s="61" t="s">
        <v>42</v>
      </c>
      <c r="E2377" s="61" t="s">
        <v>67</v>
      </c>
      <c r="F2377" s="61" t="s">
        <v>67</v>
      </c>
      <c r="G2377" s="62">
        <v>9566036993</v>
      </c>
      <c r="H2377" s="61" t="s">
        <v>68</v>
      </c>
      <c r="I2377" s="63" t="str">
        <f t="shared" si="137"/>
        <v>Qatar-Offline</v>
      </c>
      <c r="J2377" s="47"/>
      <c r="K2377" s="54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  <c r="AG2377" s="35"/>
      <c r="AH2377" s="35"/>
      <c r="AI2377" s="35"/>
      <c r="AJ2377" s="35"/>
      <c r="AK2377" s="35"/>
      <c r="AL2377" s="35"/>
      <c r="AM2377" s="35"/>
      <c r="AN2377" s="35"/>
      <c r="AO2377" s="35"/>
      <c r="AP2377" s="35"/>
    </row>
    <row r="2378" spans="1:42" ht="17.25" customHeight="1" x14ac:dyDescent="0.25">
      <c r="A2378" s="55">
        <v>2024</v>
      </c>
      <c r="B2378" s="56" t="s">
        <v>66</v>
      </c>
      <c r="C2378" s="56" t="s">
        <v>41</v>
      </c>
      <c r="D2378" s="56" t="s">
        <v>42</v>
      </c>
      <c r="E2378" s="56" t="s">
        <v>69</v>
      </c>
      <c r="F2378" s="56" t="s">
        <v>70</v>
      </c>
      <c r="G2378" s="57">
        <v>5992177896</v>
      </c>
      <c r="H2378" s="56" t="s">
        <v>68</v>
      </c>
      <c r="I2378" s="58" t="str">
        <f t="shared" si="137"/>
        <v>Qatar-Online Supplier-Direct</v>
      </c>
      <c r="J2378" s="40"/>
      <c r="K2378" s="59"/>
      <c r="L2378" s="35"/>
      <c r="M2378" s="35"/>
      <c r="N2378" s="35"/>
      <c r="O2378" s="35"/>
      <c r="P2378" s="35"/>
      <c r="Q2378" s="35"/>
      <c r="R2378" s="35"/>
      <c r="S2378" s="35"/>
      <c r="T2378" s="35"/>
      <c r="U2378" s="35"/>
      <c r="V2378" s="35"/>
      <c r="W2378" s="35"/>
      <c r="X2378" s="35"/>
      <c r="Y2378" s="35"/>
      <c r="Z2378" s="35"/>
      <c r="AA2378" s="35"/>
      <c r="AB2378" s="35"/>
      <c r="AC2378" s="35"/>
      <c r="AD2378" s="35"/>
      <c r="AE2378" s="35"/>
      <c r="AF2378" s="35"/>
      <c r="AG2378" s="35"/>
      <c r="AH2378" s="35"/>
      <c r="AI2378" s="35"/>
      <c r="AJ2378" s="35"/>
      <c r="AK2378" s="35"/>
      <c r="AL2378" s="35"/>
      <c r="AM2378" s="35"/>
      <c r="AN2378" s="35"/>
      <c r="AO2378" s="35"/>
      <c r="AP2378" s="35"/>
    </row>
    <row r="2379" spans="1:42" ht="17.25" customHeight="1" x14ac:dyDescent="0.25">
      <c r="A2379" s="60">
        <v>2024</v>
      </c>
      <c r="B2379" s="61" t="s">
        <v>66</v>
      </c>
      <c r="C2379" s="61" t="s">
        <v>41</v>
      </c>
      <c r="D2379" s="61" t="s">
        <v>42</v>
      </c>
      <c r="E2379" s="61" t="s">
        <v>69</v>
      </c>
      <c r="F2379" s="61" t="s">
        <v>71</v>
      </c>
      <c r="G2379" s="62">
        <v>1730674526</v>
      </c>
      <c r="H2379" s="61" t="s">
        <v>68</v>
      </c>
      <c r="I2379" s="63" t="str">
        <f t="shared" si="137"/>
        <v>Qatar-OTA</v>
      </c>
      <c r="J2379" s="47"/>
      <c r="K2379" s="54"/>
      <c r="L2379" s="35"/>
      <c r="M2379" s="35"/>
      <c r="N2379" s="35"/>
      <c r="O2379" s="35"/>
      <c r="P2379" s="35"/>
      <c r="Q2379" s="35"/>
      <c r="R2379" s="35"/>
      <c r="S2379" s="35"/>
      <c r="T2379" s="35"/>
      <c r="U2379" s="35"/>
      <c r="V2379" s="35"/>
      <c r="W2379" s="35"/>
      <c r="X2379" s="35"/>
      <c r="Y2379" s="35"/>
      <c r="Z2379" s="35"/>
      <c r="AA2379" s="35"/>
      <c r="AB2379" s="35"/>
      <c r="AC2379" s="35"/>
      <c r="AD2379" s="35"/>
      <c r="AE2379" s="35"/>
      <c r="AF2379" s="35"/>
      <c r="AG2379" s="35"/>
      <c r="AH2379" s="35"/>
      <c r="AI2379" s="35"/>
      <c r="AJ2379" s="35"/>
      <c r="AK2379" s="35"/>
      <c r="AL2379" s="35"/>
      <c r="AM2379" s="35"/>
      <c r="AN2379" s="35"/>
      <c r="AO2379" s="35"/>
      <c r="AP2379" s="35"/>
    </row>
    <row r="2380" spans="1:42" ht="17.25" customHeight="1" x14ac:dyDescent="0.25">
      <c r="A2380" s="55">
        <v>2024</v>
      </c>
      <c r="B2380" s="56" t="s">
        <v>66</v>
      </c>
      <c r="C2380" s="56" t="s">
        <v>17</v>
      </c>
      <c r="D2380" s="56" t="s">
        <v>22</v>
      </c>
      <c r="E2380" s="56" t="s">
        <v>67</v>
      </c>
      <c r="F2380" s="56" t="s">
        <v>67</v>
      </c>
      <c r="G2380" s="57">
        <v>996809768</v>
      </c>
      <c r="H2380" s="56" t="s">
        <v>68</v>
      </c>
      <c r="I2380" s="58" t="str">
        <f t="shared" si="137"/>
        <v>Rest of Eastern Europe-Offline</v>
      </c>
      <c r="J2380" s="40"/>
      <c r="K2380" s="59"/>
      <c r="L2380" s="35"/>
      <c r="M2380" s="35"/>
      <c r="N2380" s="35"/>
      <c r="O2380" s="35"/>
      <c r="P2380" s="35"/>
      <c r="Q2380" s="35"/>
      <c r="R2380" s="35"/>
      <c r="S2380" s="35"/>
      <c r="T2380" s="35"/>
      <c r="U2380" s="35"/>
      <c r="V2380" s="35"/>
      <c r="W2380" s="35"/>
      <c r="X2380" s="35"/>
      <c r="Y2380" s="35"/>
      <c r="Z2380" s="35"/>
      <c r="AA2380" s="35"/>
      <c r="AB2380" s="35"/>
      <c r="AC2380" s="35"/>
      <c r="AD2380" s="35"/>
      <c r="AE2380" s="35"/>
      <c r="AF2380" s="35"/>
      <c r="AG2380" s="35"/>
      <c r="AH2380" s="35"/>
      <c r="AI2380" s="35"/>
      <c r="AJ2380" s="35"/>
      <c r="AK2380" s="35"/>
      <c r="AL2380" s="35"/>
      <c r="AM2380" s="35"/>
      <c r="AN2380" s="35"/>
      <c r="AO2380" s="35"/>
      <c r="AP2380" s="35"/>
    </row>
    <row r="2381" spans="1:42" ht="17.25" customHeight="1" x14ac:dyDescent="0.25">
      <c r="A2381" s="60">
        <v>2024</v>
      </c>
      <c r="B2381" s="61" t="s">
        <v>66</v>
      </c>
      <c r="C2381" s="61" t="s">
        <v>17</v>
      </c>
      <c r="D2381" s="61" t="s">
        <v>22</v>
      </c>
      <c r="E2381" s="61" t="s">
        <v>69</v>
      </c>
      <c r="F2381" s="61" t="s">
        <v>70</v>
      </c>
      <c r="G2381" s="62">
        <v>1057659229</v>
      </c>
      <c r="H2381" s="61" t="s">
        <v>68</v>
      </c>
      <c r="I2381" s="63" t="str">
        <f t="shared" si="137"/>
        <v>Rest of Eastern Europe-Online Supplier-Direct</v>
      </c>
      <c r="J2381" s="47"/>
      <c r="K2381" s="54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  <c r="AG2381" s="35"/>
      <c r="AH2381" s="35"/>
      <c r="AI2381" s="35"/>
      <c r="AJ2381" s="35"/>
      <c r="AK2381" s="35"/>
      <c r="AL2381" s="35"/>
      <c r="AM2381" s="35"/>
      <c r="AN2381" s="35"/>
      <c r="AO2381" s="35"/>
      <c r="AP2381" s="35"/>
    </row>
    <row r="2382" spans="1:42" ht="17.25" customHeight="1" x14ac:dyDescent="0.25">
      <c r="A2382" s="55">
        <v>2024</v>
      </c>
      <c r="B2382" s="56" t="s">
        <v>66</v>
      </c>
      <c r="C2382" s="56" t="s">
        <v>17</v>
      </c>
      <c r="D2382" s="56" t="s">
        <v>22</v>
      </c>
      <c r="E2382" s="56" t="s">
        <v>69</v>
      </c>
      <c r="F2382" s="56" t="s">
        <v>71</v>
      </c>
      <c r="G2382" s="57">
        <v>788109879</v>
      </c>
      <c r="H2382" s="56" t="s">
        <v>68</v>
      </c>
      <c r="I2382" s="58" t="str">
        <f t="shared" si="137"/>
        <v>Rest of Eastern Europe-OTA</v>
      </c>
      <c r="J2382" s="40"/>
      <c r="K2382" s="59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  <c r="AG2382" s="35"/>
      <c r="AH2382" s="35"/>
      <c r="AI2382" s="35"/>
      <c r="AJ2382" s="35"/>
      <c r="AK2382" s="35"/>
      <c r="AL2382" s="35"/>
      <c r="AM2382" s="35"/>
      <c r="AN2382" s="35"/>
      <c r="AO2382" s="35"/>
      <c r="AP2382" s="35"/>
    </row>
    <row r="2383" spans="1:42" ht="17.25" customHeight="1" x14ac:dyDescent="0.25">
      <c r="A2383" s="60">
        <v>2024</v>
      </c>
      <c r="B2383" s="61" t="s">
        <v>66</v>
      </c>
      <c r="C2383" s="61" t="s">
        <v>27</v>
      </c>
      <c r="D2383" s="61" t="s">
        <v>30</v>
      </c>
      <c r="E2383" s="61" t="s">
        <v>67</v>
      </c>
      <c r="F2383" s="61" t="s">
        <v>67</v>
      </c>
      <c r="G2383" s="62">
        <v>25778017652</v>
      </c>
      <c r="H2383" s="61" t="s">
        <v>68</v>
      </c>
      <c r="I2383" s="63" t="str">
        <f t="shared" si="137"/>
        <v>Rest of Europe-Offline</v>
      </c>
      <c r="J2383" s="47"/>
      <c r="K2383" s="54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  <c r="AG2383" s="35"/>
      <c r="AH2383" s="35"/>
      <c r="AI2383" s="35"/>
      <c r="AJ2383" s="35"/>
      <c r="AK2383" s="35"/>
      <c r="AL2383" s="35"/>
      <c r="AM2383" s="35"/>
      <c r="AN2383" s="35"/>
      <c r="AO2383" s="35"/>
      <c r="AP2383" s="35"/>
    </row>
    <row r="2384" spans="1:42" ht="17.25" customHeight="1" x14ac:dyDescent="0.25">
      <c r="A2384" s="55">
        <v>2024</v>
      </c>
      <c r="B2384" s="56" t="s">
        <v>66</v>
      </c>
      <c r="C2384" s="56" t="s">
        <v>27</v>
      </c>
      <c r="D2384" s="56" t="s">
        <v>30</v>
      </c>
      <c r="E2384" s="56" t="s">
        <v>69</v>
      </c>
      <c r="F2384" s="56" t="s">
        <v>70</v>
      </c>
      <c r="G2384" s="57">
        <v>40507482938</v>
      </c>
      <c r="H2384" s="56" t="s">
        <v>68</v>
      </c>
      <c r="I2384" s="58" t="str">
        <f t="shared" si="137"/>
        <v>Rest of Europe-Online Supplier-Direct</v>
      </c>
      <c r="J2384" s="40"/>
      <c r="K2384" s="59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  <c r="AG2384" s="35"/>
      <c r="AH2384" s="35"/>
      <c r="AI2384" s="35"/>
      <c r="AJ2384" s="35"/>
      <c r="AK2384" s="35"/>
      <c r="AL2384" s="35"/>
      <c r="AM2384" s="35"/>
      <c r="AN2384" s="35"/>
      <c r="AO2384" s="35"/>
      <c r="AP2384" s="35"/>
    </row>
    <row r="2385" spans="1:42" ht="17.25" customHeight="1" x14ac:dyDescent="0.25">
      <c r="A2385" s="60">
        <v>2024</v>
      </c>
      <c r="B2385" s="61" t="s">
        <v>66</v>
      </c>
      <c r="C2385" s="61" t="s">
        <v>27</v>
      </c>
      <c r="D2385" s="61" t="s">
        <v>30</v>
      </c>
      <c r="E2385" s="61" t="s">
        <v>69</v>
      </c>
      <c r="F2385" s="61" t="s">
        <v>71</v>
      </c>
      <c r="G2385" s="62">
        <v>13638334174</v>
      </c>
      <c r="H2385" s="61" t="s">
        <v>68</v>
      </c>
      <c r="I2385" s="63" t="str">
        <f t="shared" si="137"/>
        <v>Rest of Europe-OTA</v>
      </c>
      <c r="J2385" s="47"/>
      <c r="K2385" s="54"/>
      <c r="L2385" s="35"/>
      <c r="M2385" s="35"/>
      <c r="N2385" s="35"/>
      <c r="O2385" s="35"/>
      <c r="P2385" s="35"/>
      <c r="Q2385" s="35"/>
      <c r="R2385" s="35"/>
      <c r="S2385" s="35"/>
      <c r="T2385" s="35"/>
      <c r="U2385" s="35"/>
      <c r="V2385" s="35"/>
      <c r="W2385" s="35"/>
      <c r="X2385" s="35"/>
      <c r="Y2385" s="35"/>
      <c r="Z2385" s="35"/>
      <c r="AA2385" s="35"/>
      <c r="AB2385" s="35"/>
      <c r="AC2385" s="35"/>
      <c r="AD2385" s="35"/>
      <c r="AE2385" s="35"/>
      <c r="AF2385" s="35"/>
      <c r="AG2385" s="35"/>
      <c r="AH2385" s="35"/>
      <c r="AI2385" s="35"/>
      <c r="AJ2385" s="35"/>
      <c r="AK2385" s="35"/>
      <c r="AL2385" s="35"/>
      <c r="AM2385" s="35"/>
      <c r="AN2385" s="35"/>
      <c r="AO2385" s="35"/>
      <c r="AP2385" s="35"/>
    </row>
    <row r="2386" spans="1:42" ht="17.25" customHeight="1" x14ac:dyDescent="0.25">
      <c r="A2386" s="55">
        <v>2024</v>
      </c>
      <c r="B2386" s="56" t="s">
        <v>66</v>
      </c>
      <c r="C2386" s="56" t="s">
        <v>41</v>
      </c>
      <c r="D2386" s="56" t="s">
        <v>43</v>
      </c>
      <c r="E2386" s="56" t="s">
        <v>67</v>
      </c>
      <c r="F2386" s="56" t="s">
        <v>67</v>
      </c>
      <c r="G2386" s="57">
        <v>6856225289</v>
      </c>
      <c r="H2386" s="56" t="s">
        <v>68</v>
      </c>
      <c r="I2386" s="58" t="str">
        <f t="shared" si="137"/>
        <v>Rest of Middle East-Offline</v>
      </c>
      <c r="J2386" s="40"/>
      <c r="K2386" s="59"/>
      <c r="L2386" s="35"/>
      <c r="M2386" s="35"/>
      <c r="N2386" s="35"/>
      <c r="O2386" s="35"/>
      <c r="P2386" s="35"/>
      <c r="Q2386" s="35"/>
      <c r="R2386" s="35"/>
      <c r="S2386" s="35"/>
      <c r="T2386" s="35"/>
      <c r="U2386" s="35"/>
      <c r="V2386" s="35"/>
      <c r="W2386" s="35"/>
      <c r="X2386" s="35"/>
      <c r="Y2386" s="35"/>
      <c r="Z2386" s="35"/>
      <c r="AA2386" s="35"/>
      <c r="AB2386" s="35"/>
      <c r="AC2386" s="35"/>
      <c r="AD2386" s="35"/>
      <c r="AE2386" s="35"/>
      <c r="AF2386" s="35"/>
      <c r="AG2386" s="35"/>
      <c r="AH2386" s="35"/>
      <c r="AI2386" s="35"/>
      <c r="AJ2386" s="35"/>
      <c r="AK2386" s="35"/>
      <c r="AL2386" s="35"/>
      <c r="AM2386" s="35"/>
      <c r="AN2386" s="35"/>
      <c r="AO2386" s="35"/>
      <c r="AP2386" s="35"/>
    </row>
    <row r="2387" spans="1:42" ht="17.25" customHeight="1" x14ac:dyDescent="0.25">
      <c r="A2387" s="60">
        <v>2024</v>
      </c>
      <c r="B2387" s="61" t="s">
        <v>66</v>
      </c>
      <c r="C2387" s="61" t="s">
        <v>41</v>
      </c>
      <c r="D2387" s="61" t="s">
        <v>43</v>
      </c>
      <c r="E2387" s="61" t="s">
        <v>69</v>
      </c>
      <c r="F2387" s="61" t="s">
        <v>70</v>
      </c>
      <c r="G2387" s="62">
        <v>2756783250</v>
      </c>
      <c r="H2387" s="61" t="s">
        <v>68</v>
      </c>
      <c r="I2387" s="63" t="str">
        <f t="shared" si="137"/>
        <v>Rest of Middle East-Online Supplier-Direct</v>
      </c>
      <c r="J2387" s="47"/>
      <c r="K2387" s="54"/>
      <c r="L2387" s="35"/>
      <c r="M2387" s="35"/>
      <c r="N2387" s="35"/>
      <c r="O2387" s="35"/>
      <c r="P2387" s="35"/>
      <c r="Q2387" s="35"/>
      <c r="R2387" s="35"/>
      <c r="S2387" s="35"/>
      <c r="T2387" s="35"/>
      <c r="U2387" s="35"/>
      <c r="V2387" s="35"/>
      <c r="W2387" s="35"/>
      <c r="X2387" s="35"/>
      <c r="Y2387" s="35"/>
      <c r="Z2387" s="35"/>
      <c r="AA2387" s="35"/>
      <c r="AB2387" s="35"/>
      <c r="AC2387" s="35"/>
      <c r="AD2387" s="35"/>
      <c r="AE2387" s="35"/>
      <c r="AF2387" s="35"/>
      <c r="AG2387" s="35"/>
      <c r="AH2387" s="35"/>
      <c r="AI2387" s="35"/>
      <c r="AJ2387" s="35"/>
      <c r="AK2387" s="35"/>
      <c r="AL2387" s="35"/>
      <c r="AM2387" s="35"/>
      <c r="AN2387" s="35"/>
      <c r="AO2387" s="35"/>
      <c r="AP2387" s="35"/>
    </row>
    <row r="2388" spans="1:42" ht="17.25" customHeight="1" x14ac:dyDescent="0.25">
      <c r="A2388" s="55">
        <v>2024</v>
      </c>
      <c r="B2388" s="56" t="s">
        <v>66</v>
      </c>
      <c r="C2388" s="56" t="s">
        <v>41</v>
      </c>
      <c r="D2388" s="56" t="s">
        <v>43</v>
      </c>
      <c r="E2388" s="56" t="s">
        <v>69</v>
      </c>
      <c r="F2388" s="56" t="s">
        <v>71</v>
      </c>
      <c r="G2388" s="57">
        <v>2343639416</v>
      </c>
      <c r="H2388" s="56" t="s">
        <v>68</v>
      </c>
      <c r="I2388" s="58" t="str">
        <f t="shared" si="137"/>
        <v>Rest of Middle East-OTA</v>
      </c>
      <c r="J2388" s="40"/>
      <c r="K2388" s="59"/>
      <c r="L2388" s="35"/>
      <c r="M2388" s="35"/>
      <c r="N2388" s="35"/>
      <c r="O2388" s="35"/>
      <c r="P2388" s="35"/>
      <c r="Q2388" s="35"/>
      <c r="R2388" s="35"/>
      <c r="S2388" s="35"/>
      <c r="T2388" s="35"/>
      <c r="U2388" s="35"/>
      <c r="V2388" s="35"/>
      <c r="W2388" s="35"/>
      <c r="X2388" s="35"/>
      <c r="Y2388" s="35"/>
      <c r="Z2388" s="35"/>
      <c r="AA2388" s="35"/>
      <c r="AB2388" s="35"/>
      <c r="AC2388" s="35"/>
      <c r="AD2388" s="35"/>
      <c r="AE2388" s="35"/>
      <c r="AF2388" s="35"/>
      <c r="AG2388" s="35"/>
      <c r="AH2388" s="35"/>
      <c r="AI2388" s="35"/>
      <c r="AJ2388" s="35"/>
      <c r="AK2388" s="35"/>
      <c r="AL2388" s="35"/>
      <c r="AM2388" s="35"/>
      <c r="AN2388" s="35"/>
      <c r="AO2388" s="35"/>
      <c r="AP2388" s="35"/>
    </row>
    <row r="2389" spans="1:42" ht="17.25" customHeight="1" x14ac:dyDescent="0.25">
      <c r="A2389" s="60">
        <v>2024</v>
      </c>
      <c r="B2389" s="61" t="s">
        <v>66</v>
      </c>
      <c r="C2389" s="61" t="s">
        <v>17</v>
      </c>
      <c r="D2389" s="61" t="s">
        <v>23</v>
      </c>
      <c r="E2389" s="61" t="s">
        <v>67</v>
      </c>
      <c r="F2389" s="61" t="s">
        <v>67</v>
      </c>
      <c r="G2389" s="62">
        <v>972377105</v>
      </c>
      <c r="H2389" s="61" t="s">
        <v>68</v>
      </c>
      <c r="I2389" s="63" t="str">
        <f t="shared" si="137"/>
        <v>Romania-Offline</v>
      </c>
      <c r="J2389" s="47"/>
      <c r="K2389" s="54"/>
      <c r="L2389" s="35"/>
      <c r="M2389" s="35"/>
      <c r="N2389" s="35"/>
      <c r="O2389" s="35"/>
      <c r="P2389" s="35"/>
      <c r="Q2389" s="35"/>
      <c r="R2389" s="35"/>
      <c r="S2389" s="35"/>
      <c r="T2389" s="35"/>
      <c r="U2389" s="35"/>
      <c r="V2389" s="35"/>
      <c r="W2389" s="35"/>
      <c r="X2389" s="35"/>
      <c r="Y2389" s="35"/>
      <c r="Z2389" s="35"/>
      <c r="AA2389" s="35"/>
      <c r="AB2389" s="35"/>
      <c r="AC2389" s="35"/>
      <c r="AD2389" s="35"/>
      <c r="AE2389" s="35"/>
      <c r="AF2389" s="35"/>
      <c r="AG2389" s="35"/>
      <c r="AH2389" s="35"/>
      <c r="AI2389" s="35"/>
      <c r="AJ2389" s="35"/>
      <c r="AK2389" s="35"/>
      <c r="AL2389" s="35"/>
      <c r="AM2389" s="35"/>
      <c r="AN2389" s="35"/>
      <c r="AO2389" s="35"/>
      <c r="AP2389" s="35"/>
    </row>
    <row r="2390" spans="1:42" ht="17.25" customHeight="1" x14ac:dyDescent="0.25">
      <c r="A2390" s="55">
        <v>2024</v>
      </c>
      <c r="B2390" s="56" t="s">
        <v>66</v>
      </c>
      <c r="C2390" s="56" t="s">
        <v>17</v>
      </c>
      <c r="D2390" s="56" t="s">
        <v>23</v>
      </c>
      <c r="E2390" s="56" t="s">
        <v>69</v>
      </c>
      <c r="F2390" s="56" t="s">
        <v>70</v>
      </c>
      <c r="G2390" s="57">
        <v>447629646</v>
      </c>
      <c r="H2390" s="56" t="s">
        <v>68</v>
      </c>
      <c r="I2390" s="58" t="str">
        <f t="shared" si="137"/>
        <v>Romania-Online Supplier-Direct</v>
      </c>
      <c r="J2390" s="40"/>
      <c r="K2390" s="59"/>
      <c r="L2390" s="35"/>
      <c r="M2390" s="35"/>
      <c r="N2390" s="35"/>
      <c r="O2390" s="35"/>
      <c r="P2390" s="35"/>
      <c r="Q2390" s="35"/>
      <c r="R2390" s="35"/>
      <c r="S2390" s="35"/>
      <c r="T2390" s="35"/>
      <c r="U2390" s="35"/>
      <c r="V2390" s="35"/>
      <c r="W2390" s="35"/>
      <c r="X2390" s="35"/>
      <c r="Y2390" s="35"/>
      <c r="Z2390" s="35"/>
      <c r="AA2390" s="35"/>
      <c r="AB2390" s="35"/>
      <c r="AC2390" s="35"/>
      <c r="AD2390" s="35"/>
      <c r="AE2390" s="35"/>
      <c r="AF2390" s="35"/>
      <c r="AG2390" s="35"/>
      <c r="AH2390" s="35"/>
      <c r="AI2390" s="35"/>
      <c r="AJ2390" s="35"/>
      <c r="AK2390" s="35"/>
      <c r="AL2390" s="35"/>
      <c r="AM2390" s="35"/>
      <c r="AN2390" s="35"/>
      <c r="AO2390" s="35"/>
      <c r="AP2390" s="35"/>
    </row>
    <row r="2391" spans="1:42" ht="17.25" customHeight="1" x14ac:dyDescent="0.25">
      <c r="A2391" s="60">
        <v>2024</v>
      </c>
      <c r="B2391" s="61" t="s">
        <v>66</v>
      </c>
      <c r="C2391" s="61" t="s">
        <v>17</v>
      </c>
      <c r="D2391" s="61" t="s">
        <v>23</v>
      </c>
      <c r="E2391" s="61" t="s">
        <v>69</v>
      </c>
      <c r="F2391" s="61" t="s">
        <v>71</v>
      </c>
      <c r="G2391" s="62">
        <v>804678546</v>
      </c>
      <c r="H2391" s="61" t="s">
        <v>68</v>
      </c>
      <c r="I2391" s="63" t="str">
        <f t="shared" si="137"/>
        <v>Romania-OTA</v>
      </c>
      <c r="J2391" s="47"/>
      <c r="K2391" s="54"/>
      <c r="L2391" s="35"/>
      <c r="M2391" s="35"/>
      <c r="N2391" s="35"/>
      <c r="O2391" s="35"/>
      <c r="P2391" s="35"/>
      <c r="Q2391" s="35"/>
      <c r="R2391" s="35"/>
      <c r="S2391" s="35"/>
      <c r="T2391" s="35"/>
      <c r="U2391" s="35"/>
      <c r="V2391" s="35"/>
      <c r="W2391" s="35"/>
      <c r="X2391" s="35"/>
      <c r="Y2391" s="35"/>
      <c r="Z2391" s="35"/>
      <c r="AA2391" s="35"/>
      <c r="AB2391" s="35"/>
      <c r="AC2391" s="35"/>
      <c r="AD2391" s="35"/>
      <c r="AE2391" s="35"/>
      <c r="AF2391" s="35"/>
      <c r="AG2391" s="35"/>
      <c r="AH2391" s="35"/>
      <c r="AI2391" s="35"/>
      <c r="AJ2391" s="35"/>
      <c r="AK2391" s="35"/>
      <c r="AL2391" s="35"/>
      <c r="AM2391" s="35"/>
      <c r="AN2391" s="35"/>
      <c r="AO2391" s="35"/>
      <c r="AP2391" s="35"/>
    </row>
    <row r="2392" spans="1:42" ht="17.25" customHeight="1" x14ac:dyDescent="0.25">
      <c r="A2392" s="55">
        <v>2024</v>
      </c>
      <c r="B2392" s="56" t="s">
        <v>66</v>
      </c>
      <c r="C2392" s="56" t="s">
        <v>17</v>
      </c>
      <c r="D2392" s="56" t="s">
        <v>24</v>
      </c>
      <c r="E2392" s="56" t="s">
        <v>67</v>
      </c>
      <c r="F2392" s="56" t="s">
        <v>67</v>
      </c>
      <c r="G2392" s="57">
        <v>13747633270</v>
      </c>
      <c r="H2392" s="56" t="s">
        <v>68</v>
      </c>
      <c r="I2392" s="58" t="str">
        <f t="shared" si="137"/>
        <v>Russia-Offline</v>
      </c>
      <c r="J2392" s="40"/>
      <c r="K2392" s="59"/>
      <c r="L2392" s="35"/>
      <c r="M2392" s="35"/>
      <c r="N2392" s="35"/>
      <c r="O2392" s="35"/>
      <c r="P2392" s="35"/>
      <c r="Q2392" s="35"/>
      <c r="R2392" s="35"/>
      <c r="S2392" s="35"/>
      <c r="T2392" s="35"/>
      <c r="U2392" s="35"/>
      <c r="V2392" s="35"/>
      <c r="W2392" s="35"/>
      <c r="X2392" s="35"/>
      <c r="Y2392" s="35"/>
      <c r="Z2392" s="35"/>
      <c r="AA2392" s="35"/>
      <c r="AB2392" s="35"/>
      <c r="AC2392" s="35"/>
      <c r="AD2392" s="35"/>
      <c r="AE2392" s="35"/>
      <c r="AF2392" s="35"/>
      <c r="AG2392" s="35"/>
      <c r="AH2392" s="35"/>
      <c r="AI2392" s="35"/>
      <c r="AJ2392" s="35"/>
      <c r="AK2392" s="35"/>
      <c r="AL2392" s="35"/>
      <c r="AM2392" s="35"/>
      <c r="AN2392" s="35"/>
      <c r="AO2392" s="35"/>
      <c r="AP2392" s="35"/>
    </row>
    <row r="2393" spans="1:42" ht="17.25" customHeight="1" x14ac:dyDescent="0.25">
      <c r="A2393" s="60">
        <v>2024</v>
      </c>
      <c r="B2393" s="61" t="s">
        <v>66</v>
      </c>
      <c r="C2393" s="61" t="s">
        <v>17</v>
      </c>
      <c r="D2393" s="61" t="s">
        <v>24</v>
      </c>
      <c r="E2393" s="61" t="s">
        <v>69</v>
      </c>
      <c r="F2393" s="61" t="s">
        <v>70</v>
      </c>
      <c r="G2393" s="62">
        <v>9693662975</v>
      </c>
      <c r="H2393" s="61" t="s">
        <v>68</v>
      </c>
      <c r="I2393" s="63" t="str">
        <f t="shared" si="137"/>
        <v>Russia-Online Supplier-Direct</v>
      </c>
      <c r="J2393" s="47"/>
      <c r="K2393" s="54"/>
      <c r="L2393" s="35"/>
      <c r="M2393" s="35"/>
      <c r="N2393" s="35"/>
      <c r="O2393" s="35"/>
      <c r="P2393" s="35"/>
      <c r="Q2393" s="35"/>
      <c r="R2393" s="35"/>
      <c r="S2393" s="35"/>
      <c r="T2393" s="35"/>
      <c r="U2393" s="35"/>
      <c r="V2393" s="35"/>
      <c r="W2393" s="35"/>
      <c r="X2393" s="35"/>
      <c r="Y2393" s="35"/>
      <c r="Z2393" s="35"/>
      <c r="AA2393" s="35"/>
      <c r="AB2393" s="35"/>
      <c r="AC2393" s="35"/>
      <c r="AD2393" s="35"/>
      <c r="AE2393" s="35"/>
      <c r="AF2393" s="35"/>
      <c r="AG2393" s="35"/>
      <c r="AH2393" s="35"/>
      <c r="AI2393" s="35"/>
      <c r="AJ2393" s="35"/>
      <c r="AK2393" s="35"/>
      <c r="AL2393" s="35"/>
      <c r="AM2393" s="35"/>
      <c r="AN2393" s="35"/>
      <c r="AO2393" s="35"/>
      <c r="AP2393" s="35"/>
    </row>
    <row r="2394" spans="1:42" ht="17.25" customHeight="1" x14ac:dyDescent="0.25">
      <c r="A2394" s="55">
        <v>2024</v>
      </c>
      <c r="B2394" s="56" t="s">
        <v>66</v>
      </c>
      <c r="C2394" s="56" t="s">
        <v>17</v>
      </c>
      <c r="D2394" s="56" t="s">
        <v>24</v>
      </c>
      <c r="E2394" s="56" t="s">
        <v>69</v>
      </c>
      <c r="F2394" s="56" t="s">
        <v>71</v>
      </c>
      <c r="G2394" s="57">
        <v>6681848737</v>
      </c>
      <c r="H2394" s="56" t="s">
        <v>68</v>
      </c>
      <c r="I2394" s="58" t="str">
        <f t="shared" si="137"/>
        <v>Russia-OTA</v>
      </c>
      <c r="J2394" s="40"/>
      <c r="K2394" s="59"/>
      <c r="L2394" s="35"/>
      <c r="M2394" s="35"/>
      <c r="N2394" s="35"/>
      <c r="O2394" s="35"/>
      <c r="P2394" s="35"/>
      <c r="Q2394" s="35"/>
      <c r="R2394" s="35"/>
      <c r="S2394" s="35"/>
      <c r="T2394" s="35"/>
      <c r="U2394" s="35"/>
      <c r="V2394" s="35"/>
      <c r="W2394" s="35"/>
      <c r="X2394" s="35"/>
      <c r="Y2394" s="35"/>
      <c r="Z2394" s="35"/>
      <c r="AA2394" s="35"/>
      <c r="AB2394" s="35"/>
      <c r="AC2394" s="35"/>
      <c r="AD2394" s="35"/>
      <c r="AE2394" s="35"/>
      <c r="AF2394" s="35"/>
      <c r="AG2394" s="35"/>
      <c r="AH2394" s="35"/>
      <c r="AI2394" s="35"/>
      <c r="AJ2394" s="35"/>
      <c r="AK2394" s="35"/>
      <c r="AL2394" s="35"/>
      <c r="AM2394" s="35"/>
      <c r="AN2394" s="35"/>
      <c r="AO2394" s="35"/>
      <c r="AP2394" s="35"/>
    </row>
    <row r="2395" spans="1:42" ht="17.25" customHeight="1" x14ac:dyDescent="0.25">
      <c r="A2395" s="60">
        <v>2024</v>
      </c>
      <c r="B2395" s="61" t="s">
        <v>66</v>
      </c>
      <c r="C2395" s="61" t="s">
        <v>41</v>
      </c>
      <c r="D2395" s="61" t="s">
        <v>44</v>
      </c>
      <c r="E2395" s="61" t="s">
        <v>67</v>
      </c>
      <c r="F2395" s="61" t="s">
        <v>67</v>
      </c>
      <c r="G2395" s="62">
        <v>9280465515</v>
      </c>
      <c r="H2395" s="61" t="s">
        <v>68</v>
      </c>
      <c r="I2395" s="63" t="str">
        <f t="shared" si="137"/>
        <v>Saudi Arabia-Offline</v>
      </c>
      <c r="J2395" s="47"/>
      <c r="K2395" s="54"/>
      <c r="L2395" s="35"/>
      <c r="M2395" s="35"/>
      <c r="N2395" s="35"/>
      <c r="O2395" s="35"/>
      <c r="P2395" s="35"/>
      <c r="Q2395" s="35"/>
      <c r="R2395" s="35"/>
      <c r="S2395" s="35"/>
      <c r="T2395" s="35"/>
      <c r="U2395" s="35"/>
      <c r="V2395" s="35"/>
      <c r="W2395" s="35"/>
      <c r="X2395" s="35"/>
      <c r="Y2395" s="35"/>
      <c r="Z2395" s="35"/>
      <c r="AA2395" s="35"/>
      <c r="AB2395" s="35"/>
      <c r="AC2395" s="35"/>
      <c r="AD2395" s="35"/>
      <c r="AE2395" s="35"/>
      <c r="AF2395" s="35"/>
      <c r="AG2395" s="35"/>
      <c r="AH2395" s="35"/>
      <c r="AI2395" s="35"/>
      <c r="AJ2395" s="35"/>
      <c r="AK2395" s="35"/>
      <c r="AL2395" s="35"/>
      <c r="AM2395" s="35"/>
      <c r="AN2395" s="35"/>
      <c r="AO2395" s="35"/>
      <c r="AP2395" s="35"/>
    </row>
    <row r="2396" spans="1:42" ht="17.25" customHeight="1" x14ac:dyDescent="0.25">
      <c r="A2396" s="55">
        <v>2024</v>
      </c>
      <c r="B2396" s="56" t="s">
        <v>66</v>
      </c>
      <c r="C2396" s="56" t="s">
        <v>41</v>
      </c>
      <c r="D2396" s="56" t="s">
        <v>44</v>
      </c>
      <c r="E2396" s="56" t="s">
        <v>69</v>
      </c>
      <c r="F2396" s="56" t="s">
        <v>70</v>
      </c>
      <c r="G2396" s="57">
        <v>5678538393</v>
      </c>
      <c r="H2396" s="56" t="s">
        <v>68</v>
      </c>
      <c r="I2396" s="58" t="str">
        <f t="shared" si="137"/>
        <v>Saudi Arabia-Online Supplier-Direct</v>
      </c>
      <c r="J2396" s="40"/>
      <c r="K2396" s="59"/>
      <c r="L2396" s="35"/>
      <c r="M2396" s="35"/>
      <c r="N2396" s="35"/>
      <c r="O2396" s="35"/>
      <c r="P2396" s="35"/>
      <c r="Q2396" s="35"/>
      <c r="R2396" s="35"/>
      <c r="S2396" s="35"/>
      <c r="T2396" s="35"/>
      <c r="U2396" s="35"/>
      <c r="V2396" s="35"/>
      <c r="W2396" s="35"/>
      <c r="X2396" s="35"/>
      <c r="Y2396" s="35"/>
      <c r="Z2396" s="35"/>
      <c r="AA2396" s="35"/>
      <c r="AB2396" s="35"/>
      <c r="AC2396" s="35"/>
      <c r="AD2396" s="35"/>
      <c r="AE2396" s="35"/>
      <c r="AF2396" s="35"/>
      <c r="AG2396" s="35"/>
      <c r="AH2396" s="35"/>
      <c r="AI2396" s="35"/>
      <c r="AJ2396" s="35"/>
      <c r="AK2396" s="35"/>
      <c r="AL2396" s="35"/>
      <c r="AM2396" s="35"/>
      <c r="AN2396" s="35"/>
      <c r="AO2396" s="35"/>
      <c r="AP2396" s="35"/>
    </row>
    <row r="2397" spans="1:42" ht="17.25" customHeight="1" x14ac:dyDescent="0.25">
      <c r="A2397" s="60">
        <v>2024</v>
      </c>
      <c r="B2397" s="61" t="s">
        <v>66</v>
      </c>
      <c r="C2397" s="61" t="s">
        <v>41</v>
      </c>
      <c r="D2397" s="61" t="s">
        <v>44</v>
      </c>
      <c r="E2397" s="61" t="s">
        <v>69</v>
      </c>
      <c r="F2397" s="61" t="s">
        <v>71</v>
      </c>
      <c r="G2397" s="62">
        <v>3753042959</v>
      </c>
      <c r="H2397" s="61" t="s">
        <v>68</v>
      </c>
      <c r="I2397" s="63" t="str">
        <f t="shared" si="137"/>
        <v>Saudi Arabia-OTA</v>
      </c>
      <c r="J2397" s="47"/>
      <c r="K2397" s="54"/>
      <c r="L2397" s="35"/>
      <c r="M2397" s="35"/>
      <c r="N2397" s="35"/>
      <c r="O2397" s="35"/>
      <c r="P2397" s="35"/>
      <c r="Q2397" s="35"/>
      <c r="R2397" s="35"/>
      <c r="S2397" s="35"/>
      <c r="T2397" s="35"/>
      <c r="U2397" s="35"/>
      <c r="V2397" s="35"/>
      <c r="W2397" s="35"/>
      <c r="X2397" s="35"/>
      <c r="Y2397" s="35"/>
      <c r="Z2397" s="35"/>
      <c r="AA2397" s="35"/>
      <c r="AB2397" s="35"/>
      <c r="AC2397" s="35"/>
      <c r="AD2397" s="35"/>
      <c r="AE2397" s="35"/>
      <c r="AF2397" s="35"/>
      <c r="AG2397" s="35"/>
      <c r="AH2397" s="35"/>
      <c r="AI2397" s="35"/>
      <c r="AJ2397" s="35"/>
      <c r="AK2397" s="35"/>
      <c r="AL2397" s="35"/>
      <c r="AM2397" s="35"/>
      <c r="AN2397" s="35"/>
      <c r="AO2397" s="35"/>
      <c r="AP2397" s="35"/>
    </row>
    <row r="2398" spans="1:42" ht="17.25" customHeight="1" x14ac:dyDescent="0.25">
      <c r="A2398" s="55">
        <v>2024</v>
      </c>
      <c r="B2398" s="56" t="s">
        <v>66</v>
      </c>
      <c r="C2398" s="56" t="s">
        <v>27</v>
      </c>
      <c r="D2398" s="56" t="s">
        <v>31</v>
      </c>
      <c r="E2398" s="56" t="s">
        <v>67</v>
      </c>
      <c r="F2398" s="56" t="s">
        <v>67</v>
      </c>
      <c r="G2398" s="57">
        <v>4517863158</v>
      </c>
      <c r="H2398" s="56" t="s">
        <v>68</v>
      </c>
      <c r="I2398" s="58" t="str">
        <f t="shared" si="137"/>
        <v>Scandinavia-Offline</v>
      </c>
      <c r="J2398" s="40"/>
      <c r="K2398" s="59"/>
      <c r="L2398" s="35"/>
      <c r="M2398" s="35"/>
      <c r="N2398" s="35"/>
      <c r="O2398" s="35"/>
      <c r="P2398" s="35"/>
      <c r="Q2398" s="35"/>
      <c r="R2398" s="35"/>
      <c r="S2398" s="35"/>
      <c r="T2398" s="35"/>
      <c r="U2398" s="35"/>
      <c r="V2398" s="35"/>
      <c r="W2398" s="35"/>
      <c r="X2398" s="35"/>
      <c r="Y2398" s="35"/>
      <c r="Z2398" s="35"/>
      <c r="AA2398" s="35"/>
      <c r="AB2398" s="35"/>
      <c r="AC2398" s="35"/>
      <c r="AD2398" s="35"/>
      <c r="AE2398" s="35"/>
      <c r="AF2398" s="35"/>
      <c r="AG2398" s="35"/>
      <c r="AH2398" s="35"/>
      <c r="AI2398" s="35"/>
      <c r="AJ2398" s="35"/>
      <c r="AK2398" s="35"/>
      <c r="AL2398" s="35"/>
      <c r="AM2398" s="35"/>
      <c r="AN2398" s="35"/>
      <c r="AO2398" s="35"/>
      <c r="AP2398" s="35"/>
    </row>
    <row r="2399" spans="1:42" ht="17.25" customHeight="1" x14ac:dyDescent="0.25">
      <c r="A2399" s="60">
        <v>2024</v>
      </c>
      <c r="B2399" s="61" t="s">
        <v>66</v>
      </c>
      <c r="C2399" s="61" t="s">
        <v>27</v>
      </c>
      <c r="D2399" s="61" t="s">
        <v>31</v>
      </c>
      <c r="E2399" s="61" t="s">
        <v>69</v>
      </c>
      <c r="F2399" s="61" t="s">
        <v>70</v>
      </c>
      <c r="G2399" s="62">
        <v>11430596634</v>
      </c>
      <c r="H2399" s="61" t="s">
        <v>68</v>
      </c>
      <c r="I2399" s="63" t="str">
        <f t="shared" si="137"/>
        <v>Scandinavia-Online Supplier-Direct</v>
      </c>
      <c r="J2399" s="47"/>
      <c r="K2399" s="54"/>
      <c r="L2399" s="35"/>
      <c r="M2399" s="35"/>
      <c r="N2399" s="35"/>
      <c r="O2399" s="35"/>
      <c r="P2399" s="35"/>
      <c r="Q2399" s="35"/>
      <c r="R2399" s="35"/>
      <c r="S2399" s="35"/>
      <c r="T2399" s="35"/>
      <c r="U2399" s="35"/>
      <c r="V2399" s="35"/>
      <c r="W2399" s="35"/>
      <c r="X2399" s="35"/>
      <c r="Y2399" s="35"/>
      <c r="Z2399" s="35"/>
      <c r="AA2399" s="35"/>
      <c r="AB2399" s="35"/>
      <c r="AC2399" s="35"/>
      <c r="AD2399" s="35"/>
      <c r="AE2399" s="35"/>
      <c r="AF2399" s="35"/>
      <c r="AG2399" s="35"/>
      <c r="AH2399" s="35"/>
      <c r="AI2399" s="35"/>
      <c r="AJ2399" s="35"/>
      <c r="AK2399" s="35"/>
      <c r="AL2399" s="35"/>
      <c r="AM2399" s="35"/>
      <c r="AN2399" s="35"/>
      <c r="AO2399" s="35"/>
      <c r="AP2399" s="35"/>
    </row>
    <row r="2400" spans="1:42" ht="17.25" customHeight="1" x14ac:dyDescent="0.25">
      <c r="A2400" s="55">
        <v>2024</v>
      </c>
      <c r="B2400" s="56" t="s">
        <v>66</v>
      </c>
      <c r="C2400" s="56" t="s">
        <v>27</v>
      </c>
      <c r="D2400" s="56" t="s">
        <v>31</v>
      </c>
      <c r="E2400" s="56" t="s">
        <v>69</v>
      </c>
      <c r="F2400" s="56" t="s">
        <v>71</v>
      </c>
      <c r="G2400" s="57">
        <v>4888048011</v>
      </c>
      <c r="H2400" s="56" t="s">
        <v>68</v>
      </c>
      <c r="I2400" s="58" t="str">
        <f t="shared" si="137"/>
        <v>Scandinavia-OTA</v>
      </c>
      <c r="J2400" s="40"/>
      <c r="K2400" s="59"/>
      <c r="L2400" s="35"/>
      <c r="M2400" s="35"/>
      <c r="N2400" s="35"/>
      <c r="O2400" s="35"/>
      <c r="P2400" s="35"/>
      <c r="Q2400" s="35"/>
      <c r="R2400" s="35"/>
      <c r="S2400" s="35"/>
      <c r="T2400" s="35"/>
      <c r="U2400" s="35"/>
      <c r="V2400" s="35"/>
      <c r="W2400" s="35"/>
      <c r="X2400" s="35"/>
      <c r="Y2400" s="35"/>
      <c r="Z2400" s="35"/>
      <c r="AA2400" s="35"/>
      <c r="AB2400" s="35"/>
      <c r="AC2400" s="35"/>
      <c r="AD2400" s="35"/>
      <c r="AE2400" s="35"/>
      <c r="AF2400" s="35"/>
      <c r="AG2400" s="35"/>
      <c r="AH2400" s="35"/>
      <c r="AI2400" s="35"/>
      <c r="AJ2400" s="35"/>
      <c r="AK2400" s="35"/>
      <c r="AL2400" s="35"/>
      <c r="AM2400" s="35"/>
      <c r="AN2400" s="35"/>
      <c r="AO2400" s="35"/>
      <c r="AP2400" s="35"/>
    </row>
    <row r="2401" spans="1:42" ht="17.25" customHeight="1" x14ac:dyDescent="0.25">
      <c r="A2401" s="60">
        <v>2024</v>
      </c>
      <c r="B2401" s="61" t="s">
        <v>66</v>
      </c>
      <c r="C2401" s="61" t="s">
        <v>4</v>
      </c>
      <c r="D2401" s="61" t="s">
        <v>12</v>
      </c>
      <c r="E2401" s="61" t="s">
        <v>67</v>
      </c>
      <c r="F2401" s="61" t="s">
        <v>67</v>
      </c>
      <c r="G2401" s="62">
        <v>5085291697</v>
      </c>
      <c r="H2401" s="61" t="s">
        <v>68</v>
      </c>
      <c r="I2401" s="63" t="str">
        <f t="shared" si="137"/>
        <v>Singapore-Offline</v>
      </c>
      <c r="J2401" s="47"/>
      <c r="K2401" s="54"/>
      <c r="L2401" s="35"/>
      <c r="M2401" s="35"/>
      <c r="N2401" s="35"/>
      <c r="O2401" s="35"/>
      <c r="P2401" s="35"/>
      <c r="Q2401" s="35"/>
      <c r="R2401" s="35"/>
      <c r="S2401" s="35"/>
      <c r="T2401" s="35"/>
      <c r="U2401" s="35"/>
      <c r="V2401" s="35"/>
      <c r="W2401" s="35"/>
      <c r="X2401" s="35"/>
      <c r="Y2401" s="35"/>
      <c r="Z2401" s="35"/>
      <c r="AA2401" s="35"/>
      <c r="AB2401" s="35"/>
      <c r="AC2401" s="35"/>
      <c r="AD2401" s="35"/>
      <c r="AE2401" s="35"/>
      <c r="AF2401" s="35"/>
      <c r="AG2401" s="35"/>
      <c r="AH2401" s="35"/>
      <c r="AI2401" s="35"/>
      <c r="AJ2401" s="35"/>
      <c r="AK2401" s="35"/>
      <c r="AL2401" s="35"/>
      <c r="AM2401" s="35"/>
      <c r="AN2401" s="35"/>
      <c r="AO2401" s="35"/>
      <c r="AP2401" s="35"/>
    </row>
    <row r="2402" spans="1:42" ht="17.25" customHeight="1" x14ac:dyDescent="0.25">
      <c r="A2402" s="55">
        <v>2024</v>
      </c>
      <c r="B2402" s="56" t="s">
        <v>66</v>
      </c>
      <c r="C2402" s="56" t="s">
        <v>4</v>
      </c>
      <c r="D2402" s="56" t="s">
        <v>12</v>
      </c>
      <c r="E2402" s="56" t="s">
        <v>69</v>
      </c>
      <c r="F2402" s="56" t="s">
        <v>70</v>
      </c>
      <c r="G2402" s="57">
        <v>5469066512</v>
      </c>
      <c r="H2402" s="56" t="s">
        <v>68</v>
      </c>
      <c r="I2402" s="58" t="str">
        <f t="shared" si="137"/>
        <v>Singapore-Online Supplier-Direct</v>
      </c>
      <c r="J2402" s="40"/>
      <c r="K2402" s="59"/>
      <c r="L2402" s="35"/>
      <c r="M2402" s="35"/>
      <c r="N2402" s="35"/>
      <c r="O2402" s="35"/>
      <c r="P2402" s="35"/>
      <c r="Q2402" s="35"/>
      <c r="R2402" s="35"/>
      <c r="S2402" s="35"/>
      <c r="T2402" s="35"/>
      <c r="U2402" s="35"/>
      <c r="V2402" s="35"/>
      <c r="W2402" s="35"/>
      <c r="X2402" s="35"/>
      <c r="Y2402" s="35"/>
      <c r="Z2402" s="35"/>
      <c r="AA2402" s="35"/>
      <c r="AB2402" s="35"/>
      <c r="AC2402" s="35"/>
      <c r="AD2402" s="35"/>
      <c r="AE2402" s="35"/>
      <c r="AF2402" s="35"/>
      <c r="AG2402" s="35"/>
      <c r="AH2402" s="35"/>
      <c r="AI2402" s="35"/>
      <c r="AJ2402" s="35"/>
      <c r="AK2402" s="35"/>
      <c r="AL2402" s="35"/>
      <c r="AM2402" s="35"/>
      <c r="AN2402" s="35"/>
      <c r="AO2402" s="35"/>
      <c r="AP2402" s="35"/>
    </row>
    <row r="2403" spans="1:42" ht="17.25" customHeight="1" x14ac:dyDescent="0.25">
      <c r="A2403" s="60">
        <v>2024</v>
      </c>
      <c r="B2403" s="61" t="s">
        <v>66</v>
      </c>
      <c r="C2403" s="61" t="s">
        <v>4</v>
      </c>
      <c r="D2403" s="61" t="s">
        <v>12</v>
      </c>
      <c r="E2403" s="61" t="s">
        <v>69</v>
      </c>
      <c r="F2403" s="61" t="s">
        <v>71</v>
      </c>
      <c r="G2403" s="62">
        <v>5282031054</v>
      </c>
      <c r="H2403" s="61" t="s">
        <v>68</v>
      </c>
      <c r="I2403" s="63" t="str">
        <f t="shared" si="137"/>
        <v>Singapore-OTA</v>
      </c>
      <c r="J2403" s="47"/>
      <c r="K2403" s="54"/>
      <c r="L2403" s="35"/>
      <c r="M2403" s="35"/>
      <c r="N2403" s="35"/>
      <c r="O2403" s="35"/>
      <c r="P2403" s="35"/>
      <c r="Q2403" s="35"/>
      <c r="R2403" s="35"/>
      <c r="S2403" s="35"/>
      <c r="T2403" s="35"/>
      <c r="U2403" s="35"/>
      <c r="V2403" s="35"/>
      <c r="W2403" s="35"/>
      <c r="X2403" s="35"/>
      <c r="Y2403" s="35"/>
      <c r="Z2403" s="35"/>
      <c r="AA2403" s="35"/>
      <c r="AB2403" s="35"/>
      <c r="AC2403" s="35"/>
      <c r="AD2403" s="35"/>
      <c r="AE2403" s="35"/>
      <c r="AF2403" s="35"/>
      <c r="AG2403" s="35"/>
      <c r="AH2403" s="35"/>
      <c r="AI2403" s="35"/>
      <c r="AJ2403" s="35"/>
      <c r="AK2403" s="35"/>
      <c r="AL2403" s="35"/>
      <c r="AM2403" s="35"/>
      <c r="AN2403" s="35"/>
      <c r="AO2403" s="35"/>
      <c r="AP2403" s="35"/>
    </row>
    <row r="2404" spans="1:42" ht="17.25" customHeight="1" x14ac:dyDescent="0.25">
      <c r="A2404" s="55">
        <v>2024</v>
      </c>
      <c r="B2404" s="56" t="s">
        <v>66</v>
      </c>
      <c r="C2404" s="56" t="s">
        <v>4</v>
      </c>
      <c r="D2404" s="56" t="s">
        <v>13</v>
      </c>
      <c r="E2404" s="56" t="s">
        <v>67</v>
      </c>
      <c r="F2404" s="56" t="s">
        <v>67</v>
      </c>
      <c r="G2404" s="57">
        <v>9645056119</v>
      </c>
      <c r="H2404" s="56" t="s">
        <v>68</v>
      </c>
      <c r="I2404" s="58" t="str">
        <f t="shared" si="137"/>
        <v>South Korea-Offline</v>
      </c>
      <c r="J2404" s="40"/>
      <c r="K2404" s="59"/>
      <c r="L2404" s="35"/>
      <c r="M2404" s="35"/>
      <c r="N2404" s="35"/>
      <c r="O2404" s="35"/>
      <c r="P2404" s="35"/>
      <c r="Q2404" s="35"/>
      <c r="R2404" s="35"/>
      <c r="S2404" s="35"/>
      <c r="T2404" s="35"/>
      <c r="U2404" s="35"/>
      <c r="V2404" s="35"/>
      <c r="W2404" s="35"/>
      <c r="X2404" s="35"/>
      <c r="Y2404" s="35"/>
      <c r="Z2404" s="35"/>
      <c r="AA2404" s="35"/>
      <c r="AB2404" s="35"/>
      <c r="AC2404" s="35"/>
      <c r="AD2404" s="35"/>
      <c r="AE2404" s="35"/>
      <c r="AF2404" s="35"/>
      <c r="AG2404" s="35"/>
      <c r="AH2404" s="35"/>
      <c r="AI2404" s="35"/>
      <c r="AJ2404" s="35"/>
      <c r="AK2404" s="35"/>
      <c r="AL2404" s="35"/>
      <c r="AM2404" s="35"/>
      <c r="AN2404" s="35"/>
      <c r="AO2404" s="35"/>
      <c r="AP2404" s="35"/>
    </row>
    <row r="2405" spans="1:42" ht="17.25" customHeight="1" x14ac:dyDescent="0.25">
      <c r="A2405" s="60">
        <v>2024</v>
      </c>
      <c r="B2405" s="61" t="s">
        <v>66</v>
      </c>
      <c r="C2405" s="61" t="s">
        <v>4</v>
      </c>
      <c r="D2405" s="61" t="s">
        <v>13</v>
      </c>
      <c r="E2405" s="61" t="s">
        <v>69</v>
      </c>
      <c r="F2405" s="61" t="s">
        <v>70</v>
      </c>
      <c r="G2405" s="62">
        <v>7632600280</v>
      </c>
      <c r="H2405" s="61" t="s">
        <v>68</v>
      </c>
      <c r="I2405" s="63" t="str">
        <f t="shared" si="137"/>
        <v>South Korea-Online Supplier-Direct</v>
      </c>
      <c r="J2405" s="47"/>
      <c r="K2405" s="54"/>
      <c r="L2405" s="35"/>
      <c r="M2405" s="35"/>
      <c r="N2405" s="35"/>
      <c r="O2405" s="35"/>
      <c r="P2405" s="35"/>
      <c r="Q2405" s="35"/>
      <c r="R2405" s="35"/>
      <c r="S2405" s="35"/>
      <c r="T2405" s="35"/>
      <c r="U2405" s="35"/>
      <c r="V2405" s="35"/>
      <c r="W2405" s="35"/>
      <c r="X2405" s="35"/>
      <c r="Y2405" s="35"/>
      <c r="Z2405" s="35"/>
      <c r="AA2405" s="35"/>
      <c r="AB2405" s="35"/>
      <c r="AC2405" s="35"/>
      <c r="AD2405" s="35"/>
      <c r="AE2405" s="35"/>
      <c r="AF2405" s="35"/>
      <c r="AG2405" s="35"/>
      <c r="AH2405" s="35"/>
      <c r="AI2405" s="35"/>
      <c r="AJ2405" s="35"/>
      <c r="AK2405" s="35"/>
      <c r="AL2405" s="35"/>
      <c r="AM2405" s="35"/>
      <c r="AN2405" s="35"/>
      <c r="AO2405" s="35"/>
      <c r="AP2405" s="35"/>
    </row>
    <row r="2406" spans="1:42" ht="17.25" customHeight="1" x14ac:dyDescent="0.25">
      <c r="A2406" s="55">
        <v>2024</v>
      </c>
      <c r="B2406" s="56" t="s">
        <v>66</v>
      </c>
      <c r="C2406" s="56" t="s">
        <v>4</v>
      </c>
      <c r="D2406" s="56" t="s">
        <v>13</v>
      </c>
      <c r="E2406" s="56" t="s">
        <v>69</v>
      </c>
      <c r="F2406" s="56" t="s">
        <v>71</v>
      </c>
      <c r="G2406" s="57">
        <v>6100352119</v>
      </c>
      <c r="H2406" s="56" t="s">
        <v>68</v>
      </c>
      <c r="I2406" s="58" t="str">
        <f t="shared" si="137"/>
        <v>South Korea-OTA</v>
      </c>
      <c r="J2406" s="40"/>
      <c r="K2406" s="59"/>
      <c r="L2406" s="35"/>
      <c r="M2406" s="35"/>
      <c r="N2406" s="35"/>
      <c r="O2406" s="35"/>
      <c r="P2406" s="35"/>
      <c r="Q2406" s="35"/>
      <c r="R2406" s="35"/>
      <c r="S2406" s="35"/>
      <c r="T2406" s="35"/>
      <c r="U2406" s="35"/>
      <c r="V2406" s="35"/>
      <c r="W2406" s="35"/>
      <c r="X2406" s="35"/>
      <c r="Y2406" s="35"/>
      <c r="Z2406" s="35"/>
      <c r="AA2406" s="35"/>
      <c r="AB2406" s="35"/>
      <c r="AC2406" s="35"/>
      <c r="AD2406" s="35"/>
      <c r="AE2406" s="35"/>
      <c r="AF2406" s="35"/>
      <c r="AG2406" s="35"/>
      <c r="AH2406" s="35"/>
      <c r="AI2406" s="35"/>
      <c r="AJ2406" s="35"/>
      <c r="AK2406" s="35"/>
      <c r="AL2406" s="35"/>
      <c r="AM2406" s="35"/>
      <c r="AN2406" s="35"/>
      <c r="AO2406" s="35"/>
      <c r="AP2406" s="35"/>
    </row>
    <row r="2407" spans="1:42" ht="17.25" customHeight="1" x14ac:dyDescent="0.25">
      <c r="A2407" s="60">
        <v>2024</v>
      </c>
      <c r="B2407" s="61" t="s">
        <v>66</v>
      </c>
      <c r="C2407" s="61" t="s">
        <v>27</v>
      </c>
      <c r="D2407" s="61" t="s">
        <v>32</v>
      </c>
      <c r="E2407" s="61" t="s">
        <v>67</v>
      </c>
      <c r="F2407" s="61" t="s">
        <v>67</v>
      </c>
      <c r="G2407" s="62">
        <v>16051370594</v>
      </c>
      <c r="H2407" s="61" t="s">
        <v>68</v>
      </c>
      <c r="I2407" s="63" t="str">
        <f t="shared" si="137"/>
        <v>Spain-Offline</v>
      </c>
      <c r="J2407" s="47"/>
      <c r="K2407" s="54"/>
      <c r="L2407" s="35"/>
      <c r="M2407" s="35"/>
      <c r="N2407" s="35"/>
      <c r="O2407" s="35"/>
      <c r="P2407" s="35"/>
      <c r="Q2407" s="35"/>
      <c r="R2407" s="35"/>
      <c r="S2407" s="35"/>
      <c r="T2407" s="35"/>
      <c r="U2407" s="35"/>
      <c r="V2407" s="35"/>
      <c r="W2407" s="35"/>
      <c r="X2407" s="35"/>
      <c r="Y2407" s="35"/>
      <c r="Z2407" s="35"/>
      <c r="AA2407" s="35"/>
      <c r="AB2407" s="35"/>
      <c r="AC2407" s="35"/>
      <c r="AD2407" s="35"/>
      <c r="AE2407" s="35"/>
      <c r="AF2407" s="35"/>
      <c r="AG2407" s="35"/>
      <c r="AH2407" s="35"/>
      <c r="AI2407" s="35"/>
      <c r="AJ2407" s="35"/>
      <c r="AK2407" s="35"/>
      <c r="AL2407" s="35"/>
      <c r="AM2407" s="35"/>
      <c r="AN2407" s="35"/>
      <c r="AO2407" s="35"/>
      <c r="AP2407" s="35"/>
    </row>
    <row r="2408" spans="1:42" ht="17.25" customHeight="1" x14ac:dyDescent="0.25">
      <c r="A2408" s="55">
        <v>2024</v>
      </c>
      <c r="B2408" s="56" t="s">
        <v>66</v>
      </c>
      <c r="C2408" s="56" t="s">
        <v>27</v>
      </c>
      <c r="D2408" s="56" t="s">
        <v>32</v>
      </c>
      <c r="E2408" s="56" t="s">
        <v>69</v>
      </c>
      <c r="F2408" s="56" t="s">
        <v>70</v>
      </c>
      <c r="G2408" s="57">
        <v>12878928461</v>
      </c>
      <c r="H2408" s="56" t="s">
        <v>68</v>
      </c>
      <c r="I2408" s="58" t="str">
        <f t="shared" si="137"/>
        <v>Spain-Online Supplier-Direct</v>
      </c>
      <c r="J2408" s="40"/>
      <c r="K2408" s="59"/>
      <c r="L2408" s="35"/>
      <c r="M2408" s="35"/>
      <c r="N2408" s="35"/>
      <c r="O2408" s="35"/>
      <c r="P2408" s="35"/>
      <c r="Q2408" s="35"/>
      <c r="R2408" s="35"/>
      <c r="S2408" s="35"/>
      <c r="T2408" s="35"/>
      <c r="U2408" s="35"/>
      <c r="V2408" s="35"/>
      <c r="W2408" s="35"/>
      <c r="X2408" s="35"/>
      <c r="Y2408" s="35"/>
      <c r="Z2408" s="35"/>
      <c r="AA2408" s="35"/>
      <c r="AB2408" s="35"/>
      <c r="AC2408" s="35"/>
      <c r="AD2408" s="35"/>
      <c r="AE2408" s="35"/>
      <c r="AF2408" s="35"/>
      <c r="AG2408" s="35"/>
      <c r="AH2408" s="35"/>
      <c r="AI2408" s="35"/>
      <c r="AJ2408" s="35"/>
      <c r="AK2408" s="35"/>
      <c r="AL2408" s="35"/>
      <c r="AM2408" s="35"/>
      <c r="AN2408" s="35"/>
      <c r="AO2408" s="35"/>
      <c r="AP2408" s="35"/>
    </row>
    <row r="2409" spans="1:42" ht="17.25" customHeight="1" x14ac:dyDescent="0.25">
      <c r="A2409" s="60">
        <v>2024</v>
      </c>
      <c r="B2409" s="61" t="s">
        <v>66</v>
      </c>
      <c r="C2409" s="61" t="s">
        <v>27</v>
      </c>
      <c r="D2409" s="61" t="s">
        <v>32</v>
      </c>
      <c r="E2409" s="61" t="s">
        <v>69</v>
      </c>
      <c r="F2409" s="61" t="s">
        <v>71</v>
      </c>
      <c r="G2409" s="62">
        <v>11671396078</v>
      </c>
      <c r="H2409" s="61" t="s">
        <v>68</v>
      </c>
      <c r="I2409" s="63" t="str">
        <f t="shared" si="137"/>
        <v>Spain-OTA</v>
      </c>
      <c r="J2409" s="47"/>
      <c r="K2409" s="54"/>
      <c r="L2409" s="35"/>
      <c r="M2409" s="35"/>
      <c r="N2409" s="35"/>
      <c r="O2409" s="35"/>
      <c r="P2409" s="35"/>
      <c r="Q2409" s="35"/>
      <c r="R2409" s="35"/>
      <c r="S2409" s="35"/>
      <c r="T2409" s="35"/>
      <c r="U2409" s="35"/>
      <c r="V2409" s="35"/>
      <c r="W2409" s="35"/>
      <c r="X2409" s="35"/>
      <c r="Y2409" s="35"/>
      <c r="Z2409" s="35"/>
      <c r="AA2409" s="35"/>
      <c r="AB2409" s="35"/>
      <c r="AC2409" s="35"/>
      <c r="AD2409" s="35"/>
      <c r="AE2409" s="35"/>
      <c r="AF2409" s="35"/>
      <c r="AG2409" s="35"/>
      <c r="AH2409" s="35"/>
      <c r="AI2409" s="35"/>
      <c r="AJ2409" s="35"/>
      <c r="AK2409" s="35"/>
      <c r="AL2409" s="35"/>
      <c r="AM2409" s="35"/>
      <c r="AN2409" s="35"/>
      <c r="AO2409" s="35"/>
      <c r="AP2409" s="35"/>
    </row>
    <row r="2410" spans="1:42" ht="17.25" customHeight="1" x14ac:dyDescent="0.25">
      <c r="A2410" s="55">
        <v>2024</v>
      </c>
      <c r="B2410" s="56" t="s">
        <v>66</v>
      </c>
      <c r="C2410" s="56" t="s">
        <v>4</v>
      </c>
      <c r="D2410" s="56" t="s">
        <v>14</v>
      </c>
      <c r="E2410" s="56" t="s">
        <v>67</v>
      </c>
      <c r="F2410" s="56" t="s">
        <v>67</v>
      </c>
      <c r="G2410" s="57">
        <v>6545427856</v>
      </c>
      <c r="H2410" s="56" t="s">
        <v>68</v>
      </c>
      <c r="I2410" s="58" t="str">
        <f t="shared" si="137"/>
        <v>Taiwan-Offline</v>
      </c>
      <c r="J2410" s="40"/>
      <c r="K2410" s="59"/>
      <c r="L2410" s="35"/>
      <c r="M2410" s="35"/>
      <c r="N2410" s="35"/>
      <c r="O2410" s="35"/>
      <c r="P2410" s="35"/>
      <c r="Q2410" s="35"/>
      <c r="R2410" s="35"/>
      <c r="S2410" s="35"/>
      <c r="T2410" s="35"/>
      <c r="U2410" s="35"/>
      <c r="V2410" s="35"/>
      <c r="W2410" s="35"/>
      <c r="X2410" s="35"/>
      <c r="Y2410" s="35"/>
      <c r="Z2410" s="35"/>
      <c r="AA2410" s="35"/>
      <c r="AB2410" s="35"/>
      <c r="AC2410" s="35"/>
      <c r="AD2410" s="35"/>
      <c r="AE2410" s="35"/>
      <c r="AF2410" s="35"/>
      <c r="AG2410" s="35"/>
      <c r="AH2410" s="35"/>
      <c r="AI2410" s="35"/>
      <c r="AJ2410" s="35"/>
      <c r="AK2410" s="35"/>
      <c r="AL2410" s="35"/>
      <c r="AM2410" s="35"/>
      <c r="AN2410" s="35"/>
      <c r="AO2410" s="35"/>
      <c r="AP2410" s="35"/>
    </row>
    <row r="2411" spans="1:42" ht="17.25" customHeight="1" x14ac:dyDescent="0.25">
      <c r="A2411" s="60">
        <v>2024</v>
      </c>
      <c r="B2411" s="61" t="s">
        <v>66</v>
      </c>
      <c r="C2411" s="61" t="s">
        <v>4</v>
      </c>
      <c r="D2411" s="61" t="s">
        <v>14</v>
      </c>
      <c r="E2411" s="61" t="s">
        <v>69</v>
      </c>
      <c r="F2411" s="61" t="s">
        <v>70</v>
      </c>
      <c r="G2411" s="62">
        <v>3741005341</v>
      </c>
      <c r="H2411" s="61" t="s">
        <v>68</v>
      </c>
      <c r="I2411" s="63" t="str">
        <f t="shared" si="137"/>
        <v>Taiwan-Online Supplier-Direct</v>
      </c>
      <c r="J2411" s="47"/>
      <c r="K2411" s="54"/>
      <c r="L2411" s="35"/>
      <c r="M2411" s="35"/>
      <c r="N2411" s="35"/>
      <c r="O2411" s="35"/>
      <c r="P2411" s="35"/>
      <c r="Q2411" s="35"/>
      <c r="R2411" s="35"/>
      <c r="S2411" s="35"/>
      <c r="T2411" s="35"/>
      <c r="U2411" s="35"/>
      <c r="V2411" s="35"/>
      <c r="W2411" s="35"/>
      <c r="X2411" s="35"/>
      <c r="Y2411" s="35"/>
      <c r="Z2411" s="35"/>
      <c r="AA2411" s="35"/>
      <c r="AB2411" s="35"/>
      <c r="AC2411" s="35"/>
      <c r="AD2411" s="35"/>
      <c r="AE2411" s="35"/>
      <c r="AF2411" s="35"/>
      <c r="AG2411" s="35"/>
      <c r="AH2411" s="35"/>
      <c r="AI2411" s="35"/>
      <c r="AJ2411" s="35"/>
      <c r="AK2411" s="35"/>
      <c r="AL2411" s="35"/>
      <c r="AM2411" s="35"/>
      <c r="AN2411" s="35"/>
      <c r="AO2411" s="35"/>
      <c r="AP2411" s="35"/>
    </row>
    <row r="2412" spans="1:42" ht="17.25" customHeight="1" x14ac:dyDescent="0.25">
      <c r="A2412" s="55">
        <v>2024</v>
      </c>
      <c r="B2412" s="56" t="s">
        <v>66</v>
      </c>
      <c r="C2412" s="56" t="s">
        <v>4</v>
      </c>
      <c r="D2412" s="56" t="s">
        <v>14</v>
      </c>
      <c r="E2412" s="56" t="s">
        <v>69</v>
      </c>
      <c r="F2412" s="56" t="s">
        <v>71</v>
      </c>
      <c r="G2412" s="57">
        <v>2312290082</v>
      </c>
      <c r="H2412" s="56" t="s">
        <v>68</v>
      </c>
      <c r="I2412" s="58" t="str">
        <f t="shared" si="137"/>
        <v>Taiwan-OTA</v>
      </c>
      <c r="J2412" s="40"/>
      <c r="K2412" s="59"/>
      <c r="L2412" s="35"/>
      <c r="M2412" s="35"/>
      <c r="N2412" s="35"/>
      <c r="O2412" s="35"/>
      <c r="P2412" s="35"/>
      <c r="Q2412" s="35"/>
      <c r="R2412" s="35"/>
      <c r="S2412" s="35"/>
      <c r="T2412" s="35"/>
      <c r="U2412" s="35"/>
      <c r="V2412" s="35"/>
      <c r="W2412" s="35"/>
      <c r="X2412" s="35"/>
      <c r="Y2412" s="35"/>
      <c r="Z2412" s="35"/>
      <c r="AA2412" s="35"/>
      <c r="AB2412" s="35"/>
      <c r="AC2412" s="35"/>
      <c r="AD2412" s="35"/>
      <c r="AE2412" s="35"/>
      <c r="AF2412" s="35"/>
      <c r="AG2412" s="35"/>
      <c r="AH2412" s="35"/>
      <c r="AI2412" s="35"/>
      <c r="AJ2412" s="35"/>
      <c r="AK2412" s="35"/>
      <c r="AL2412" s="35"/>
      <c r="AM2412" s="35"/>
      <c r="AN2412" s="35"/>
      <c r="AO2412" s="35"/>
      <c r="AP2412" s="35"/>
    </row>
    <row r="2413" spans="1:42" ht="17.25" customHeight="1" x14ac:dyDescent="0.25">
      <c r="A2413" s="60">
        <v>2024</v>
      </c>
      <c r="B2413" s="61" t="s">
        <v>66</v>
      </c>
      <c r="C2413" s="61" t="s">
        <v>4</v>
      </c>
      <c r="D2413" s="61" t="s">
        <v>15</v>
      </c>
      <c r="E2413" s="61" t="s">
        <v>67</v>
      </c>
      <c r="F2413" s="61" t="s">
        <v>67</v>
      </c>
      <c r="G2413" s="62">
        <v>6461548824</v>
      </c>
      <c r="H2413" s="61" t="s">
        <v>68</v>
      </c>
      <c r="I2413" s="63" t="str">
        <f t="shared" si="137"/>
        <v>Thailand-Offline</v>
      </c>
      <c r="J2413" s="47"/>
      <c r="K2413" s="54"/>
      <c r="L2413" s="35"/>
      <c r="M2413" s="35"/>
      <c r="N2413" s="35"/>
      <c r="O2413" s="35"/>
      <c r="P2413" s="35"/>
      <c r="Q2413" s="35"/>
      <c r="R2413" s="35"/>
      <c r="S2413" s="35"/>
      <c r="T2413" s="35"/>
      <c r="U2413" s="35"/>
      <c r="V2413" s="35"/>
      <c r="W2413" s="35"/>
      <c r="X2413" s="35"/>
      <c r="Y2413" s="35"/>
      <c r="Z2413" s="35"/>
      <c r="AA2413" s="35"/>
      <c r="AB2413" s="35"/>
      <c r="AC2413" s="35"/>
      <c r="AD2413" s="35"/>
      <c r="AE2413" s="35"/>
      <c r="AF2413" s="35"/>
      <c r="AG2413" s="35"/>
      <c r="AH2413" s="35"/>
      <c r="AI2413" s="35"/>
      <c r="AJ2413" s="35"/>
      <c r="AK2413" s="35"/>
      <c r="AL2413" s="35"/>
      <c r="AM2413" s="35"/>
      <c r="AN2413" s="35"/>
      <c r="AO2413" s="35"/>
      <c r="AP2413" s="35"/>
    </row>
    <row r="2414" spans="1:42" ht="17.25" customHeight="1" x14ac:dyDescent="0.25">
      <c r="A2414" s="55">
        <v>2024</v>
      </c>
      <c r="B2414" s="56" t="s">
        <v>66</v>
      </c>
      <c r="C2414" s="56" t="s">
        <v>4</v>
      </c>
      <c r="D2414" s="56" t="s">
        <v>15</v>
      </c>
      <c r="E2414" s="56" t="s">
        <v>69</v>
      </c>
      <c r="F2414" s="56" t="s">
        <v>70</v>
      </c>
      <c r="G2414" s="57">
        <v>3003318967</v>
      </c>
      <c r="H2414" s="56" t="s">
        <v>68</v>
      </c>
      <c r="I2414" s="58" t="str">
        <f t="shared" si="137"/>
        <v>Thailand-Online Supplier-Direct</v>
      </c>
      <c r="J2414" s="40"/>
      <c r="K2414" s="59"/>
      <c r="L2414" s="35"/>
      <c r="M2414" s="35"/>
      <c r="N2414" s="35"/>
      <c r="O2414" s="35"/>
      <c r="P2414" s="35"/>
      <c r="Q2414" s="35"/>
      <c r="R2414" s="35"/>
      <c r="S2414" s="35"/>
      <c r="T2414" s="35"/>
      <c r="U2414" s="35"/>
      <c r="V2414" s="35"/>
      <c r="W2414" s="35"/>
      <c r="X2414" s="35"/>
      <c r="Y2414" s="35"/>
      <c r="Z2414" s="35"/>
      <c r="AA2414" s="35"/>
      <c r="AB2414" s="35"/>
      <c r="AC2414" s="35"/>
      <c r="AD2414" s="35"/>
      <c r="AE2414" s="35"/>
      <c r="AF2414" s="35"/>
      <c r="AG2414" s="35"/>
      <c r="AH2414" s="35"/>
      <c r="AI2414" s="35"/>
      <c r="AJ2414" s="35"/>
      <c r="AK2414" s="35"/>
      <c r="AL2414" s="35"/>
      <c r="AM2414" s="35"/>
      <c r="AN2414" s="35"/>
      <c r="AO2414" s="35"/>
      <c r="AP2414" s="35"/>
    </row>
    <row r="2415" spans="1:42" ht="17.25" customHeight="1" x14ac:dyDescent="0.25">
      <c r="A2415" s="60">
        <v>2024</v>
      </c>
      <c r="B2415" s="61" t="s">
        <v>66</v>
      </c>
      <c r="C2415" s="61" t="s">
        <v>4</v>
      </c>
      <c r="D2415" s="61" t="s">
        <v>15</v>
      </c>
      <c r="E2415" s="61" t="s">
        <v>69</v>
      </c>
      <c r="F2415" s="61" t="s">
        <v>71</v>
      </c>
      <c r="G2415" s="62">
        <v>7555699425</v>
      </c>
      <c r="H2415" s="61" t="s">
        <v>68</v>
      </c>
      <c r="I2415" s="63" t="str">
        <f t="shared" si="137"/>
        <v>Thailand-OTA</v>
      </c>
      <c r="J2415" s="47"/>
      <c r="K2415" s="54"/>
      <c r="L2415" s="35"/>
      <c r="M2415" s="35"/>
      <c r="N2415" s="35"/>
      <c r="O2415" s="35"/>
      <c r="P2415" s="35"/>
      <c r="Q2415" s="35"/>
      <c r="R2415" s="35"/>
      <c r="S2415" s="35"/>
      <c r="T2415" s="35"/>
      <c r="U2415" s="35"/>
      <c r="V2415" s="35"/>
      <c r="W2415" s="35"/>
      <c r="X2415" s="35"/>
      <c r="Y2415" s="35"/>
      <c r="Z2415" s="35"/>
      <c r="AA2415" s="35"/>
      <c r="AB2415" s="35"/>
      <c r="AC2415" s="35"/>
      <c r="AD2415" s="35"/>
      <c r="AE2415" s="35"/>
      <c r="AF2415" s="35"/>
      <c r="AG2415" s="35"/>
      <c r="AH2415" s="35"/>
      <c r="AI2415" s="35"/>
      <c r="AJ2415" s="35"/>
      <c r="AK2415" s="35"/>
      <c r="AL2415" s="35"/>
      <c r="AM2415" s="35"/>
      <c r="AN2415" s="35"/>
      <c r="AO2415" s="35"/>
      <c r="AP2415" s="35"/>
    </row>
    <row r="2416" spans="1:42" ht="17.25" customHeight="1" x14ac:dyDescent="0.25">
      <c r="A2416" s="55">
        <v>2024</v>
      </c>
      <c r="B2416" s="56" t="s">
        <v>66</v>
      </c>
      <c r="C2416" s="56" t="s">
        <v>41</v>
      </c>
      <c r="D2416" s="56" t="s">
        <v>45</v>
      </c>
      <c r="E2416" s="56" t="s">
        <v>67</v>
      </c>
      <c r="F2416" s="56" t="s">
        <v>67</v>
      </c>
      <c r="G2416" s="57">
        <v>24755792028</v>
      </c>
      <c r="H2416" s="56" t="s">
        <v>68</v>
      </c>
      <c r="I2416" s="58" t="str">
        <f t="shared" si="137"/>
        <v>U.A.E.-Offline</v>
      </c>
      <c r="J2416" s="40"/>
      <c r="K2416" s="59"/>
      <c r="L2416" s="35"/>
      <c r="M2416" s="35"/>
      <c r="N2416" s="35"/>
      <c r="O2416" s="35"/>
      <c r="P2416" s="35"/>
      <c r="Q2416" s="35"/>
      <c r="R2416" s="35"/>
      <c r="S2416" s="35"/>
      <c r="T2416" s="35"/>
      <c r="U2416" s="35"/>
      <c r="V2416" s="35"/>
      <c r="W2416" s="35"/>
      <c r="X2416" s="35"/>
      <c r="Y2416" s="35"/>
      <c r="Z2416" s="35"/>
      <c r="AA2416" s="35"/>
      <c r="AB2416" s="35"/>
      <c r="AC2416" s="35"/>
      <c r="AD2416" s="35"/>
      <c r="AE2416" s="35"/>
      <c r="AF2416" s="35"/>
      <c r="AG2416" s="35"/>
      <c r="AH2416" s="35"/>
      <c r="AI2416" s="35"/>
      <c r="AJ2416" s="35"/>
      <c r="AK2416" s="35"/>
      <c r="AL2416" s="35"/>
      <c r="AM2416" s="35"/>
      <c r="AN2416" s="35"/>
      <c r="AO2416" s="35"/>
      <c r="AP2416" s="35"/>
    </row>
    <row r="2417" spans="1:42" ht="17.25" customHeight="1" x14ac:dyDescent="0.25">
      <c r="A2417" s="60">
        <v>2024</v>
      </c>
      <c r="B2417" s="61" t="s">
        <v>66</v>
      </c>
      <c r="C2417" s="61" t="s">
        <v>41</v>
      </c>
      <c r="D2417" s="61" t="s">
        <v>45</v>
      </c>
      <c r="E2417" s="61" t="s">
        <v>69</v>
      </c>
      <c r="F2417" s="61" t="s">
        <v>70</v>
      </c>
      <c r="G2417" s="62">
        <v>17056133984</v>
      </c>
      <c r="H2417" s="61" t="s">
        <v>68</v>
      </c>
      <c r="I2417" s="63" t="str">
        <f t="shared" si="137"/>
        <v>U.A.E.-Online Supplier-Direct</v>
      </c>
      <c r="J2417" s="47"/>
      <c r="K2417" s="54"/>
      <c r="L2417" s="35"/>
      <c r="M2417" s="35"/>
      <c r="N2417" s="35"/>
      <c r="O2417" s="35"/>
      <c r="P2417" s="35"/>
      <c r="Q2417" s="35"/>
      <c r="R2417" s="35"/>
      <c r="S2417" s="35"/>
      <c r="T2417" s="35"/>
      <c r="U2417" s="35"/>
      <c r="V2417" s="35"/>
      <c r="W2417" s="35"/>
      <c r="X2417" s="35"/>
      <c r="Y2417" s="35"/>
      <c r="Z2417" s="35"/>
      <c r="AA2417" s="35"/>
      <c r="AB2417" s="35"/>
      <c r="AC2417" s="35"/>
      <c r="AD2417" s="35"/>
      <c r="AE2417" s="35"/>
      <c r="AF2417" s="35"/>
      <c r="AG2417" s="35"/>
      <c r="AH2417" s="35"/>
      <c r="AI2417" s="35"/>
      <c r="AJ2417" s="35"/>
      <c r="AK2417" s="35"/>
      <c r="AL2417" s="35"/>
      <c r="AM2417" s="35"/>
      <c r="AN2417" s="35"/>
      <c r="AO2417" s="35"/>
      <c r="AP2417" s="35"/>
    </row>
    <row r="2418" spans="1:42" ht="17.25" customHeight="1" x14ac:dyDescent="0.25">
      <c r="A2418" s="55">
        <v>2024</v>
      </c>
      <c r="B2418" s="56" t="s">
        <v>66</v>
      </c>
      <c r="C2418" s="56" t="s">
        <v>41</v>
      </c>
      <c r="D2418" s="56" t="s">
        <v>45</v>
      </c>
      <c r="E2418" s="56" t="s">
        <v>69</v>
      </c>
      <c r="F2418" s="56" t="s">
        <v>71</v>
      </c>
      <c r="G2418" s="57">
        <v>6789572404</v>
      </c>
      <c r="H2418" s="56" t="s">
        <v>68</v>
      </c>
      <c r="I2418" s="58" t="str">
        <f t="shared" si="137"/>
        <v>U.A.E.-OTA</v>
      </c>
      <c r="J2418" s="40"/>
      <c r="K2418" s="59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  <c r="AG2418" s="35"/>
      <c r="AH2418" s="35"/>
      <c r="AI2418" s="35"/>
      <c r="AJ2418" s="35"/>
      <c r="AK2418" s="35"/>
      <c r="AL2418" s="35"/>
      <c r="AM2418" s="35"/>
      <c r="AN2418" s="35"/>
      <c r="AO2418" s="35"/>
      <c r="AP2418" s="35"/>
    </row>
    <row r="2419" spans="1:42" ht="17.25" customHeight="1" x14ac:dyDescent="0.25">
      <c r="A2419" s="60">
        <v>2024</v>
      </c>
      <c r="B2419" s="61" t="s">
        <v>66</v>
      </c>
      <c r="C2419" s="61" t="s">
        <v>27</v>
      </c>
      <c r="D2419" s="61" t="s">
        <v>33</v>
      </c>
      <c r="E2419" s="61" t="s">
        <v>67</v>
      </c>
      <c r="F2419" s="61" t="s">
        <v>67</v>
      </c>
      <c r="G2419" s="62">
        <v>10372769916</v>
      </c>
      <c r="H2419" s="61" t="s">
        <v>68</v>
      </c>
      <c r="I2419" s="63" t="str">
        <f t="shared" si="137"/>
        <v>U.K.-Offline</v>
      </c>
      <c r="J2419" s="47"/>
      <c r="K2419" s="54"/>
      <c r="L2419" s="35"/>
      <c r="M2419" s="35"/>
      <c r="N2419" s="35"/>
      <c r="O2419" s="35"/>
      <c r="P2419" s="35"/>
      <c r="Q2419" s="35"/>
      <c r="R2419" s="35"/>
      <c r="S2419" s="35"/>
      <c r="T2419" s="35"/>
      <c r="U2419" s="35"/>
      <c r="V2419" s="35"/>
      <c r="W2419" s="35"/>
      <c r="X2419" s="35"/>
      <c r="Y2419" s="35"/>
      <c r="Z2419" s="35"/>
      <c r="AA2419" s="35"/>
      <c r="AB2419" s="35"/>
      <c r="AC2419" s="35"/>
      <c r="AD2419" s="35"/>
      <c r="AE2419" s="35"/>
      <c r="AF2419" s="35"/>
      <c r="AG2419" s="35"/>
      <c r="AH2419" s="35"/>
      <c r="AI2419" s="35"/>
      <c r="AJ2419" s="35"/>
      <c r="AK2419" s="35"/>
      <c r="AL2419" s="35"/>
      <c r="AM2419" s="35"/>
      <c r="AN2419" s="35"/>
      <c r="AO2419" s="35"/>
      <c r="AP2419" s="35"/>
    </row>
    <row r="2420" spans="1:42" ht="17.25" customHeight="1" x14ac:dyDescent="0.25">
      <c r="A2420" s="55">
        <v>2024</v>
      </c>
      <c r="B2420" s="56" t="s">
        <v>66</v>
      </c>
      <c r="C2420" s="56" t="s">
        <v>27</v>
      </c>
      <c r="D2420" s="56" t="s">
        <v>33</v>
      </c>
      <c r="E2420" s="56" t="s">
        <v>69</v>
      </c>
      <c r="F2420" s="56" t="s">
        <v>70</v>
      </c>
      <c r="G2420" s="57">
        <v>42325387365</v>
      </c>
      <c r="H2420" s="56" t="s">
        <v>68</v>
      </c>
      <c r="I2420" s="58" t="str">
        <f t="shared" si="137"/>
        <v>U.K.-Online Supplier-Direct</v>
      </c>
      <c r="J2420" s="40"/>
      <c r="K2420" s="59"/>
      <c r="L2420" s="35"/>
      <c r="M2420" s="35"/>
      <c r="N2420" s="35"/>
      <c r="O2420" s="35"/>
      <c r="P2420" s="35"/>
      <c r="Q2420" s="35"/>
      <c r="R2420" s="35"/>
      <c r="S2420" s="35"/>
      <c r="T2420" s="35"/>
      <c r="U2420" s="35"/>
      <c r="V2420" s="35"/>
      <c r="W2420" s="35"/>
      <c r="X2420" s="35"/>
      <c r="Y2420" s="35"/>
      <c r="Z2420" s="35"/>
      <c r="AA2420" s="35"/>
      <c r="AB2420" s="35"/>
      <c r="AC2420" s="35"/>
      <c r="AD2420" s="35"/>
      <c r="AE2420" s="35"/>
      <c r="AF2420" s="35"/>
      <c r="AG2420" s="35"/>
      <c r="AH2420" s="35"/>
      <c r="AI2420" s="35"/>
      <c r="AJ2420" s="35"/>
      <c r="AK2420" s="35"/>
      <c r="AL2420" s="35"/>
      <c r="AM2420" s="35"/>
      <c r="AN2420" s="35"/>
      <c r="AO2420" s="35"/>
      <c r="AP2420" s="35"/>
    </row>
    <row r="2421" spans="1:42" ht="17.25" customHeight="1" x14ac:dyDescent="0.25">
      <c r="A2421" s="60">
        <v>2024</v>
      </c>
      <c r="B2421" s="61" t="s">
        <v>66</v>
      </c>
      <c r="C2421" s="61" t="s">
        <v>27</v>
      </c>
      <c r="D2421" s="61" t="s">
        <v>33</v>
      </c>
      <c r="E2421" s="61" t="s">
        <v>69</v>
      </c>
      <c r="F2421" s="61" t="s">
        <v>71</v>
      </c>
      <c r="G2421" s="62">
        <v>12042767093</v>
      </c>
      <c r="H2421" s="61" t="s">
        <v>68</v>
      </c>
      <c r="I2421" s="63" t="str">
        <f t="shared" si="137"/>
        <v>U.K.-OTA</v>
      </c>
      <c r="J2421" s="47"/>
      <c r="K2421" s="54"/>
      <c r="L2421" s="35"/>
      <c r="M2421" s="35"/>
      <c r="N2421" s="35"/>
      <c r="O2421" s="35"/>
      <c r="P2421" s="35"/>
      <c r="Q2421" s="35"/>
      <c r="R2421" s="35"/>
      <c r="S2421" s="35"/>
      <c r="T2421" s="35"/>
      <c r="U2421" s="35"/>
      <c r="V2421" s="35"/>
      <c r="W2421" s="35"/>
      <c r="X2421" s="35"/>
      <c r="Y2421" s="35"/>
      <c r="Z2421" s="35"/>
      <c r="AA2421" s="35"/>
      <c r="AB2421" s="35"/>
      <c r="AC2421" s="35"/>
      <c r="AD2421" s="35"/>
      <c r="AE2421" s="35"/>
      <c r="AF2421" s="35"/>
      <c r="AG2421" s="35"/>
      <c r="AH2421" s="35"/>
      <c r="AI2421" s="35"/>
      <c r="AJ2421" s="35"/>
      <c r="AK2421" s="35"/>
      <c r="AL2421" s="35"/>
      <c r="AM2421" s="35"/>
      <c r="AN2421" s="35"/>
      <c r="AO2421" s="35"/>
      <c r="AP2421" s="35"/>
    </row>
    <row r="2422" spans="1:42" ht="17.25" customHeight="1" x14ac:dyDescent="0.25">
      <c r="A2422" s="55">
        <v>2024</v>
      </c>
      <c r="B2422" s="56" t="s">
        <v>66</v>
      </c>
      <c r="C2422" s="56" t="s">
        <v>47</v>
      </c>
      <c r="D2422" s="56" t="s">
        <v>48</v>
      </c>
      <c r="E2422" s="56" t="s">
        <v>72</v>
      </c>
      <c r="F2422" s="56" t="s">
        <v>73</v>
      </c>
      <c r="G2422" s="57">
        <v>85898251337</v>
      </c>
      <c r="H2422" s="56" t="s">
        <v>68</v>
      </c>
      <c r="I2422" s="58" t="str">
        <f t="shared" si="137"/>
        <v>U.S.-Central Reservation</v>
      </c>
      <c r="J2422" s="40"/>
      <c r="K2422" s="59"/>
      <c r="L2422" s="35"/>
      <c r="M2422" s="35"/>
      <c r="N2422" s="35"/>
      <c r="O2422" s="35"/>
      <c r="P2422" s="35"/>
      <c r="Q2422" s="35"/>
      <c r="R2422" s="35"/>
      <c r="S2422" s="35"/>
      <c r="T2422" s="35"/>
      <c r="U2422" s="35"/>
      <c r="V2422" s="35"/>
      <c r="W2422" s="35"/>
      <c r="X2422" s="35"/>
      <c r="Y2422" s="35"/>
      <c r="Z2422" s="35"/>
      <c r="AA2422" s="35"/>
      <c r="AB2422" s="35"/>
      <c r="AC2422" s="35"/>
      <c r="AD2422" s="35"/>
      <c r="AE2422" s="35"/>
      <c r="AF2422" s="35"/>
      <c r="AG2422" s="35"/>
      <c r="AH2422" s="35"/>
      <c r="AI2422" s="35"/>
      <c r="AJ2422" s="35"/>
      <c r="AK2422" s="35"/>
      <c r="AL2422" s="35"/>
      <c r="AM2422" s="35"/>
      <c r="AN2422" s="35"/>
      <c r="AO2422" s="35"/>
      <c r="AP2422" s="35"/>
    </row>
    <row r="2423" spans="1:42" ht="17.25" customHeight="1" x14ac:dyDescent="0.25">
      <c r="A2423" s="60">
        <v>2024</v>
      </c>
      <c r="B2423" s="61" t="s">
        <v>66</v>
      </c>
      <c r="C2423" s="61" t="s">
        <v>47</v>
      </c>
      <c r="D2423" s="61" t="s">
        <v>48</v>
      </c>
      <c r="E2423" s="61" t="s">
        <v>67</v>
      </c>
      <c r="F2423" s="61" t="s">
        <v>74</v>
      </c>
      <c r="G2423" s="62">
        <v>99764613880</v>
      </c>
      <c r="H2423" s="61" t="s">
        <v>68</v>
      </c>
      <c r="I2423" s="63" t="str">
        <f t="shared" si="137"/>
        <v>U.S.-Travel Agency/TMC</v>
      </c>
      <c r="J2423" s="47"/>
      <c r="K2423" s="54"/>
      <c r="L2423" s="35"/>
      <c r="M2423" s="35"/>
      <c r="N2423" s="35"/>
      <c r="O2423" s="35"/>
      <c r="P2423" s="35"/>
      <c r="Q2423" s="35"/>
      <c r="R2423" s="35"/>
      <c r="S2423" s="35"/>
      <c r="T2423" s="35"/>
      <c r="U2423" s="35"/>
      <c r="V2423" s="35"/>
      <c r="W2423" s="35"/>
      <c r="X2423" s="35"/>
      <c r="Y2423" s="35"/>
      <c r="Z2423" s="35"/>
      <c r="AA2423" s="35"/>
      <c r="AB2423" s="35"/>
      <c r="AC2423" s="35"/>
      <c r="AD2423" s="35"/>
      <c r="AE2423" s="35"/>
      <c r="AF2423" s="35"/>
      <c r="AG2423" s="35"/>
      <c r="AH2423" s="35"/>
      <c r="AI2423" s="35"/>
      <c r="AJ2423" s="35"/>
      <c r="AK2423" s="35"/>
      <c r="AL2423" s="35"/>
      <c r="AM2423" s="35"/>
      <c r="AN2423" s="35"/>
      <c r="AO2423" s="35"/>
      <c r="AP2423" s="35"/>
    </row>
    <row r="2424" spans="1:42" ht="17.25" customHeight="1" x14ac:dyDescent="0.25">
      <c r="A2424" s="55">
        <v>2024</v>
      </c>
      <c r="B2424" s="56" t="s">
        <v>66</v>
      </c>
      <c r="C2424" s="56" t="s">
        <v>47</v>
      </c>
      <c r="D2424" s="56" t="s">
        <v>48</v>
      </c>
      <c r="E2424" s="56" t="s">
        <v>69</v>
      </c>
      <c r="F2424" s="56" t="s">
        <v>70</v>
      </c>
      <c r="G2424" s="57">
        <v>210410934272</v>
      </c>
      <c r="H2424" s="56" t="s">
        <v>68</v>
      </c>
      <c r="I2424" s="58" t="str">
        <f t="shared" si="137"/>
        <v>U.S.-Online Supplier-Direct</v>
      </c>
      <c r="J2424" s="40"/>
      <c r="K2424" s="59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  <c r="AG2424" s="35"/>
      <c r="AH2424" s="35"/>
      <c r="AI2424" s="35"/>
      <c r="AJ2424" s="35"/>
      <c r="AK2424" s="35"/>
      <c r="AL2424" s="35"/>
      <c r="AM2424" s="35"/>
      <c r="AN2424" s="35"/>
      <c r="AO2424" s="35"/>
      <c r="AP2424" s="35"/>
    </row>
    <row r="2425" spans="1:42" ht="17.25" customHeight="1" x14ac:dyDescent="0.25">
      <c r="A2425" s="60">
        <v>2024</v>
      </c>
      <c r="B2425" s="61" t="s">
        <v>66</v>
      </c>
      <c r="C2425" s="61" t="s">
        <v>47</v>
      </c>
      <c r="D2425" s="61" t="s">
        <v>48</v>
      </c>
      <c r="E2425" s="61" t="s">
        <v>69</v>
      </c>
      <c r="F2425" s="61" t="s">
        <v>71</v>
      </c>
      <c r="G2425" s="62">
        <v>106500000001</v>
      </c>
      <c r="H2425" s="61" t="s">
        <v>68</v>
      </c>
      <c r="I2425" s="63" t="str">
        <f t="shared" si="137"/>
        <v>U.S.-OTA</v>
      </c>
      <c r="J2425" s="47"/>
      <c r="K2425" s="54"/>
      <c r="L2425" s="35"/>
      <c r="M2425" s="35"/>
      <c r="N2425" s="35"/>
      <c r="O2425" s="35"/>
      <c r="P2425" s="35"/>
      <c r="Q2425" s="35"/>
      <c r="R2425" s="35"/>
      <c r="S2425" s="35"/>
      <c r="T2425" s="35"/>
      <c r="U2425" s="35"/>
      <c r="V2425" s="35"/>
      <c r="W2425" s="35"/>
      <c r="X2425" s="35"/>
      <c r="Y2425" s="35"/>
      <c r="Z2425" s="35"/>
      <c r="AA2425" s="35"/>
      <c r="AB2425" s="35"/>
      <c r="AC2425" s="35"/>
      <c r="AD2425" s="35"/>
      <c r="AE2425" s="35"/>
      <c r="AF2425" s="35"/>
      <c r="AG2425" s="35"/>
      <c r="AH2425" s="35"/>
      <c r="AI2425" s="35"/>
      <c r="AJ2425" s="35"/>
      <c r="AK2425" s="35"/>
      <c r="AL2425" s="35"/>
      <c r="AM2425" s="35"/>
      <c r="AN2425" s="35"/>
      <c r="AO2425" s="35"/>
      <c r="AP2425" s="35"/>
    </row>
    <row r="2426" spans="1:42" ht="17.25" customHeight="1" x14ac:dyDescent="0.25">
      <c r="A2426" s="55">
        <v>2024</v>
      </c>
      <c r="B2426" s="56" t="s">
        <v>66</v>
      </c>
      <c r="C2426" s="56" t="s">
        <v>17</v>
      </c>
      <c r="D2426" s="56" t="s">
        <v>25</v>
      </c>
      <c r="E2426" s="56" t="s">
        <v>67</v>
      </c>
      <c r="F2426" s="56" t="s">
        <v>67</v>
      </c>
      <c r="G2426" s="57">
        <v>0</v>
      </c>
      <c r="H2426" s="56" t="s">
        <v>68</v>
      </c>
      <c r="I2426" s="58" t="str">
        <f t="shared" si="137"/>
        <v>Ukraine-Offline</v>
      </c>
      <c r="J2426" s="40"/>
      <c r="K2426" s="59"/>
      <c r="L2426" s="35"/>
      <c r="M2426" s="35"/>
      <c r="N2426" s="35"/>
      <c r="O2426" s="35"/>
      <c r="P2426" s="35"/>
      <c r="Q2426" s="35"/>
      <c r="R2426" s="35"/>
      <c r="S2426" s="35"/>
      <c r="T2426" s="35"/>
      <c r="U2426" s="35"/>
      <c r="V2426" s="35"/>
      <c r="W2426" s="35"/>
      <c r="X2426" s="35"/>
      <c r="Y2426" s="35"/>
      <c r="Z2426" s="35"/>
      <c r="AA2426" s="35"/>
      <c r="AB2426" s="35"/>
      <c r="AC2426" s="35"/>
      <c r="AD2426" s="35"/>
      <c r="AE2426" s="35"/>
      <c r="AF2426" s="35"/>
      <c r="AG2426" s="35"/>
      <c r="AH2426" s="35"/>
      <c r="AI2426" s="35"/>
      <c r="AJ2426" s="35"/>
      <c r="AK2426" s="35"/>
      <c r="AL2426" s="35"/>
      <c r="AM2426" s="35"/>
      <c r="AN2426" s="35"/>
      <c r="AO2426" s="35"/>
      <c r="AP2426" s="35"/>
    </row>
    <row r="2427" spans="1:42" ht="17.25" customHeight="1" x14ac:dyDescent="0.25">
      <c r="A2427" s="60">
        <v>2024</v>
      </c>
      <c r="B2427" s="61" t="s">
        <v>66</v>
      </c>
      <c r="C2427" s="61" t="s">
        <v>17</v>
      </c>
      <c r="D2427" s="61" t="s">
        <v>25</v>
      </c>
      <c r="E2427" s="61" t="s">
        <v>69</v>
      </c>
      <c r="F2427" s="61" t="s">
        <v>70</v>
      </c>
      <c r="G2427" s="62">
        <v>0</v>
      </c>
      <c r="H2427" s="61" t="s">
        <v>68</v>
      </c>
      <c r="I2427" s="63" t="str">
        <f t="shared" si="137"/>
        <v>Ukraine-Online Supplier-Direct</v>
      </c>
      <c r="J2427" s="47"/>
      <c r="K2427" s="54"/>
      <c r="L2427" s="35"/>
      <c r="M2427" s="35"/>
      <c r="N2427" s="35"/>
      <c r="O2427" s="35"/>
      <c r="P2427" s="35"/>
      <c r="Q2427" s="35"/>
      <c r="R2427" s="35"/>
      <c r="S2427" s="35"/>
      <c r="T2427" s="35"/>
      <c r="U2427" s="35"/>
      <c r="V2427" s="35"/>
      <c r="W2427" s="35"/>
      <c r="X2427" s="35"/>
      <c r="Y2427" s="35"/>
      <c r="Z2427" s="35"/>
      <c r="AA2427" s="35"/>
      <c r="AB2427" s="35"/>
      <c r="AC2427" s="35"/>
      <c r="AD2427" s="35"/>
      <c r="AE2427" s="35"/>
      <c r="AF2427" s="35"/>
      <c r="AG2427" s="35"/>
      <c r="AH2427" s="35"/>
      <c r="AI2427" s="35"/>
      <c r="AJ2427" s="35"/>
      <c r="AK2427" s="35"/>
      <c r="AL2427" s="35"/>
      <c r="AM2427" s="35"/>
      <c r="AN2427" s="35"/>
      <c r="AO2427" s="35"/>
      <c r="AP2427" s="35"/>
    </row>
    <row r="2428" spans="1:42" ht="17.25" customHeight="1" x14ac:dyDescent="0.25">
      <c r="A2428" s="55">
        <v>2024</v>
      </c>
      <c r="B2428" s="56" t="s">
        <v>66</v>
      </c>
      <c r="C2428" s="56" t="s">
        <v>17</v>
      </c>
      <c r="D2428" s="56" t="s">
        <v>25</v>
      </c>
      <c r="E2428" s="56" t="s">
        <v>69</v>
      </c>
      <c r="F2428" s="56" t="s">
        <v>71</v>
      </c>
      <c r="G2428" s="57">
        <v>0</v>
      </c>
      <c r="H2428" s="56" t="s">
        <v>68</v>
      </c>
      <c r="I2428" s="58" t="str">
        <f t="shared" si="137"/>
        <v>Ukraine-OTA</v>
      </c>
      <c r="J2428" s="40"/>
      <c r="K2428" s="59"/>
      <c r="L2428" s="35"/>
      <c r="M2428" s="35"/>
      <c r="N2428" s="35"/>
      <c r="O2428" s="35"/>
      <c r="P2428" s="35"/>
      <c r="Q2428" s="35"/>
      <c r="R2428" s="35"/>
      <c r="S2428" s="35"/>
      <c r="T2428" s="35"/>
      <c r="U2428" s="35"/>
      <c r="V2428" s="35"/>
      <c r="W2428" s="35"/>
      <c r="X2428" s="35"/>
      <c r="Y2428" s="35"/>
      <c r="Z2428" s="35"/>
      <c r="AA2428" s="35"/>
      <c r="AB2428" s="35"/>
      <c r="AC2428" s="35"/>
      <c r="AD2428" s="35"/>
      <c r="AE2428" s="35"/>
      <c r="AF2428" s="35"/>
      <c r="AG2428" s="35"/>
      <c r="AH2428" s="35"/>
      <c r="AI2428" s="35"/>
      <c r="AJ2428" s="35"/>
      <c r="AK2428" s="35"/>
      <c r="AL2428" s="35"/>
      <c r="AM2428" s="35"/>
      <c r="AN2428" s="35"/>
      <c r="AO2428" s="35"/>
      <c r="AP2428" s="35"/>
    </row>
    <row r="2429" spans="1:42" ht="17.25" customHeight="1" x14ac:dyDescent="0.25">
      <c r="A2429" s="60">
        <v>2025</v>
      </c>
      <c r="B2429" s="61" t="s">
        <v>66</v>
      </c>
      <c r="C2429" s="61" t="s">
        <v>35</v>
      </c>
      <c r="D2429" s="61" t="s">
        <v>34</v>
      </c>
      <c r="E2429" s="61" t="s">
        <v>67</v>
      </c>
      <c r="F2429" s="61" t="s">
        <v>67</v>
      </c>
      <c r="G2429" s="62">
        <v>4461245975</v>
      </c>
      <c r="H2429" s="61" t="s">
        <v>68</v>
      </c>
      <c r="I2429" s="63" t="str">
        <f t="shared" si="137"/>
        <v>Argentina-Offline</v>
      </c>
      <c r="J2429" s="47"/>
      <c r="K2429" s="54"/>
      <c r="L2429" s="35"/>
      <c r="M2429" s="35"/>
      <c r="N2429" s="35"/>
      <c r="O2429" s="35"/>
      <c r="P2429" s="35"/>
      <c r="Q2429" s="35"/>
      <c r="R2429" s="35"/>
      <c r="S2429" s="35"/>
      <c r="T2429" s="35"/>
      <c r="U2429" s="35"/>
      <c r="V2429" s="35"/>
      <c r="W2429" s="35"/>
      <c r="X2429" s="35"/>
      <c r="Y2429" s="35"/>
      <c r="Z2429" s="35"/>
      <c r="AA2429" s="35"/>
      <c r="AB2429" s="35"/>
      <c r="AC2429" s="35"/>
      <c r="AD2429" s="35"/>
      <c r="AE2429" s="35"/>
      <c r="AF2429" s="35"/>
      <c r="AG2429" s="35"/>
      <c r="AH2429" s="35"/>
      <c r="AI2429" s="35"/>
      <c r="AJ2429" s="35"/>
      <c r="AK2429" s="35"/>
      <c r="AL2429" s="35"/>
      <c r="AM2429" s="35"/>
      <c r="AN2429" s="35"/>
      <c r="AO2429" s="35"/>
      <c r="AP2429" s="35"/>
    </row>
    <row r="2430" spans="1:42" ht="17.25" customHeight="1" x14ac:dyDescent="0.25">
      <c r="A2430" s="55">
        <v>2025</v>
      </c>
      <c r="B2430" s="56" t="s">
        <v>66</v>
      </c>
      <c r="C2430" s="56" t="s">
        <v>35</v>
      </c>
      <c r="D2430" s="56" t="s">
        <v>34</v>
      </c>
      <c r="E2430" s="56" t="s">
        <v>69</v>
      </c>
      <c r="F2430" s="56" t="s">
        <v>70</v>
      </c>
      <c r="G2430" s="57">
        <v>1766149651</v>
      </c>
      <c r="H2430" s="56" t="s">
        <v>68</v>
      </c>
      <c r="I2430" s="58" t="str">
        <f t="shared" si="137"/>
        <v>Argentina-Online Supplier-Direct</v>
      </c>
      <c r="J2430" s="40"/>
      <c r="K2430" s="59"/>
      <c r="L2430" s="35"/>
      <c r="M2430" s="35"/>
      <c r="N2430" s="35"/>
      <c r="O2430" s="35"/>
      <c r="P2430" s="35"/>
      <c r="Q2430" s="35"/>
      <c r="R2430" s="35"/>
      <c r="S2430" s="35"/>
      <c r="T2430" s="35"/>
      <c r="U2430" s="35"/>
      <c r="V2430" s="35"/>
      <c r="W2430" s="35"/>
      <c r="X2430" s="35"/>
      <c r="Y2430" s="35"/>
      <c r="Z2430" s="35"/>
      <c r="AA2430" s="35"/>
      <c r="AB2430" s="35"/>
      <c r="AC2430" s="35"/>
      <c r="AD2430" s="35"/>
      <c r="AE2430" s="35"/>
      <c r="AF2430" s="35"/>
      <c r="AG2430" s="35"/>
      <c r="AH2430" s="35"/>
      <c r="AI2430" s="35"/>
      <c r="AJ2430" s="35"/>
      <c r="AK2430" s="35"/>
      <c r="AL2430" s="35"/>
      <c r="AM2430" s="35"/>
      <c r="AN2430" s="35"/>
      <c r="AO2430" s="35"/>
      <c r="AP2430" s="35"/>
    </row>
    <row r="2431" spans="1:42" ht="17.25" customHeight="1" x14ac:dyDescent="0.25">
      <c r="A2431" s="60">
        <v>2025</v>
      </c>
      <c r="B2431" s="61" t="s">
        <v>66</v>
      </c>
      <c r="C2431" s="61" t="s">
        <v>35</v>
      </c>
      <c r="D2431" s="61" t="s">
        <v>34</v>
      </c>
      <c r="E2431" s="61" t="s">
        <v>69</v>
      </c>
      <c r="F2431" s="61" t="s">
        <v>71</v>
      </c>
      <c r="G2431" s="62">
        <v>1939527301</v>
      </c>
      <c r="H2431" s="61" t="s">
        <v>68</v>
      </c>
      <c r="I2431" s="63" t="str">
        <f t="shared" si="137"/>
        <v>Argentina-OTA</v>
      </c>
      <c r="J2431" s="47"/>
      <c r="K2431" s="54"/>
      <c r="L2431" s="35"/>
      <c r="M2431" s="35"/>
      <c r="N2431" s="35"/>
      <c r="O2431" s="35"/>
      <c r="P2431" s="35"/>
      <c r="Q2431" s="35"/>
      <c r="R2431" s="35"/>
      <c r="S2431" s="35"/>
      <c r="T2431" s="35"/>
      <c r="U2431" s="35"/>
      <c r="V2431" s="35"/>
      <c r="W2431" s="35"/>
      <c r="X2431" s="35"/>
      <c r="Y2431" s="35"/>
      <c r="Z2431" s="35"/>
      <c r="AA2431" s="35"/>
      <c r="AB2431" s="35"/>
      <c r="AC2431" s="35"/>
      <c r="AD2431" s="35"/>
      <c r="AE2431" s="35"/>
      <c r="AF2431" s="35"/>
      <c r="AG2431" s="35"/>
      <c r="AH2431" s="35"/>
      <c r="AI2431" s="35"/>
      <c r="AJ2431" s="35"/>
      <c r="AK2431" s="35"/>
      <c r="AL2431" s="35"/>
      <c r="AM2431" s="35"/>
      <c r="AN2431" s="35"/>
      <c r="AO2431" s="35"/>
      <c r="AP2431" s="35"/>
    </row>
    <row r="2432" spans="1:42" ht="17.25" customHeight="1" x14ac:dyDescent="0.25">
      <c r="A2432" s="55">
        <v>2025</v>
      </c>
      <c r="B2432" s="56" t="s">
        <v>66</v>
      </c>
      <c r="C2432" s="56" t="s">
        <v>4</v>
      </c>
      <c r="D2432" s="56" t="s">
        <v>3</v>
      </c>
      <c r="E2432" s="56" t="s">
        <v>67</v>
      </c>
      <c r="F2432" s="56" t="s">
        <v>67</v>
      </c>
      <c r="G2432" s="57">
        <v>17185781792</v>
      </c>
      <c r="H2432" s="56" t="s">
        <v>68</v>
      </c>
      <c r="I2432" s="58" t="str">
        <f t="shared" si="137"/>
        <v>Australia-New Zealand-Offline</v>
      </c>
      <c r="J2432" s="40"/>
      <c r="K2432" s="59"/>
      <c r="L2432" s="35"/>
      <c r="M2432" s="35"/>
      <c r="N2432" s="35"/>
      <c r="O2432" s="35"/>
      <c r="P2432" s="35"/>
      <c r="Q2432" s="35"/>
      <c r="R2432" s="35"/>
      <c r="S2432" s="35"/>
      <c r="T2432" s="35"/>
      <c r="U2432" s="35"/>
      <c r="V2432" s="35"/>
      <c r="W2432" s="35"/>
      <c r="X2432" s="35"/>
      <c r="Y2432" s="35"/>
      <c r="Z2432" s="35"/>
      <c r="AA2432" s="35"/>
      <c r="AB2432" s="35"/>
      <c r="AC2432" s="35"/>
      <c r="AD2432" s="35"/>
      <c r="AE2432" s="35"/>
      <c r="AF2432" s="35"/>
      <c r="AG2432" s="35"/>
      <c r="AH2432" s="35"/>
      <c r="AI2432" s="35"/>
      <c r="AJ2432" s="35"/>
      <c r="AK2432" s="35"/>
      <c r="AL2432" s="35"/>
      <c r="AM2432" s="35"/>
      <c r="AN2432" s="35"/>
      <c r="AO2432" s="35"/>
      <c r="AP2432" s="35"/>
    </row>
    <row r="2433" spans="1:42" ht="17.25" customHeight="1" x14ac:dyDescent="0.25">
      <c r="A2433" s="60">
        <v>2025</v>
      </c>
      <c r="B2433" s="61" t="s">
        <v>66</v>
      </c>
      <c r="C2433" s="61" t="s">
        <v>4</v>
      </c>
      <c r="D2433" s="61" t="s">
        <v>3</v>
      </c>
      <c r="E2433" s="61" t="s">
        <v>69</v>
      </c>
      <c r="F2433" s="61" t="s">
        <v>70</v>
      </c>
      <c r="G2433" s="62">
        <v>17109645423</v>
      </c>
      <c r="H2433" s="61" t="s">
        <v>68</v>
      </c>
      <c r="I2433" s="63" t="str">
        <f t="shared" si="137"/>
        <v>Australia-New Zealand-Online Supplier-Direct</v>
      </c>
      <c r="J2433" s="47"/>
      <c r="K2433" s="54"/>
      <c r="L2433" s="35"/>
      <c r="M2433" s="35"/>
      <c r="N2433" s="35"/>
      <c r="O2433" s="35"/>
      <c r="P2433" s="35"/>
      <c r="Q2433" s="35"/>
      <c r="R2433" s="35"/>
      <c r="S2433" s="35"/>
      <c r="T2433" s="35"/>
      <c r="U2433" s="35"/>
      <c r="V2433" s="35"/>
      <c r="W2433" s="35"/>
      <c r="X2433" s="35"/>
      <c r="Y2433" s="35"/>
      <c r="Z2433" s="35"/>
      <c r="AA2433" s="35"/>
      <c r="AB2433" s="35"/>
      <c r="AC2433" s="35"/>
      <c r="AD2433" s="35"/>
      <c r="AE2433" s="35"/>
      <c r="AF2433" s="35"/>
      <c r="AG2433" s="35"/>
      <c r="AH2433" s="35"/>
      <c r="AI2433" s="35"/>
      <c r="AJ2433" s="35"/>
      <c r="AK2433" s="35"/>
      <c r="AL2433" s="35"/>
      <c r="AM2433" s="35"/>
      <c r="AN2433" s="35"/>
      <c r="AO2433" s="35"/>
      <c r="AP2433" s="35"/>
    </row>
    <row r="2434" spans="1:42" ht="17.25" customHeight="1" x14ac:dyDescent="0.25">
      <c r="A2434" s="55">
        <v>2025</v>
      </c>
      <c r="B2434" s="56" t="s">
        <v>66</v>
      </c>
      <c r="C2434" s="56" t="s">
        <v>4</v>
      </c>
      <c r="D2434" s="56" t="s">
        <v>3</v>
      </c>
      <c r="E2434" s="56" t="s">
        <v>69</v>
      </c>
      <c r="F2434" s="56" t="s">
        <v>71</v>
      </c>
      <c r="G2434" s="57">
        <v>7465143143</v>
      </c>
      <c r="H2434" s="56" t="s">
        <v>68</v>
      </c>
      <c r="I2434" s="58" t="str">
        <f t="shared" si="137"/>
        <v>Australia-New Zealand-OTA</v>
      </c>
      <c r="J2434" s="40"/>
      <c r="K2434" s="59"/>
      <c r="L2434" s="35"/>
      <c r="M2434" s="35"/>
      <c r="N2434" s="35"/>
      <c r="O2434" s="35"/>
      <c r="P2434" s="35"/>
      <c r="Q2434" s="35"/>
      <c r="R2434" s="35"/>
      <c r="S2434" s="35"/>
      <c r="T2434" s="35"/>
      <c r="U2434" s="35"/>
      <c r="V2434" s="35"/>
      <c r="W2434" s="35"/>
      <c r="X2434" s="35"/>
      <c r="Y2434" s="35"/>
      <c r="Z2434" s="35"/>
      <c r="AA2434" s="35"/>
      <c r="AB2434" s="35"/>
      <c r="AC2434" s="35"/>
      <c r="AD2434" s="35"/>
      <c r="AE2434" s="35"/>
      <c r="AF2434" s="35"/>
      <c r="AG2434" s="35"/>
      <c r="AH2434" s="35"/>
      <c r="AI2434" s="35"/>
      <c r="AJ2434" s="35"/>
      <c r="AK2434" s="35"/>
      <c r="AL2434" s="35"/>
      <c r="AM2434" s="35"/>
      <c r="AN2434" s="35"/>
      <c r="AO2434" s="35"/>
      <c r="AP2434" s="35"/>
    </row>
    <row r="2435" spans="1:42" ht="17.25" customHeight="1" x14ac:dyDescent="0.25">
      <c r="A2435" s="60">
        <v>2025</v>
      </c>
      <c r="B2435" s="61" t="s">
        <v>66</v>
      </c>
      <c r="C2435" s="61" t="s">
        <v>35</v>
      </c>
      <c r="D2435" s="61" t="s">
        <v>36</v>
      </c>
      <c r="E2435" s="61" t="s">
        <v>67</v>
      </c>
      <c r="F2435" s="61" t="s">
        <v>67</v>
      </c>
      <c r="G2435" s="62">
        <v>12549625405</v>
      </c>
      <c r="H2435" s="61" t="s">
        <v>68</v>
      </c>
      <c r="I2435" s="63" t="str">
        <f t="shared" si="137"/>
        <v>Brazil-Offline</v>
      </c>
      <c r="J2435" s="47"/>
      <c r="K2435" s="54"/>
      <c r="L2435" s="35"/>
      <c r="M2435" s="35"/>
      <c r="N2435" s="35"/>
      <c r="O2435" s="35"/>
      <c r="P2435" s="35"/>
      <c r="Q2435" s="35"/>
      <c r="R2435" s="35"/>
      <c r="S2435" s="35"/>
      <c r="T2435" s="35"/>
      <c r="U2435" s="35"/>
      <c r="V2435" s="35"/>
      <c r="W2435" s="35"/>
      <c r="X2435" s="35"/>
      <c r="Y2435" s="35"/>
      <c r="Z2435" s="35"/>
      <c r="AA2435" s="35"/>
      <c r="AB2435" s="35"/>
      <c r="AC2435" s="35"/>
      <c r="AD2435" s="35"/>
      <c r="AE2435" s="35"/>
      <c r="AF2435" s="35"/>
      <c r="AG2435" s="35"/>
      <c r="AH2435" s="35"/>
      <c r="AI2435" s="35"/>
      <c r="AJ2435" s="35"/>
      <c r="AK2435" s="35"/>
      <c r="AL2435" s="35"/>
      <c r="AM2435" s="35"/>
      <c r="AN2435" s="35"/>
      <c r="AO2435" s="35"/>
      <c r="AP2435" s="35"/>
    </row>
    <row r="2436" spans="1:42" ht="17.25" customHeight="1" x14ac:dyDescent="0.25">
      <c r="A2436" s="55">
        <v>2025</v>
      </c>
      <c r="B2436" s="56" t="s">
        <v>66</v>
      </c>
      <c r="C2436" s="56" t="s">
        <v>35</v>
      </c>
      <c r="D2436" s="56" t="s">
        <v>36</v>
      </c>
      <c r="E2436" s="56" t="s">
        <v>69</v>
      </c>
      <c r="F2436" s="56" t="s">
        <v>70</v>
      </c>
      <c r="G2436" s="57">
        <v>6124166704</v>
      </c>
      <c r="H2436" s="56" t="s">
        <v>68</v>
      </c>
      <c r="I2436" s="58" t="str">
        <f t="shared" si="137"/>
        <v>Brazil-Online Supplier-Direct</v>
      </c>
      <c r="J2436" s="40"/>
      <c r="K2436" s="59"/>
      <c r="L2436" s="35"/>
      <c r="M2436" s="35"/>
      <c r="N2436" s="35"/>
      <c r="O2436" s="35"/>
      <c r="P2436" s="35"/>
      <c r="Q2436" s="35"/>
      <c r="R2436" s="35"/>
      <c r="S2436" s="35"/>
      <c r="T2436" s="35"/>
      <c r="U2436" s="35"/>
      <c r="V2436" s="35"/>
      <c r="W2436" s="35"/>
      <c r="X2436" s="35"/>
      <c r="Y2436" s="35"/>
      <c r="Z2436" s="35"/>
      <c r="AA2436" s="35"/>
      <c r="AB2436" s="35"/>
      <c r="AC2436" s="35"/>
      <c r="AD2436" s="35"/>
      <c r="AE2436" s="35"/>
      <c r="AF2436" s="35"/>
      <c r="AG2436" s="35"/>
      <c r="AH2436" s="35"/>
      <c r="AI2436" s="35"/>
      <c r="AJ2436" s="35"/>
      <c r="AK2436" s="35"/>
      <c r="AL2436" s="35"/>
      <c r="AM2436" s="35"/>
      <c r="AN2436" s="35"/>
      <c r="AO2436" s="35"/>
      <c r="AP2436" s="35"/>
    </row>
    <row r="2437" spans="1:42" ht="17.25" customHeight="1" x14ac:dyDescent="0.25">
      <c r="A2437" s="60">
        <v>2025</v>
      </c>
      <c r="B2437" s="61" t="s">
        <v>66</v>
      </c>
      <c r="C2437" s="61" t="s">
        <v>35</v>
      </c>
      <c r="D2437" s="61" t="s">
        <v>36</v>
      </c>
      <c r="E2437" s="61" t="s">
        <v>69</v>
      </c>
      <c r="F2437" s="61" t="s">
        <v>71</v>
      </c>
      <c r="G2437" s="62">
        <v>7137512271</v>
      </c>
      <c r="H2437" s="61" t="s">
        <v>68</v>
      </c>
      <c r="I2437" s="63" t="str">
        <f t="shared" si="137"/>
        <v>Brazil-OTA</v>
      </c>
      <c r="J2437" s="47"/>
      <c r="K2437" s="54"/>
      <c r="L2437" s="35"/>
      <c r="M2437" s="35"/>
      <c r="N2437" s="35"/>
      <c r="O2437" s="35"/>
      <c r="P2437" s="35"/>
      <c r="Q2437" s="35"/>
      <c r="R2437" s="35"/>
      <c r="S2437" s="35"/>
      <c r="T2437" s="35"/>
      <c r="U2437" s="35"/>
      <c r="V2437" s="35"/>
      <c r="W2437" s="35"/>
      <c r="X2437" s="35"/>
      <c r="Y2437" s="35"/>
      <c r="Z2437" s="35"/>
      <c r="AA2437" s="35"/>
      <c r="AB2437" s="35"/>
      <c r="AC2437" s="35"/>
      <c r="AD2437" s="35"/>
      <c r="AE2437" s="35"/>
      <c r="AF2437" s="35"/>
      <c r="AG2437" s="35"/>
      <c r="AH2437" s="35"/>
      <c r="AI2437" s="35"/>
      <c r="AJ2437" s="35"/>
      <c r="AK2437" s="35"/>
      <c r="AL2437" s="35"/>
      <c r="AM2437" s="35"/>
      <c r="AN2437" s="35"/>
      <c r="AO2437" s="35"/>
      <c r="AP2437" s="35"/>
    </row>
    <row r="2438" spans="1:42" ht="17.25" customHeight="1" x14ac:dyDescent="0.25">
      <c r="A2438" s="55">
        <v>2025</v>
      </c>
      <c r="B2438" s="56" t="s">
        <v>66</v>
      </c>
      <c r="C2438" s="56" t="s">
        <v>17</v>
      </c>
      <c r="D2438" s="56" t="s">
        <v>16</v>
      </c>
      <c r="E2438" s="56" t="s">
        <v>67</v>
      </c>
      <c r="F2438" s="56" t="s">
        <v>67</v>
      </c>
      <c r="G2438" s="57">
        <v>895090845</v>
      </c>
      <c r="H2438" s="56" t="s">
        <v>68</v>
      </c>
      <c r="I2438" s="58" t="str">
        <f t="shared" si="137"/>
        <v>Bulgaria-Offline</v>
      </c>
      <c r="J2438" s="40"/>
      <c r="K2438" s="59"/>
      <c r="L2438" s="35"/>
      <c r="M2438" s="35"/>
      <c r="N2438" s="35"/>
      <c r="O2438" s="35"/>
      <c r="P2438" s="35"/>
      <c r="Q2438" s="35"/>
      <c r="R2438" s="35"/>
      <c r="S2438" s="35"/>
      <c r="T2438" s="35"/>
      <c r="U2438" s="35"/>
      <c r="V2438" s="35"/>
      <c r="W2438" s="35"/>
      <c r="X2438" s="35"/>
      <c r="Y2438" s="35"/>
      <c r="Z2438" s="35"/>
      <c r="AA2438" s="35"/>
      <c r="AB2438" s="35"/>
      <c r="AC2438" s="35"/>
      <c r="AD2438" s="35"/>
      <c r="AE2438" s="35"/>
      <c r="AF2438" s="35"/>
      <c r="AG2438" s="35"/>
      <c r="AH2438" s="35"/>
      <c r="AI2438" s="35"/>
      <c r="AJ2438" s="35"/>
      <c r="AK2438" s="35"/>
      <c r="AL2438" s="35"/>
      <c r="AM2438" s="35"/>
      <c r="AN2438" s="35"/>
      <c r="AO2438" s="35"/>
      <c r="AP2438" s="35"/>
    </row>
    <row r="2439" spans="1:42" ht="17.25" customHeight="1" x14ac:dyDescent="0.25">
      <c r="A2439" s="60">
        <v>2025</v>
      </c>
      <c r="B2439" s="61" t="s">
        <v>66</v>
      </c>
      <c r="C2439" s="61" t="s">
        <v>17</v>
      </c>
      <c r="D2439" s="61" t="s">
        <v>16</v>
      </c>
      <c r="E2439" s="61" t="s">
        <v>69</v>
      </c>
      <c r="F2439" s="61" t="s">
        <v>70</v>
      </c>
      <c r="G2439" s="62">
        <v>294117482</v>
      </c>
      <c r="H2439" s="61" t="s">
        <v>68</v>
      </c>
      <c r="I2439" s="63" t="str">
        <f t="shared" si="137"/>
        <v>Bulgaria-Online Supplier-Direct</v>
      </c>
      <c r="J2439" s="47"/>
      <c r="K2439" s="54"/>
      <c r="L2439" s="35"/>
      <c r="M2439" s="35"/>
      <c r="N2439" s="35"/>
      <c r="O2439" s="35"/>
      <c r="P2439" s="35"/>
      <c r="Q2439" s="35"/>
      <c r="R2439" s="35"/>
      <c r="S2439" s="35"/>
      <c r="T2439" s="35"/>
      <c r="U2439" s="35"/>
      <c r="V2439" s="35"/>
      <c r="W2439" s="35"/>
      <c r="X2439" s="35"/>
      <c r="Y2439" s="35"/>
      <c r="Z2439" s="35"/>
      <c r="AA2439" s="35"/>
      <c r="AB2439" s="35"/>
      <c r="AC2439" s="35"/>
      <c r="AD2439" s="35"/>
      <c r="AE2439" s="35"/>
      <c r="AF2439" s="35"/>
      <c r="AG2439" s="35"/>
      <c r="AH2439" s="35"/>
      <c r="AI2439" s="35"/>
      <c r="AJ2439" s="35"/>
      <c r="AK2439" s="35"/>
      <c r="AL2439" s="35"/>
      <c r="AM2439" s="35"/>
      <c r="AN2439" s="35"/>
      <c r="AO2439" s="35"/>
      <c r="AP2439" s="35"/>
    </row>
    <row r="2440" spans="1:42" ht="17.25" customHeight="1" x14ac:dyDescent="0.25">
      <c r="A2440" s="55">
        <v>2025</v>
      </c>
      <c r="B2440" s="56" t="s">
        <v>66</v>
      </c>
      <c r="C2440" s="56" t="s">
        <v>17</v>
      </c>
      <c r="D2440" s="56" t="s">
        <v>16</v>
      </c>
      <c r="E2440" s="56" t="s">
        <v>69</v>
      </c>
      <c r="F2440" s="56" t="s">
        <v>71</v>
      </c>
      <c r="G2440" s="57">
        <v>713748437</v>
      </c>
      <c r="H2440" s="56" t="s">
        <v>68</v>
      </c>
      <c r="I2440" s="58" t="str">
        <f t="shared" si="137"/>
        <v>Bulgaria-OTA</v>
      </c>
      <c r="J2440" s="40"/>
      <c r="K2440" s="59"/>
      <c r="L2440" s="35"/>
      <c r="M2440" s="35"/>
      <c r="N2440" s="35"/>
      <c r="O2440" s="35"/>
      <c r="P2440" s="35"/>
      <c r="Q2440" s="35"/>
      <c r="R2440" s="35"/>
      <c r="S2440" s="35"/>
      <c r="T2440" s="35"/>
      <c r="U2440" s="35"/>
      <c r="V2440" s="35"/>
      <c r="W2440" s="35"/>
      <c r="X2440" s="35"/>
      <c r="Y2440" s="35"/>
      <c r="Z2440" s="35"/>
      <c r="AA2440" s="35"/>
      <c r="AB2440" s="35"/>
      <c r="AC2440" s="35"/>
      <c r="AD2440" s="35"/>
      <c r="AE2440" s="35"/>
      <c r="AF2440" s="35"/>
      <c r="AG2440" s="35"/>
      <c r="AH2440" s="35"/>
      <c r="AI2440" s="35"/>
      <c r="AJ2440" s="35"/>
      <c r="AK2440" s="35"/>
      <c r="AL2440" s="35"/>
      <c r="AM2440" s="35"/>
      <c r="AN2440" s="35"/>
      <c r="AO2440" s="35"/>
      <c r="AP2440" s="35"/>
    </row>
    <row r="2441" spans="1:42" ht="17.25" customHeight="1" x14ac:dyDescent="0.25">
      <c r="A2441" s="60">
        <v>2025</v>
      </c>
      <c r="B2441" s="61" t="s">
        <v>66</v>
      </c>
      <c r="C2441" s="61" t="s">
        <v>47</v>
      </c>
      <c r="D2441" s="61" t="s">
        <v>46</v>
      </c>
      <c r="E2441" s="61" t="s">
        <v>72</v>
      </c>
      <c r="F2441" s="61" t="s">
        <v>73</v>
      </c>
      <c r="G2441" s="62">
        <v>8561648654</v>
      </c>
      <c r="H2441" s="61" t="s">
        <v>68</v>
      </c>
      <c r="I2441" s="63" t="str">
        <f t="shared" si="137"/>
        <v>Canada-Central Reservation</v>
      </c>
      <c r="J2441" s="47"/>
      <c r="K2441" s="54"/>
      <c r="L2441" s="35"/>
      <c r="M2441" s="35"/>
      <c r="N2441" s="35"/>
      <c r="O2441" s="35"/>
      <c r="P2441" s="35"/>
      <c r="Q2441" s="35"/>
      <c r="R2441" s="35"/>
      <c r="S2441" s="35"/>
      <c r="T2441" s="35"/>
      <c r="U2441" s="35"/>
      <c r="V2441" s="35"/>
      <c r="W2441" s="35"/>
      <c r="X2441" s="35"/>
      <c r="Y2441" s="35"/>
      <c r="Z2441" s="35"/>
      <c r="AA2441" s="35"/>
      <c r="AB2441" s="35"/>
      <c r="AC2441" s="35"/>
      <c r="AD2441" s="35"/>
      <c r="AE2441" s="35"/>
      <c r="AF2441" s="35"/>
      <c r="AG2441" s="35"/>
      <c r="AH2441" s="35"/>
      <c r="AI2441" s="35"/>
      <c r="AJ2441" s="35"/>
      <c r="AK2441" s="35"/>
      <c r="AL2441" s="35"/>
      <c r="AM2441" s="35"/>
      <c r="AN2441" s="35"/>
      <c r="AO2441" s="35"/>
      <c r="AP2441" s="35"/>
    </row>
    <row r="2442" spans="1:42" ht="17.25" customHeight="1" x14ac:dyDescent="0.25">
      <c r="A2442" s="55">
        <v>2025</v>
      </c>
      <c r="B2442" s="56" t="s">
        <v>66</v>
      </c>
      <c r="C2442" s="56" t="s">
        <v>47</v>
      </c>
      <c r="D2442" s="56" t="s">
        <v>46</v>
      </c>
      <c r="E2442" s="56" t="s">
        <v>67</v>
      </c>
      <c r="F2442" s="56" t="s">
        <v>74</v>
      </c>
      <c r="G2442" s="57">
        <v>7684058746</v>
      </c>
      <c r="H2442" s="56" t="s">
        <v>68</v>
      </c>
      <c r="I2442" s="58" t="str">
        <f t="shared" si="137"/>
        <v>Canada-Travel Agency/TMC</v>
      </c>
      <c r="J2442" s="40"/>
      <c r="K2442" s="59"/>
      <c r="L2442" s="35"/>
      <c r="M2442" s="35"/>
      <c r="N2442" s="35"/>
      <c r="O2442" s="35"/>
      <c r="P2442" s="35"/>
      <c r="Q2442" s="35"/>
      <c r="R2442" s="35"/>
      <c r="S2442" s="35"/>
      <c r="T2442" s="35"/>
      <c r="U2442" s="35"/>
      <c r="V2442" s="35"/>
      <c r="W2442" s="35"/>
      <c r="X2442" s="35"/>
      <c r="Y2442" s="35"/>
      <c r="Z2442" s="35"/>
      <c r="AA2442" s="35"/>
      <c r="AB2442" s="35"/>
      <c r="AC2442" s="35"/>
      <c r="AD2442" s="35"/>
      <c r="AE2442" s="35"/>
      <c r="AF2442" s="35"/>
      <c r="AG2442" s="35"/>
      <c r="AH2442" s="35"/>
      <c r="AI2442" s="35"/>
      <c r="AJ2442" s="35"/>
      <c r="AK2442" s="35"/>
      <c r="AL2442" s="35"/>
      <c r="AM2442" s="35"/>
      <c r="AN2442" s="35"/>
      <c r="AO2442" s="35"/>
      <c r="AP2442" s="35"/>
    </row>
    <row r="2443" spans="1:42" ht="17.25" customHeight="1" x14ac:dyDescent="0.25">
      <c r="A2443" s="60">
        <v>2025</v>
      </c>
      <c r="B2443" s="61" t="s">
        <v>66</v>
      </c>
      <c r="C2443" s="61" t="s">
        <v>47</v>
      </c>
      <c r="D2443" s="61" t="s">
        <v>46</v>
      </c>
      <c r="E2443" s="61" t="s">
        <v>69</v>
      </c>
      <c r="F2443" s="61" t="s">
        <v>70</v>
      </c>
      <c r="G2443" s="62">
        <v>15801284022</v>
      </c>
      <c r="H2443" s="61" t="s">
        <v>68</v>
      </c>
      <c r="I2443" s="63" t="str">
        <f t="shared" si="137"/>
        <v>Canada-Online Supplier-Direct</v>
      </c>
      <c r="J2443" s="47"/>
      <c r="K2443" s="54"/>
      <c r="L2443" s="35"/>
      <c r="M2443" s="35"/>
      <c r="N2443" s="35"/>
      <c r="O2443" s="35"/>
      <c r="P2443" s="35"/>
      <c r="Q2443" s="35"/>
      <c r="R2443" s="35"/>
      <c r="S2443" s="35"/>
      <c r="T2443" s="35"/>
      <c r="U2443" s="35"/>
      <c r="V2443" s="35"/>
      <c r="W2443" s="35"/>
      <c r="X2443" s="35"/>
      <c r="Y2443" s="35"/>
      <c r="Z2443" s="35"/>
      <c r="AA2443" s="35"/>
      <c r="AB2443" s="35"/>
      <c r="AC2443" s="35"/>
      <c r="AD2443" s="35"/>
      <c r="AE2443" s="35"/>
      <c r="AF2443" s="35"/>
      <c r="AG2443" s="35"/>
      <c r="AH2443" s="35"/>
      <c r="AI2443" s="35"/>
      <c r="AJ2443" s="35"/>
      <c r="AK2443" s="35"/>
      <c r="AL2443" s="35"/>
      <c r="AM2443" s="35"/>
      <c r="AN2443" s="35"/>
      <c r="AO2443" s="35"/>
      <c r="AP2443" s="35"/>
    </row>
    <row r="2444" spans="1:42" ht="17.25" customHeight="1" x14ac:dyDescent="0.25">
      <c r="A2444" s="55">
        <v>2025</v>
      </c>
      <c r="B2444" s="56" t="s">
        <v>66</v>
      </c>
      <c r="C2444" s="56" t="s">
        <v>47</v>
      </c>
      <c r="D2444" s="56" t="s">
        <v>46</v>
      </c>
      <c r="E2444" s="56" t="s">
        <v>69</v>
      </c>
      <c r="F2444" s="56" t="s">
        <v>71</v>
      </c>
      <c r="G2444" s="57">
        <v>10688304504</v>
      </c>
      <c r="H2444" s="56" t="s">
        <v>68</v>
      </c>
      <c r="I2444" s="58" t="str">
        <f t="shared" si="137"/>
        <v>Canada-OTA</v>
      </c>
      <c r="J2444" s="40"/>
      <c r="K2444" s="59"/>
      <c r="L2444" s="35"/>
      <c r="M2444" s="35"/>
      <c r="N2444" s="35"/>
      <c r="O2444" s="35"/>
      <c r="P2444" s="35"/>
      <c r="Q2444" s="35"/>
      <c r="R2444" s="35"/>
      <c r="S2444" s="35"/>
      <c r="T2444" s="35"/>
      <c r="U2444" s="35"/>
      <c r="V2444" s="35"/>
      <c r="W2444" s="35"/>
      <c r="X2444" s="35"/>
      <c r="Y2444" s="35"/>
      <c r="Z2444" s="35"/>
      <c r="AA2444" s="35"/>
      <c r="AB2444" s="35"/>
      <c r="AC2444" s="35"/>
      <c r="AD2444" s="35"/>
      <c r="AE2444" s="35"/>
      <c r="AF2444" s="35"/>
      <c r="AG2444" s="35"/>
      <c r="AH2444" s="35"/>
      <c r="AI2444" s="35"/>
      <c r="AJ2444" s="35"/>
      <c r="AK2444" s="35"/>
      <c r="AL2444" s="35"/>
      <c r="AM2444" s="35"/>
      <c r="AN2444" s="35"/>
      <c r="AO2444" s="35"/>
      <c r="AP2444" s="35"/>
    </row>
    <row r="2445" spans="1:42" ht="17.25" customHeight="1" x14ac:dyDescent="0.25">
      <c r="A2445" s="60">
        <v>2025</v>
      </c>
      <c r="B2445" s="61" t="s">
        <v>66</v>
      </c>
      <c r="C2445" s="61" t="s">
        <v>35</v>
      </c>
      <c r="D2445" s="61" t="s">
        <v>37</v>
      </c>
      <c r="E2445" s="61" t="s">
        <v>67</v>
      </c>
      <c r="F2445" s="61" t="s">
        <v>67</v>
      </c>
      <c r="G2445" s="62">
        <v>2054715639</v>
      </c>
      <c r="H2445" s="61" t="s">
        <v>68</v>
      </c>
      <c r="I2445" s="63" t="str">
        <f t="shared" si="137"/>
        <v>Chile-Offline</v>
      </c>
      <c r="J2445" s="47"/>
      <c r="K2445" s="54"/>
      <c r="L2445" s="35"/>
      <c r="M2445" s="35"/>
      <c r="N2445" s="35"/>
      <c r="O2445" s="35"/>
      <c r="P2445" s="35"/>
      <c r="Q2445" s="35"/>
      <c r="R2445" s="35"/>
      <c r="S2445" s="35"/>
      <c r="T2445" s="35"/>
      <c r="U2445" s="35"/>
      <c r="V2445" s="35"/>
      <c r="W2445" s="35"/>
      <c r="X2445" s="35"/>
      <c r="Y2445" s="35"/>
      <c r="Z2445" s="35"/>
      <c r="AA2445" s="35"/>
      <c r="AB2445" s="35"/>
      <c r="AC2445" s="35"/>
      <c r="AD2445" s="35"/>
      <c r="AE2445" s="35"/>
      <c r="AF2445" s="35"/>
      <c r="AG2445" s="35"/>
      <c r="AH2445" s="35"/>
      <c r="AI2445" s="35"/>
      <c r="AJ2445" s="35"/>
      <c r="AK2445" s="35"/>
      <c r="AL2445" s="35"/>
      <c r="AM2445" s="35"/>
      <c r="AN2445" s="35"/>
      <c r="AO2445" s="35"/>
      <c r="AP2445" s="35"/>
    </row>
    <row r="2446" spans="1:42" ht="17.25" customHeight="1" x14ac:dyDescent="0.25">
      <c r="A2446" s="55">
        <v>2025</v>
      </c>
      <c r="B2446" s="56" t="s">
        <v>66</v>
      </c>
      <c r="C2446" s="56" t="s">
        <v>35</v>
      </c>
      <c r="D2446" s="56" t="s">
        <v>37</v>
      </c>
      <c r="E2446" s="56" t="s">
        <v>69</v>
      </c>
      <c r="F2446" s="56" t="s">
        <v>70</v>
      </c>
      <c r="G2446" s="57">
        <v>1397402884</v>
      </c>
      <c r="H2446" s="56" t="s">
        <v>68</v>
      </c>
      <c r="I2446" s="58" t="str">
        <f t="shared" si="137"/>
        <v>Chile-Online Supplier-Direct</v>
      </c>
      <c r="J2446" s="40"/>
      <c r="K2446" s="59"/>
      <c r="L2446" s="35"/>
      <c r="M2446" s="35"/>
      <c r="N2446" s="35"/>
      <c r="O2446" s="35"/>
      <c r="P2446" s="35"/>
      <c r="Q2446" s="35"/>
      <c r="R2446" s="35"/>
      <c r="S2446" s="35"/>
      <c r="T2446" s="35"/>
      <c r="U2446" s="35"/>
      <c r="V2446" s="35"/>
      <c r="W2446" s="35"/>
      <c r="X2446" s="35"/>
      <c r="Y2446" s="35"/>
      <c r="Z2446" s="35"/>
      <c r="AA2446" s="35"/>
      <c r="AB2446" s="35"/>
      <c r="AC2446" s="35"/>
      <c r="AD2446" s="35"/>
      <c r="AE2446" s="35"/>
      <c r="AF2446" s="35"/>
      <c r="AG2446" s="35"/>
      <c r="AH2446" s="35"/>
      <c r="AI2446" s="35"/>
      <c r="AJ2446" s="35"/>
      <c r="AK2446" s="35"/>
      <c r="AL2446" s="35"/>
      <c r="AM2446" s="35"/>
      <c r="AN2446" s="35"/>
      <c r="AO2446" s="35"/>
      <c r="AP2446" s="35"/>
    </row>
    <row r="2447" spans="1:42" ht="17.25" customHeight="1" x14ac:dyDescent="0.25">
      <c r="A2447" s="60">
        <v>2025</v>
      </c>
      <c r="B2447" s="61" t="s">
        <v>66</v>
      </c>
      <c r="C2447" s="61" t="s">
        <v>35</v>
      </c>
      <c r="D2447" s="61" t="s">
        <v>37</v>
      </c>
      <c r="E2447" s="61" t="s">
        <v>69</v>
      </c>
      <c r="F2447" s="61" t="s">
        <v>71</v>
      </c>
      <c r="G2447" s="62">
        <v>1086420759</v>
      </c>
      <c r="H2447" s="61" t="s">
        <v>68</v>
      </c>
      <c r="I2447" s="63" t="str">
        <f t="shared" si="137"/>
        <v>Chile-OTA</v>
      </c>
      <c r="J2447" s="47"/>
      <c r="K2447" s="54"/>
      <c r="L2447" s="35"/>
      <c r="M2447" s="35"/>
      <c r="N2447" s="35"/>
      <c r="O2447" s="35"/>
      <c r="P2447" s="35"/>
      <c r="Q2447" s="35"/>
      <c r="R2447" s="35"/>
      <c r="S2447" s="35"/>
      <c r="T2447" s="35"/>
      <c r="U2447" s="35"/>
      <c r="V2447" s="35"/>
      <c r="W2447" s="35"/>
      <c r="X2447" s="35"/>
      <c r="Y2447" s="35"/>
      <c r="Z2447" s="35"/>
      <c r="AA2447" s="35"/>
      <c r="AB2447" s="35"/>
      <c r="AC2447" s="35"/>
      <c r="AD2447" s="35"/>
      <c r="AE2447" s="35"/>
      <c r="AF2447" s="35"/>
      <c r="AG2447" s="35"/>
      <c r="AH2447" s="35"/>
      <c r="AI2447" s="35"/>
      <c r="AJ2447" s="35"/>
      <c r="AK2447" s="35"/>
      <c r="AL2447" s="35"/>
      <c r="AM2447" s="35"/>
      <c r="AN2447" s="35"/>
      <c r="AO2447" s="35"/>
      <c r="AP2447" s="35"/>
    </row>
    <row r="2448" spans="1:42" ht="17.25" customHeight="1" x14ac:dyDescent="0.25">
      <c r="A2448" s="55">
        <v>2025</v>
      </c>
      <c r="B2448" s="56" t="s">
        <v>66</v>
      </c>
      <c r="C2448" s="56" t="s">
        <v>4</v>
      </c>
      <c r="D2448" s="56" t="s">
        <v>5</v>
      </c>
      <c r="E2448" s="56" t="s">
        <v>67</v>
      </c>
      <c r="F2448" s="56" t="s">
        <v>67</v>
      </c>
      <c r="G2448" s="57">
        <v>46949105760</v>
      </c>
      <c r="H2448" s="56" t="s">
        <v>68</v>
      </c>
      <c r="I2448" s="58" t="str">
        <f t="shared" si="137"/>
        <v>China-Offline</v>
      </c>
      <c r="J2448" s="40"/>
      <c r="K2448" s="59"/>
      <c r="L2448" s="35"/>
      <c r="M2448" s="35"/>
      <c r="N2448" s="35"/>
      <c r="O2448" s="35"/>
      <c r="P2448" s="35"/>
      <c r="Q2448" s="35"/>
      <c r="R2448" s="35"/>
      <c r="S2448" s="35"/>
      <c r="T2448" s="35"/>
      <c r="U2448" s="35"/>
      <c r="V2448" s="35"/>
      <c r="W2448" s="35"/>
      <c r="X2448" s="35"/>
      <c r="Y2448" s="35"/>
      <c r="Z2448" s="35"/>
      <c r="AA2448" s="35"/>
      <c r="AB2448" s="35"/>
      <c r="AC2448" s="35"/>
      <c r="AD2448" s="35"/>
      <c r="AE2448" s="35"/>
      <c r="AF2448" s="35"/>
      <c r="AG2448" s="35"/>
      <c r="AH2448" s="35"/>
      <c r="AI2448" s="35"/>
      <c r="AJ2448" s="35"/>
      <c r="AK2448" s="35"/>
      <c r="AL2448" s="35"/>
      <c r="AM2448" s="35"/>
      <c r="AN2448" s="35"/>
      <c r="AO2448" s="35"/>
      <c r="AP2448" s="35"/>
    </row>
    <row r="2449" spans="1:42" ht="17.25" customHeight="1" x14ac:dyDescent="0.25">
      <c r="A2449" s="60">
        <v>2025</v>
      </c>
      <c r="B2449" s="61" t="s">
        <v>66</v>
      </c>
      <c r="C2449" s="61" t="s">
        <v>4</v>
      </c>
      <c r="D2449" s="61" t="s">
        <v>5</v>
      </c>
      <c r="E2449" s="61" t="s">
        <v>69</v>
      </c>
      <c r="F2449" s="61" t="s">
        <v>70</v>
      </c>
      <c r="G2449" s="62">
        <v>67430523524</v>
      </c>
      <c r="H2449" s="61" t="s">
        <v>68</v>
      </c>
      <c r="I2449" s="63" t="str">
        <f t="shared" si="137"/>
        <v>China-Online Supplier-Direct</v>
      </c>
      <c r="J2449" s="47"/>
      <c r="K2449" s="54"/>
      <c r="L2449" s="35"/>
      <c r="M2449" s="35"/>
      <c r="N2449" s="35"/>
      <c r="O2449" s="35"/>
      <c r="P2449" s="35"/>
      <c r="Q2449" s="35"/>
      <c r="R2449" s="35"/>
      <c r="S2449" s="35"/>
      <c r="T2449" s="35"/>
      <c r="U2449" s="35"/>
      <c r="V2449" s="35"/>
      <c r="W2449" s="35"/>
      <c r="X2449" s="35"/>
      <c r="Y2449" s="35"/>
      <c r="Z2449" s="35"/>
      <c r="AA2449" s="35"/>
      <c r="AB2449" s="35"/>
      <c r="AC2449" s="35"/>
      <c r="AD2449" s="35"/>
      <c r="AE2449" s="35"/>
      <c r="AF2449" s="35"/>
      <c r="AG2449" s="35"/>
      <c r="AH2449" s="35"/>
      <c r="AI2449" s="35"/>
      <c r="AJ2449" s="35"/>
      <c r="AK2449" s="35"/>
      <c r="AL2449" s="35"/>
      <c r="AM2449" s="35"/>
      <c r="AN2449" s="35"/>
      <c r="AO2449" s="35"/>
      <c r="AP2449" s="35"/>
    </row>
    <row r="2450" spans="1:42" ht="17.25" customHeight="1" x14ac:dyDescent="0.25">
      <c r="A2450" s="55">
        <v>2025</v>
      </c>
      <c r="B2450" s="56" t="s">
        <v>66</v>
      </c>
      <c r="C2450" s="56" t="s">
        <v>4</v>
      </c>
      <c r="D2450" s="56" t="s">
        <v>5</v>
      </c>
      <c r="E2450" s="56" t="s">
        <v>69</v>
      </c>
      <c r="F2450" s="56" t="s">
        <v>71</v>
      </c>
      <c r="G2450" s="57">
        <v>71711531150</v>
      </c>
      <c r="H2450" s="56" t="s">
        <v>68</v>
      </c>
      <c r="I2450" s="58" t="str">
        <f t="shared" si="137"/>
        <v>China-OTA</v>
      </c>
      <c r="J2450" s="40"/>
      <c r="K2450" s="59"/>
      <c r="L2450" s="35"/>
      <c r="M2450" s="35"/>
      <c r="N2450" s="35"/>
      <c r="O2450" s="35"/>
      <c r="P2450" s="35"/>
      <c r="Q2450" s="35"/>
      <c r="R2450" s="35"/>
      <c r="S2450" s="35"/>
      <c r="T2450" s="35"/>
      <c r="U2450" s="35"/>
      <c r="V2450" s="35"/>
      <c r="W2450" s="35"/>
      <c r="X2450" s="35"/>
      <c r="Y2450" s="35"/>
      <c r="Z2450" s="35"/>
      <c r="AA2450" s="35"/>
      <c r="AB2450" s="35"/>
      <c r="AC2450" s="35"/>
      <c r="AD2450" s="35"/>
      <c r="AE2450" s="35"/>
      <c r="AF2450" s="35"/>
      <c r="AG2450" s="35"/>
      <c r="AH2450" s="35"/>
      <c r="AI2450" s="35"/>
      <c r="AJ2450" s="35"/>
      <c r="AK2450" s="35"/>
      <c r="AL2450" s="35"/>
      <c r="AM2450" s="35"/>
      <c r="AN2450" s="35"/>
      <c r="AO2450" s="35"/>
      <c r="AP2450" s="35"/>
    </row>
    <row r="2451" spans="1:42" ht="17.25" customHeight="1" x14ac:dyDescent="0.25">
      <c r="A2451" s="60">
        <v>2025</v>
      </c>
      <c r="B2451" s="61" t="s">
        <v>66</v>
      </c>
      <c r="C2451" s="61" t="s">
        <v>35</v>
      </c>
      <c r="D2451" s="61" t="s">
        <v>38</v>
      </c>
      <c r="E2451" s="61" t="s">
        <v>67</v>
      </c>
      <c r="F2451" s="61" t="s">
        <v>67</v>
      </c>
      <c r="G2451" s="62">
        <v>3261338653</v>
      </c>
      <c r="H2451" s="61" t="s">
        <v>68</v>
      </c>
      <c r="I2451" s="63" t="str">
        <f t="shared" si="137"/>
        <v>Colombia-Offline</v>
      </c>
      <c r="J2451" s="47"/>
      <c r="K2451" s="54"/>
      <c r="L2451" s="35"/>
      <c r="M2451" s="35"/>
      <c r="N2451" s="35"/>
      <c r="O2451" s="35"/>
      <c r="P2451" s="35"/>
      <c r="Q2451" s="35"/>
      <c r="R2451" s="35"/>
      <c r="S2451" s="35"/>
      <c r="T2451" s="35"/>
      <c r="U2451" s="35"/>
      <c r="V2451" s="35"/>
      <c r="W2451" s="35"/>
      <c r="X2451" s="35"/>
      <c r="Y2451" s="35"/>
      <c r="Z2451" s="35"/>
      <c r="AA2451" s="35"/>
      <c r="AB2451" s="35"/>
      <c r="AC2451" s="35"/>
      <c r="AD2451" s="35"/>
      <c r="AE2451" s="35"/>
      <c r="AF2451" s="35"/>
      <c r="AG2451" s="35"/>
      <c r="AH2451" s="35"/>
      <c r="AI2451" s="35"/>
      <c r="AJ2451" s="35"/>
      <c r="AK2451" s="35"/>
      <c r="AL2451" s="35"/>
      <c r="AM2451" s="35"/>
      <c r="AN2451" s="35"/>
      <c r="AO2451" s="35"/>
      <c r="AP2451" s="35"/>
    </row>
    <row r="2452" spans="1:42" ht="17.25" customHeight="1" x14ac:dyDescent="0.25">
      <c r="A2452" s="55">
        <v>2025</v>
      </c>
      <c r="B2452" s="56" t="s">
        <v>66</v>
      </c>
      <c r="C2452" s="56" t="s">
        <v>35</v>
      </c>
      <c r="D2452" s="56" t="s">
        <v>38</v>
      </c>
      <c r="E2452" s="56" t="s">
        <v>69</v>
      </c>
      <c r="F2452" s="56" t="s">
        <v>70</v>
      </c>
      <c r="G2452" s="57">
        <v>1774928873</v>
      </c>
      <c r="H2452" s="56" t="s">
        <v>68</v>
      </c>
      <c r="I2452" s="58" t="str">
        <f t="shared" si="137"/>
        <v>Colombia-Online Supplier-Direct</v>
      </c>
      <c r="J2452" s="40"/>
      <c r="K2452" s="59"/>
      <c r="L2452" s="35"/>
      <c r="M2452" s="35"/>
      <c r="N2452" s="35"/>
      <c r="O2452" s="35"/>
      <c r="P2452" s="35"/>
      <c r="Q2452" s="35"/>
      <c r="R2452" s="35"/>
      <c r="S2452" s="35"/>
      <c r="T2452" s="35"/>
      <c r="U2452" s="35"/>
      <c r="V2452" s="35"/>
      <c r="W2452" s="35"/>
      <c r="X2452" s="35"/>
      <c r="Y2452" s="35"/>
      <c r="Z2452" s="35"/>
      <c r="AA2452" s="35"/>
      <c r="AB2452" s="35"/>
      <c r="AC2452" s="35"/>
      <c r="AD2452" s="35"/>
      <c r="AE2452" s="35"/>
      <c r="AF2452" s="35"/>
      <c r="AG2452" s="35"/>
      <c r="AH2452" s="35"/>
      <c r="AI2452" s="35"/>
      <c r="AJ2452" s="35"/>
      <c r="AK2452" s="35"/>
      <c r="AL2452" s="35"/>
      <c r="AM2452" s="35"/>
      <c r="AN2452" s="35"/>
      <c r="AO2452" s="35"/>
      <c r="AP2452" s="35"/>
    </row>
    <row r="2453" spans="1:42" ht="17.25" customHeight="1" x14ac:dyDescent="0.25">
      <c r="A2453" s="60">
        <v>2025</v>
      </c>
      <c r="B2453" s="61" t="s">
        <v>66</v>
      </c>
      <c r="C2453" s="61" t="s">
        <v>35</v>
      </c>
      <c r="D2453" s="61" t="s">
        <v>38</v>
      </c>
      <c r="E2453" s="61" t="s">
        <v>69</v>
      </c>
      <c r="F2453" s="61" t="s">
        <v>71</v>
      </c>
      <c r="G2453" s="62">
        <v>1490482449</v>
      </c>
      <c r="H2453" s="61" t="s">
        <v>68</v>
      </c>
      <c r="I2453" s="63" t="str">
        <f t="shared" si="137"/>
        <v>Colombia-OTA</v>
      </c>
      <c r="J2453" s="47"/>
      <c r="K2453" s="54"/>
      <c r="L2453" s="35"/>
      <c r="M2453" s="35"/>
      <c r="N2453" s="35"/>
      <c r="O2453" s="35"/>
      <c r="P2453" s="35"/>
      <c r="Q2453" s="35"/>
      <c r="R2453" s="35"/>
      <c r="S2453" s="35"/>
      <c r="T2453" s="35"/>
      <c r="U2453" s="35"/>
      <c r="V2453" s="35"/>
      <c r="W2453" s="35"/>
      <c r="X2453" s="35"/>
      <c r="Y2453" s="35"/>
      <c r="Z2453" s="35"/>
      <c r="AA2453" s="35"/>
      <c r="AB2453" s="35"/>
      <c r="AC2453" s="35"/>
      <c r="AD2453" s="35"/>
      <c r="AE2453" s="35"/>
      <c r="AF2453" s="35"/>
      <c r="AG2453" s="35"/>
      <c r="AH2453" s="35"/>
      <c r="AI2453" s="35"/>
      <c r="AJ2453" s="35"/>
      <c r="AK2453" s="35"/>
      <c r="AL2453" s="35"/>
      <c r="AM2453" s="35"/>
      <c r="AN2453" s="35"/>
      <c r="AO2453" s="35"/>
      <c r="AP2453" s="35"/>
    </row>
    <row r="2454" spans="1:42" ht="17.25" customHeight="1" x14ac:dyDescent="0.25">
      <c r="A2454" s="55">
        <v>2025</v>
      </c>
      <c r="B2454" s="56" t="s">
        <v>66</v>
      </c>
      <c r="C2454" s="56" t="s">
        <v>17</v>
      </c>
      <c r="D2454" s="56" t="s">
        <v>18</v>
      </c>
      <c r="E2454" s="56" t="s">
        <v>67</v>
      </c>
      <c r="F2454" s="56" t="s">
        <v>67</v>
      </c>
      <c r="G2454" s="57">
        <v>1601900668</v>
      </c>
      <c r="H2454" s="56" t="s">
        <v>68</v>
      </c>
      <c r="I2454" s="58" t="str">
        <f t="shared" si="137"/>
        <v>Czech Republic-Offline</v>
      </c>
      <c r="J2454" s="40"/>
      <c r="K2454" s="59"/>
      <c r="L2454" s="35"/>
      <c r="M2454" s="35"/>
      <c r="N2454" s="35"/>
      <c r="O2454" s="35"/>
      <c r="P2454" s="35"/>
      <c r="Q2454" s="35"/>
      <c r="R2454" s="35"/>
      <c r="S2454" s="35"/>
      <c r="T2454" s="35"/>
      <c r="U2454" s="35"/>
      <c r="V2454" s="35"/>
      <c r="W2454" s="35"/>
      <c r="X2454" s="35"/>
      <c r="Y2454" s="35"/>
      <c r="Z2454" s="35"/>
      <c r="AA2454" s="35"/>
      <c r="AB2454" s="35"/>
      <c r="AC2454" s="35"/>
      <c r="AD2454" s="35"/>
      <c r="AE2454" s="35"/>
      <c r="AF2454" s="35"/>
      <c r="AG2454" s="35"/>
      <c r="AH2454" s="35"/>
      <c r="AI2454" s="35"/>
      <c r="AJ2454" s="35"/>
      <c r="AK2454" s="35"/>
      <c r="AL2454" s="35"/>
      <c r="AM2454" s="35"/>
      <c r="AN2454" s="35"/>
      <c r="AO2454" s="35"/>
      <c r="AP2454" s="35"/>
    </row>
    <row r="2455" spans="1:42" ht="17.25" customHeight="1" x14ac:dyDescent="0.25">
      <c r="A2455" s="60">
        <v>2025</v>
      </c>
      <c r="B2455" s="61" t="s">
        <v>66</v>
      </c>
      <c r="C2455" s="61" t="s">
        <v>17</v>
      </c>
      <c r="D2455" s="61" t="s">
        <v>18</v>
      </c>
      <c r="E2455" s="61" t="s">
        <v>69</v>
      </c>
      <c r="F2455" s="61" t="s">
        <v>70</v>
      </c>
      <c r="G2455" s="62">
        <v>1979917025</v>
      </c>
      <c r="H2455" s="61" t="s">
        <v>68</v>
      </c>
      <c r="I2455" s="63" t="str">
        <f t="shared" si="137"/>
        <v>Czech Republic-Online Supplier-Direct</v>
      </c>
      <c r="J2455" s="47"/>
      <c r="K2455" s="54"/>
      <c r="L2455" s="35"/>
      <c r="M2455" s="35"/>
      <c r="N2455" s="35"/>
      <c r="O2455" s="35"/>
      <c r="P2455" s="35"/>
      <c r="Q2455" s="35"/>
      <c r="R2455" s="35"/>
      <c r="S2455" s="35"/>
      <c r="T2455" s="35"/>
      <c r="U2455" s="35"/>
      <c r="V2455" s="35"/>
      <c r="W2455" s="35"/>
      <c r="X2455" s="35"/>
      <c r="Y2455" s="35"/>
      <c r="Z2455" s="35"/>
      <c r="AA2455" s="35"/>
      <c r="AB2455" s="35"/>
      <c r="AC2455" s="35"/>
      <c r="AD2455" s="35"/>
      <c r="AE2455" s="35"/>
      <c r="AF2455" s="35"/>
      <c r="AG2455" s="35"/>
      <c r="AH2455" s="35"/>
      <c r="AI2455" s="35"/>
      <c r="AJ2455" s="35"/>
      <c r="AK2455" s="35"/>
      <c r="AL2455" s="35"/>
      <c r="AM2455" s="35"/>
      <c r="AN2455" s="35"/>
      <c r="AO2455" s="35"/>
      <c r="AP2455" s="35"/>
    </row>
    <row r="2456" spans="1:42" ht="17.25" customHeight="1" x14ac:dyDescent="0.25">
      <c r="A2456" s="55">
        <v>2025</v>
      </c>
      <c r="B2456" s="56" t="s">
        <v>66</v>
      </c>
      <c r="C2456" s="56" t="s">
        <v>17</v>
      </c>
      <c r="D2456" s="56" t="s">
        <v>18</v>
      </c>
      <c r="E2456" s="56" t="s">
        <v>69</v>
      </c>
      <c r="F2456" s="56" t="s">
        <v>71</v>
      </c>
      <c r="G2456" s="57">
        <v>1443424657</v>
      </c>
      <c r="H2456" s="56" t="s">
        <v>68</v>
      </c>
      <c r="I2456" s="58" t="str">
        <f t="shared" si="137"/>
        <v>Czech Republic-OTA</v>
      </c>
      <c r="J2456" s="40"/>
      <c r="K2456" s="59"/>
      <c r="L2456" s="35"/>
      <c r="M2456" s="35"/>
      <c r="N2456" s="35"/>
      <c r="O2456" s="35"/>
      <c r="P2456" s="35"/>
      <c r="Q2456" s="35"/>
      <c r="R2456" s="35"/>
      <c r="S2456" s="35"/>
      <c r="T2456" s="35"/>
      <c r="U2456" s="35"/>
      <c r="V2456" s="35"/>
      <c r="W2456" s="35"/>
      <c r="X2456" s="35"/>
      <c r="Y2456" s="35"/>
      <c r="Z2456" s="35"/>
      <c r="AA2456" s="35"/>
      <c r="AB2456" s="35"/>
      <c r="AC2456" s="35"/>
      <c r="AD2456" s="35"/>
      <c r="AE2456" s="35"/>
      <c r="AF2456" s="35"/>
      <c r="AG2456" s="35"/>
      <c r="AH2456" s="35"/>
      <c r="AI2456" s="35"/>
      <c r="AJ2456" s="35"/>
      <c r="AK2456" s="35"/>
      <c r="AL2456" s="35"/>
      <c r="AM2456" s="35"/>
      <c r="AN2456" s="35"/>
      <c r="AO2456" s="35"/>
      <c r="AP2456" s="35"/>
    </row>
    <row r="2457" spans="1:42" ht="17.25" customHeight="1" x14ac:dyDescent="0.25">
      <c r="A2457" s="60">
        <v>2025</v>
      </c>
      <c r="B2457" s="61" t="s">
        <v>66</v>
      </c>
      <c r="C2457" s="61" t="s">
        <v>41</v>
      </c>
      <c r="D2457" s="61" t="s">
        <v>40</v>
      </c>
      <c r="E2457" s="61" t="s">
        <v>67</v>
      </c>
      <c r="F2457" s="61" t="s">
        <v>67</v>
      </c>
      <c r="G2457" s="62">
        <v>1621598031</v>
      </c>
      <c r="H2457" s="61" t="s">
        <v>68</v>
      </c>
      <c r="I2457" s="63" t="str">
        <f t="shared" si="137"/>
        <v>Egypt-Offline</v>
      </c>
      <c r="J2457" s="47"/>
      <c r="K2457" s="54"/>
      <c r="L2457" s="35"/>
      <c r="M2457" s="35"/>
      <c r="N2457" s="35"/>
      <c r="O2457" s="35"/>
      <c r="P2457" s="35"/>
      <c r="Q2457" s="35"/>
      <c r="R2457" s="35"/>
      <c r="S2457" s="35"/>
      <c r="T2457" s="35"/>
      <c r="U2457" s="35"/>
      <c r="V2457" s="35"/>
      <c r="W2457" s="35"/>
      <c r="X2457" s="35"/>
      <c r="Y2457" s="35"/>
      <c r="Z2457" s="35"/>
      <c r="AA2457" s="35"/>
      <c r="AB2457" s="35"/>
      <c r="AC2457" s="35"/>
      <c r="AD2457" s="35"/>
      <c r="AE2457" s="35"/>
      <c r="AF2457" s="35"/>
      <c r="AG2457" s="35"/>
      <c r="AH2457" s="35"/>
      <c r="AI2457" s="35"/>
      <c r="AJ2457" s="35"/>
      <c r="AK2457" s="35"/>
      <c r="AL2457" s="35"/>
      <c r="AM2457" s="35"/>
      <c r="AN2457" s="35"/>
      <c r="AO2457" s="35"/>
      <c r="AP2457" s="35"/>
    </row>
    <row r="2458" spans="1:42" ht="17.25" customHeight="1" x14ac:dyDescent="0.25">
      <c r="A2458" s="55">
        <v>2025</v>
      </c>
      <c r="B2458" s="56" t="s">
        <v>66</v>
      </c>
      <c r="C2458" s="56" t="s">
        <v>41</v>
      </c>
      <c r="D2458" s="56" t="s">
        <v>40</v>
      </c>
      <c r="E2458" s="56" t="s">
        <v>69</v>
      </c>
      <c r="F2458" s="56" t="s">
        <v>70</v>
      </c>
      <c r="G2458" s="57">
        <v>535702848</v>
      </c>
      <c r="H2458" s="56" t="s">
        <v>68</v>
      </c>
      <c r="I2458" s="58" t="str">
        <f t="shared" si="137"/>
        <v>Egypt-Online Supplier-Direct</v>
      </c>
      <c r="J2458" s="40"/>
      <c r="K2458" s="59"/>
      <c r="L2458" s="35"/>
      <c r="M2458" s="35"/>
      <c r="N2458" s="35"/>
      <c r="O2458" s="35"/>
      <c r="P2458" s="35"/>
      <c r="Q2458" s="35"/>
      <c r="R2458" s="35"/>
      <c r="S2458" s="35"/>
      <c r="T2458" s="35"/>
      <c r="U2458" s="35"/>
      <c r="V2458" s="35"/>
      <c r="W2458" s="35"/>
      <c r="X2458" s="35"/>
      <c r="Y2458" s="35"/>
      <c r="Z2458" s="35"/>
      <c r="AA2458" s="35"/>
      <c r="AB2458" s="35"/>
      <c r="AC2458" s="35"/>
      <c r="AD2458" s="35"/>
      <c r="AE2458" s="35"/>
      <c r="AF2458" s="35"/>
      <c r="AG2458" s="35"/>
      <c r="AH2458" s="35"/>
      <c r="AI2458" s="35"/>
      <c r="AJ2458" s="35"/>
      <c r="AK2458" s="35"/>
      <c r="AL2458" s="35"/>
      <c r="AM2458" s="35"/>
      <c r="AN2458" s="35"/>
      <c r="AO2458" s="35"/>
      <c r="AP2458" s="35"/>
    </row>
    <row r="2459" spans="1:42" ht="17.25" customHeight="1" x14ac:dyDescent="0.25">
      <c r="A2459" s="60">
        <v>2025</v>
      </c>
      <c r="B2459" s="61" t="s">
        <v>66</v>
      </c>
      <c r="C2459" s="61" t="s">
        <v>41</v>
      </c>
      <c r="D2459" s="61" t="s">
        <v>40</v>
      </c>
      <c r="E2459" s="61" t="s">
        <v>69</v>
      </c>
      <c r="F2459" s="61" t="s">
        <v>71</v>
      </c>
      <c r="G2459" s="62">
        <v>581549167</v>
      </c>
      <c r="H2459" s="61" t="s">
        <v>68</v>
      </c>
      <c r="I2459" s="63" t="str">
        <f t="shared" si="137"/>
        <v>Egypt-OTA</v>
      </c>
      <c r="J2459" s="47"/>
      <c r="K2459" s="54"/>
      <c r="L2459" s="35"/>
      <c r="M2459" s="35"/>
      <c r="N2459" s="35"/>
      <c r="O2459" s="35"/>
      <c r="P2459" s="35"/>
      <c r="Q2459" s="35"/>
      <c r="R2459" s="35"/>
      <c r="S2459" s="35"/>
      <c r="T2459" s="35"/>
      <c r="U2459" s="35"/>
      <c r="V2459" s="35"/>
      <c r="W2459" s="35"/>
      <c r="X2459" s="35"/>
      <c r="Y2459" s="35"/>
      <c r="Z2459" s="35"/>
      <c r="AA2459" s="35"/>
      <c r="AB2459" s="35"/>
      <c r="AC2459" s="35"/>
      <c r="AD2459" s="35"/>
      <c r="AE2459" s="35"/>
      <c r="AF2459" s="35"/>
      <c r="AG2459" s="35"/>
      <c r="AH2459" s="35"/>
      <c r="AI2459" s="35"/>
      <c r="AJ2459" s="35"/>
      <c r="AK2459" s="35"/>
      <c r="AL2459" s="35"/>
      <c r="AM2459" s="35"/>
      <c r="AN2459" s="35"/>
      <c r="AO2459" s="35"/>
      <c r="AP2459" s="35"/>
    </row>
    <row r="2460" spans="1:42" ht="17.25" customHeight="1" x14ac:dyDescent="0.25">
      <c r="A2460" s="55">
        <v>2025</v>
      </c>
      <c r="B2460" s="56" t="s">
        <v>66</v>
      </c>
      <c r="C2460" s="56" t="s">
        <v>27</v>
      </c>
      <c r="D2460" s="56" t="s">
        <v>26</v>
      </c>
      <c r="E2460" s="56" t="s">
        <v>67</v>
      </c>
      <c r="F2460" s="56" t="s">
        <v>67</v>
      </c>
      <c r="G2460" s="57">
        <v>27869742510</v>
      </c>
      <c r="H2460" s="56" t="s">
        <v>68</v>
      </c>
      <c r="I2460" s="58" t="str">
        <f t="shared" si="137"/>
        <v>France-Offline</v>
      </c>
      <c r="J2460" s="40"/>
      <c r="K2460" s="59"/>
      <c r="L2460" s="35"/>
      <c r="M2460" s="35"/>
      <c r="N2460" s="35"/>
      <c r="O2460" s="35"/>
      <c r="P2460" s="35"/>
      <c r="Q2460" s="35"/>
      <c r="R2460" s="35"/>
      <c r="S2460" s="35"/>
      <c r="T2460" s="35"/>
      <c r="U2460" s="35"/>
      <c r="V2460" s="35"/>
      <c r="W2460" s="35"/>
      <c r="X2460" s="35"/>
      <c r="Y2460" s="35"/>
      <c r="Z2460" s="35"/>
      <c r="AA2460" s="35"/>
      <c r="AB2460" s="35"/>
      <c r="AC2460" s="35"/>
      <c r="AD2460" s="35"/>
      <c r="AE2460" s="35"/>
      <c r="AF2460" s="35"/>
      <c r="AG2460" s="35"/>
      <c r="AH2460" s="35"/>
      <c r="AI2460" s="35"/>
      <c r="AJ2460" s="35"/>
      <c r="AK2460" s="35"/>
      <c r="AL2460" s="35"/>
      <c r="AM2460" s="35"/>
      <c r="AN2460" s="35"/>
      <c r="AO2460" s="35"/>
      <c r="AP2460" s="35"/>
    </row>
    <row r="2461" spans="1:42" ht="17.25" customHeight="1" x14ac:dyDescent="0.25">
      <c r="A2461" s="60">
        <v>2025</v>
      </c>
      <c r="B2461" s="61" t="s">
        <v>66</v>
      </c>
      <c r="C2461" s="61" t="s">
        <v>27</v>
      </c>
      <c r="D2461" s="61" t="s">
        <v>26</v>
      </c>
      <c r="E2461" s="61" t="s">
        <v>69</v>
      </c>
      <c r="F2461" s="61" t="s">
        <v>70</v>
      </c>
      <c r="G2461" s="62">
        <v>24995493417</v>
      </c>
      <c r="H2461" s="61" t="s">
        <v>68</v>
      </c>
      <c r="I2461" s="63" t="str">
        <f t="shared" si="137"/>
        <v>France-Online Supplier-Direct</v>
      </c>
      <c r="J2461" s="47"/>
      <c r="K2461" s="54"/>
      <c r="L2461" s="35"/>
      <c r="M2461" s="35"/>
      <c r="N2461" s="35"/>
      <c r="O2461" s="35"/>
      <c r="P2461" s="35"/>
      <c r="Q2461" s="35"/>
      <c r="R2461" s="35"/>
      <c r="S2461" s="35"/>
      <c r="T2461" s="35"/>
      <c r="U2461" s="35"/>
      <c r="V2461" s="35"/>
      <c r="W2461" s="35"/>
      <c r="X2461" s="35"/>
      <c r="Y2461" s="35"/>
      <c r="Z2461" s="35"/>
      <c r="AA2461" s="35"/>
      <c r="AB2461" s="35"/>
      <c r="AC2461" s="35"/>
      <c r="AD2461" s="35"/>
      <c r="AE2461" s="35"/>
      <c r="AF2461" s="35"/>
      <c r="AG2461" s="35"/>
      <c r="AH2461" s="35"/>
      <c r="AI2461" s="35"/>
      <c r="AJ2461" s="35"/>
      <c r="AK2461" s="35"/>
      <c r="AL2461" s="35"/>
      <c r="AM2461" s="35"/>
      <c r="AN2461" s="35"/>
      <c r="AO2461" s="35"/>
      <c r="AP2461" s="35"/>
    </row>
    <row r="2462" spans="1:42" ht="17.25" customHeight="1" x14ac:dyDescent="0.25">
      <c r="A2462" s="55">
        <v>2025</v>
      </c>
      <c r="B2462" s="56" t="s">
        <v>66</v>
      </c>
      <c r="C2462" s="56" t="s">
        <v>27</v>
      </c>
      <c r="D2462" s="56" t="s">
        <v>26</v>
      </c>
      <c r="E2462" s="56" t="s">
        <v>69</v>
      </c>
      <c r="F2462" s="56" t="s">
        <v>71</v>
      </c>
      <c r="G2462" s="57">
        <v>9163230283</v>
      </c>
      <c r="H2462" s="56" t="s">
        <v>68</v>
      </c>
      <c r="I2462" s="58" t="str">
        <f t="shared" si="137"/>
        <v>France-OTA</v>
      </c>
      <c r="J2462" s="40"/>
      <c r="K2462" s="59"/>
      <c r="L2462" s="35"/>
      <c r="M2462" s="35"/>
      <c r="N2462" s="35"/>
      <c r="O2462" s="35"/>
      <c r="P2462" s="35"/>
      <c r="Q2462" s="35"/>
      <c r="R2462" s="35"/>
      <c r="S2462" s="35"/>
      <c r="T2462" s="35"/>
      <c r="U2462" s="35"/>
      <c r="V2462" s="35"/>
      <c r="W2462" s="35"/>
      <c r="X2462" s="35"/>
      <c r="Y2462" s="35"/>
      <c r="Z2462" s="35"/>
      <c r="AA2462" s="35"/>
      <c r="AB2462" s="35"/>
      <c r="AC2462" s="35"/>
      <c r="AD2462" s="35"/>
      <c r="AE2462" s="35"/>
      <c r="AF2462" s="35"/>
      <c r="AG2462" s="35"/>
      <c r="AH2462" s="35"/>
      <c r="AI2462" s="35"/>
      <c r="AJ2462" s="35"/>
      <c r="AK2462" s="35"/>
      <c r="AL2462" s="35"/>
      <c r="AM2462" s="35"/>
      <c r="AN2462" s="35"/>
      <c r="AO2462" s="35"/>
      <c r="AP2462" s="35"/>
    </row>
    <row r="2463" spans="1:42" ht="17.25" customHeight="1" x14ac:dyDescent="0.25">
      <c r="A2463" s="60">
        <v>2025</v>
      </c>
      <c r="B2463" s="61" t="s">
        <v>66</v>
      </c>
      <c r="C2463" s="61" t="s">
        <v>27</v>
      </c>
      <c r="D2463" s="61" t="s">
        <v>28</v>
      </c>
      <c r="E2463" s="61" t="s">
        <v>67</v>
      </c>
      <c r="F2463" s="61" t="s">
        <v>67</v>
      </c>
      <c r="G2463" s="62">
        <v>26683645152</v>
      </c>
      <c r="H2463" s="61" t="s">
        <v>68</v>
      </c>
      <c r="I2463" s="63" t="str">
        <f t="shared" si="137"/>
        <v>Germany-Offline</v>
      </c>
      <c r="J2463" s="47"/>
      <c r="K2463" s="54"/>
      <c r="L2463" s="35"/>
      <c r="M2463" s="35"/>
      <c r="N2463" s="35"/>
      <c r="O2463" s="35"/>
      <c r="P2463" s="35"/>
      <c r="Q2463" s="35"/>
      <c r="R2463" s="35"/>
      <c r="S2463" s="35"/>
      <c r="T2463" s="35"/>
      <c r="U2463" s="35"/>
      <c r="V2463" s="35"/>
      <c r="W2463" s="35"/>
      <c r="X2463" s="35"/>
      <c r="Y2463" s="35"/>
      <c r="Z2463" s="35"/>
      <c r="AA2463" s="35"/>
      <c r="AB2463" s="35"/>
      <c r="AC2463" s="35"/>
      <c r="AD2463" s="35"/>
      <c r="AE2463" s="35"/>
      <c r="AF2463" s="35"/>
      <c r="AG2463" s="35"/>
      <c r="AH2463" s="35"/>
      <c r="AI2463" s="35"/>
      <c r="AJ2463" s="35"/>
      <c r="AK2463" s="35"/>
      <c r="AL2463" s="35"/>
      <c r="AM2463" s="35"/>
      <c r="AN2463" s="35"/>
      <c r="AO2463" s="35"/>
      <c r="AP2463" s="35"/>
    </row>
    <row r="2464" spans="1:42" ht="17.25" customHeight="1" x14ac:dyDescent="0.25">
      <c r="A2464" s="55">
        <v>2025</v>
      </c>
      <c r="B2464" s="56" t="s">
        <v>66</v>
      </c>
      <c r="C2464" s="56" t="s">
        <v>27</v>
      </c>
      <c r="D2464" s="56" t="s">
        <v>28</v>
      </c>
      <c r="E2464" s="56" t="s">
        <v>69</v>
      </c>
      <c r="F2464" s="56" t="s">
        <v>70</v>
      </c>
      <c r="G2464" s="57">
        <v>36752861754</v>
      </c>
      <c r="H2464" s="56" t="s">
        <v>68</v>
      </c>
      <c r="I2464" s="58" t="str">
        <f t="shared" si="137"/>
        <v>Germany-Online Supplier-Direct</v>
      </c>
      <c r="J2464" s="40"/>
      <c r="K2464" s="59"/>
      <c r="L2464" s="35"/>
      <c r="M2464" s="35"/>
      <c r="N2464" s="35"/>
      <c r="O2464" s="35"/>
      <c r="P2464" s="35"/>
      <c r="Q2464" s="35"/>
      <c r="R2464" s="35"/>
      <c r="S2464" s="35"/>
      <c r="T2464" s="35"/>
      <c r="U2464" s="35"/>
      <c r="V2464" s="35"/>
      <c r="W2464" s="35"/>
      <c r="X2464" s="35"/>
      <c r="Y2464" s="35"/>
      <c r="Z2464" s="35"/>
      <c r="AA2464" s="35"/>
      <c r="AB2464" s="35"/>
      <c r="AC2464" s="35"/>
      <c r="AD2464" s="35"/>
      <c r="AE2464" s="35"/>
      <c r="AF2464" s="35"/>
      <c r="AG2464" s="35"/>
      <c r="AH2464" s="35"/>
      <c r="AI2464" s="35"/>
      <c r="AJ2464" s="35"/>
      <c r="AK2464" s="35"/>
      <c r="AL2464" s="35"/>
      <c r="AM2464" s="35"/>
      <c r="AN2464" s="35"/>
      <c r="AO2464" s="35"/>
      <c r="AP2464" s="35"/>
    </row>
    <row r="2465" spans="1:42" ht="17.25" customHeight="1" x14ac:dyDescent="0.25">
      <c r="A2465" s="60">
        <v>2025</v>
      </c>
      <c r="B2465" s="61" t="s">
        <v>66</v>
      </c>
      <c r="C2465" s="61" t="s">
        <v>27</v>
      </c>
      <c r="D2465" s="61" t="s">
        <v>28</v>
      </c>
      <c r="E2465" s="61" t="s">
        <v>69</v>
      </c>
      <c r="F2465" s="61" t="s">
        <v>71</v>
      </c>
      <c r="G2465" s="62">
        <v>16841751969</v>
      </c>
      <c r="H2465" s="61" t="s">
        <v>68</v>
      </c>
      <c r="I2465" s="63" t="str">
        <f t="shared" si="137"/>
        <v>Germany-OTA</v>
      </c>
      <c r="J2465" s="47"/>
      <c r="K2465" s="54"/>
      <c r="L2465" s="35"/>
      <c r="M2465" s="35"/>
      <c r="N2465" s="35"/>
      <c r="O2465" s="35"/>
      <c r="P2465" s="35"/>
      <c r="Q2465" s="35"/>
      <c r="R2465" s="35"/>
      <c r="S2465" s="35"/>
      <c r="T2465" s="35"/>
      <c r="U2465" s="35"/>
      <c r="V2465" s="35"/>
      <c r="W2465" s="35"/>
      <c r="X2465" s="35"/>
      <c r="Y2465" s="35"/>
      <c r="Z2465" s="35"/>
      <c r="AA2465" s="35"/>
      <c r="AB2465" s="35"/>
      <c r="AC2465" s="35"/>
      <c r="AD2465" s="35"/>
      <c r="AE2465" s="35"/>
      <c r="AF2465" s="35"/>
      <c r="AG2465" s="35"/>
      <c r="AH2465" s="35"/>
      <c r="AI2465" s="35"/>
      <c r="AJ2465" s="35"/>
      <c r="AK2465" s="35"/>
      <c r="AL2465" s="35"/>
      <c r="AM2465" s="35"/>
      <c r="AN2465" s="35"/>
      <c r="AO2465" s="35"/>
      <c r="AP2465" s="35"/>
    </row>
    <row r="2466" spans="1:42" ht="17.25" customHeight="1" x14ac:dyDescent="0.25">
      <c r="A2466" s="55">
        <v>2025</v>
      </c>
      <c r="B2466" s="56" t="s">
        <v>66</v>
      </c>
      <c r="C2466" s="56" t="s">
        <v>17</v>
      </c>
      <c r="D2466" s="56" t="s">
        <v>19</v>
      </c>
      <c r="E2466" s="56" t="s">
        <v>67</v>
      </c>
      <c r="F2466" s="56" t="s">
        <v>67</v>
      </c>
      <c r="G2466" s="57">
        <v>4789902954</v>
      </c>
      <c r="H2466" s="56" t="s">
        <v>68</v>
      </c>
      <c r="I2466" s="58" t="str">
        <f t="shared" si="137"/>
        <v>Greece-Offline</v>
      </c>
      <c r="J2466" s="40"/>
      <c r="K2466" s="59"/>
      <c r="L2466" s="35"/>
      <c r="M2466" s="35"/>
      <c r="N2466" s="35"/>
      <c r="O2466" s="35"/>
      <c r="P2466" s="35"/>
      <c r="Q2466" s="35"/>
      <c r="R2466" s="35"/>
      <c r="S2466" s="35"/>
      <c r="T2466" s="35"/>
      <c r="U2466" s="35"/>
      <c r="V2466" s="35"/>
      <c r="W2466" s="35"/>
      <c r="X2466" s="35"/>
      <c r="Y2466" s="35"/>
      <c r="Z2466" s="35"/>
      <c r="AA2466" s="35"/>
      <c r="AB2466" s="35"/>
      <c r="AC2466" s="35"/>
      <c r="AD2466" s="35"/>
      <c r="AE2466" s="35"/>
      <c r="AF2466" s="35"/>
      <c r="AG2466" s="35"/>
      <c r="AH2466" s="35"/>
      <c r="AI2466" s="35"/>
      <c r="AJ2466" s="35"/>
      <c r="AK2466" s="35"/>
      <c r="AL2466" s="35"/>
      <c r="AM2466" s="35"/>
      <c r="AN2466" s="35"/>
      <c r="AO2466" s="35"/>
      <c r="AP2466" s="35"/>
    </row>
    <row r="2467" spans="1:42" ht="17.25" customHeight="1" x14ac:dyDescent="0.25">
      <c r="A2467" s="60">
        <v>2025</v>
      </c>
      <c r="B2467" s="61" t="s">
        <v>66</v>
      </c>
      <c r="C2467" s="61" t="s">
        <v>17</v>
      </c>
      <c r="D2467" s="61" t="s">
        <v>19</v>
      </c>
      <c r="E2467" s="61" t="s">
        <v>69</v>
      </c>
      <c r="F2467" s="61" t="s">
        <v>70</v>
      </c>
      <c r="G2467" s="62">
        <v>2181834078</v>
      </c>
      <c r="H2467" s="61" t="s">
        <v>68</v>
      </c>
      <c r="I2467" s="63" t="str">
        <f t="shared" si="137"/>
        <v>Greece-Online Supplier-Direct</v>
      </c>
      <c r="J2467" s="47"/>
      <c r="K2467" s="54"/>
      <c r="L2467" s="35"/>
      <c r="M2467" s="35"/>
      <c r="N2467" s="35"/>
      <c r="O2467" s="35"/>
      <c r="P2467" s="35"/>
      <c r="Q2467" s="35"/>
      <c r="R2467" s="35"/>
      <c r="S2467" s="35"/>
      <c r="T2467" s="35"/>
      <c r="U2467" s="35"/>
      <c r="V2467" s="35"/>
      <c r="W2467" s="35"/>
      <c r="X2467" s="35"/>
      <c r="Y2467" s="35"/>
      <c r="Z2467" s="35"/>
      <c r="AA2467" s="35"/>
      <c r="AB2467" s="35"/>
      <c r="AC2467" s="35"/>
      <c r="AD2467" s="35"/>
      <c r="AE2467" s="35"/>
      <c r="AF2467" s="35"/>
      <c r="AG2467" s="35"/>
      <c r="AH2467" s="35"/>
      <c r="AI2467" s="35"/>
      <c r="AJ2467" s="35"/>
      <c r="AK2467" s="35"/>
      <c r="AL2467" s="35"/>
      <c r="AM2467" s="35"/>
      <c r="AN2467" s="35"/>
      <c r="AO2467" s="35"/>
      <c r="AP2467" s="35"/>
    </row>
    <row r="2468" spans="1:42" ht="17.25" customHeight="1" x14ac:dyDescent="0.25">
      <c r="A2468" s="55">
        <v>2025</v>
      </c>
      <c r="B2468" s="56" t="s">
        <v>66</v>
      </c>
      <c r="C2468" s="56" t="s">
        <v>17</v>
      </c>
      <c r="D2468" s="56" t="s">
        <v>19</v>
      </c>
      <c r="E2468" s="56" t="s">
        <v>69</v>
      </c>
      <c r="F2468" s="56" t="s">
        <v>71</v>
      </c>
      <c r="G2468" s="57">
        <v>4292556687</v>
      </c>
      <c r="H2468" s="56" t="s">
        <v>68</v>
      </c>
      <c r="I2468" s="58" t="str">
        <f t="shared" si="137"/>
        <v>Greece-OTA</v>
      </c>
      <c r="J2468" s="40"/>
      <c r="K2468" s="59"/>
      <c r="L2468" s="35"/>
      <c r="M2468" s="35"/>
      <c r="N2468" s="35"/>
      <c r="O2468" s="35"/>
      <c r="P2468" s="35"/>
      <c r="Q2468" s="35"/>
      <c r="R2468" s="35"/>
      <c r="S2468" s="35"/>
      <c r="T2468" s="35"/>
      <c r="U2468" s="35"/>
      <c r="V2468" s="35"/>
      <c r="W2468" s="35"/>
      <c r="X2468" s="35"/>
      <c r="Y2468" s="35"/>
      <c r="Z2468" s="35"/>
      <c r="AA2468" s="35"/>
      <c r="AB2468" s="35"/>
      <c r="AC2468" s="35"/>
      <c r="AD2468" s="35"/>
      <c r="AE2468" s="35"/>
      <c r="AF2468" s="35"/>
      <c r="AG2468" s="35"/>
      <c r="AH2468" s="35"/>
      <c r="AI2468" s="35"/>
      <c r="AJ2468" s="35"/>
      <c r="AK2468" s="35"/>
      <c r="AL2468" s="35"/>
      <c r="AM2468" s="35"/>
      <c r="AN2468" s="35"/>
      <c r="AO2468" s="35"/>
      <c r="AP2468" s="35"/>
    </row>
    <row r="2469" spans="1:42" ht="17.25" customHeight="1" x14ac:dyDescent="0.25">
      <c r="A2469" s="60">
        <v>2025</v>
      </c>
      <c r="B2469" s="61" t="s">
        <v>66</v>
      </c>
      <c r="C2469" s="61" t="s">
        <v>4</v>
      </c>
      <c r="D2469" s="61" t="s">
        <v>6</v>
      </c>
      <c r="E2469" s="61" t="s">
        <v>67</v>
      </c>
      <c r="F2469" s="61" t="s">
        <v>67</v>
      </c>
      <c r="G2469" s="62">
        <v>7586173820</v>
      </c>
      <c r="H2469" s="61" t="s">
        <v>68</v>
      </c>
      <c r="I2469" s="63" t="str">
        <f t="shared" si="137"/>
        <v>Hong Kong-Offline</v>
      </c>
      <c r="J2469" s="47"/>
      <c r="K2469" s="54"/>
      <c r="L2469" s="35"/>
      <c r="M2469" s="35"/>
      <c r="N2469" s="35"/>
      <c r="O2469" s="35"/>
      <c r="P2469" s="35"/>
      <c r="Q2469" s="35"/>
      <c r="R2469" s="35"/>
      <c r="S2469" s="35"/>
      <c r="T2469" s="35"/>
      <c r="U2469" s="35"/>
      <c r="V2469" s="35"/>
      <c r="W2469" s="35"/>
      <c r="X2469" s="35"/>
      <c r="Y2469" s="35"/>
      <c r="Z2469" s="35"/>
      <c r="AA2469" s="35"/>
      <c r="AB2469" s="35"/>
      <c r="AC2469" s="35"/>
      <c r="AD2469" s="35"/>
      <c r="AE2469" s="35"/>
      <c r="AF2469" s="35"/>
      <c r="AG2469" s="35"/>
      <c r="AH2469" s="35"/>
      <c r="AI2469" s="35"/>
      <c r="AJ2469" s="35"/>
      <c r="AK2469" s="35"/>
      <c r="AL2469" s="35"/>
      <c r="AM2469" s="35"/>
      <c r="AN2469" s="35"/>
      <c r="AO2469" s="35"/>
      <c r="AP2469" s="35"/>
    </row>
    <row r="2470" spans="1:42" ht="17.25" customHeight="1" x14ac:dyDescent="0.25">
      <c r="A2470" s="55">
        <v>2025</v>
      </c>
      <c r="B2470" s="56" t="s">
        <v>66</v>
      </c>
      <c r="C2470" s="56" t="s">
        <v>4</v>
      </c>
      <c r="D2470" s="56" t="s">
        <v>6</v>
      </c>
      <c r="E2470" s="56" t="s">
        <v>69</v>
      </c>
      <c r="F2470" s="56" t="s">
        <v>70</v>
      </c>
      <c r="G2470" s="57">
        <v>2517129517</v>
      </c>
      <c r="H2470" s="56" t="s">
        <v>68</v>
      </c>
      <c r="I2470" s="58" t="str">
        <f t="shared" si="137"/>
        <v>Hong Kong-Online Supplier-Direct</v>
      </c>
      <c r="J2470" s="40"/>
      <c r="K2470" s="59"/>
      <c r="L2470" s="35"/>
      <c r="M2470" s="35"/>
      <c r="N2470" s="35"/>
      <c r="O2470" s="35"/>
      <c r="P2470" s="35"/>
      <c r="Q2470" s="35"/>
      <c r="R2470" s="35"/>
      <c r="S2470" s="35"/>
      <c r="T2470" s="35"/>
      <c r="U2470" s="35"/>
      <c r="V2470" s="35"/>
      <c r="W2470" s="35"/>
      <c r="X2470" s="35"/>
      <c r="Y2470" s="35"/>
      <c r="Z2470" s="35"/>
      <c r="AA2470" s="35"/>
      <c r="AB2470" s="35"/>
      <c r="AC2470" s="35"/>
      <c r="AD2470" s="35"/>
      <c r="AE2470" s="35"/>
      <c r="AF2470" s="35"/>
      <c r="AG2470" s="35"/>
      <c r="AH2470" s="35"/>
      <c r="AI2470" s="35"/>
      <c r="AJ2470" s="35"/>
      <c r="AK2470" s="35"/>
      <c r="AL2470" s="35"/>
      <c r="AM2470" s="35"/>
      <c r="AN2470" s="35"/>
      <c r="AO2470" s="35"/>
      <c r="AP2470" s="35"/>
    </row>
    <row r="2471" spans="1:42" ht="17.25" customHeight="1" x14ac:dyDescent="0.25">
      <c r="A2471" s="60">
        <v>2025</v>
      </c>
      <c r="B2471" s="61" t="s">
        <v>66</v>
      </c>
      <c r="C2471" s="61" t="s">
        <v>4</v>
      </c>
      <c r="D2471" s="61" t="s">
        <v>6</v>
      </c>
      <c r="E2471" s="61" t="s">
        <v>69</v>
      </c>
      <c r="F2471" s="61" t="s">
        <v>71</v>
      </c>
      <c r="G2471" s="62">
        <v>3341662009</v>
      </c>
      <c r="H2471" s="61" t="s">
        <v>68</v>
      </c>
      <c r="I2471" s="63" t="str">
        <f t="shared" si="137"/>
        <v>Hong Kong-OTA</v>
      </c>
      <c r="J2471" s="47"/>
      <c r="K2471" s="54"/>
      <c r="L2471" s="35"/>
      <c r="M2471" s="35"/>
      <c r="N2471" s="35"/>
      <c r="O2471" s="35"/>
      <c r="P2471" s="35"/>
      <c r="Q2471" s="35"/>
      <c r="R2471" s="35"/>
      <c r="S2471" s="35"/>
      <c r="T2471" s="35"/>
      <c r="U2471" s="35"/>
      <c r="V2471" s="35"/>
      <c r="W2471" s="35"/>
      <c r="X2471" s="35"/>
      <c r="Y2471" s="35"/>
      <c r="Z2471" s="35"/>
      <c r="AA2471" s="35"/>
      <c r="AB2471" s="35"/>
      <c r="AC2471" s="35"/>
      <c r="AD2471" s="35"/>
      <c r="AE2471" s="35"/>
      <c r="AF2471" s="35"/>
      <c r="AG2471" s="35"/>
      <c r="AH2471" s="35"/>
      <c r="AI2471" s="35"/>
      <c r="AJ2471" s="35"/>
      <c r="AK2471" s="35"/>
      <c r="AL2471" s="35"/>
      <c r="AM2471" s="35"/>
      <c r="AN2471" s="35"/>
      <c r="AO2471" s="35"/>
      <c r="AP2471" s="35"/>
    </row>
    <row r="2472" spans="1:42" ht="17.25" customHeight="1" x14ac:dyDescent="0.25">
      <c r="A2472" s="55">
        <v>2025</v>
      </c>
      <c r="B2472" s="56" t="s">
        <v>66</v>
      </c>
      <c r="C2472" s="56" t="s">
        <v>17</v>
      </c>
      <c r="D2472" s="56" t="s">
        <v>20</v>
      </c>
      <c r="E2472" s="56" t="s">
        <v>67</v>
      </c>
      <c r="F2472" s="56" t="s">
        <v>67</v>
      </c>
      <c r="G2472" s="57">
        <v>651002824</v>
      </c>
      <c r="H2472" s="56" t="s">
        <v>68</v>
      </c>
      <c r="I2472" s="58" t="str">
        <f t="shared" si="137"/>
        <v>Hungary-Offline</v>
      </c>
      <c r="J2472" s="40"/>
      <c r="K2472" s="59"/>
      <c r="L2472" s="35"/>
      <c r="M2472" s="35"/>
      <c r="N2472" s="35"/>
      <c r="O2472" s="35"/>
      <c r="P2472" s="35"/>
      <c r="Q2472" s="35"/>
      <c r="R2472" s="35"/>
      <c r="S2472" s="35"/>
      <c r="T2472" s="35"/>
      <c r="U2472" s="35"/>
      <c r="V2472" s="35"/>
      <c r="W2472" s="35"/>
      <c r="X2472" s="35"/>
      <c r="Y2472" s="35"/>
      <c r="Z2472" s="35"/>
      <c r="AA2472" s="35"/>
      <c r="AB2472" s="35"/>
      <c r="AC2472" s="35"/>
      <c r="AD2472" s="35"/>
      <c r="AE2472" s="35"/>
      <c r="AF2472" s="35"/>
      <c r="AG2472" s="35"/>
      <c r="AH2472" s="35"/>
      <c r="AI2472" s="35"/>
      <c r="AJ2472" s="35"/>
      <c r="AK2472" s="35"/>
      <c r="AL2472" s="35"/>
      <c r="AM2472" s="35"/>
      <c r="AN2472" s="35"/>
      <c r="AO2472" s="35"/>
      <c r="AP2472" s="35"/>
    </row>
    <row r="2473" spans="1:42" ht="17.25" customHeight="1" x14ac:dyDescent="0.25">
      <c r="A2473" s="60">
        <v>2025</v>
      </c>
      <c r="B2473" s="61" t="s">
        <v>66</v>
      </c>
      <c r="C2473" s="61" t="s">
        <v>17</v>
      </c>
      <c r="D2473" s="61" t="s">
        <v>20</v>
      </c>
      <c r="E2473" s="61" t="s">
        <v>69</v>
      </c>
      <c r="F2473" s="61" t="s">
        <v>70</v>
      </c>
      <c r="G2473" s="62">
        <v>6533536928</v>
      </c>
      <c r="H2473" s="61" t="s">
        <v>68</v>
      </c>
      <c r="I2473" s="63" t="str">
        <f t="shared" si="137"/>
        <v>Hungary-Online Supplier-Direct</v>
      </c>
      <c r="J2473" s="47"/>
      <c r="K2473" s="54"/>
      <c r="L2473" s="35"/>
      <c r="M2473" s="35"/>
      <c r="N2473" s="35"/>
      <c r="O2473" s="35"/>
      <c r="P2473" s="35"/>
      <c r="Q2473" s="35"/>
      <c r="R2473" s="35"/>
      <c r="S2473" s="35"/>
      <c r="T2473" s="35"/>
      <c r="U2473" s="35"/>
      <c r="V2473" s="35"/>
      <c r="W2473" s="35"/>
      <c r="X2473" s="35"/>
      <c r="Y2473" s="35"/>
      <c r="Z2473" s="35"/>
      <c r="AA2473" s="35"/>
      <c r="AB2473" s="35"/>
      <c r="AC2473" s="35"/>
      <c r="AD2473" s="35"/>
      <c r="AE2473" s="35"/>
      <c r="AF2473" s="35"/>
      <c r="AG2473" s="35"/>
      <c r="AH2473" s="35"/>
      <c r="AI2473" s="35"/>
      <c r="AJ2473" s="35"/>
      <c r="AK2473" s="35"/>
      <c r="AL2473" s="35"/>
      <c r="AM2473" s="35"/>
      <c r="AN2473" s="35"/>
      <c r="AO2473" s="35"/>
      <c r="AP2473" s="35"/>
    </row>
    <row r="2474" spans="1:42" ht="17.25" customHeight="1" x14ac:dyDescent="0.25">
      <c r="A2474" s="55">
        <v>2025</v>
      </c>
      <c r="B2474" s="56" t="s">
        <v>66</v>
      </c>
      <c r="C2474" s="56" t="s">
        <v>17</v>
      </c>
      <c r="D2474" s="56" t="s">
        <v>20</v>
      </c>
      <c r="E2474" s="56" t="s">
        <v>69</v>
      </c>
      <c r="F2474" s="56" t="s">
        <v>71</v>
      </c>
      <c r="G2474" s="57">
        <v>1095114764</v>
      </c>
      <c r="H2474" s="56" t="s">
        <v>68</v>
      </c>
      <c r="I2474" s="58" t="str">
        <f t="shared" si="137"/>
        <v>Hungary-OTA</v>
      </c>
      <c r="J2474" s="40"/>
      <c r="K2474" s="59"/>
      <c r="L2474" s="35"/>
      <c r="M2474" s="35"/>
      <c r="N2474" s="35"/>
      <c r="O2474" s="35"/>
      <c r="P2474" s="35"/>
      <c r="Q2474" s="35"/>
      <c r="R2474" s="35"/>
      <c r="S2474" s="35"/>
      <c r="T2474" s="35"/>
      <c r="U2474" s="35"/>
      <c r="V2474" s="35"/>
      <c r="W2474" s="35"/>
      <c r="X2474" s="35"/>
      <c r="Y2474" s="35"/>
      <c r="Z2474" s="35"/>
      <c r="AA2474" s="35"/>
      <c r="AB2474" s="35"/>
      <c r="AC2474" s="35"/>
      <c r="AD2474" s="35"/>
      <c r="AE2474" s="35"/>
      <c r="AF2474" s="35"/>
      <c r="AG2474" s="35"/>
      <c r="AH2474" s="35"/>
      <c r="AI2474" s="35"/>
      <c r="AJ2474" s="35"/>
      <c r="AK2474" s="35"/>
      <c r="AL2474" s="35"/>
      <c r="AM2474" s="35"/>
      <c r="AN2474" s="35"/>
      <c r="AO2474" s="35"/>
      <c r="AP2474" s="35"/>
    </row>
    <row r="2475" spans="1:42" ht="17.25" customHeight="1" x14ac:dyDescent="0.25">
      <c r="A2475" s="60">
        <v>2025</v>
      </c>
      <c r="B2475" s="61" t="s">
        <v>66</v>
      </c>
      <c r="C2475" s="61" t="s">
        <v>4</v>
      </c>
      <c r="D2475" s="61" t="s">
        <v>7</v>
      </c>
      <c r="E2475" s="61" t="s">
        <v>67</v>
      </c>
      <c r="F2475" s="61" t="s">
        <v>67</v>
      </c>
      <c r="G2475" s="62">
        <v>19772295426</v>
      </c>
      <c r="H2475" s="61" t="s">
        <v>68</v>
      </c>
      <c r="I2475" s="63" t="str">
        <f t="shared" si="137"/>
        <v>India-Offline</v>
      </c>
      <c r="J2475" s="47"/>
      <c r="K2475" s="54"/>
      <c r="L2475" s="35"/>
      <c r="M2475" s="35"/>
      <c r="N2475" s="35"/>
      <c r="O2475" s="35"/>
      <c r="P2475" s="35"/>
      <c r="Q2475" s="35"/>
      <c r="R2475" s="35"/>
      <c r="S2475" s="35"/>
      <c r="T2475" s="35"/>
      <c r="U2475" s="35"/>
      <c r="V2475" s="35"/>
      <c r="W2475" s="35"/>
      <c r="X2475" s="35"/>
      <c r="Y2475" s="35"/>
      <c r="Z2475" s="35"/>
      <c r="AA2475" s="35"/>
      <c r="AB2475" s="35"/>
      <c r="AC2475" s="35"/>
      <c r="AD2475" s="35"/>
      <c r="AE2475" s="35"/>
      <c r="AF2475" s="35"/>
      <c r="AG2475" s="35"/>
      <c r="AH2475" s="35"/>
      <c r="AI2475" s="35"/>
      <c r="AJ2475" s="35"/>
      <c r="AK2475" s="35"/>
      <c r="AL2475" s="35"/>
      <c r="AM2475" s="35"/>
      <c r="AN2475" s="35"/>
      <c r="AO2475" s="35"/>
      <c r="AP2475" s="35"/>
    </row>
    <row r="2476" spans="1:42" ht="17.25" customHeight="1" x14ac:dyDescent="0.25">
      <c r="A2476" s="55">
        <v>2025</v>
      </c>
      <c r="B2476" s="56" t="s">
        <v>66</v>
      </c>
      <c r="C2476" s="56" t="s">
        <v>4</v>
      </c>
      <c r="D2476" s="56" t="s">
        <v>7</v>
      </c>
      <c r="E2476" s="56" t="s">
        <v>69</v>
      </c>
      <c r="F2476" s="56" t="s">
        <v>70</v>
      </c>
      <c r="G2476" s="57">
        <v>12034910735</v>
      </c>
      <c r="H2476" s="56" t="s">
        <v>68</v>
      </c>
      <c r="I2476" s="58" t="str">
        <f t="shared" si="137"/>
        <v>India-Online Supplier-Direct</v>
      </c>
      <c r="J2476" s="40"/>
      <c r="K2476" s="59"/>
      <c r="L2476" s="35"/>
      <c r="M2476" s="35"/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  <c r="Z2476" s="35"/>
      <c r="AA2476" s="35"/>
      <c r="AB2476" s="35"/>
      <c r="AC2476" s="35"/>
      <c r="AD2476" s="35"/>
      <c r="AE2476" s="35"/>
      <c r="AF2476" s="35"/>
      <c r="AG2476" s="35"/>
      <c r="AH2476" s="35"/>
      <c r="AI2476" s="35"/>
      <c r="AJ2476" s="35"/>
      <c r="AK2476" s="35"/>
      <c r="AL2476" s="35"/>
      <c r="AM2476" s="35"/>
      <c r="AN2476" s="35"/>
      <c r="AO2476" s="35"/>
      <c r="AP2476" s="35"/>
    </row>
    <row r="2477" spans="1:42" ht="17.25" customHeight="1" x14ac:dyDescent="0.25">
      <c r="A2477" s="60">
        <v>2025</v>
      </c>
      <c r="B2477" s="61" t="s">
        <v>66</v>
      </c>
      <c r="C2477" s="61" t="s">
        <v>4</v>
      </c>
      <c r="D2477" s="61" t="s">
        <v>7</v>
      </c>
      <c r="E2477" s="61" t="s">
        <v>69</v>
      </c>
      <c r="F2477" s="61" t="s">
        <v>71</v>
      </c>
      <c r="G2477" s="62">
        <v>15002378320</v>
      </c>
      <c r="H2477" s="61" t="s">
        <v>68</v>
      </c>
      <c r="I2477" s="63" t="str">
        <f t="shared" si="137"/>
        <v>India-OTA</v>
      </c>
      <c r="J2477" s="47"/>
      <c r="K2477" s="54"/>
      <c r="L2477" s="35"/>
      <c r="M2477" s="35"/>
      <c r="N2477" s="35"/>
      <c r="O2477" s="35"/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  <c r="Z2477" s="35"/>
      <c r="AA2477" s="35"/>
      <c r="AB2477" s="35"/>
      <c r="AC2477" s="35"/>
      <c r="AD2477" s="35"/>
      <c r="AE2477" s="35"/>
      <c r="AF2477" s="35"/>
      <c r="AG2477" s="35"/>
      <c r="AH2477" s="35"/>
      <c r="AI2477" s="35"/>
      <c r="AJ2477" s="35"/>
      <c r="AK2477" s="35"/>
      <c r="AL2477" s="35"/>
      <c r="AM2477" s="35"/>
      <c r="AN2477" s="35"/>
      <c r="AO2477" s="35"/>
      <c r="AP2477" s="35"/>
    </row>
    <row r="2478" spans="1:42" ht="17.25" customHeight="1" x14ac:dyDescent="0.25">
      <c r="A2478" s="55">
        <v>2025</v>
      </c>
      <c r="B2478" s="56" t="s">
        <v>66</v>
      </c>
      <c r="C2478" s="56" t="s">
        <v>4</v>
      </c>
      <c r="D2478" s="56" t="s">
        <v>8</v>
      </c>
      <c r="E2478" s="56" t="s">
        <v>67</v>
      </c>
      <c r="F2478" s="56" t="s">
        <v>67</v>
      </c>
      <c r="G2478" s="57">
        <v>5022476795</v>
      </c>
      <c r="H2478" s="56" t="s">
        <v>68</v>
      </c>
      <c r="I2478" s="58" t="str">
        <f t="shared" si="137"/>
        <v>Indonesia-Offline</v>
      </c>
      <c r="J2478" s="40"/>
      <c r="K2478" s="59"/>
      <c r="L2478" s="35"/>
      <c r="M2478" s="35"/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  <c r="Z2478" s="35"/>
      <c r="AA2478" s="35"/>
      <c r="AB2478" s="35"/>
      <c r="AC2478" s="35"/>
      <c r="AD2478" s="35"/>
      <c r="AE2478" s="35"/>
      <c r="AF2478" s="35"/>
      <c r="AG2478" s="35"/>
      <c r="AH2478" s="35"/>
      <c r="AI2478" s="35"/>
      <c r="AJ2478" s="35"/>
      <c r="AK2478" s="35"/>
      <c r="AL2478" s="35"/>
      <c r="AM2478" s="35"/>
      <c r="AN2478" s="35"/>
      <c r="AO2478" s="35"/>
      <c r="AP2478" s="35"/>
    </row>
    <row r="2479" spans="1:42" ht="17.25" customHeight="1" x14ac:dyDescent="0.25">
      <c r="A2479" s="60">
        <v>2025</v>
      </c>
      <c r="B2479" s="61" t="s">
        <v>66</v>
      </c>
      <c r="C2479" s="61" t="s">
        <v>4</v>
      </c>
      <c r="D2479" s="61" t="s">
        <v>8</v>
      </c>
      <c r="E2479" s="61" t="s">
        <v>69</v>
      </c>
      <c r="F2479" s="61" t="s">
        <v>70</v>
      </c>
      <c r="G2479" s="62">
        <v>3168886554</v>
      </c>
      <c r="H2479" s="61" t="s">
        <v>68</v>
      </c>
      <c r="I2479" s="63" t="str">
        <f t="shared" si="137"/>
        <v>Indonesia-Online Supplier-Direct</v>
      </c>
      <c r="J2479" s="47"/>
      <c r="K2479" s="54"/>
      <c r="L2479" s="35"/>
      <c r="M2479" s="35"/>
      <c r="N2479" s="35"/>
      <c r="O2479" s="35"/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  <c r="Z2479" s="35"/>
      <c r="AA2479" s="35"/>
      <c r="AB2479" s="35"/>
      <c r="AC2479" s="35"/>
      <c r="AD2479" s="35"/>
      <c r="AE2479" s="35"/>
      <c r="AF2479" s="35"/>
      <c r="AG2479" s="35"/>
      <c r="AH2479" s="35"/>
      <c r="AI2479" s="35"/>
      <c r="AJ2479" s="35"/>
      <c r="AK2479" s="35"/>
      <c r="AL2479" s="35"/>
      <c r="AM2479" s="35"/>
      <c r="AN2479" s="35"/>
      <c r="AO2479" s="35"/>
      <c r="AP2479" s="35"/>
    </row>
    <row r="2480" spans="1:42" ht="17.25" customHeight="1" x14ac:dyDescent="0.25">
      <c r="A2480" s="55">
        <v>2025</v>
      </c>
      <c r="B2480" s="56" t="s">
        <v>66</v>
      </c>
      <c r="C2480" s="56" t="s">
        <v>4</v>
      </c>
      <c r="D2480" s="56" t="s">
        <v>8</v>
      </c>
      <c r="E2480" s="56" t="s">
        <v>69</v>
      </c>
      <c r="F2480" s="56" t="s">
        <v>71</v>
      </c>
      <c r="G2480" s="57">
        <v>7179564911</v>
      </c>
      <c r="H2480" s="56" t="s">
        <v>68</v>
      </c>
      <c r="I2480" s="58" t="str">
        <f t="shared" si="137"/>
        <v>Indonesia-OTA</v>
      </c>
      <c r="J2480" s="40"/>
      <c r="K2480" s="59"/>
      <c r="L2480" s="35"/>
      <c r="M2480" s="35"/>
      <c r="N2480" s="35"/>
      <c r="O2480" s="35"/>
      <c r="P2480" s="35"/>
      <c r="Q2480" s="35"/>
      <c r="R2480" s="35"/>
      <c r="S2480" s="35"/>
      <c r="T2480" s="35"/>
      <c r="U2480" s="35"/>
      <c r="V2480" s="35"/>
      <c r="W2480" s="35"/>
      <c r="X2480" s="35"/>
      <c r="Y2480" s="35"/>
      <c r="Z2480" s="35"/>
      <c r="AA2480" s="35"/>
      <c r="AB2480" s="35"/>
      <c r="AC2480" s="35"/>
      <c r="AD2480" s="35"/>
      <c r="AE2480" s="35"/>
      <c r="AF2480" s="35"/>
      <c r="AG2480" s="35"/>
      <c r="AH2480" s="35"/>
      <c r="AI2480" s="35"/>
      <c r="AJ2480" s="35"/>
      <c r="AK2480" s="35"/>
      <c r="AL2480" s="35"/>
      <c r="AM2480" s="35"/>
      <c r="AN2480" s="35"/>
      <c r="AO2480" s="35"/>
      <c r="AP2480" s="35"/>
    </row>
    <row r="2481" spans="1:42" ht="17.25" customHeight="1" x14ac:dyDescent="0.25">
      <c r="A2481" s="60">
        <v>2025</v>
      </c>
      <c r="B2481" s="61" t="s">
        <v>66</v>
      </c>
      <c r="C2481" s="61" t="s">
        <v>27</v>
      </c>
      <c r="D2481" s="61" t="s">
        <v>29</v>
      </c>
      <c r="E2481" s="61" t="s">
        <v>67</v>
      </c>
      <c r="F2481" s="61" t="s">
        <v>67</v>
      </c>
      <c r="G2481" s="62">
        <v>14564575260</v>
      </c>
      <c r="H2481" s="61" t="s">
        <v>68</v>
      </c>
      <c r="I2481" s="63" t="str">
        <f t="shared" si="137"/>
        <v>Italy-Offline</v>
      </c>
      <c r="J2481" s="47"/>
      <c r="K2481" s="54"/>
      <c r="L2481" s="35"/>
      <c r="M2481" s="35"/>
      <c r="N2481" s="35"/>
      <c r="O2481" s="35"/>
      <c r="P2481" s="35"/>
      <c r="Q2481" s="35"/>
      <c r="R2481" s="35"/>
      <c r="S2481" s="35"/>
      <c r="T2481" s="35"/>
      <c r="U2481" s="35"/>
      <c r="V2481" s="35"/>
      <c r="W2481" s="35"/>
      <c r="X2481" s="35"/>
      <c r="Y2481" s="35"/>
      <c r="Z2481" s="35"/>
      <c r="AA2481" s="35"/>
      <c r="AB2481" s="35"/>
      <c r="AC2481" s="35"/>
      <c r="AD2481" s="35"/>
      <c r="AE2481" s="35"/>
      <c r="AF2481" s="35"/>
      <c r="AG2481" s="35"/>
      <c r="AH2481" s="35"/>
      <c r="AI2481" s="35"/>
      <c r="AJ2481" s="35"/>
      <c r="AK2481" s="35"/>
      <c r="AL2481" s="35"/>
      <c r="AM2481" s="35"/>
      <c r="AN2481" s="35"/>
      <c r="AO2481" s="35"/>
      <c r="AP2481" s="35"/>
    </row>
    <row r="2482" spans="1:42" ht="17.25" customHeight="1" x14ac:dyDescent="0.25">
      <c r="A2482" s="55">
        <v>2025</v>
      </c>
      <c r="B2482" s="56" t="s">
        <v>66</v>
      </c>
      <c r="C2482" s="56" t="s">
        <v>27</v>
      </c>
      <c r="D2482" s="56" t="s">
        <v>29</v>
      </c>
      <c r="E2482" s="56" t="s">
        <v>69</v>
      </c>
      <c r="F2482" s="56" t="s">
        <v>70</v>
      </c>
      <c r="G2482" s="57">
        <v>12470248746</v>
      </c>
      <c r="H2482" s="56" t="s">
        <v>68</v>
      </c>
      <c r="I2482" s="58" t="str">
        <f t="shared" si="137"/>
        <v>Italy-Online Supplier-Direct</v>
      </c>
      <c r="J2482" s="40"/>
      <c r="K2482" s="59"/>
      <c r="L2482" s="35"/>
      <c r="M2482" s="35"/>
      <c r="N2482" s="35"/>
      <c r="O2482" s="35"/>
      <c r="P2482" s="35"/>
      <c r="Q2482" s="35"/>
      <c r="R2482" s="35"/>
      <c r="S2482" s="35"/>
      <c r="T2482" s="35"/>
      <c r="U2482" s="35"/>
      <c r="V2482" s="35"/>
      <c r="W2482" s="35"/>
      <c r="X2482" s="35"/>
      <c r="Y2482" s="35"/>
      <c r="Z2482" s="35"/>
      <c r="AA2482" s="35"/>
      <c r="AB2482" s="35"/>
      <c r="AC2482" s="35"/>
      <c r="AD2482" s="35"/>
      <c r="AE2482" s="35"/>
      <c r="AF2482" s="35"/>
      <c r="AG2482" s="35"/>
      <c r="AH2482" s="35"/>
      <c r="AI2482" s="35"/>
      <c r="AJ2482" s="35"/>
      <c r="AK2482" s="35"/>
      <c r="AL2482" s="35"/>
      <c r="AM2482" s="35"/>
      <c r="AN2482" s="35"/>
      <c r="AO2482" s="35"/>
      <c r="AP2482" s="35"/>
    </row>
    <row r="2483" spans="1:42" ht="17.25" customHeight="1" x14ac:dyDescent="0.25">
      <c r="A2483" s="60">
        <v>2025</v>
      </c>
      <c r="B2483" s="61" t="s">
        <v>66</v>
      </c>
      <c r="C2483" s="61" t="s">
        <v>27</v>
      </c>
      <c r="D2483" s="61" t="s">
        <v>29</v>
      </c>
      <c r="E2483" s="61" t="s">
        <v>69</v>
      </c>
      <c r="F2483" s="61" t="s">
        <v>71</v>
      </c>
      <c r="G2483" s="62">
        <v>7269372791</v>
      </c>
      <c r="H2483" s="61" t="s">
        <v>68</v>
      </c>
      <c r="I2483" s="63" t="str">
        <f t="shared" si="137"/>
        <v>Italy-OTA</v>
      </c>
      <c r="J2483" s="47"/>
      <c r="K2483" s="54"/>
      <c r="L2483" s="35"/>
      <c r="M2483" s="35"/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  <c r="Z2483" s="35"/>
      <c r="AA2483" s="35"/>
      <c r="AB2483" s="35"/>
      <c r="AC2483" s="35"/>
      <c r="AD2483" s="35"/>
      <c r="AE2483" s="35"/>
      <c r="AF2483" s="35"/>
      <c r="AG2483" s="35"/>
      <c r="AH2483" s="35"/>
      <c r="AI2483" s="35"/>
      <c r="AJ2483" s="35"/>
      <c r="AK2483" s="35"/>
      <c r="AL2483" s="35"/>
      <c r="AM2483" s="35"/>
      <c r="AN2483" s="35"/>
      <c r="AO2483" s="35"/>
      <c r="AP2483" s="35"/>
    </row>
    <row r="2484" spans="1:42" ht="17.25" customHeight="1" x14ac:dyDescent="0.25">
      <c r="A2484" s="55">
        <v>2025</v>
      </c>
      <c r="B2484" s="56" t="s">
        <v>66</v>
      </c>
      <c r="C2484" s="56" t="s">
        <v>4</v>
      </c>
      <c r="D2484" s="56" t="s">
        <v>9</v>
      </c>
      <c r="E2484" s="56" t="s">
        <v>67</v>
      </c>
      <c r="F2484" s="56" t="s">
        <v>67</v>
      </c>
      <c r="G2484" s="57">
        <v>40858314433</v>
      </c>
      <c r="H2484" s="56" t="s">
        <v>68</v>
      </c>
      <c r="I2484" s="58" t="str">
        <f t="shared" si="137"/>
        <v>Japan-Offline</v>
      </c>
      <c r="J2484" s="40"/>
      <c r="K2484" s="59"/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  <c r="AA2484" s="35"/>
      <c r="AB2484" s="35"/>
      <c r="AC2484" s="35"/>
      <c r="AD2484" s="35"/>
      <c r="AE2484" s="35"/>
      <c r="AF2484" s="35"/>
      <c r="AG2484" s="35"/>
      <c r="AH2484" s="35"/>
      <c r="AI2484" s="35"/>
      <c r="AJ2484" s="35"/>
      <c r="AK2484" s="35"/>
      <c r="AL2484" s="35"/>
      <c r="AM2484" s="35"/>
      <c r="AN2484" s="35"/>
      <c r="AO2484" s="35"/>
      <c r="AP2484" s="35"/>
    </row>
    <row r="2485" spans="1:42" ht="17.25" customHeight="1" x14ac:dyDescent="0.25">
      <c r="A2485" s="60">
        <v>2025</v>
      </c>
      <c r="B2485" s="61" t="s">
        <v>66</v>
      </c>
      <c r="C2485" s="61" t="s">
        <v>4</v>
      </c>
      <c r="D2485" s="61" t="s">
        <v>9</v>
      </c>
      <c r="E2485" s="61" t="s">
        <v>69</v>
      </c>
      <c r="F2485" s="61" t="s">
        <v>70</v>
      </c>
      <c r="G2485" s="62">
        <v>30729638730</v>
      </c>
      <c r="H2485" s="61" t="s">
        <v>68</v>
      </c>
      <c r="I2485" s="63" t="str">
        <f t="shared" si="137"/>
        <v>Japan-Online Supplier-Direct</v>
      </c>
      <c r="J2485" s="47"/>
      <c r="K2485" s="54"/>
      <c r="L2485" s="35"/>
      <c r="M2485" s="35"/>
      <c r="N2485" s="35"/>
      <c r="O2485" s="35"/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  <c r="Z2485" s="35"/>
      <c r="AA2485" s="35"/>
      <c r="AB2485" s="35"/>
      <c r="AC2485" s="35"/>
      <c r="AD2485" s="35"/>
      <c r="AE2485" s="35"/>
      <c r="AF2485" s="35"/>
      <c r="AG2485" s="35"/>
      <c r="AH2485" s="35"/>
      <c r="AI2485" s="35"/>
      <c r="AJ2485" s="35"/>
      <c r="AK2485" s="35"/>
      <c r="AL2485" s="35"/>
      <c r="AM2485" s="35"/>
      <c r="AN2485" s="35"/>
      <c r="AO2485" s="35"/>
      <c r="AP2485" s="35"/>
    </row>
    <row r="2486" spans="1:42" ht="17.25" customHeight="1" x14ac:dyDescent="0.25">
      <c r="A2486" s="55">
        <v>2025</v>
      </c>
      <c r="B2486" s="56" t="s">
        <v>66</v>
      </c>
      <c r="C2486" s="56" t="s">
        <v>4</v>
      </c>
      <c r="D2486" s="56" t="s">
        <v>9</v>
      </c>
      <c r="E2486" s="56" t="s">
        <v>69</v>
      </c>
      <c r="F2486" s="56" t="s">
        <v>71</v>
      </c>
      <c r="G2486" s="57">
        <v>24898221652</v>
      </c>
      <c r="H2486" s="56" t="s">
        <v>68</v>
      </c>
      <c r="I2486" s="58" t="str">
        <f t="shared" si="137"/>
        <v>Japan-OTA</v>
      </c>
      <c r="J2486" s="40"/>
      <c r="K2486" s="59"/>
      <c r="L2486" s="35"/>
      <c r="M2486" s="35"/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  <c r="Z2486" s="35"/>
      <c r="AA2486" s="35"/>
      <c r="AB2486" s="35"/>
      <c r="AC2486" s="35"/>
      <c r="AD2486" s="35"/>
      <c r="AE2486" s="35"/>
      <c r="AF2486" s="35"/>
      <c r="AG2486" s="35"/>
      <c r="AH2486" s="35"/>
      <c r="AI2486" s="35"/>
      <c r="AJ2486" s="35"/>
      <c r="AK2486" s="35"/>
      <c r="AL2486" s="35"/>
      <c r="AM2486" s="35"/>
      <c r="AN2486" s="35"/>
      <c r="AO2486" s="35"/>
      <c r="AP2486" s="35"/>
    </row>
    <row r="2487" spans="1:42" ht="17.25" customHeight="1" x14ac:dyDescent="0.25">
      <c r="A2487" s="60">
        <v>2025</v>
      </c>
      <c r="B2487" s="61" t="s">
        <v>66</v>
      </c>
      <c r="C2487" s="61" t="s">
        <v>4</v>
      </c>
      <c r="D2487" s="61" t="s">
        <v>10</v>
      </c>
      <c r="E2487" s="61" t="s">
        <v>67</v>
      </c>
      <c r="F2487" s="61" t="s">
        <v>67</v>
      </c>
      <c r="G2487" s="62">
        <v>899947897</v>
      </c>
      <c r="H2487" s="61" t="s">
        <v>68</v>
      </c>
      <c r="I2487" s="63" t="str">
        <f t="shared" si="137"/>
        <v>Macau-Offline</v>
      </c>
      <c r="J2487" s="47"/>
      <c r="K2487" s="54"/>
      <c r="L2487" s="35"/>
      <c r="M2487" s="35"/>
      <c r="N2487" s="35"/>
      <c r="O2487" s="35"/>
      <c r="P2487" s="35"/>
      <c r="Q2487" s="35"/>
      <c r="R2487" s="35"/>
      <c r="S2487" s="35"/>
      <c r="T2487" s="35"/>
      <c r="U2487" s="35"/>
      <c r="V2487" s="35"/>
      <c r="W2487" s="35"/>
      <c r="X2487" s="35"/>
      <c r="Y2487" s="35"/>
      <c r="Z2487" s="35"/>
      <c r="AA2487" s="35"/>
      <c r="AB2487" s="35"/>
      <c r="AC2487" s="35"/>
      <c r="AD2487" s="35"/>
      <c r="AE2487" s="35"/>
      <c r="AF2487" s="35"/>
      <c r="AG2487" s="35"/>
      <c r="AH2487" s="35"/>
      <c r="AI2487" s="35"/>
      <c r="AJ2487" s="35"/>
      <c r="AK2487" s="35"/>
      <c r="AL2487" s="35"/>
      <c r="AM2487" s="35"/>
      <c r="AN2487" s="35"/>
      <c r="AO2487" s="35"/>
      <c r="AP2487" s="35"/>
    </row>
    <row r="2488" spans="1:42" ht="17.25" customHeight="1" x14ac:dyDescent="0.25">
      <c r="A2488" s="55">
        <v>2025</v>
      </c>
      <c r="B2488" s="56" t="s">
        <v>66</v>
      </c>
      <c r="C2488" s="56" t="s">
        <v>4</v>
      </c>
      <c r="D2488" s="56" t="s">
        <v>10</v>
      </c>
      <c r="E2488" s="56" t="s">
        <v>69</v>
      </c>
      <c r="F2488" s="56" t="s">
        <v>70</v>
      </c>
      <c r="G2488" s="57">
        <v>182716694</v>
      </c>
      <c r="H2488" s="56" t="s">
        <v>68</v>
      </c>
      <c r="I2488" s="58" t="str">
        <f t="shared" si="137"/>
        <v>Macau-Online Supplier-Direct</v>
      </c>
      <c r="J2488" s="40"/>
      <c r="K2488" s="59"/>
      <c r="L2488" s="35"/>
      <c r="M2488" s="35"/>
      <c r="N2488" s="35"/>
      <c r="O2488" s="35"/>
      <c r="P2488" s="35"/>
      <c r="Q2488" s="35"/>
      <c r="R2488" s="35"/>
      <c r="S2488" s="35"/>
      <c r="T2488" s="35"/>
      <c r="U2488" s="35"/>
      <c r="V2488" s="35"/>
      <c r="W2488" s="35"/>
      <c r="X2488" s="35"/>
      <c r="Y2488" s="35"/>
      <c r="Z2488" s="35"/>
      <c r="AA2488" s="35"/>
      <c r="AB2488" s="35"/>
      <c r="AC2488" s="35"/>
      <c r="AD2488" s="35"/>
      <c r="AE2488" s="35"/>
      <c r="AF2488" s="35"/>
      <c r="AG2488" s="35"/>
      <c r="AH2488" s="35"/>
      <c r="AI2488" s="35"/>
      <c r="AJ2488" s="35"/>
      <c r="AK2488" s="35"/>
      <c r="AL2488" s="35"/>
      <c r="AM2488" s="35"/>
      <c r="AN2488" s="35"/>
      <c r="AO2488" s="35"/>
      <c r="AP2488" s="35"/>
    </row>
    <row r="2489" spans="1:42" ht="17.25" customHeight="1" x14ac:dyDescent="0.25">
      <c r="A2489" s="60">
        <v>2025</v>
      </c>
      <c r="B2489" s="61" t="s">
        <v>66</v>
      </c>
      <c r="C2489" s="61" t="s">
        <v>4</v>
      </c>
      <c r="D2489" s="61" t="s">
        <v>10</v>
      </c>
      <c r="E2489" s="61" t="s">
        <v>69</v>
      </c>
      <c r="F2489" s="61" t="s">
        <v>71</v>
      </c>
      <c r="G2489" s="62">
        <v>1644450247</v>
      </c>
      <c r="H2489" s="61" t="s">
        <v>68</v>
      </c>
      <c r="I2489" s="63" t="str">
        <f t="shared" si="137"/>
        <v>Macau-OTA</v>
      </c>
      <c r="J2489" s="47"/>
      <c r="K2489" s="54"/>
      <c r="L2489" s="35"/>
      <c r="M2489" s="35"/>
      <c r="N2489" s="35"/>
      <c r="O2489" s="35"/>
      <c r="P2489" s="35"/>
      <c r="Q2489" s="35"/>
      <c r="R2489" s="35"/>
      <c r="S2489" s="35"/>
      <c r="T2489" s="35"/>
      <c r="U2489" s="35"/>
      <c r="V2489" s="35"/>
      <c r="W2489" s="35"/>
      <c r="X2489" s="35"/>
      <c r="Y2489" s="35"/>
      <c r="Z2489" s="35"/>
      <c r="AA2489" s="35"/>
      <c r="AB2489" s="35"/>
      <c r="AC2489" s="35"/>
      <c r="AD2489" s="35"/>
      <c r="AE2489" s="35"/>
      <c r="AF2489" s="35"/>
      <c r="AG2489" s="35"/>
      <c r="AH2489" s="35"/>
      <c r="AI2489" s="35"/>
      <c r="AJ2489" s="35"/>
      <c r="AK2489" s="35"/>
      <c r="AL2489" s="35"/>
      <c r="AM2489" s="35"/>
      <c r="AN2489" s="35"/>
      <c r="AO2489" s="35"/>
      <c r="AP2489" s="35"/>
    </row>
    <row r="2490" spans="1:42" ht="17.25" customHeight="1" x14ac:dyDescent="0.25">
      <c r="A2490" s="55">
        <v>2025</v>
      </c>
      <c r="B2490" s="56" t="s">
        <v>66</v>
      </c>
      <c r="C2490" s="56" t="s">
        <v>4</v>
      </c>
      <c r="D2490" s="56" t="s">
        <v>11</v>
      </c>
      <c r="E2490" s="56" t="s">
        <v>67</v>
      </c>
      <c r="F2490" s="56" t="s">
        <v>67</v>
      </c>
      <c r="G2490" s="57">
        <v>3347524352</v>
      </c>
      <c r="H2490" s="56" t="s">
        <v>68</v>
      </c>
      <c r="I2490" s="58" t="str">
        <f t="shared" si="137"/>
        <v>Malaysia-Offline</v>
      </c>
      <c r="J2490" s="40"/>
      <c r="K2490" s="59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  <c r="AA2490" s="35"/>
      <c r="AB2490" s="35"/>
      <c r="AC2490" s="35"/>
      <c r="AD2490" s="35"/>
      <c r="AE2490" s="35"/>
      <c r="AF2490" s="35"/>
      <c r="AG2490" s="35"/>
      <c r="AH2490" s="35"/>
      <c r="AI2490" s="35"/>
      <c r="AJ2490" s="35"/>
      <c r="AK2490" s="35"/>
      <c r="AL2490" s="35"/>
      <c r="AM2490" s="35"/>
      <c r="AN2490" s="35"/>
      <c r="AO2490" s="35"/>
      <c r="AP2490" s="35"/>
    </row>
    <row r="2491" spans="1:42" ht="17.25" customHeight="1" x14ac:dyDescent="0.25">
      <c r="A2491" s="60">
        <v>2025</v>
      </c>
      <c r="B2491" s="61" t="s">
        <v>66</v>
      </c>
      <c r="C2491" s="61" t="s">
        <v>4</v>
      </c>
      <c r="D2491" s="61" t="s">
        <v>11</v>
      </c>
      <c r="E2491" s="61" t="s">
        <v>69</v>
      </c>
      <c r="F2491" s="61" t="s">
        <v>70</v>
      </c>
      <c r="G2491" s="62">
        <v>6821451113</v>
      </c>
      <c r="H2491" s="61" t="s">
        <v>68</v>
      </c>
      <c r="I2491" s="63" t="str">
        <f t="shared" si="137"/>
        <v>Malaysia-Online Supplier-Direct</v>
      </c>
      <c r="J2491" s="47"/>
      <c r="K2491" s="54"/>
      <c r="L2491" s="35"/>
      <c r="M2491" s="35"/>
      <c r="N2491" s="35"/>
      <c r="O2491" s="35"/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  <c r="Z2491" s="35"/>
      <c r="AA2491" s="35"/>
      <c r="AB2491" s="35"/>
      <c r="AC2491" s="35"/>
      <c r="AD2491" s="35"/>
      <c r="AE2491" s="35"/>
      <c r="AF2491" s="35"/>
      <c r="AG2491" s="35"/>
      <c r="AH2491" s="35"/>
      <c r="AI2491" s="35"/>
      <c r="AJ2491" s="35"/>
      <c r="AK2491" s="35"/>
      <c r="AL2491" s="35"/>
      <c r="AM2491" s="35"/>
      <c r="AN2491" s="35"/>
      <c r="AO2491" s="35"/>
      <c r="AP2491" s="35"/>
    </row>
    <row r="2492" spans="1:42" ht="17.25" customHeight="1" x14ac:dyDescent="0.25">
      <c r="A2492" s="55">
        <v>2025</v>
      </c>
      <c r="B2492" s="56" t="s">
        <v>66</v>
      </c>
      <c r="C2492" s="56" t="s">
        <v>4</v>
      </c>
      <c r="D2492" s="56" t="s">
        <v>11</v>
      </c>
      <c r="E2492" s="56" t="s">
        <v>69</v>
      </c>
      <c r="F2492" s="56" t="s">
        <v>71</v>
      </c>
      <c r="G2492" s="57">
        <v>3558900760</v>
      </c>
      <c r="H2492" s="56" t="s">
        <v>68</v>
      </c>
      <c r="I2492" s="58" t="str">
        <f t="shared" si="137"/>
        <v>Malaysia-OTA</v>
      </c>
      <c r="J2492" s="40"/>
      <c r="K2492" s="59"/>
      <c r="L2492" s="35"/>
      <c r="M2492" s="35"/>
      <c r="N2492" s="35"/>
      <c r="O2492" s="35"/>
      <c r="P2492" s="35"/>
      <c r="Q2492" s="35"/>
      <c r="R2492" s="35"/>
      <c r="S2492" s="35"/>
      <c r="T2492" s="35"/>
      <c r="U2492" s="35"/>
      <c r="V2492" s="35"/>
      <c r="W2492" s="35"/>
      <c r="X2492" s="35"/>
      <c r="Y2492" s="35"/>
      <c r="Z2492" s="35"/>
      <c r="AA2492" s="35"/>
      <c r="AB2492" s="35"/>
      <c r="AC2492" s="35"/>
      <c r="AD2492" s="35"/>
      <c r="AE2492" s="35"/>
      <c r="AF2492" s="35"/>
      <c r="AG2492" s="35"/>
      <c r="AH2492" s="35"/>
      <c r="AI2492" s="35"/>
      <c r="AJ2492" s="35"/>
      <c r="AK2492" s="35"/>
      <c r="AL2492" s="35"/>
      <c r="AM2492" s="35"/>
      <c r="AN2492" s="35"/>
      <c r="AO2492" s="35"/>
      <c r="AP2492" s="35"/>
    </row>
    <row r="2493" spans="1:42" ht="17.25" customHeight="1" x14ac:dyDescent="0.25">
      <c r="A2493" s="60">
        <v>2025</v>
      </c>
      <c r="B2493" s="61" t="s">
        <v>66</v>
      </c>
      <c r="C2493" s="61" t="s">
        <v>35</v>
      </c>
      <c r="D2493" s="61" t="s">
        <v>39</v>
      </c>
      <c r="E2493" s="61" t="s">
        <v>67</v>
      </c>
      <c r="F2493" s="61" t="s">
        <v>67</v>
      </c>
      <c r="G2493" s="62">
        <v>16023697719</v>
      </c>
      <c r="H2493" s="61" t="s">
        <v>68</v>
      </c>
      <c r="I2493" s="63" t="str">
        <f t="shared" si="137"/>
        <v>Mexico-Offline</v>
      </c>
      <c r="J2493" s="47"/>
      <c r="K2493" s="54"/>
      <c r="L2493" s="35"/>
      <c r="M2493" s="35"/>
      <c r="N2493" s="35"/>
      <c r="O2493" s="35"/>
      <c r="P2493" s="35"/>
      <c r="Q2493" s="35"/>
      <c r="R2493" s="35"/>
      <c r="S2493" s="35"/>
      <c r="T2493" s="35"/>
      <c r="U2493" s="35"/>
      <c r="V2493" s="35"/>
      <c r="W2493" s="35"/>
      <c r="X2493" s="35"/>
      <c r="Y2493" s="35"/>
      <c r="Z2493" s="35"/>
      <c r="AA2493" s="35"/>
      <c r="AB2493" s="35"/>
      <c r="AC2493" s="35"/>
      <c r="AD2493" s="35"/>
      <c r="AE2493" s="35"/>
      <c r="AF2493" s="35"/>
      <c r="AG2493" s="35"/>
      <c r="AH2493" s="35"/>
      <c r="AI2493" s="35"/>
      <c r="AJ2493" s="35"/>
      <c r="AK2493" s="35"/>
      <c r="AL2493" s="35"/>
      <c r="AM2493" s="35"/>
      <c r="AN2493" s="35"/>
      <c r="AO2493" s="35"/>
      <c r="AP2493" s="35"/>
    </row>
    <row r="2494" spans="1:42" ht="17.25" customHeight="1" x14ac:dyDescent="0.25">
      <c r="A2494" s="55">
        <v>2025</v>
      </c>
      <c r="B2494" s="56" t="s">
        <v>66</v>
      </c>
      <c r="C2494" s="56" t="s">
        <v>35</v>
      </c>
      <c r="D2494" s="56" t="s">
        <v>39</v>
      </c>
      <c r="E2494" s="56" t="s">
        <v>69</v>
      </c>
      <c r="F2494" s="56" t="s">
        <v>70</v>
      </c>
      <c r="G2494" s="57">
        <v>8683804696</v>
      </c>
      <c r="H2494" s="56" t="s">
        <v>68</v>
      </c>
      <c r="I2494" s="58" t="str">
        <f t="shared" si="137"/>
        <v>Mexico-Online Supplier-Direct</v>
      </c>
      <c r="J2494" s="40"/>
      <c r="K2494" s="59"/>
      <c r="L2494" s="35"/>
      <c r="M2494" s="35"/>
      <c r="N2494" s="35"/>
      <c r="O2494" s="35"/>
      <c r="P2494" s="35"/>
      <c r="Q2494" s="35"/>
      <c r="R2494" s="35"/>
      <c r="S2494" s="35"/>
      <c r="T2494" s="35"/>
      <c r="U2494" s="35"/>
      <c r="V2494" s="35"/>
      <c r="W2494" s="35"/>
      <c r="X2494" s="35"/>
      <c r="Y2494" s="35"/>
      <c r="Z2494" s="35"/>
      <c r="AA2494" s="35"/>
      <c r="AB2494" s="35"/>
      <c r="AC2494" s="35"/>
      <c r="AD2494" s="35"/>
      <c r="AE2494" s="35"/>
      <c r="AF2494" s="35"/>
      <c r="AG2494" s="35"/>
      <c r="AH2494" s="35"/>
      <c r="AI2494" s="35"/>
      <c r="AJ2494" s="35"/>
      <c r="AK2494" s="35"/>
      <c r="AL2494" s="35"/>
      <c r="AM2494" s="35"/>
      <c r="AN2494" s="35"/>
      <c r="AO2494" s="35"/>
      <c r="AP2494" s="35"/>
    </row>
    <row r="2495" spans="1:42" ht="17.25" customHeight="1" x14ac:dyDescent="0.25">
      <c r="A2495" s="60">
        <v>2025</v>
      </c>
      <c r="B2495" s="61" t="s">
        <v>66</v>
      </c>
      <c r="C2495" s="61" t="s">
        <v>35</v>
      </c>
      <c r="D2495" s="61" t="s">
        <v>39</v>
      </c>
      <c r="E2495" s="61" t="s">
        <v>69</v>
      </c>
      <c r="F2495" s="61" t="s">
        <v>71</v>
      </c>
      <c r="G2495" s="62">
        <v>8952075200</v>
      </c>
      <c r="H2495" s="61" t="s">
        <v>68</v>
      </c>
      <c r="I2495" s="63" t="str">
        <f t="shared" si="137"/>
        <v>Mexico-OTA</v>
      </c>
      <c r="J2495" s="47"/>
      <c r="K2495" s="54"/>
      <c r="L2495" s="35"/>
      <c r="M2495" s="35"/>
      <c r="N2495" s="35"/>
      <c r="O2495" s="35"/>
      <c r="P2495" s="35"/>
      <c r="Q2495" s="35"/>
      <c r="R2495" s="35"/>
      <c r="S2495" s="35"/>
      <c r="T2495" s="35"/>
      <c r="U2495" s="35"/>
      <c r="V2495" s="35"/>
      <c r="W2495" s="35"/>
      <c r="X2495" s="35"/>
      <c r="Y2495" s="35"/>
      <c r="Z2495" s="35"/>
      <c r="AA2495" s="35"/>
      <c r="AB2495" s="35"/>
      <c r="AC2495" s="35"/>
      <c r="AD2495" s="35"/>
      <c r="AE2495" s="35"/>
      <c r="AF2495" s="35"/>
      <c r="AG2495" s="35"/>
      <c r="AH2495" s="35"/>
      <c r="AI2495" s="35"/>
      <c r="AJ2495" s="35"/>
      <c r="AK2495" s="35"/>
      <c r="AL2495" s="35"/>
      <c r="AM2495" s="35"/>
      <c r="AN2495" s="35"/>
      <c r="AO2495" s="35"/>
      <c r="AP2495" s="35"/>
    </row>
    <row r="2496" spans="1:42" ht="17.25" customHeight="1" x14ac:dyDescent="0.25">
      <c r="A2496" s="55">
        <v>2025</v>
      </c>
      <c r="B2496" s="56" t="s">
        <v>66</v>
      </c>
      <c r="C2496" s="56" t="s">
        <v>17</v>
      </c>
      <c r="D2496" s="56" t="s">
        <v>21</v>
      </c>
      <c r="E2496" s="56" t="s">
        <v>67</v>
      </c>
      <c r="F2496" s="56" t="s">
        <v>67</v>
      </c>
      <c r="G2496" s="57">
        <v>3107875094</v>
      </c>
      <c r="H2496" s="56" t="s">
        <v>68</v>
      </c>
      <c r="I2496" s="58" t="str">
        <f t="shared" si="137"/>
        <v>Poland-Offline</v>
      </c>
      <c r="J2496" s="40"/>
      <c r="K2496" s="59"/>
      <c r="L2496" s="35"/>
      <c r="M2496" s="35"/>
      <c r="N2496" s="35"/>
      <c r="O2496" s="35"/>
      <c r="P2496" s="35"/>
      <c r="Q2496" s="35"/>
      <c r="R2496" s="35"/>
      <c r="S2496" s="35"/>
      <c r="T2496" s="35"/>
      <c r="U2496" s="35"/>
      <c r="V2496" s="35"/>
      <c r="W2496" s="35"/>
      <c r="X2496" s="35"/>
      <c r="Y2496" s="35"/>
      <c r="Z2496" s="35"/>
      <c r="AA2496" s="35"/>
      <c r="AB2496" s="35"/>
      <c r="AC2496" s="35"/>
      <c r="AD2496" s="35"/>
      <c r="AE2496" s="35"/>
      <c r="AF2496" s="35"/>
      <c r="AG2496" s="35"/>
      <c r="AH2496" s="35"/>
      <c r="AI2496" s="35"/>
      <c r="AJ2496" s="35"/>
      <c r="AK2496" s="35"/>
      <c r="AL2496" s="35"/>
      <c r="AM2496" s="35"/>
      <c r="AN2496" s="35"/>
      <c r="AO2496" s="35"/>
      <c r="AP2496" s="35"/>
    </row>
    <row r="2497" spans="1:42" ht="17.25" customHeight="1" x14ac:dyDescent="0.25">
      <c r="A2497" s="60">
        <v>2025</v>
      </c>
      <c r="B2497" s="61" t="s">
        <v>66</v>
      </c>
      <c r="C2497" s="61" t="s">
        <v>17</v>
      </c>
      <c r="D2497" s="61" t="s">
        <v>21</v>
      </c>
      <c r="E2497" s="61" t="s">
        <v>69</v>
      </c>
      <c r="F2497" s="61" t="s">
        <v>70</v>
      </c>
      <c r="G2497" s="62">
        <v>2342874872</v>
      </c>
      <c r="H2497" s="61" t="s">
        <v>68</v>
      </c>
      <c r="I2497" s="63" t="str">
        <f t="shared" si="137"/>
        <v>Poland-Online Supplier-Direct</v>
      </c>
      <c r="J2497" s="47"/>
      <c r="K2497" s="54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  <c r="AG2497" s="35"/>
      <c r="AH2497" s="35"/>
      <c r="AI2497" s="35"/>
      <c r="AJ2497" s="35"/>
      <c r="AK2497" s="35"/>
      <c r="AL2497" s="35"/>
      <c r="AM2497" s="35"/>
      <c r="AN2497" s="35"/>
      <c r="AO2497" s="35"/>
      <c r="AP2497" s="35"/>
    </row>
    <row r="2498" spans="1:42" ht="17.25" customHeight="1" x14ac:dyDescent="0.25">
      <c r="A2498" s="55">
        <v>2025</v>
      </c>
      <c r="B2498" s="56" t="s">
        <v>66</v>
      </c>
      <c r="C2498" s="56" t="s">
        <v>17</v>
      </c>
      <c r="D2498" s="56" t="s">
        <v>21</v>
      </c>
      <c r="E2498" s="56" t="s">
        <v>69</v>
      </c>
      <c r="F2498" s="56" t="s">
        <v>71</v>
      </c>
      <c r="G2498" s="57">
        <v>1828476825</v>
      </c>
      <c r="H2498" s="56" t="s">
        <v>68</v>
      </c>
      <c r="I2498" s="58" t="str">
        <f t="shared" si="137"/>
        <v>Poland-OTA</v>
      </c>
      <c r="J2498" s="40"/>
      <c r="K2498" s="59"/>
      <c r="L2498" s="35"/>
      <c r="M2498" s="35"/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  <c r="Z2498" s="35"/>
      <c r="AA2498" s="35"/>
      <c r="AB2498" s="35"/>
      <c r="AC2498" s="35"/>
      <c r="AD2498" s="35"/>
      <c r="AE2498" s="35"/>
      <c r="AF2498" s="35"/>
      <c r="AG2498" s="35"/>
      <c r="AH2498" s="35"/>
      <c r="AI2498" s="35"/>
      <c r="AJ2498" s="35"/>
      <c r="AK2498" s="35"/>
      <c r="AL2498" s="35"/>
      <c r="AM2498" s="35"/>
      <c r="AN2498" s="35"/>
      <c r="AO2498" s="35"/>
      <c r="AP2498" s="35"/>
    </row>
    <row r="2499" spans="1:42" ht="17.25" customHeight="1" x14ac:dyDescent="0.25">
      <c r="A2499" s="60">
        <v>2025</v>
      </c>
      <c r="B2499" s="61" t="s">
        <v>66</v>
      </c>
      <c r="C2499" s="61" t="s">
        <v>41</v>
      </c>
      <c r="D2499" s="61" t="s">
        <v>42</v>
      </c>
      <c r="E2499" s="61" t="s">
        <v>67</v>
      </c>
      <c r="F2499" s="61" t="s">
        <v>67</v>
      </c>
      <c r="G2499" s="62">
        <v>9939558827</v>
      </c>
      <c r="H2499" s="61" t="s">
        <v>68</v>
      </c>
      <c r="I2499" s="63" t="str">
        <f t="shared" si="137"/>
        <v>Qatar-Offline</v>
      </c>
      <c r="J2499" s="47"/>
      <c r="K2499" s="54"/>
      <c r="L2499" s="35"/>
      <c r="M2499" s="35"/>
      <c r="N2499" s="35"/>
      <c r="O2499" s="35"/>
      <c r="P2499" s="35"/>
      <c r="Q2499" s="35"/>
      <c r="R2499" s="35"/>
      <c r="S2499" s="35"/>
      <c r="T2499" s="35"/>
      <c r="U2499" s="35"/>
      <c r="V2499" s="35"/>
      <c r="W2499" s="35"/>
      <c r="X2499" s="35"/>
      <c r="Y2499" s="35"/>
      <c r="Z2499" s="35"/>
      <c r="AA2499" s="35"/>
      <c r="AB2499" s="35"/>
      <c r="AC2499" s="35"/>
      <c r="AD2499" s="35"/>
      <c r="AE2499" s="35"/>
      <c r="AF2499" s="35"/>
      <c r="AG2499" s="35"/>
      <c r="AH2499" s="35"/>
      <c r="AI2499" s="35"/>
      <c r="AJ2499" s="35"/>
      <c r="AK2499" s="35"/>
      <c r="AL2499" s="35"/>
      <c r="AM2499" s="35"/>
      <c r="AN2499" s="35"/>
      <c r="AO2499" s="35"/>
      <c r="AP2499" s="35"/>
    </row>
    <row r="2500" spans="1:42" ht="17.25" customHeight="1" x14ac:dyDescent="0.25">
      <c r="A2500" s="55">
        <v>2025</v>
      </c>
      <c r="B2500" s="56" t="s">
        <v>66</v>
      </c>
      <c r="C2500" s="56" t="s">
        <v>41</v>
      </c>
      <c r="D2500" s="56" t="s">
        <v>42</v>
      </c>
      <c r="E2500" s="56" t="s">
        <v>69</v>
      </c>
      <c r="F2500" s="56" t="s">
        <v>70</v>
      </c>
      <c r="G2500" s="57">
        <v>6592759065</v>
      </c>
      <c r="H2500" s="56" t="s">
        <v>68</v>
      </c>
      <c r="I2500" s="58" t="str">
        <f t="shared" si="137"/>
        <v>Qatar-Online Supplier-Direct</v>
      </c>
      <c r="J2500" s="40"/>
      <c r="K2500" s="59"/>
      <c r="L2500" s="35"/>
      <c r="M2500" s="35"/>
      <c r="N2500" s="35"/>
      <c r="O2500" s="35"/>
      <c r="P2500" s="35"/>
      <c r="Q2500" s="35"/>
      <c r="R2500" s="35"/>
      <c r="S2500" s="35"/>
      <c r="T2500" s="35"/>
      <c r="U2500" s="35"/>
      <c r="V2500" s="35"/>
      <c r="W2500" s="35"/>
      <c r="X2500" s="35"/>
      <c r="Y2500" s="35"/>
      <c r="Z2500" s="35"/>
      <c r="AA2500" s="35"/>
      <c r="AB2500" s="35"/>
      <c r="AC2500" s="35"/>
      <c r="AD2500" s="35"/>
      <c r="AE2500" s="35"/>
      <c r="AF2500" s="35"/>
      <c r="AG2500" s="35"/>
      <c r="AH2500" s="35"/>
      <c r="AI2500" s="35"/>
      <c r="AJ2500" s="35"/>
      <c r="AK2500" s="35"/>
      <c r="AL2500" s="35"/>
      <c r="AM2500" s="35"/>
      <c r="AN2500" s="35"/>
      <c r="AO2500" s="35"/>
      <c r="AP2500" s="35"/>
    </row>
    <row r="2501" spans="1:42" ht="17.25" customHeight="1" x14ac:dyDescent="0.25">
      <c r="A2501" s="60">
        <v>2025</v>
      </c>
      <c r="B2501" s="61" t="s">
        <v>66</v>
      </c>
      <c r="C2501" s="61" t="s">
        <v>41</v>
      </c>
      <c r="D2501" s="61" t="s">
        <v>42</v>
      </c>
      <c r="E2501" s="61" t="s">
        <v>69</v>
      </c>
      <c r="F2501" s="61" t="s">
        <v>71</v>
      </c>
      <c r="G2501" s="62">
        <v>1898146375</v>
      </c>
      <c r="H2501" s="61" t="s">
        <v>68</v>
      </c>
      <c r="I2501" s="63" t="str">
        <f t="shared" si="137"/>
        <v>Qatar-OTA</v>
      </c>
      <c r="J2501" s="47"/>
      <c r="K2501" s="54"/>
      <c r="L2501" s="35"/>
      <c r="M2501" s="35"/>
      <c r="N2501" s="35"/>
      <c r="O2501" s="35"/>
      <c r="P2501" s="35"/>
      <c r="Q2501" s="35"/>
      <c r="R2501" s="35"/>
      <c r="S2501" s="35"/>
      <c r="T2501" s="35"/>
      <c r="U2501" s="35"/>
      <c r="V2501" s="35"/>
      <c r="W2501" s="35"/>
      <c r="X2501" s="35"/>
      <c r="Y2501" s="35"/>
      <c r="Z2501" s="35"/>
      <c r="AA2501" s="35"/>
      <c r="AB2501" s="35"/>
      <c r="AC2501" s="35"/>
      <c r="AD2501" s="35"/>
      <c r="AE2501" s="35"/>
      <c r="AF2501" s="35"/>
      <c r="AG2501" s="35"/>
      <c r="AH2501" s="35"/>
      <c r="AI2501" s="35"/>
      <c r="AJ2501" s="35"/>
      <c r="AK2501" s="35"/>
      <c r="AL2501" s="35"/>
      <c r="AM2501" s="35"/>
      <c r="AN2501" s="35"/>
      <c r="AO2501" s="35"/>
      <c r="AP2501" s="35"/>
    </row>
    <row r="2502" spans="1:42" ht="17.25" customHeight="1" x14ac:dyDescent="0.25">
      <c r="A2502" s="55">
        <v>2025</v>
      </c>
      <c r="B2502" s="56" t="s">
        <v>66</v>
      </c>
      <c r="C2502" s="56" t="s">
        <v>17</v>
      </c>
      <c r="D2502" s="56" t="s">
        <v>22</v>
      </c>
      <c r="E2502" s="56" t="s">
        <v>67</v>
      </c>
      <c r="F2502" s="56" t="s">
        <v>67</v>
      </c>
      <c r="G2502" s="57">
        <v>1047391113</v>
      </c>
      <c r="H2502" s="56" t="s">
        <v>68</v>
      </c>
      <c r="I2502" s="58" t="str">
        <f t="shared" si="137"/>
        <v>Rest of Eastern Europe-Offline</v>
      </c>
      <c r="J2502" s="40"/>
      <c r="K2502" s="59"/>
      <c r="L2502" s="35"/>
      <c r="M2502" s="35"/>
      <c r="N2502" s="35"/>
      <c r="O2502" s="35"/>
      <c r="P2502" s="35"/>
      <c r="Q2502" s="35"/>
      <c r="R2502" s="35"/>
      <c r="S2502" s="35"/>
      <c r="T2502" s="35"/>
      <c r="U2502" s="35"/>
      <c r="V2502" s="35"/>
      <c r="W2502" s="35"/>
      <c r="X2502" s="35"/>
      <c r="Y2502" s="35"/>
      <c r="Z2502" s="35"/>
      <c r="AA2502" s="35"/>
      <c r="AB2502" s="35"/>
      <c r="AC2502" s="35"/>
      <c r="AD2502" s="35"/>
      <c r="AE2502" s="35"/>
      <c r="AF2502" s="35"/>
      <c r="AG2502" s="35"/>
      <c r="AH2502" s="35"/>
      <c r="AI2502" s="35"/>
      <c r="AJ2502" s="35"/>
      <c r="AK2502" s="35"/>
      <c r="AL2502" s="35"/>
      <c r="AM2502" s="35"/>
      <c r="AN2502" s="35"/>
      <c r="AO2502" s="35"/>
      <c r="AP2502" s="35"/>
    </row>
    <row r="2503" spans="1:42" ht="17.25" customHeight="1" x14ac:dyDescent="0.25">
      <c r="A2503" s="60">
        <v>2025</v>
      </c>
      <c r="B2503" s="61" t="s">
        <v>66</v>
      </c>
      <c r="C2503" s="61" t="s">
        <v>17</v>
      </c>
      <c r="D2503" s="61" t="s">
        <v>22</v>
      </c>
      <c r="E2503" s="61" t="s">
        <v>69</v>
      </c>
      <c r="F2503" s="61" t="s">
        <v>70</v>
      </c>
      <c r="G2503" s="62">
        <v>1196733505</v>
      </c>
      <c r="H2503" s="61" t="s">
        <v>68</v>
      </c>
      <c r="I2503" s="63" t="str">
        <f t="shared" si="137"/>
        <v>Rest of Eastern Europe-Online Supplier-Direct</v>
      </c>
      <c r="J2503" s="47"/>
      <c r="K2503" s="54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  <c r="AG2503" s="35"/>
      <c r="AH2503" s="35"/>
      <c r="AI2503" s="35"/>
      <c r="AJ2503" s="35"/>
      <c r="AK2503" s="35"/>
      <c r="AL2503" s="35"/>
      <c r="AM2503" s="35"/>
      <c r="AN2503" s="35"/>
      <c r="AO2503" s="35"/>
      <c r="AP2503" s="35"/>
    </row>
    <row r="2504" spans="1:42" ht="17.25" customHeight="1" x14ac:dyDescent="0.25">
      <c r="A2504" s="55">
        <v>2025</v>
      </c>
      <c r="B2504" s="56" t="s">
        <v>66</v>
      </c>
      <c r="C2504" s="56" t="s">
        <v>17</v>
      </c>
      <c r="D2504" s="56" t="s">
        <v>22</v>
      </c>
      <c r="E2504" s="56" t="s">
        <v>69</v>
      </c>
      <c r="F2504" s="56" t="s">
        <v>71</v>
      </c>
      <c r="G2504" s="57">
        <v>885272894</v>
      </c>
      <c r="H2504" s="56" t="s">
        <v>68</v>
      </c>
      <c r="I2504" s="58" t="str">
        <f t="shared" si="137"/>
        <v>Rest of Eastern Europe-OTA</v>
      </c>
      <c r="J2504" s="40"/>
      <c r="K2504" s="59"/>
      <c r="L2504" s="35"/>
      <c r="M2504" s="35"/>
      <c r="N2504" s="35"/>
      <c r="O2504" s="35"/>
      <c r="P2504" s="35"/>
      <c r="Q2504" s="35"/>
      <c r="R2504" s="35"/>
      <c r="S2504" s="35"/>
      <c r="T2504" s="35"/>
      <c r="U2504" s="35"/>
      <c r="V2504" s="35"/>
      <c r="W2504" s="35"/>
      <c r="X2504" s="35"/>
      <c r="Y2504" s="35"/>
      <c r="Z2504" s="35"/>
      <c r="AA2504" s="35"/>
      <c r="AB2504" s="35"/>
      <c r="AC2504" s="35"/>
      <c r="AD2504" s="35"/>
      <c r="AE2504" s="35"/>
      <c r="AF2504" s="35"/>
      <c r="AG2504" s="35"/>
      <c r="AH2504" s="35"/>
      <c r="AI2504" s="35"/>
      <c r="AJ2504" s="35"/>
      <c r="AK2504" s="35"/>
      <c r="AL2504" s="35"/>
      <c r="AM2504" s="35"/>
      <c r="AN2504" s="35"/>
      <c r="AO2504" s="35"/>
      <c r="AP2504" s="35"/>
    </row>
    <row r="2505" spans="1:42" ht="17.25" customHeight="1" x14ac:dyDescent="0.25">
      <c r="A2505" s="60">
        <v>2025</v>
      </c>
      <c r="B2505" s="61" t="s">
        <v>66</v>
      </c>
      <c r="C2505" s="61" t="s">
        <v>27</v>
      </c>
      <c r="D2505" s="61" t="s">
        <v>30</v>
      </c>
      <c r="E2505" s="61" t="s">
        <v>67</v>
      </c>
      <c r="F2505" s="61" t="s">
        <v>67</v>
      </c>
      <c r="G2505" s="62">
        <v>25775222382</v>
      </c>
      <c r="H2505" s="61" t="s">
        <v>68</v>
      </c>
      <c r="I2505" s="63" t="str">
        <f t="shared" si="137"/>
        <v>Rest of Europe-Offline</v>
      </c>
      <c r="J2505" s="47"/>
      <c r="K2505" s="54"/>
      <c r="L2505" s="35"/>
      <c r="M2505" s="35"/>
      <c r="N2505" s="35"/>
      <c r="O2505" s="35"/>
      <c r="P2505" s="35"/>
      <c r="Q2505" s="35"/>
      <c r="R2505" s="35"/>
      <c r="S2505" s="35"/>
      <c r="T2505" s="35"/>
      <c r="U2505" s="35"/>
      <c r="V2505" s="35"/>
      <c r="W2505" s="35"/>
      <c r="X2505" s="35"/>
      <c r="Y2505" s="35"/>
      <c r="Z2505" s="35"/>
      <c r="AA2505" s="35"/>
      <c r="AB2505" s="35"/>
      <c r="AC2505" s="35"/>
      <c r="AD2505" s="35"/>
      <c r="AE2505" s="35"/>
      <c r="AF2505" s="35"/>
      <c r="AG2505" s="35"/>
      <c r="AH2505" s="35"/>
      <c r="AI2505" s="35"/>
      <c r="AJ2505" s="35"/>
      <c r="AK2505" s="35"/>
      <c r="AL2505" s="35"/>
      <c r="AM2505" s="35"/>
      <c r="AN2505" s="35"/>
      <c r="AO2505" s="35"/>
      <c r="AP2505" s="35"/>
    </row>
    <row r="2506" spans="1:42" ht="17.25" customHeight="1" x14ac:dyDescent="0.25">
      <c r="A2506" s="55">
        <v>2025</v>
      </c>
      <c r="B2506" s="56" t="s">
        <v>66</v>
      </c>
      <c r="C2506" s="56" t="s">
        <v>27</v>
      </c>
      <c r="D2506" s="56" t="s">
        <v>30</v>
      </c>
      <c r="E2506" s="56" t="s">
        <v>69</v>
      </c>
      <c r="F2506" s="56" t="s">
        <v>70</v>
      </c>
      <c r="G2506" s="57">
        <v>44044947157</v>
      </c>
      <c r="H2506" s="56" t="s">
        <v>68</v>
      </c>
      <c r="I2506" s="58" t="str">
        <f t="shared" si="137"/>
        <v>Rest of Europe-Online Supplier-Direct</v>
      </c>
      <c r="J2506" s="40"/>
      <c r="K2506" s="59"/>
      <c r="L2506" s="35"/>
      <c r="M2506" s="35"/>
      <c r="N2506" s="35"/>
      <c r="O2506" s="35"/>
      <c r="P2506" s="35"/>
      <c r="Q2506" s="35"/>
      <c r="R2506" s="35"/>
      <c r="S2506" s="35"/>
      <c r="T2506" s="35"/>
      <c r="U2506" s="35"/>
      <c r="V2506" s="35"/>
      <c r="W2506" s="35"/>
      <c r="X2506" s="35"/>
      <c r="Y2506" s="35"/>
      <c r="Z2506" s="35"/>
      <c r="AA2506" s="35"/>
      <c r="AB2506" s="35"/>
      <c r="AC2506" s="35"/>
      <c r="AD2506" s="35"/>
      <c r="AE2506" s="35"/>
      <c r="AF2506" s="35"/>
      <c r="AG2506" s="35"/>
      <c r="AH2506" s="35"/>
      <c r="AI2506" s="35"/>
      <c r="AJ2506" s="35"/>
      <c r="AK2506" s="35"/>
      <c r="AL2506" s="35"/>
      <c r="AM2506" s="35"/>
      <c r="AN2506" s="35"/>
      <c r="AO2506" s="35"/>
      <c r="AP2506" s="35"/>
    </row>
    <row r="2507" spans="1:42" ht="17.25" customHeight="1" x14ac:dyDescent="0.25">
      <c r="A2507" s="60">
        <v>2025</v>
      </c>
      <c r="B2507" s="61" t="s">
        <v>66</v>
      </c>
      <c r="C2507" s="61" t="s">
        <v>27</v>
      </c>
      <c r="D2507" s="61" t="s">
        <v>30</v>
      </c>
      <c r="E2507" s="61" t="s">
        <v>69</v>
      </c>
      <c r="F2507" s="61" t="s">
        <v>71</v>
      </c>
      <c r="G2507" s="62">
        <v>14594981187</v>
      </c>
      <c r="H2507" s="61" t="s">
        <v>68</v>
      </c>
      <c r="I2507" s="63" t="str">
        <f t="shared" si="137"/>
        <v>Rest of Europe-OTA</v>
      </c>
      <c r="J2507" s="47"/>
      <c r="K2507" s="54"/>
      <c r="L2507" s="35"/>
      <c r="M2507" s="35"/>
      <c r="N2507" s="35"/>
      <c r="O2507" s="35"/>
      <c r="P2507" s="35"/>
      <c r="Q2507" s="35"/>
      <c r="R2507" s="35"/>
      <c r="S2507" s="35"/>
      <c r="T2507" s="35"/>
      <c r="U2507" s="35"/>
      <c r="V2507" s="35"/>
      <c r="W2507" s="35"/>
      <c r="X2507" s="35"/>
      <c r="Y2507" s="35"/>
      <c r="Z2507" s="35"/>
      <c r="AA2507" s="35"/>
      <c r="AB2507" s="35"/>
      <c r="AC2507" s="35"/>
      <c r="AD2507" s="35"/>
      <c r="AE2507" s="35"/>
      <c r="AF2507" s="35"/>
      <c r="AG2507" s="35"/>
      <c r="AH2507" s="35"/>
      <c r="AI2507" s="35"/>
      <c r="AJ2507" s="35"/>
      <c r="AK2507" s="35"/>
      <c r="AL2507" s="35"/>
      <c r="AM2507" s="35"/>
      <c r="AN2507" s="35"/>
      <c r="AO2507" s="35"/>
      <c r="AP2507" s="35"/>
    </row>
    <row r="2508" spans="1:42" ht="17.25" customHeight="1" x14ac:dyDescent="0.25">
      <c r="A2508" s="55">
        <v>2025</v>
      </c>
      <c r="B2508" s="56" t="s">
        <v>66</v>
      </c>
      <c r="C2508" s="56" t="s">
        <v>41</v>
      </c>
      <c r="D2508" s="56" t="s">
        <v>43</v>
      </c>
      <c r="E2508" s="56" t="s">
        <v>67</v>
      </c>
      <c r="F2508" s="56" t="s">
        <v>67</v>
      </c>
      <c r="G2508" s="57">
        <v>7195198800</v>
      </c>
      <c r="H2508" s="56" t="s">
        <v>68</v>
      </c>
      <c r="I2508" s="58" t="str">
        <f t="shared" si="137"/>
        <v>Rest of Middle East-Offline</v>
      </c>
      <c r="J2508" s="40"/>
      <c r="K2508" s="59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  <c r="AG2508" s="35"/>
      <c r="AH2508" s="35"/>
      <c r="AI2508" s="35"/>
      <c r="AJ2508" s="35"/>
      <c r="AK2508" s="35"/>
      <c r="AL2508" s="35"/>
      <c r="AM2508" s="35"/>
      <c r="AN2508" s="35"/>
      <c r="AO2508" s="35"/>
      <c r="AP2508" s="35"/>
    </row>
    <row r="2509" spans="1:42" ht="17.25" customHeight="1" x14ac:dyDescent="0.25">
      <c r="A2509" s="60">
        <v>2025</v>
      </c>
      <c r="B2509" s="61" t="s">
        <v>66</v>
      </c>
      <c r="C2509" s="61" t="s">
        <v>41</v>
      </c>
      <c r="D2509" s="61" t="s">
        <v>43</v>
      </c>
      <c r="E2509" s="61" t="s">
        <v>69</v>
      </c>
      <c r="F2509" s="61" t="s">
        <v>70</v>
      </c>
      <c r="G2509" s="62">
        <v>3185398417</v>
      </c>
      <c r="H2509" s="61" t="s">
        <v>68</v>
      </c>
      <c r="I2509" s="63" t="str">
        <f t="shared" si="137"/>
        <v>Rest of Middle East-Online Supplier-Direct</v>
      </c>
      <c r="J2509" s="47"/>
      <c r="K2509" s="54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  <c r="AB2509" s="35"/>
      <c r="AC2509" s="35"/>
      <c r="AD2509" s="35"/>
      <c r="AE2509" s="35"/>
      <c r="AF2509" s="35"/>
      <c r="AG2509" s="35"/>
      <c r="AH2509" s="35"/>
      <c r="AI2509" s="35"/>
      <c r="AJ2509" s="35"/>
      <c r="AK2509" s="35"/>
      <c r="AL2509" s="35"/>
      <c r="AM2509" s="35"/>
      <c r="AN2509" s="35"/>
      <c r="AO2509" s="35"/>
      <c r="AP2509" s="35"/>
    </row>
    <row r="2510" spans="1:42" ht="17.25" customHeight="1" x14ac:dyDescent="0.25">
      <c r="A2510" s="55">
        <v>2025</v>
      </c>
      <c r="B2510" s="56" t="s">
        <v>66</v>
      </c>
      <c r="C2510" s="56" t="s">
        <v>41</v>
      </c>
      <c r="D2510" s="56" t="s">
        <v>43</v>
      </c>
      <c r="E2510" s="56" t="s">
        <v>69</v>
      </c>
      <c r="F2510" s="56" t="s">
        <v>71</v>
      </c>
      <c r="G2510" s="57">
        <v>2654519306</v>
      </c>
      <c r="H2510" s="56" t="s">
        <v>68</v>
      </c>
      <c r="I2510" s="58" t="str">
        <f t="shared" si="137"/>
        <v>Rest of Middle East-OTA</v>
      </c>
      <c r="J2510" s="40"/>
      <c r="K2510" s="59"/>
      <c r="L2510" s="35"/>
      <c r="M2510" s="35"/>
      <c r="N2510" s="35"/>
      <c r="O2510" s="35"/>
      <c r="P2510" s="35"/>
      <c r="Q2510" s="35"/>
      <c r="R2510" s="35"/>
      <c r="S2510" s="35"/>
      <c r="T2510" s="35"/>
      <c r="U2510" s="35"/>
      <c r="V2510" s="35"/>
      <c r="W2510" s="35"/>
      <c r="X2510" s="35"/>
      <c r="Y2510" s="35"/>
      <c r="Z2510" s="35"/>
      <c r="AA2510" s="35"/>
      <c r="AB2510" s="35"/>
      <c r="AC2510" s="35"/>
      <c r="AD2510" s="35"/>
      <c r="AE2510" s="35"/>
      <c r="AF2510" s="35"/>
      <c r="AG2510" s="35"/>
      <c r="AH2510" s="35"/>
      <c r="AI2510" s="35"/>
      <c r="AJ2510" s="35"/>
      <c r="AK2510" s="35"/>
      <c r="AL2510" s="35"/>
      <c r="AM2510" s="35"/>
      <c r="AN2510" s="35"/>
      <c r="AO2510" s="35"/>
      <c r="AP2510" s="35"/>
    </row>
    <row r="2511" spans="1:42" ht="17.25" customHeight="1" x14ac:dyDescent="0.25">
      <c r="A2511" s="60">
        <v>2025</v>
      </c>
      <c r="B2511" s="61" t="s">
        <v>66</v>
      </c>
      <c r="C2511" s="61" t="s">
        <v>17</v>
      </c>
      <c r="D2511" s="61" t="s">
        <v>23</v>
      </c>
      <c r="E2511" s="61" t="s">
        <v>67</v>
      </c>
      <c r="F2511" s="61" t="s">
        <v>67</v>
      </c>
      <c r="G2511" s="62">
        <v>1052582448</v>
      </c>
      <c r="H2511" s="61" t="s">
        <v>68</v>
      </c>
      <c r="I2511" s="63" t="str">
        <f t="shared" si="137"/>
        <v>Romania-Offline</v>
      </c>
      <c r="J2511" s="47"/>
      <c r="K2511" s="54"/>
      <c r="L2511" s="35"/>
      <c r="M2511" s="35"/>
      <c r="N2511" s="35"/>
      <c r="O2511" s="35"/>
      <c r="P2511" s="35"/>
      <c r="Q2511" s="35"/>
      <c r="R2511" s="35"/>
      <c r="S2511" s="35"/>
      <c r="T2511" s="35"/>
      <c r="U2511" s="35"/>
      <c r="V2511" s="35"/>
      <c r="W2511" s="35"/>
      <c r="X2511" s="35"/>
      <c r="Y2511" s="35"/>
      <c r="Z2511" s="35"/>
      <c r="AA2511" s="35"/>
      <c r="AB2511" s="35"/>
      <c r="AC2511" s="35"/>
      <c r="AD2511" s="35"/>
      <c r="AE2511" s="35"/>
      <c r="AF2511" s="35"/>
      <c r="AG2511" s="35"/>
      <c r="AH2511" s="35"/>
      <c r="AI2511" s="35"/>
      <c r="AJ2511" s="35"/>
      <c r="AK2511" s="35"/>
      <c r="AL2511" s="35"/>
      <c r="AM2511" s="35"/>
      <c r="AN2511" s="35"/>
      <c r="AO2511" s="35"/>
      <c r="AP2511" s="35"/>
    </row>
    <row r="2512" spans="1:42" ht="17.25" customHeight="1" x14ac:dyDescent="0.25">
      <c r="A2512" s="55">
        <v>2025</v>
      </c>
      <c r="B2512" s="56" t="s">
        <v>66</v>
      </c>
      <c r="C2512" s="56" t="s">
        <v>17</v>
      </c>
      <c r="D2512" s="56" t="s">
        <v>23</v>
      </c>
      <c r="E2512" s="56" t="s">
        <v>69</v>
      </c>
      <c r="F2512" s="56" t="s">
        <v>70</v>
      </c>
      <c r="G2512" s="57">
        <v>511016835</v>
      </c>
      <c r="H2512" s="56" t="s">
        <v>68</v>
      </c>
      <c r="I2512" s="58" t="str">
        <f t="shared" si="137"/>
        <v>Romania-Online Supplier-Direct</v>
      </c>
      <c r="J2512" s="40"/>
      <c r="K2512" s="59"/>
      <c r="L2512" s="35"/>
      <c r="M2512" s="35"/>
      <c r="N2512" s="35"/>
      <c r="O2512" s="35"/>
      <c r="P2512" s="35"/>
      <c r="Q2512" s="35"/>
      <c r="R2512" s="35"/>
      <c r="S2512" s="35"/>
      <c r="T2512" s="35"/>
      <c r="U2512" s="35"/>
      <c r="V2512" s="35"/>
      <c r="W2512" s="35"/>
      <c r="X2512" s="35"/>
      <c r="Y2512" s="35"/>
      <c r="Z2512" s="35"/>
      <c r="AA2512" s="35"/>
      <c r="AB2512" s="35"/>
      <c r="AC2512" s="35"/>
      <c r="AD2512" s="35"/>
      <c r="AE2512" s="35"/>
      <c r="AF2512" s="35"/>
      <c r="AG2512" s="35"/>
      <c r="AH2512" s="35"/>
      <c r="AI2512" s="35"/>
      <c r="AJ2512" s="35"/>
      <c r="AK2512" s="35"/>
      <c r="AL2512" s="35"/>
      <c r="AM2512" s="35"/>
      <c r="AN2512" s="35"/>
      <c r="AO2512" s="35"/>
      <c r="AP2512" s="35"/>
    </row>
    <row r="2513" spans="1:42" ht="17.25" customHeight="1" x14ac:dyDescent="0.25">
      <c r="A2513" s="60">
        <v>2025</v>
      </c>
      <c r="B2513" s="61" t="s">
        <v>66</v>
      </c>
      <c r="C2513" s="61" t="s">
        <v>17</v>
      </c>
      <c r="D2513" s="61" t="s">
        <v>23</v>
      </c>
      <c r="E2513" s="61" t="s">
        <v>69</v>
      </c>
      <c r="F2513" s="61" t="s">
        <v>71</v>
      </c>
      <c r="G2513" s="62">
        <v>946568438</v>
      </c>
      <c r="H2513" s="61" t="s">
        <v>68</v>
      </c>
      <c r="I2513" s="63" t="str">
        <f t="shared" si="137"/>
        <v>Romania-OTA</v>
      </c>
      <c r="J2513" s="47"/>
      <c r="K2513" s="54"/>
      <c r="L2513" s="35"/>
      <c r="M2513" s="35"/>
      <c r="N2513" s="35"/>
      <c r="O2513" s="35"/>
      <c r="P2513" s="35"/>
      <c r="Q2513" s="35"/>
      <c r="R2513" s="35"/>
      <c r="S2513" s="35"/>
      <c r="T2513" s="35"/>
      <c r="U2513" s="35"/>
      <c r="V2513" s="35"/>
      <c r="W2513" s="35"/>
      <c r="X2513" s="35"/>
      <c r="Y2513" s="35"/>
      <c r="Z2513" s="35"/>
      <c r="AA2513" s="35"/>
      <c r="AB2513" s="35"/>
      <c r="AC2513" s="35"/>
      <c r="AD2513" s="35"/>
      <c r="AE2513" s="35"/>
      <c r="AF2513" s="35"/>
      <c r="AG2513" s="35"/>
      <c r="AH2513" s="35"/>
      <c r="AI2513" s="35"/>
      <c r="AJ2513" s="35"/>
      <c r="AK2513" s="35"/>
      <c r="AL2513" s="35"/>
      <c r="AM2513" s="35"/>
      <c r="AN2513" s="35"/>
      <c r="AO2513" s="35"/>
      <c r="AP2513" s="35"/>
    </row>
    <row r="2514" spans="1:42" ht="17.25" customHeight="1" x14ac:dyDescent="0.25">
      <c r="A2514" s="55">
        <v>2025</v>
      </c>
      <c r="B2514" s="56" t="s">
        <v>66</v>
      </c>
      <c r="C2514" s="56" t="s">
        <v>17</v>
      </c>
      <c r="D2514" s="56" t="s">
        <v>24</v>
      </c>
      <c r="E2514" s="56" t="s">
        <v>67</v>
      </c>
      <c r="F2514" s="56" t="s">
        <v>67</v>
      </c>
      <c r="G2514" s="57">
        <v>15544410277</v>
      </c>
      <c r="H2514" s="56" t="s">
        <v>68</v>
      </c>
      <c r="I2514" s="58" t="str">
        <f t="shared" si="137"/>
        <v>Russia-Offline</v>
      </c>
      <c r="J2514" s="40"/>
      <c r="K2514" s="59"/>
      <c r="L2514" s="35"/>
      <c r="M2514" s="35"/>
      <c r="N2514" s="35"/>
      <c r="O2514" s="35"/>
      <c r="P2514" s="35"/>
      <c r="Q2514" s="35"/>
      <c r="R2514" s="35"/>
      <c r="S2514" s="35"/>
      <c r="T2514" s="35"/>
      <c r="U2514" s="35"/>
      <c r="V2514" s="35"/>
      <c r="W2514" s="35"/>
      <c r="X2514" s="35"/>
      <c r="Y2514" s="35"/>
      <c r="Z2514" s="35"/>
      <c r="AA2514" s="35"/>
      <c r="AB2514" s="35"/>
      <c r="AC2514" s="35"/>
      <c r="AD2514" s="35"/>
      <c r="AE2514" s="35"/>
      <c r="AF2514" s="35"/>
      <c r="AG2514" s="35"/>
      <c r="AH2514" s="35"/>
      <c r="AI2514" s="35"/>
      <c r="AJ2514" s="35"/>
      <c r="AK2514" s="35"/>
      <c r="AL2514" s="35"/>
      <c r="AM2514" s="35"/>
      <c r="AN2514" s="35"/>
      <c r="AO2514" s="35"/>
      <c r="AP2514" s="35"/>
    </row>
    <row r="2515" spans="1:42" ht="17.25" customHeight="1" x14ac:dyDescent="0.25">
      <c r="A2515" s="60">
        <v>2025</v>
      </c>
      <c r="B2515" s="61" t="s">
        <v>66</v>
      </c>
      <c r="C2515" s="61" t="s">
        <v>17</v>
      </c>
      <c r="D2515" s="61" t="s">
        <v>24</v>
      </c>
      <c r="E2515" s="61" t="s">
        <v>69</v>
      </c>
      <c r="F2515" s="61" t="s">
        <v>70</v>
      </c>
      <c r="G2515" s="62">
        <v>11011914788</v>
      </c>
      <c r="H2515" s="61" t="s">
        <v>68</v>
      </c>
      <c r="I2515" s="63" t="str">
        <f t="shared" si="137"/>
        <v>Russia-Online Supplier-Direct</v>
      </c>
      <c r="J2515" s="47"/>
      <c r="K2515" s="54"/>
      <c r="L2515" s="35"/>
      <c r="M2515" s="35"/>
      <c r="N2515" s="35"/>
      <c r="O2515" s="35"/>
      <c r="P2515" s="35"/>
      <c r="Q2515" s="35"/>
      <c r="R2515" s="35"/>
      <c r="S2515" s="35"/>
      <c r="T2515" s="35"/>
      <c r="U2515" s="35"/>
      <c r="V2515" s="35"/>
      <c r="W2515" s="35"/>
      <c r="X2515" s="35"/>
      <c r="Y2515" s="35"/>
      <c r="Z2515" s="35"/>
      <c r="AA2515" s="35"/>
      <c r="AB2515" s="35"/>
      <c r="AC2515" s="35"/>
      <c r="AD2515" s="35"/>
      <c r="AE2515" s="35"/>
      <c r="AF2515" s="35"/>
      <c r="AG2515" s="35"/>
      <c r="AH2515" s="35"/>
      <c r="AI2515" s="35"/>
      <c r="AJ2515" s="35"/>
      <c r="AK2515" s="35"/>
      <c r="AL2515" s="35"/>
      <c r="AM2515" s="35"/>
      <c r="AN2515" s="35"/>
      <c r="AO2515" s="35"/>
      <c r="AP2515" s="35"/>
    </row>
    <row r="2516" spans="1:42" ht="17.25" customHeight="1" x14ac:dyDescent="0.25">
      <c r="A2516" s="55">
        <v>2025</v>
      </c>
      <c r="B2516" s="56" t="s">
        <v>66</v>
      </c>
      <c r="C2516" s="56" t="s">
        <v>17</v>
      </c>
      <c r="D2516" s="56" t="s">
        <v>24</v>
      </c>
      <c r="E2516" s="56" t="s">
        <v>69</v>
      </c>
      <c r="F2516" s="56" t="s">
        <v>71</v>
      </c>
      <c r="G2516" s="57">
        <v>8580054517</v>
      </c>
      <c r="H2516" s="56" t="s">
        <v>68</v>
      </c>
      <c r="I2516" s="58" t="str">
        <f t="shared" si="137"/>
        <v>Russia-OTA</v>
      </c>
      <c r="J2516" s="40"/>
      <c r="K2516" s="59"/>
      <c r="L2516" s="35"/>
      <c r="M2516" s="35"/>
      <c r="N2516" s="35"/>
      <c r="O2516" s="35"/>
      <c r="P2516" s="35"/>
      <c r="Q2516" s="35"/>
      <c r="R2516" s="35"/>
      <c r="S2516" s="35"/>
      <c r="T2516" s="35"/>
      <c r="U2516" s="35"/>
      <c r="V2516" s="35"/>
      <c r="W2516" s="35"/>
      <c r="X2516" s="35"/>
      <c r="Y2516" s="35"/>
      <c r="Z2516" s="35"/>
      <c r="AA2516" s="35"/>
      <c r="AB2516" s="35"/>
      <c r="AC2516" s="35"/>
      <c r="AD2516" s="35"/>
      <c r="AE2516" s="35"/>
      <c r="AF2516" s="35"/>
      <c r="AG2516" s="35"/>
      <c r="AH2516" s="35"/>
      <c r="AI2516" s="35"/>
      <c r="AJ2516" s="35"/>
      <c r="AK2516" s="35"/>
      <c r="AL2516" s="35"/>
      <c r="AM2516" s="35"/>
      <c r="AN2516" s="35"/>
      <c r="AO2516" s="35"/>
      <c r="AP2516" s="35"/>
    </row>
    <row r="2517" spans="1:42" ht="17.25" customHeight="1" x14ac:dyDescent="0.25">
      <c r="A2517" s="60">
        <v>2025</v>
      </c>
      <c r="B2517" s="61" t="s">
        <v>66</v>
      </c>
      <c r="C2517" s="61" t="s">
        <v>41</v>
      </c>
      <c r="D2517" s="61" t="s">
        <v>44</v>
      </c>
      <c r="E2517" s="61" t="s">
        <v>67</v>
      </c>
      <c r="F2517" s="61" t="s">
        <v>67</v>
      </c>
      <c r="G2517" s="62">
        <v>9925000617</v>
      </c>
      <c r="H2517" s="61" t="s">
        <v>68</v>
      </c>
      <c r="I2517" s="63" t="str">
        <f t="shared" si="137"/>
        <v>Saudi Arabia-Offline</v>
      </c>
      <c r="J2517" s="47"/>
      <c r="K2517" s="54"/>
      <c r="L2517" s="35"/>
      <c r="M2517" s="35"/>
      <c r="N2517" s="35"/>
      <c r="O2517" s="35"/>
      <c r="P2517" s="35"/>
      <c r="Q2517" s="35"/>
      <c r="R2517" s="35"/>
      <c r="S2517" s="35"/>
      <c r="T2517" s="35"/>
      <c r="U2517" s="35"/>
      <c r="V2517" s="35"/>
      <c r="W2517" s="35"/>
      <c r="X2517" s="35"/>
      <c r="Y2517" s="35"/>
      <c r="Z2517" s="35"/>
      <c r="AA2517" s="35"/>
      <c r="AB2517" s="35"/>
      <c r="AC2517" s="35"/>
      <c r="AD2517" s="35"/>
      <c r="AE2517" s="35"/>
      <c r="AF2517" s="35"/>
      <c r="AG2517" s="35"/>
      <c r="AH2517" s="35"/>
      <c r="AI2517" s="35"/>
      <c r="AJ2517" s="35"/>
      <c r="AK2517" s="35"/>
      <c r="AL2517" s="35"/>
      <c r="AM2517" s="35"/>
      <c r="AN2517" s="35"/>
      <c r="AO2517" s="35"/>
      <c r="AP2517" s="35"/>
    </row>
    <row r="2518" spans="1:42" ht="17.25" customHeight="1" x14ac:dyDescent="0.25">
      <c r="A2518" s="55">
        <v>2025</v>
      </c>
      <c r="B2518" s="56" t="s">
        <v>66</v>
      </c>
      <c r="C2518" s="56" t="s">
        <v>41</v>
      </c>
      <c r="D2518" s="56" t="s">
        <v>44</v>
      </c>
      <c r="E2518" s="56" t="s">
        <v>69</v>
      </c>
      <c r="F2518" s="56" t="s">
        <v>70</v>
      </c>
      <c r="G2518" s="57">
        <v>6929889837</v>
      </c>
      <c r="H2518" s="56" t="s">
        <v>68</v>
      </c>
      <c r="I2518" s="58" t="str">
        <f t="shared" si="137"/>
        <v>Saudi Arabia-Online Supplier-Direct</v>
      </c>
      <c r="J2518" s="40"/>
      <c r="K2518" s="59"/>
      <c r="L2518" s="35"/>
      <c r="M2518" s="35"/>
      <c r="N2518" s="35"/>
      <c r="O2518" s="35"/>
      <c r="P2518" s="35"/>
      <c r="Q2518" s="35"/>
      <c r="R2518" s="35"/>
      <c r="S2518" s="35"/>
      <c r="T2518" s="35"/>
      <c r="U2518" s="35"/>
      <c r="V2518" s="35"/>
      <c r="W2518" s="35"/>
      <c r="X2518" s="35"/>
      <c r="Y2518" s="35"/>
      <c r="Z2518" s="35"/>
      <c r="AA2518" s="35"/>
      <c r="AB2518" s="35"/>
      <c r="AC2518" s="35"/>
      <c r="AD2518" s="35"/>
      <c r="AE2518" s="35"/>
      <c r="AF2518" s="35"/>
      <c r="AG2518" s="35"/>
      <c r="AH2518" s="35"/>
      <c r="AI2518" s="35"/>
      <c r="AJ2518" s="35"/>
      <c r="AK2518" s="35"/>
      <c r="AL2518" s="35"/>
      <c r="AM2518" s="35"/>
      <c r="AN2518" s="35"/>
      <c r="AO2518" s="35"/>
      <c r="AP2518" s="35"/>
    </row>
    <row r="2519" spans="1:42" ht="17.25" customHeight="1" x14ac:dyDescent="0.25">
      <c r="A2519" s="60">
        <v>2025</v>
      </c>
      <c r="B2519" s="61" t="s">
        <v>66</v>
      </c>
      <c r="C2519" s="61" t="s">
        <v>41</v>
      </c>
      <c r="D2519" s="61" t="s">
        <v>44</v>
      </c>
      <c r="E2519" s="61" t="s">
        <v>69</v>
      </c>
      <c r="F2519" s="61" t="s">
        <v>71</v>
      </c>
      <c r="G2519" s="62">
        <v>4448554283</v>
      </c>
      <c r="H2519" s="61" t="s">
        <v>68</v>
      </c>
      <c r="I2519" s="63" t="str">
        <f t="shared" si="137"/>
        <v>Saudi Arabia-OTA</v>
      </c>
      <c r="J2519" s="47"/>
      <c r="K2519" s="54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  <c r="AB2519" s="35"/>
      <c r="AC2519" s="35"/>
      <c r="AD2519" s="35"/>
      <c r="AE2519" s="35"/>
      <c r="AF2519" s="35"/>
      <c r="AG2519" s="35"/>
      <c r="AH2519" s="35"/>
      <c r="AI2519" s="35"/>
      <c r="AJ2519" s="35"/>
      <c r="AK2519" s="35"/>
      <c r="AL2519" s="35"/>
      <c r="AM2519" s="35"/>
      <c r="AN2519" s="35"/>
      <c r="AO2519" s="35"/>
      <c r="AP2519" s="35"/>
    </row>
    <row r="2520" spans="1:42" ht="17.25" customHeight="1" x14ac:dyDescent="0.25">
      <c r="A2520" s="55">
        <v>2025</v>
      </c>
      <c r="B2520" s="56" t="s">
        <v>66</v>
      </c>
      <c r="C2520" s="56" t="s">
        <v>27</v>
      </c>
      <c r="D2520" s="56" t="s">
        <v>31</v>
      </c>
      <c r="E2520" s="56" t="s">
        <v>67</v>
      </c>
      <c r="F2520" s="56" t="s">
        <v>67</v>
      </c>
      <c r="G2520" s="57">
        <v>4637524600</v>
      </c>
      <c r="H2520" s="56" t="s">
        <v>68</v>
      </c>
      <c r="I2520" s="58" t="str">
        <f t="shared" si="137"/>
        <v>Scandinavia-Offline</v>
      </c>
      <c r="J2520" s="40"/>
      <c r="K2520" s="59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  <c r="AB2520" s="35"/>
      <c r="AC2520" s="35"/>
      <c r="AD2520" s="35"/>
      <c r="AE2520" s="35"/>
      <c r="AF2520" s="35"/>
      <c r="AG2520" s="35"/>
      <c r="AH2520" s="35"/>
      <c r="AI2520" s="35"/>
      <c r="AJ2520" s="35"/>
      <c r="AK2520" s="35"/>
      <c r="AL2520" s="35"/>
      <c r="AM2520" s="35"/>
      <c r="AN2520" s="35"/>
      <c r="AO2520" s="35"/>
      <c r="AP2520" s="35"/>
    </row>
    <row r="2521" spans="1:42" ht="17.25" customHeight="1" x14ac:dyDescent="0.25">
      <c r="A2521" s="60">
        <v>2025</v>
      </c>
      <c r="B2521" s="61" t="s">
        <v>66</v>
      </c>
      <c r="C2521" s="61" t="s">
        <v>27</v>
      </c>
      <c r="D2521" s="61" t="s">
        <v>31</v>
      </c>
      <c r="E2521" s="61" t="s">
        <v>69</v>
      </c>
      <c r="F2521" s="61" t="s">
        <v>70</v>
      </c>
      <c r="G2521" s="62">
        <v>12660738287</v>
      </c>
      <c r="H2521" s="61" t="s">
        <v>68</v>
      </c>
      <c r="I2521" s="63" t="str">
        <f t="shared" si="137"/>
        <v>Scandinavia-Online Supplier-Direct</v>
      </c>
      <c r="J2521" s="47"/>
      <c r="K2521" s="54"/>
      <c r="L2521" s="35"/>
      <c r="M2521" s="35"/>
      <c r="N2521" s="35"/>
      <c r="O2521" s="35"/>
      <c r="P2521" s="35"/>
      <c r="Q2521" s="35"/>
      <c r="R2521" s="35"/>
      <c r="S2521" s="35"/>
      <c r="T2521" s="35"/>
      <c r="U2521" s="35"/>
      <c r="V2521" s="35"/>
      <c r="W2521" s="35"/>
      <c r="X2521" s="35"/>
      <c r="Y2521" s="35"/>
      <c r="Z2521" s="35"/>
      <c r="AA2521" s="35"/>
      <c r="AB2521" s="35"/>
      <c r="AC2521" s="35"/>
      <c r="AD2521" s="35"/>
      <c r="AE2521" s="35"/>
      <c r="AF2521" s="35"/>
      <c r="AG2521" s="35"/>
      <c r="AH2521" s="35"/>
      <c r="AI2521" s="35"/>
      <c r="AJ2521" s="35"/>
      <c r="AK2521" s="35"/>
      <c r="AL2521" s="35"/>
      <c r="AM2521" s="35"/>
      <c r="AN2521" s="35"/>
      <c r="AO2521" s="35"/>
      <c r="AP2521" s="35"/>
    </row>
    <row r="2522" spans="1:42" ht="17.25" customHeight="1" x14ac:dyDescent="0.25">
      <c r="A2522" s="55">
        <v>2025</v>
      </c>
      <c r="B2522" s="56" t="s">
        <v>66</v>
      </c>
      <c r="C2522" s="56" t="s">
        <v>27</v>
      </c>
      <c r="D2522" s="56" t="s">
        <v>31</v>
      </c>
      <c r="E2522" s="56" t="s">
        <v>69</v>
      </c>
      <c r="F2522" s="56" t="s">
        <v>71</v>
      </c>
      <c r="G2522" s="57">
        <v>5285724545</v>
      </c>
      <c r="H2522" s="56" t="s">
        <v>68</v>
      </c>
      <c r="I2522" s="58" t="str">
        <f t="shared" si="137"/>
        <v>Scandinavia-OTA</v>
      </c>
      <c r="J2522" s="40"/>
      <c r="K2522" s="59"/>
      <c r="L2522" s="35"/>
      <c r="M2522" s="35"/>
      <c r="N2522" s="35"/>
      <c r="O2522" s="35"/>
      <c r="P2522" s="35"/>
      <c r="Q2522" s="35"/>
      <c r="R2522" s="35"/>
      <c r="S2522" s="35"/>
      <c r="T2522" s="35"/>
      <c r="U2522" s="35"/>
      <c r="V2522" s="35"/>
      <c r="W2522" s="35"/>
      <c r="X2522" s="35"/>
      <c r="Y2522" s="35"/>
      <c r="Z2522" s="35"/>
      <c r="AA2522" s="35"/>
      <c r="AB2522" s="35"/>
      <c r="AC2522" s="35"/>
      <c r="AD2522" s="35"/>
      <c r="AE2522" s="35"/>
      <c r="AF2522" s="35"/>
      <c r="AG2522" s="35"/>
      <c r="AH2522" s="35"/>
      <c r="AI2522" s="35"/>
      <c r="AJ2522" s="35"/>
      <c r="AK2522" s="35"/>
      <c r="AL2522" s="35"/>
      <c r="AM2522" s="35"/>
      <c r="AN2522" s="35"/>
      <c r="AO2522" s="35"/>
      <c r="AP2522" s="35"/>
    </row>
    <row r="2523" spans="1:42" ht="17.25" customHeight="1" x14ac:dyDescent="0.25">
      <c r="A2523" s="60">
        <v>2025</v>
      </c>
      <c r="B2523" s="61" t="s">
        <v>66</v>
      </c>
      <c r="C2523" s="61" t="s">
        <v>4</v>
      </c>
      <c r="D2523" s="61" t="s">
        <v>12</v>
      </c>
      <c r="E2523" s="61" t="s">
        <v>67</v>
      </c>
      <c r="F2523" s="61" t="s">
        <v>67</v>
      </c>
      <c r="G2523" s="62">
        <v>4945157060</v>
      </c>
      <c r="H2523" s="61" t="s">
        <v>68</v>
      </c>
      <c r="I2523" s="63" t="str">
        <f t="shared" si="137"/>
        <v>Singapore-Offline</v>
      </c>
      <c r="J2523" s="47"/>
      <c r="K2523" s="54"/>
      <c r="L2523" s="35"/>
      <c r="M2523" s="35"/>
      <c r="N2523" s="35"/>
      <c r="O2523" s="35"/>
      <c r="P2523" s="35"/>
      <c r="Q2523" s="35"/>
      <c r="R2523" s="35"/>
      <c r="S2523" s="35"/>
      <c r="T2523" s="35"/>
      <c r="U2523" s="35"/>
      <c r="V2523" s="35"/>
      <c r="W2523" s="35"/>
      <c r="X2523" s="35"/>
      <c r="Y2523" s="35"/>
      <c r="Z2523" s="35"/>
      <c r="AA2523" s="35"/>
      <c r="AB2523" s="35"/>
      <c r="AC2523" s="35"/>
      <c r="AD2523" s="35"/>
      <c r="AE2523" s="35"/>
      <c r="AF2523" s="35"/>
      <c r="AG2523" s="35"/>
      <c r="AH2523" s="35"/>
      <c r="AI2523" s="35"/>
      <c r="AJ2523" s="35"/>
      <c r="AK2523" s="35"/>
      <c r="AL2523" s="35"/>
      <c r="AM2523" s="35"/>
      <c r="AN2523" s="35"/>
      <c r="AO2523" s="35"/>
      <c r="AP2523" s="35"/>
    </row>
    <row r="2524" spans="1:42" ht="17.25" customHeight="1" x14ac:dyDescent="0.25">
      <c r="A2524" s="55">
        <v>2025</v>
      </c>
      <c r="B2524" s="56" t="s">
        <v>66</v>
      </c>
      <c r="C2524" s="56" t="s">
        <v>4</v>
      </c>
      <c r="D2524" s="56" t="s">
        <v>12</v>
      </c>
      <c r="E2524" s="56" t="s">
        <v>69</v>
      </c>
      <c r="F2524" s="56" t="s">
        <v>70</v>
      </c>
      <c r="G2524" s="57">
        <v>5733573366</v>
      </c>
      <c r="H2524" s="56" t="s">
        <v>68</v>
      </c>
      <c r="I2524" s="58" t="str">
        <f t="shared" si="137"/>
        <v>Singapore-Online Supplier-Direct</v>
      </c>
      <c r="J2524" s="40"/>
      <c r="K2524" s="59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  <c r="AG2524" s="35"/>
      <c r="AH2524" s="35"/>
      <c r="AI2524" s="35"/>
      <c r="AJ2524" s="35"/>
      <c r="AK2524" s="35"/>
      <c r="AL2524" s="35"/>
      <c r="AM2524" s="35"/>
      <c r="AN2524" s="35"/>
      <c r="AO2524" s="35"/>
      <c r="AP2524" s="35"/>
    </row>
    <row r="2525" spans="1:42" ht="17.25" customHeight="1" x14ac:dyDescent="0.25">
      <c r="A2525" s="60">
        <v>2025</v>
      </c>
      <c r="B2525" s="61" t="s">
        <v>66</v>
      </c>
      <c r="C2525" s="61" t="s">
        <v>4</v>
      </c>
      <c r="D2525" s="61" t="s">
        <v>12</v>
      </c>
      <c r="E2525" s="61" t="s">
        <v>69</v>
      </c>
      <c r="F2525" s="61" t="s">
        <v>71</v>
      </c>
      <c r="G2525" s="62">
        <v>5680705084</v>
      </c>
      <c r="H2525" s="61" t="s">
        <v>68</v>
      </c>
      <c r="I2525" s="63" t="str">
        <f t="shared" si="137"/>
        <v>Singapore-OTA</v>
      </c>
      <c r="J2525" s="47"/>
      <c r="K2525" s="54"/>
      <c r="L2525" s="35"/>
      <c r="M2525" s="35"/>
      <c r="N2525" s="35"/>
      <c r="O2525" s="35"/>
      <c r="P2525" s="35"/>
      <c r="Q2525" s="35"/>
      <c r="R2525" s="35"/>
      <c r="S2525" s="35"/>
      <c r="T2525" s="35"/>
      <c r="U2525" s="35"/>
      <c r="V2525" s="35"/>
      <c r="W2525" s="35"/>
      <c r="X2525" s="35"/>
      <c r="Y2525" s="35"/>
      <c r="Z2525" s="35"/>
      <c r="AA2525" s="35"/>
      <c r="AB2525" s="35"/>
      <c r="AC2525" s="35"/>
      <c r="AD2525" s="35"/>
      <c r="AE2525" s="35"/>
      <c r="AF2525" s="35"/>
      <c r="AG2525" s="35"/>
      <c r="AH2525" s="35"/>
      <c r="AI2525" s="35"/>
      <c r="AJ2525" s="35"/>
      <c r="AK2525" s="35"/>
      <c r="AL2525" s="35"/>
      <c r="AM2525" s="35"/>
      <c r="AN2525" s="35"/>
      <c r="AO2525" s="35"/>
      <c r="AP2525" s="35"/>
    </row>
    <row r="2526" spans="1:42" ht="17.25" customHeight="1" x14ac:dyDescent="0.25">
      <c r="A2526" s="55">
        <v>2025</v>
      </c>
      <c r="B2526" s="56" t="s">
        <v>66</v>
      </c>
      <c r="C2526" s="56" t="s">
        <v>4</v>
      </c>
      <c r="D2526" s="56" t="s">
        <v>13</v>
      </c>
      <c r="E2526" s="56" t="s">
        <v>67</v>
      </c>
      <c r="F2526" s="56" t="s">
        <v>67</v>
      </c>
      <c r="G2526" s="57">
        <v>9983285309</v>
      </c>
      <c r="H2526" s="56" t="s">
        <v>68</v>
      </c>
      <c r="I2526" s="58" t="str">
        <f t="shared" si="137"/>
        <v>South Korea-Offline</v>
      </c>
      <c r="J2526" s="40"/>
      <c r="K2526" s="59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  <c r="AG2526" s="35"/>
      <c r="AH2526" s="35"/>
      <c r="AI2526" s="35"/>
      <c r="AJ2526" s="35"/>
      <c r="AK2526" s="35"/>
      <c r="AL2526" s="35"/>
      <c r="AM2526" s="35"/>
      <c r="AN2526" s="35"/>
      <c r="AO2526" s="35"/>
      <c r="AP2526" s="35"/>
    </row>
    <row r="2527" spans="1:42" ht="17.25" customHeight="1" x14ac:dyDescent="0.25">
      <c r="A2527" s="60">
        <v>2025</v>
      </c>
      <c r="B2527" s="61" t="s">
        <v>66</v>
      </c>
      <c r="C2527" s="61" t="s">
        <v>4</v>
      </c>
      <c r="D2527" s="61" t="s">
        <v>13</v>
      </c>
      <c r="E2527" s="61" t="s">
        <v>69</v>
      </c>
      <c r="F2527" s="61" t="s">
        <v>70</v>
      </c>
      <c r="G2527" s="62">
        <v>8257958005</v>
      </c>
      <c r="H2527" s="61" t="s">
        <v>68</v>
      </c>
      <c r="I2527" s="63" t="str">
        <f t="shared" si="137"/>
        <v>South Korea-Online Supplier-Direct</v>
      </c>
      <c r="J2527" s="47"/>
      <c r="K2527" s="54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  <c r="AG2527" s="35"/>
      <c r="AH2527" s="35"/>
      <c r="AI2527" s="35"/>
      <c r="AJ2527" s="35"/>
      <c r="AK2527" s="35"/>
      <c r="AL2527" s="35"/>
      <c r="AM2527" s="35"/>
      <c r="AN2527" s="35"/>
      <c r="AO2527" s="35"/>
      <c r="AP2527" s="35"/>
    </row>
    <row r="2528" spans="1:42" ht="17.25" customHeight="1" x14ac:dyDescent="0.25">
      <c r="A2528" s="55">
        <v>2025</v>
      </c>
      <c r="B2528" s="56" t="s">
        <v>66</v>
      </c>
      <c r="C2528" s="56" t="s">
        <v>4</v>
      </c>
      <c r="D2528" s="56" t="s">
        <v>13</v>
      </c>
      <c r="E2528" s="56" t="s">
        <v>69</v>
      </c>
      <c r="F2528" s="56" t="s">
        <v>71</v>
      </c>
      <c r="G2528" s="57">
        <v>6865949027</v>
      </c>
      <c r="H2528" s="56" t="s">
        <v>68</v>
      </c>
      <c r="I2528" s="58" t="str">
        <f t="shared" si="137"/>
        <v>South Korea-OTA</v>
      </c>
      <c r="J2528" s="40"/>
      <c r="K2528" s="59"/>
      <c r="L2528" s="35"/>
      <c r="M2528" s="35"/>
      <c r="N2528" s="35"/>
      <c r="O2528" s="35"/>
      <c r="P2528" s="35"/>
      <c r="Q2528" s="35"/>
      <c r="R2528" s="35"/>
      <c r="S2528" s="35"/>
      <c r="T2528" s="35"/>
      <c r="U2528" s="35"/>
      <c r="V2528" s="35"/>
      <c r="W2528" s="35"/>
      <c r="X2528" s="35"/>
      <c r="Y2528" s="35"/>
      <c r="Z2528" s="35"/>
      <c r="AA2528" s="35"/>
      <c r="AB2528" s="35"/>
      <c r="AC2528" s="35"/>
      <c r="AD2528" s="35"/>
      <c r="AE2528" s="35"/>
      <c r="AF2528" s="35"/>
      <c r="AG2528" s="35"/>
      <c r="AH2528" s="35"/>
      <c r="AI2528" s="35"/>
      <c r="AJ2528" s="35"/>
      <c r="AK2528" s="35"/>
      <c r="AL2528" s="35"/>
      <c r="AM2528" s="35"/>
      <c r="AN2528" s="35"/>
      <c r="AO2528" s="35"/>
      <c r="AP2528" s="35"/>
    </row>
    <row r="2529" spans="1:42" ht="17.25" customHeight="1" x14ac:dyDescent="0.25">
      <c r="A2529" s="60">
        <v>2025</v>
      </c>
      <c r="B2529" s="61" t="s">
        <v>66</v>
      </c>
      <c r="C2529" s="61" t="s">
        <v>27</v>
      </c>
      <c r="D2529" s="61" t="s">
        <v>32</v>
      </c>
      <c r="E2529" s="61" t="s">
        <v>67</v>
      </c>
      <c r="F2529" s="61" t="s">
        <v>67</v>
      </c>
      <c r="G2529" s="62">
        <v>16181407445</v>
      </c>
      <c r="H2529" s="61" t="s">
        <v>68</v>
      </c>
      <c r="I2529" s="63" t="str">
        <f t="shared" si="137"/>
        <v>Spain-Offline</v>
      </c>
      <c r="J2529" s="47"/>
      <c r="K2529" s="54"/>
      <c r="L2529" s="35"/>
      <c r="M2529" s="35"/>
      <c r="N2529" s="35"/>
      <c r="O2529" s="35"/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  <c r="Z2529" s="35"/>
      <c r="AA2529" s="35"/>
      <c r="AB2529" s="35"/>
      <c r="AC2529" s="35"/>
      <c r="AD2529" s="35"/>
      <c r="AE2529" s="35"/>
      <c r="AF2529" s="35"/>
      <c r="AG2529" s="35"/>
      <c r="AH2529" s="35"/>
      <c r="AI2529" s="35"/>
      <c r="AJ2529" s="35"/>
      <c r="AK2529" s="35"/>
      <c r="AL2529" s="35"/>
      <c r="AM2529" s="35"/>
      <c r="AN2529" s="35"/>
      <c r="AO2529" s="35"/>
      <c r="AP2529" s="35"/>
    </row>
    <row r="2530" spans="1:42" ht="17.25" customHeight="1" x14ac:dyDescent="0.25">
      <c r="A2530" s="55">
        <v>2025</v>
      </c>
      <c r="B2530" s="56" t="s">
        <v>66</v>
      </c>
      <c r="C2530" s="56" t="s">
        <v>27</v>
      </c>
      <c r="D2530" s="56" t="s">
        <v>32</v>
      </c>
      <c r="E2530" s="56" t="s">
        <v>69</v>
      </c>
      <c r="F2530" s="56" t="s">
        <v>70</v>
      </c>
      <c r="G2530" s="57">
        <v>13977389419</v>
      </c>
      <c r="H2530" s="56" t="s">
        <v>68</v>
      </c>
      <c r="I2530" s="58" t="str">
        <f t="shared" si="137"/>
        <v>Spain-Online Supplier-Direct</v>
      </c>
      <c r="J2530" s="40"/>
      <c r="K2530" s="59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  <c r="AA2530" s="35"/>
      <c r="AB2530" s="35"/>
      <c r="AC2530" s="35"/>
      <c r="AD2530" s="35"/>
      <c r="AE2530" s="35"/>
      <c r="AF2530" s="35"/>
      <c r="AG2530" s="35"/>
      <c r="AH2530" s="35"/>
      <c r="AI2530" s="35"/>
      <c r="AJ2530" s="35"/>
      <c r="AK2530" s="35"/>
      <c r="AL2530" s="35"/>
      <c r="AM2530" s="35"/>
      <c r="AN2530" s="35"/>
      <c r="AO2530" s="35"/>
      <c r="AP2530" s="35"/>
    </row>
    <row r="2531" spans="1:42" ht="17.25" customHeight="1" x14ac:dyDescent="0.25">
      <c r="A2531" s="60">
        <v>2025</v>
      </c>
      <c r="B2531" s="61" t="s">
        <v>66</v>
      </c>
      <c r="C2531" s="61" t="s">
        <v>27</v>
      </c>
      <c r="D2531" s="61" t="s">
        <v>32</v>
      </c>
      <c r="E2531" s="61" t="s">
        <v>69</v>
      </c>
      <c r="F2531" s="61" t="s">
        <v>71</v>
      </c>
      <c r="G2531" s="62">
        <v>12457755456</v>
      </c>
      <c r="H2531" s="61" t="s">
        <v>68</v>
      </c>
      <c r="I2531" s="63" t="str">
        <f t="shared" si="137"/>
        <v>Spain-OTA</v>
      </c>
      <c r="J2531" s="47"/>
      <c r="K2531" s="54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  <c r="AB2531" s="35"/>
      <c r="AC2531" s="35"/>
      <c r="AD2531" s="35"/>
      <c r="AE2531" s="35"/>
      <c r="AF2531" s="35"/>
      <c r="AG2531" s="35"/>
      <c r="AH2531" s="35"/>
      <c r="AI2531" s="35"/>
      <c r="AJ2531" s="35"/>
      <c r="AK2531" s="35"/>
      <c r="AL2531" s="35"/>
      <c r="AM2531" s="35"/>
      <c r="AN2531" s="35"/>
      <c r="AO2531" s="35"/>
      <c r="AP2531" s="35"/>
    </row>
    <row r="2532" spans="1:42" ht="17.25" customHeight="1" x14ac:dyDescent="0.25">
      <c r="A2532" s="55">
        <v>2025</v>
      </c>
      <c r="B2532" s="56" t="s">
        <v>66</v>
      </c>
      <c r="C2532" s="56" t="s">
        <v>4</v>
      </c>
      <c r="D2532" s="56" t="s">
        <v>14</v>
      </c>
      <c r="E2532" s="56" t="s">
        <v>67</v>
      </c>
      <c r="F2532" s="56" t="s">
        <v>67</v>
      </c>
      <c r="G2532" s="57">
        <v>6677223530</v>
      </c>
      <c r="H2532" s="56" t="s">
        <v>68</v>
      </c>
      <c r="I2532" s="58" t="str">
        <f t="shared" si="137"/>
        <v>Taiwan-Offline</v>
      </c>
      <c r="J2532" s="40"/>
      <c r="K2532" s="59"/>
      <c r="L2532" s="35"/>
      <c r="M2532" s="35"/>
      <c r="N2532" s="35"/>
      <c r="O2532" s="35"/>
      <c r="P2532" s="35"/>
      <c r="Q2532" s="35"/>
      <c r="R2532" s="35"/>
      <c r="S2532" s="35"/>
      <c r="T2532" s="35"/>
      <c r="U2532" s="35"/>
      <c r="V2532" s="35"/>
      <c r="W2532" s="35"/>
      <c r="X2532" s="35"/>
      <c r="Y2532" s="35"/>
      <c r="Z2532" s="35"/>
      <c r="AA2532" s="35"/>
      <c r="AB2532" s="35"/>
      <c r="AC2532" s="35"/>
      <c r="AD2532" s="35"/>
      <c r="AE2532" s="35"/>
      <c r="AF2532" s="35"/>
      <c r="AG2532" s="35"/>
      <c r="AH2532" s="35"/>
      <c r="AI2532" s="35"/>
      <c r="AJ2532" s="35"/>
      <c r="AK2532" s="35"/>
      <c r="AL2532" s="35"/>
      <c r="AM2532" s="35"/>
      <c r="AN2532" s="35"/>
      <c r="AO2532" s="35"/>
      <c r="AP2532" s="35"/>
    </row>
    <row r="2533" spans="1:42" ht="17.25" customHeight="1" x14ac:dyDescent="0.25">
      <c r="A2533" s="60">
        <v>2025</v>
      </c>
      <c r="B2533" s="61" t="s">
        <v>66</v>
      </c>
      <c r="C2533" s="61" t="s">
        <v>4</v>
      </c>
      <c r="D2533" s="61" t="s">
        <v>14</v>
      </c>
      <c r="E2533" s="61" t="s">
        <v>69</v>
      </c>
      <c r="F2533" s="61" t="s">
        <v>70</v>
      </c>
      <c r="G2533" s="62">
        <v>4066577919</v>
      </c>
      <c r="H2533" s="61" t="s">
        <v>68</v>
      </c>
      <c r="I2533" s="63" t="str">
        <f t="shared" si="137"/>
        <v>Taiwan-Online Supplier-Direct</v>
      </c>
      <c r="J2533" s="47"/>
      <c r="K2533" s="54"/>
      <c r="L2533" s="35"/>
      <c r="M2533" s="35"/>
      <c r="N2533" s="35"/>
      <c r="O2533" s="35"/>
      <c r="P2533" s="35"/>
      <c r="Q2533" s="35"/>
      <c r="R2533" s="35"/>
      <c r="S2533" s="35"/>
      <c r="T2533" s="35"/>
      <c r="U2533" s="35"/>
      <c r="V2533" s="35"/>
      <c r="W2533" s="35"/>
      <c r="X2533" s="35"/>
      <c r="Y2533" s="35"/>
      <c r="Z2533" s="35"/>
      <c r="AA2533" s="35"/>
      <c r="AB2533" s="35"/>
      <c r="AC2533" s="35"/>
      <c r="AD2533" s="35"/>
      <c r="AE2533" s="35"/>
      <c r="AF2533" s="35"/>
      <c r="AG2533" s="35"/>
      <c r="AH2533" s="35"/>
      <c r="AI2533" s="35"/>
      <c r="AJ2533" s="35"/>
      <c r="AK2533" s="35"/>
      <c r="AL2533" s="35"/>
      <c r="AM2533" s="35"/>
      <c r="AN2533" s="35"/>
      <c r="AO2533" s="35"/>
      <c r="AP2533" s="35"/>
    </row>
    <row r="2534" spans="1:42" ht="17.25" customHeight="1" x14ac:dyDescent="0.25">
      <c r="A2534" s="55">
        <v>2025</v>
      </c>
      <c r="B2534" s="56" t="s">
        <v>66</v>
      </c>
      <c r="C2534" s="56" t="s">
        <v>4</v>
      </c>
      <c r="D2534" s="56" t="s">
        <v>14</v>
      </c>
      <c r="E2534" s="56" t="s">
        <v>69</v>
      </c>
      <c r="F2534" s="56" t="s">
        <v>71</v>
      </c>
      <c r="G2534" s="57">
        <v>2761313342</v>
      </c>
      <c r="H2534" s="56" t="s">
        <v>68</v>
      </c>
      <c r="I2534" s="58" t="str">
        <f t="shared" si="137"/>
        <v>Taiwan-OTA</v>
      </c>
      <c r="J2534" s="40"/>
      <c r="K2534" s="59"/>
      <c r="L2534" s="35"/>
      <c r="M2534" s="35"/>
      <c r="N2534" s="35"/>
      <c r="O2534" s="35"/>
      <c r="P2534" s="35"/>
      <c r="Q2534" s="35"/>
      <c r="R2534" s="35"/>
      <c r="S2534" s="35"/>
      <c r="T2534" s="35"/>
      <c r="U2534" s="35"/>
      <c r="V2534" s="35"/>
      <c r="W2534" s="35"/>
      <c r="X2534" s="35"/>
      <c r="Y2534" s="35"/>
      <c r="Z2534" s="35"/>
      <c r="AA2534" s="35"/>
      <c r="AB2534" s="35"/>
      <c r="AC2534" s="35"/>
      <c r="AD2534" s="35"/>
      <c r="AE2534" s="35"/>
      <c r="AF2534" s="35"/>
      <c r="AG2534" s="35"/>
      <c r="AH2534" s="35"/>
      <c r="AI2534" s="35"/>
      <c r="AJ2534" s="35"/>
      <c r="AK2534" s="35"/>
      <c r="AL2534" s="35"/>
      <c r="AM2534" s="35"/>
      <c r="AN2534" s="35"/>
      <c r="AO2534" s="35"/>
      <c r="AP2534" s="35"/>
    </row>
    <row r="2535" spans="1:42" ht="17.25" customHeight="1" x14ac:dyDescent="0.25">
      <c r="A2535" s="60">
        <v>2025</v>
      </c>
      <c r="B2535" s="61" t="s">
        <v>66</v>
      </c>
      <c r="C2535" s="61" t="s">
        <v>4</v>
      </c>
      <c r="D2535" s="61" t="s">
        <v>15</v>
      </c>
      <c r="E2535" s="61" t="s">
        <v>67</v>
      </c>
      <c r="F2535" s="61" t="s">
        <v>67</v>
      </c>
      <c r="G2535" s="62">
        <v>6595938624</v>
      </c>
      <c r="H2535" s="61" t="s">
        <v>68</v>
      </c>
      <c r="I2535" s="63" t="str">
        <f t="shared" si="137"/>
        <v>Thailand-Offline</v>
      </c>
      <c r="J2535" s="47"/>
      <c r="K2535" s="54"/>
      <c r="L2535" s="35"/>
      <c r="M2535" s="35"/>
      <c r="N2535" s="35"/>
      <c r="O2535" s="35"/>
      <c r="P2535" s="35"/>
      <c r="Q2535" s="35"/>
      <c r="R2535" s="35"/>
      <c r="S2535" s="35"/>
      <c r="T2535" s="35"/>
      <c r="U2535" s="35"/>
      <c r="V2535" s="35"/>
      <c r="W2535" s="35"/>
      <c r="X2535" s="35"/>
      <c r="Y2535" s="35"/>
      <c r="Z2535" s="35"/>
      <c r="AA2535" s="35"/>
      <c r="AB2535" s="35"/>
      <c r="AC2535" s="35"/>
      <c r="AD2535" s="35"/>
      <c r="AE2535" s="35"/>
      <c r="AF2535" s="35"/>
      <c r="AG2535" s="35"/>
      <c r="AH2535" s="35"/>
      <c r="AI2535" s="35"/>
      <c r="AJ2535" s="35"/>
      <c r="AK2535" s="35"/>
      <c r="AL2535" s="35"/>
      <c r="AM2535" s="35"/>
      <c r="AN2535" s="35"/>
      <c r="AO2535" s="35"/>
      <c r="AP2535" s="35"/>
    </row>
    <row r="2536" spans="1:42" ht="17.25" customHeight="1" x14ac:dyDescent="0.25">
      <c r="A2536" s="55">
        <v>2025</v>
      </c>
      <c r="B2536" s="56" t="s">
        <v>66</v>
      </c>
      <c r="C2536" s="56" t="s">
        <v>4</v>
      </c>
      <c r="D2536" s="56" t="s">
        <v>15</v>
      </c>
      <c r="E2536" s="56" t="s">
        <v>69</v>
      </c>
      <c r="F2536" s="56" t="s">
        <v>70</v>
      </c>
      <c r="G2536" s="57">
        <v>3574066621</v>
      </c>
      <c r="H2536" s="56" t="s">
        <v>68</v>
      </c>
      <c r="I2536" s="58" t="str">
        <f t="shared" si="137"/>
        <v>Thailand-Online Supplier-Direct</v>
      </c>
      <c r="J2536" s="40"/>
      <c r="K2536" s="59"/>
      <c r="L2536" s="35"/>
      <c r="M2536" s="35"/>
      <c r="N2536" s="35"/>
      <c r="O2536" s="35"/>
      <c r="P2536" s="35"/>
      <c r="Q2536" s="35"/>
      <c r="R2536" s="35"/>
      <c r="S2536" s="35"/>
      <c r="T2536" s="35"/>
      <c r="U2536" s="35"/>
      <c r="V2536" s="35"/>
      <c r="W2536" s="35"/>
      <c r="X2536" s="35"/>
      <c r="Y2536" s="35"/>
      <c r="Z2536" s="35"/>
      <c r="AA2536" s="35"/>
      <c r="AB2536" s="35"/>
      <c r="AC2536" s="35"/>
      <c r="AD2536" s="35"/>
      <c r="AE2536" s="35"/>
      <c r="AF2536" s="35"/>
      <c r="AG2536" s="35"/>
      <c r="AH2536" s="35"/>
      <c r="AI2536" s="35"/>
      <c r="AJ2536" s="35"/>
      <c r="AK2536" s="35"/>
      <c r="AL2536" s="35"/>
      <c r="AM2536" s="35"/>
      <c r="AN2536" s="35"/>
      <c r="AO2536" s="35"/>
      <c r="AP2536" s="35"/>
    </row>
    <row r="2537" spans="1:42" ht="17.25" customHeight="1" x14ac:dyDescent="0.25">
      <c r="A2537" s="60">
        <v>2025</v>
      </c>
      <c r="B2537" s="61" t="s">
        <v>66</v>
      </c>
      <c r="C2537" s="61" t="s">
        <v>4</v>
      </c>
      <c r="D2537" s="61" t="s">
        <v>15</v>
      </c>
      <c r="E2537" s="61" t="s">
        <v>69</v>
      </c>
      <c r="F2537" s="61" t="s">
        <v>71</v>
      </c>
      <c r="G2537" s="62">
        <v>9130651426</v>
      </c>
      <c r="H2537" s="61" t="s">
        <v>68</v>
      </c>
      <c r="I2537" s="63" t="str">
        <f t="shared" si="137"/>
        <v>Thailand-OTA</v>
      </c>
      <c r="J2537" s="47"/>
      <c r="K2537" s="54"/>
      <c r="L2537" s="35"/>
      <c r="M2537" s="35"/>
      <c r="N2537" s="35"/>
      <c r="O2537" s="35"/>
      <c r="P2537" s="35"/>
      <c r="Q2537" s="35"/>
      <c r="R2537" s="35"/>
      <c r="S2537" s="35"/>
      <c r="T2537" s="35"/>
      <c r="U2537" s="35"/>
      <c r="V2537" s="35"/>
      <c r="W2537" s="35"/>
      <c r="X2537" s="35"/>
      <c r="Y2537" s="35"/>
      <c r="Z2537" s="35"/>
      <c r="AA2537" s="35"/>
      <c r="AB2537" s="35"/>
      <c r="AC2537" s="35"/>
      <c r="AD2537" s="35"/>
      <c r="AE2537" s="35"/>
      <c r="AF2537" s="35"/>
      <c r="AG2537" s="35"/>
      <c r="AH2537" s="35"/>
      <c r="AI2537" s="35"/>
      <c r="AJ2537" s="35"/>
      <c r="AK2537" s="35"/>
      <c r="AL2537" s="35"/>
      <c r="AM2537" s="35"/>
      <c r="AN2537" s="35"/>
      <c r="AO2537" s="35"/>
      <c r="AP2537" s="35"/>
    </row>
    <row r="2538" spans="1:42" ht="17.25" customHeight="1" x14ac:dyDescent="0.25">
      <c r="A2538" s="55">
        <v>2025</v>
      </c>
      <c r="B2538" s="56" t="s">
        <v>66</v>
      </c>
      <c r="C2538" s="56" t="s">
        <v>41</v>
      </c>
      <c r="D2538" s="56" t="s">
        <v>45</v>
      </c>
      <c r="E2538" s="56" t="s">
        <v>67</v>
      </c>
      <c r="F2538" s="56" t="s">
        <v>67</v>
      </c>
      <c r="G2538" s="57">
        <v>25464555623</v>
      </c>
      <c r="H2538" s="56" t="s">
        <v>68</v>
      </c>
      <c r="I2538" s="58" t="str">
        <f t="shared" si="137"/>
        <v>U.A.E.-Offline</v>
      </c>
      <c r="J2538" s="40"/>
      <c r="K2538" s="59"/>
      <c r="L2538" s="35"/>
      <c r="M2538" s="35"/>
      <c r="N2538" s="35"/>
      <c r="O2538" s="35"/>
      <c r="P2538" s="35"/>
      <c r="Q2538" s="35"/>
      <c r="R2538" s="35"/>
      <c r="S2538" s="35"/>
      <c r="T2538" s="35"/>
      <c r="U2538" s="35"/>
      <c r="V2538" s="35"/>
      <c r="W2538" s="35"/>
      <c r="X2538" s="35"/>
      <c r="Y2538" s="35"/>
      <c r="Z2538" s="35"/>
      <c r="AA2538" s="35"/>
      <c r="AB2538" s="35"/>
      <c r="AC2538" s="35"/>
      <c r="AD2538" s="35"/>
      <c r="AE2538" s="35"/>
      <c r="AF2538" s="35"/>
      <c r="AG2538" s="35"/>
      <c r="AH2538" s="35"/>
      <c r="AI2538" s="35"/>
      <c r="AJ2538" s="35"/>
      <c r="AK2538" s="35"/>
      <c r="AL2538" s="35"/>
      <c r="AM2538" s="35"/>
      <c r="AN2538" s="35"/>
      <c r="AO2538" s="35"/>
      <c r="AP2538" s="35"/>
    </row>
    <row r="2539" spans="1:42" ht="17.25" customHeight="1" x14ac:dyDescent="0.25">
      <c r="A2539" s="60">
        <v>2025</v>
      </c>
      <c r="B2539" s="61" t="s">
        <v>66</v>
      </c>
      <c r="C2539" s="61" t="s">
        <v>41</v>
      </c>
      <c r="D2539" s="61" t="s">
        <v>45</v>
      </c>
      <c r="E2539" s="61" t="s">
        <v>69</v>
      </c>
      <c r="F2539" s="61" t="s">
        <v>70</v>
      </c>
      <c r="G2539" s="62">
        <v>19547221819</v>
      </c>
      <c r="H2539" s="61" t="s">
        <v>68</v>
      </c>
      <c r="I2539" s="63" t="str">
        <f t="shared" si="137"/>
        <v>U.A.E.-Online Supplier-Direct</v>
      </c>
      <c r="J2539" s="47"/>
      <c r="K2539" s="54"/>
      <c r="L2539" s="35"/>
      <c r="M2539" s="35"/>
      <c r="N2539" s="35"/>
      <c r="O2539" s="35"/>
      <c r="P2539" s="35"/>
      <c r="Q2539" s="35"/>
      <c r="R2539" s="35"/>
      <c r="S2539" s="35"/>
      <c r="T2539" s="35"/>
      <c r="U2539" s="35"/>
      <c r="V2539" s="35"/>
      <c r="W2539" s="35"/>
      <c r="X2539" s="35"/>
      <c r="Y2539" s="35"/>
      <c r="Z2539" s="35"/>
      <c r="AA2539" s="35"/>
      <c r="AB2539" s="35"/>
      <c r="AC2539" s="35"/>
      <c r="AD2539" s="35"/>
      <c r="AE2539" s="35"/>
      <c r="AF2539" s="35"/>
      <c r="AG2539" s="35"/>
      <c r="AH2539" s="35"/>
      <c r="AI2539" s="35"/>
      <c r="AJ2539" s="35"/>
      <c r="AK2539" s="35"/>
      <c r="AL2539" s="35"/>
      <c r="AM2539" s="35"/>
      <c r="AN2539" s="35"/>
      <c r="AO2539" s="35"/>
      <c r="AP2539" s="35"/>
    </row>
    <row r="2540" spans="1:42" ht="17.25" customHeight="1" x14ac:dyDescent="0.25">
      <c r="A2540" s="55">
        <v>2025</v>
      </c>
      <c r="B2540" s="56" t="s">
        <v>66</v>
      </c>
      <c r="C2540" s="56" t="s">
        <v>41</v>
      </c>
      <c r="D2540" s="56" t="s">
        <v>45</v>
      </c>
      <c r="E2540" s="56" t="s">
        <v>69</v>
      </c>
      <c r="F2540" s="56" t="s">
        <v>71</v>
      </c>
      <c r="G2540" s="57">
        <v>7573262229</v>
      </c>
      <c r="H2540" s="56" t="s">
        <v>68</v>
      </c>
      <c r="I2540" s="58" t="str">
        <f t="shared" si="137"/>
        <v>U.A.E.-OTA</v>
      </c>
      <c r="J2540" s="40"/>
      <c r="K2540" s="59"/>
      <c r="L2540" s="35"/>
      <c r="M2540" s="35"/>
      <c r="N2540" s="35"/>
      <c r="O2540" s="35"/>
      <c r="P2540" s="35"/>
      <c r="Q2540" s="35"/>
      <c r="R2540" s="35"/>
      <c r="S2540" s="35"/>
      <c r="T2540" s="35"/>
      <c r="U2540" s="35"/>
      <c r="V2540" s="35"/>
      <c r="W2540" s="35"/>
      <c r="X2540" s="35"/>
      <c r="Y2540" s="35"/>
      <c r="Z2540" s="35"/>
      <c r="AA2540" s="35"/>
      <c r="AB2540" s="35"/>
      <c r="AC2540" s="35"/>
      <c r="AD2540" s="35"/>
      <c r="AE2540" s="35"/>
      <c r="AF2540" s="35"/>
      <c r="AG2540" s="35"/>
      <c r="AH2540" s="35"/>
      <c r="AI2540" s="35"/>
      <c r="AJ2540" s="35"/>
      <c r="AK2540" s="35"/>
      <c r="AL2540" s="35"/>
      <c r="AM2540" s="35"/>
      <c r="AN2540" s="35"/>
      <c r="AO2540" s="35"/>
      <c r="AP2540" s="35"/>
    </row>
    <row r="2541" spans="1:42" ht="17.25" customHeight="1" x14ac:dyDescent="0.25">
      <c r="A2541" s="60">
        <v>2025</v>
      </c>
      <c r="B2541" s="61" t="s">
        <v>66</v>
      </c>
      <c r="C2541" s="61" t="s">
        <v>27</v>
      </c>
      <c r="D2541" s="61" t="s">
        <v>33</v>
      </c>
      <c r="E2541" s="61" t="s">
        <v>67</v>
      </c>
      <c r="F2541" s="61" t="s">
        <v>67</v>
      </c>
      <c r="G2541" s="62">
        <v>11199983896</v>
      </c>
      <c r="H2541" s="61" t="s">
        <v>68</v>
      </c>
      <c r="I2541" s="63" t="str">
        <f t="shared" si="137"/>
        <v>U.K.-Offline</v>
      </c>
      <c r="J2541" s="47"/>
      <c r="K2541" s="54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  <c r="AB2541" s="35"/>
      <c r="AC2541" s="35"/>
      <c r="AD2541" s="35"/>
      <c r="AE2541" s="35"/>
      <c r="AF2541" s="35"/>
      <c r="AG2541" s="35"/>
      <c r="AH2541" s="35"/>
      <c r="AI2541" s="35"/>
      <c r="AJ2541" s="35"/>
      <c r="AK2541" s="35"/>
      <c r="AL2541" s="35"/>
      <c r="AM2541" s="35"/>
      <c r="AN2541" s="35"/>
      <c r="AO2541" s="35"/>
      <c r="AP2541" s="35"/>
    </row>
    <row r="2542" spans="1:42" ht="17.25" customHeight="1" x14ac:dyDescent="0.25">
      <c r="A2542" s="55">
        <v>2025</v>
      </c>
      <c r="B2542" s="56" t="s">
        <v>66</v>
      </c>
      <c r="C2542" s="56" t="s">
        <v>27</v>
      </c>
      <c r="D2542" s="56" t="s">
        <v>33</v>
      </c>
      <c r="E2542" s="56" t="s">
        <v>69</v>
      </c>
      <c r="F2542" s="56" t="s">
        <v>70</v>
      </c>
      <c r="G2542" s="57">
        <v>45686536312</v>
      </c>
      <c r="H2542" s="56" t="s">
        <v>68</v>
      </c>
      <c r="I2542" s="58" t="str">
        <f t="shared" si="137"/>
        <v>U.K.-Online Supplier-Direct</v>
      </c>
      <c r="J2542" s="40"/>
      <c r="K2542" s="59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  <c r="AA2542" s="35"/>
      <c r="AB2542" s="35"/>
      <c r="AC2542" s="35"/>
      <c r="AD2542" s="35"/>
      <c r="AE2542" s="35"/>
      <c r="AF2542" s="35"/>
      <c r="AG2542" s="35"/>
      <c r="AH2542" s="35"/>
      <c r="AI2542" s="35"/>
      <c r="AJ2542" s="35"/>
      <c r="AK2542" s="35"/>
      <c r="AL2542" s="35"/>
      <c r="AM2542" s="35"/>
      <c r="AN2542" s="35"/>
      <c r="AO2542" s="35"/>
      <c r="AP2542" s="35"/>
    </row>
    <row r="2543" spans="1:42" ht="17.25" customHeight="1" x14ac:dyDescent="0.25">
      <c r="A2543" s="60">
        <v>2025</v>
      </c>
      <c r="B2543" s="61" t="s">
        <v>66</v>
      </c>
      <c r="C2543" s="61" t="s">
        <v>27</v>
      </c>
      <c r="D2543" s="61" t="s">
        <v>33</v>
      </c>
      <c r="E2543" s="61" t="s">
        <v>69</v>
      </c>
      <c r="F2543" s="61" t="s">
        <v>71</v>
      </c>
      <c r="G2543" s="62">
        <v>12839326440</v>
      </c>
      <c r="H2543" s="61" t="s">
        <v>68</v>
      </c>
      <c r="I2543" s="63" t="str">
        <f t="shared" si="137"/>
        <v>U.K.-OTA</v>
      </c>
      <c r="J2543" s="47"/>
      <c r="K2543" s="54"/>
      <c r="L2543" s="35"/>
      <c r="M2543" s="35"/>
      <c r="N2543" s="35"/>
      <c r="O2543" s="35"/>
      <c r="P2543" s="35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  <c r="AB2543" s="35"/>
      <c r="AC2543" s="35"/>
      <c r="AD2543" s="35"/>
      <c r="AE2543" s="35"/>
      <c r="AF2543" s="35"/>
      <c r="AG2543" s="35"/>
      <c r="AH2543" s="35"/>
      <c r="AI2543" s="35"/>
      <c r="AJ2543" s="35"/>
      <c r="AK2543" s="35"/>
      <c r="AL2543" s="35"/>
      <c r="AM2543" s="35"/>
      <c r="AN2543" s="35"/>
      <c r="AO2543" s="35"/>
      <c r="AP2543" s="35"/>
    </row>
    <row r="2544" spans="1:42" ht="17.25" customHeight="1" x14ac:dyDescent="0.25">
      <c r="A2544" s="55">
        <v>2025</v>
      </c>
      <c r="B2544" s="56" t="s">
        <v>66</v>
      </c>
      <c r="C2544" s="56" t="s">
        <v>47</v>
      </c>
      <c r="D2544" s="56" t="s">
        <v>48</v>
      </c>
      <c r="E2544" s="56" t="s">
        <v>72</v>
      </c>
      <c r="F2544" s="56" t="s">
        <v>73</v>
      </c>
      <c r="G2544" s="57">
        <v>85386529567</v>
      </c>
      <c r="H2544" s="56" t="s">
        <v>68</v>
      </c>
      <c r="I2544" s="58" t="str">
        <f t="shared" si="137"/>
        <v>U.S.-Central Reservation</v>
      </c>
      <c r="J2544" s="40"/>
      <c r="K2544" s="59"/>
      <c r="L2544" s="35"/>
      <c r="M2544" s="35"/>
      <c r="N2544" s="35"/>
      <c r="O2544" s="35"/>
      <c r="P2544" s="35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  <c r="AB2544" s="35"/>
      <c r="AC2544" s="35"/>
      <c r="AD2544" s="35"/>
      <c r="AE2544" s="35"/>
      <c r="AF2544" s="35"/>
      <c r="AG2544" s="35"/>
      <c r="AH2544" s="35"/>
      <c r="AI2544" s="35"/>
      <c r="AJ2544" s="35"/>
      <c r="AK2544" s="35"/>
      <c r="AL2544" s="35"/>
      <c r="AM2544" s="35"/>
      <c r="AN2544" s="35"/>
      <c r="AO2544" s="35"/>
      <c r="AP2544" s="35"/>
    </row>
    <row r="2545" spans="1:42" ht="17.25" customHeight="1" x14ac:dyDescent="0.25">
      <c r="A2545" s="60">
        <v>2025</v>
      </c>
      <c r="B2545" s="61" t="s">
        <v>66</v>
      </c>
      <c r="C2545" s="61" t="s">
        <v>47</v>
      </c>
      <c r="D2545" s="61" t="s">
        <v>48</v>
      </c>
      <c r="E2545" s="61" t="s">
        <v>67</v>
      </c>
      <c r="F2545" s="61" t="s">
        <v>74</v>
      </c>
      <c r="G2545" s="62">
        <v>108533704509</v>
      </c>
      <c r="H2545" s="61" t="s">
        <v>68</v>
      </c>
      <c r="I2545" s="63" t="str">
        <f t="shared" si="137"/>
        <v>U.S.-Travel Agency/TMC</v>
      </c>
      <c r="J2545" s="47"/>
      <c r="K2545" s="54"/>
      <c r="L2545" s="35"/>
      <c r="M2545" s="35"/>
      <c r="N2545" s="35"/>
      <c r="O2545" s="35"/>
      <c r="P2545" s="35"/>
      <c r="Q2545" s="35"/>
      <c r="R2545" s="35"/>
      <c r="S2545" s="35"/>
      <c r="T2545" s="35"/>
      <c r="U2545" s="35"/>
      <c r="V2545" s="35"/>
      <c r="W2545" s="35"/>
      <c r="X2545" s="35"/>
      <c r="Y2545" s="35"/>
      <c r="Z2545" s="35"/>
      <c r="AA2545" s="35"/>
      <c r="AB2545" s="35"/>
      <c r="AC2545" s="35"/>
      <c r="AD2545" s="35"/>
      <c r="AE2545" s="35"/>
      <c r="AF2545" s="35"/>
      <c r="AG2545" s="35"/>
      <c r="AH2545" s="35"/>
      <c r="AI2545" s="35"/>
      <c r="AJ2545" s="35"/>
      <c r="AK2545" s="35"/>
      <c r="AL2545" s="35"/>
      <c r="AM2545" s="35"/>
      <c r="AN2545" s="35"/>
      <c r="AO2545" s="35"/>
      <c r="AP2545" s="35"/>
    </row>
    <row r="2546" spans="1:42" ht="17.25" customHeight="1" x14ac:dyDescent="0.25">
      <c r="A2546" s="55">
        <v>2025</v>
      </c>
      <c r="B2546" s="56" t="s">
        <v>66</v>
      </c>
      <c r="C2546" s="56" t="s">
        <v>47</v>
      </c>
      <c r="D2546" s="56" t="s">
        <v>48</v>
      </c>
      <c r="E2546" s="56" t="s">
        <v>69</v>
      </c>
      <c r="F2546" s="56" t="s">
        <v>70</v>
      </c>
      <c r="G2546" s="57">
        <v>220859368279</v>
      </c>
      <c r="H2546" s="56" t="s">
        <v>68</v>
      </c>
      <c r="I2546" s="58" t="str">
        <f t="shared" si="137"/>
        <v>U.S.-Online Supplier-Direct</v>
      </c>
      <c r="J2546" s="40"/>
      <c r="K2546" s="59"/>
      <c r="L2546" s="35"/>
      <c r="M2546" s="35"/>
      <c r="N2546" s="35"/>
      <c r="O2546" s="35"/>
      <c r="P2546" s="35"/>
      <c r="Q2546" s="35"/>
      <c r="R2546" s="35"/>
      <c r="S2546" s="35"/>
      <c r="T2546" s="35"/>
      <c r="U2546" s="35"/>
      <c r="V2546" s="35"/>
      <c r="W2546" s="35"/>
      <c r="X2546" s="35"/>
      <c r="Y2546" s="35"/>
      <c r="Z2546" s="35"/>
      <c r="AA2546" s="35"/>
      <c r="AB2546" s="35"/>
      <c r="AC2546" s="35"/>
      <c r="AD2546" s="35"/>
      <c r="AE2546" s="35"/>
      <c r="AF2546" s="35"/>
      <c r="AG2546" s="35"/>
      <c r="AH2546" s="35"/>
      <c r="AI2546" s="35"/>
      <c r="AJ2546" s="35"/>
      <c r="AK2546" s="35"/>
      <c r="AL2546" s="35"/>
      <c r="AM2546" s="35"/>
      <c r="AN2546" s="35"/>
      <c r="AO2546" s="35"/>
      <c r="AP2546" s="35"/>
    </row>
    <row r="2547" spans="1:42" ht="17.25" customHeight="1" x14ac:dyDescent="0.25">
      <c r="A2547" s="60">
        <v>2025</v>
      </c>
      <c r="B2547" s="61" t="s">
        <v>66</v>
      </c>
      <c r="C2547" s="61" t="s">
        <v>47</v>
      </c>
      <c r="D2547" s="61" t="s">
        <v>48</v>
      </c>
      <c r="E2547" s="61" t="s">
        <v>69</v>
      </c>
      <c r="F2547" s="61" t="s">
        <v>71</v>
      </c>
      <c r="G2547" s="62">
        <v>110973000002</v>
      </c>
      <c r="H2547" s="61" t="s">
        <v>68</v>
      </c>
      <c r="I2547" s="63" t="str">
        <f t="shared" si="137"/>
        <v>U.S.-OTA</v>
      </c>
      <c r="J2547" s="47"/>
      <c r="K2547" s="54"/>
      <c r="L2547" s="35"/>
      <c r="M2547" s="35"/>
      <c r="N2547" s="35"/>
      <c r="O2547" s="35"/>
      <c r="P2547" s="35"/>
      <c r="Q2547" s="35"/>
      <c r="R2547" s="35"/>
      <c r="S2547" s="35"/>
      <c r="T2547" s="35"/>
      <c r="U2547" s="35"/>
      <c r="V2547" s="35"/>
      <c r="W2547" s="35"/>
      <c r="X2547" s="35"/>
      <c r="Y2547" s="35"/>
      <c r="Z2547" s="35"/>
      <c r="AA2547" s="35"/>
      <c r="AB2547" s="35"/>
      <c r="AC2547" s="35"/>
      <c r="AD2547" s="35"/>
      <c r="AE2547" s="35"/>
      <c r="AF2547" s="35"/>
      <c r="AG2547" s="35"/>
      <c r="AH2547" s="35"/>
      <c r="AI2547" s="35"/>
      <c r="AJ2547" s="35"/>
      <c r="AK2547" s="35"/>
      <c r="AL2547" s="35"/>
      <c r="AM2547" s="35"/>
      <c r="AN2547" s="35"/>
      <c r="AO2547" s="35"/>
      <c r="AP2547" s="35"/>
    </row>
    <row r="2548" spans="1:42" ht="17.25" customHeight="1" x14ac:dyDescent="0.25">
      <c r="A2548" s="55">
        <v>2025</v>
      </c>
      <c r="B2548" s="56" t="s">
        <v>66</v>
      </c>
      <c r="C2548" s="56" t="s">
        <v>17</v>
      </c>
      <c r="D2548" s="56" t="s">
        <v>25</v>
      </c>
      <c r="E2548" s="56" t="s">
        <v>67</v>
      </c>
      <c r="F2548" s="56" t="s">
        <v>67</v>
      </c>
      <c r="G2548" s="57">
        <v>0</v>
      </c>
      <c r="H2548" s="56" t="s">
        <v>68</v>
      </c>
      <c r="I2548" s="58" t="str">
        <f t="shared" si="137"/>
        <v>Ukraine-Offline</v>
      </c>
      <c r="J2548" s="40"/>
      <c r="K2548" s="59"/>
      <c r="L2548" s="35"/>
      <c r="M2548" s="35"/>
      <c r="N2548" s="35"/>
      <c r="O2548" s="35"/>
      <c r="P2548" s="35"/>
      <c r="Q2548" s="35"/>
      <c r="R2548" s="35"/>
      <c r="S2548" s="35"/>
      <c r="T2548" s="35"/>
      <c r="U2548" s="35"/>
      <c r="V2548" s="35"/>
      <c r="W2548" s="35"/>
      <c r="X2548" s="35"/>
      <c r="Y2548" s="35"/>
      <c r="Z2548" s="35"/>
      <c r="AA2548" s="35"/>
      <c r="AB2548" s="35"/>
      <c r="AC2548" s="35"/>
      <c r="AD2548" s="35"/>
      <c r="AE2548" s="35"/>
      <c r="AF2548" s="35"/>
      <c r="AG2548" s="35"/>
      <c r="AH2548" s="35"/>
      <c r="AI2548" s="35"/>
      <c r="AJ2548" s="35"/>
      <c r="AK2548" s="35"/>
      <c r="AL2548" s="35"/>
      <c r="AM2548" s="35"/>
      <c r="AN2548" s="35"/>
      <c r="AO2548" s="35"/>
      <c r="AP2548" s="35"/>
    </row>
    <row r="2549" spans="1:42" ht="17.25" customHeight="1" x14ac:dyDescent="0.25">
      <c r="A2549" s="60">
        <v>2025</v>
      </c>
      <c r="B2549" s="61" t="s">
        <v>66</v>
      </c>
      <c r="C2549" s="61" t="s">
        <v>17</v>
      </c>
      <c r="D2549" s="61" t="s">
        <v>25</v>
      </c>
      <c r="E2549" s="61" t="s">
        <v>69</v>
      </c>
      <c r="F2549" s="61" t="s">
        <v>70</v>
      </c>
      <c r="G2549" s="62">
        <v>0</v>
      </c>
      <c r="H2549" s="61" t="s">
        <v>68</v>
      </c>
      <c r="I2549" s="63" t="str">
        <f t="shared" si="137"/>
        <v>Ukraine-Online Supplier-Direct</v>
      </c>
      <c r="J2549" s="47"/>
      <c r="K2549" s="54"/>
      <c r="L2549" s="35"/>
      <c r="M2549" s="35"/>
      <c r="N2549" s="35"/>
      <c r="O2549" s="35"/>
      <c r="P2549" s="35"/>
      <c r="Q2549" s="35"/>
      <c r="R2549" s="35"/>
      <c r="S2549" s="35"/>
      <c r="T2549" s="35"/>
      <c r="U2549" s="35"/>
      <c r="V2549" s="35"/>
      <c r="W2549" s="35"/>
      <c r="X2549" s="35"/>
      <c r="Y2549" s="35"/>
      <c r="Z2549" s="35"/>
      <c r="AA2549" s="35"/>
      <c r="AB2549" s="35"/>
      <c r="AC2549" s="35"/>
      <c r="AD2549" s="35"/>
      <c r="AE2549" s="35"/>
      <c r="AF2549" s="35"/>
      <c r="AG2549" s="35"/>
      <c r="AH2549" s="35"/>
      <c r="AI2549" s="35"/>
      <c r="AJ2549" s="35"/>
      <c r="AK2549" s="35"/>
      <c r="AL2549" s="35"/>
      <c r="AM2549" s="35"/>
      <c r="AN2549" s="35"/>
      <c r="AO2549" s="35"/>
      <c r="AP2549" s="35"/>
    </row>
    <row r="2550" spans="1:42" ht="17.25" customHeight="1" x14ac:dyDescent="0.25">
      <c r="A2550" s="55">
        <v>2025</v>
      </c>
      <c r="B2550" s="56" t="s">
        <v>66</v>
      </c>
      <c r="C2550" s="56" t="s">
        <v>17</v>
      </c>
      <c r="D2550" s="56" t="s">
        <v>25</v>
      </c>
      <c r="E2550" s="56" t="s">
        <v>69</v>
      </c>
      <c r="F2550" s="56" t="s">
        <v>71</v>
      </c>
      <c r="G2550" s="57">
        <v>0</v>
      </c>
      <c r="H2550" s="56" t="s">
        <v>68</v>
      </c>
      <c r="I2550" s="58" t="str">
        <f t="shared" si="137"/>
        <v>Ukraine-OTA</v>
      </c>
      <c r="J2550" s="40"/>
      <c r="K2550" s="59"/>
      <c r="L2550" s="35"/>
      <c r="M2550" s="35"/>
      <c r="N2550" s="35"/>
      <c r="O2550" s="35"/>
      <c r="P2550" s="35"/>
      <c r="Q2550" s="35"/>
      <c r="R2550" s="35"/>
      <c r="S2550" s="35"/>
      <c r="T2550" s="35"/>
      <c r="U2550" s="35"/>
      <c r="V2550" s="35"/>
      <c r="W2550" s="35"/>
      <c r="X2550" s="35"/>
      <c r="Y2550" s="35"/>
      <c r="Z2550" s="35"/>
      <c r="AA2550" s="35"/>
      <c r="AB2550" s="35"/>
      <c r="AC2550" s="35"/>
      <c r="AD2550" s="35"/>
      <c r="AE2550" s="35"/>
      <c r="AF2550" s="35"/>
      <c r="AG2550" s="35"/>
      <c r="AH2550" s="35"/>
      <c r="AI2550" s="35"/>
      <c r="AJ2550" s="35"/>
      <c r="AK2550" s="35"/>
      <c r="AL2550" s="35"/>
      <c r="AM2550" s="35"/>
      <c r="AN2550" s="35"/>
      <c r="AO2550" s="35"/>
      <c r="AP2550" s="35"/>
    </row>
    <row r="2551" spans="1:42" ht="17.25" customHeight="1" x14ac:dyDescent="0.25">
      <c r="A2551" s="60">
        <v>2026</v>
      </c>
      <c r="B2551" s="61" t="s">
        <v>66</v>
      </c>
      <c r="C2551" s="61" t="s">
        <v>35</v>
      </c>
      <c r="D2551" s="61" t="s">
        <v>34</v>
      </c>
      <c r="E2551" s="61" t="s">
        <v>67</v>
      </c>
      <c r="F2551" s="61" t="s">
        <v>67</v>
      </c>
      <c r="G2551" s="62">
        <v>5003422814</v>
      </c>
      <c r="H2551" s="61" t="s">
        <v>68</v>
      </c>
      <c r="I2551" s="63" t="str">
        <f t="shared" si="137"/>
        <v>Argentina-Offline</v>
      </c>
      <c r="J2551" s="47"/>
      <c r="K2551" s="54"/>
      <c r="L2551" s="35"/>
      <c r="M2551" s="35"/>
      <c r="N2551" s="35"/>
      <c r="O2551" s="35"/>
      <c r="P2551" s="35"/>
      <c r="Q2551" s="35"/>
      <c r="R2551" s="35"/>
      <c r="S2551" s="35"/>
      <c r="T2551" s="35"/>
      <c r="U2551" s="35"/>
      <c r="V2551" s="35"/>
      <c r="W2551" s="35"/>
      <c r="X2551" s="35"/>
      <c r="Y2551" s="35"/>
      <c r="Z2551" s="35"/>
      <c r="AA2551" s="35"/>
      <c r="AB2551" s="35"/>
      <c r="AC2551" s="35"/>
      <c r="AD2551" s="35"/>
      <c r="AE2551" s="35"/>
      <c r="AF2551" s="35"/>
      <c r="AG2551" s="35"/>
      <c r="AH2551" s="35"/>
      <c r="AI2551" s="35"/>
      <c r="AJ2551" s="35"/>
      <c r="AK2551" s="35"/>
      <c r="AL2551" s="35"/>
      <c r="AM2551" s="35"/>
      <c r="AN2551" s="35"/>
      <c r="AO2551" s="35"/>
      <c r="AP2551" s="35"/>
    </row>
    <row r="2552" spans="1:42" ht="17.25" customHeight="1" x14ac:dyDescent="0.25">
      <c r="A2552" s="55">
        <v>2026</v>
      </c>
      <c r="B2552" s="56" t="s">
        <v>66</v>
      </c>
      <c r="C2552" s="56" t="s">
        <v>35</v>
      </c>
      <c r="D2552" s="56" t="s">
        <v>34</v>
      </c>
      <c r="E2552" s="56" t="s">
        <v>69</v>
      </c>
      <c r="F2552" s="56" t="s">
        <v>70</v>
      </c>
      <c r="G2552" s="57">
        <v>2193730682</v>
      </c>
      <c r="H2552" s="56" t="s">
        <v>68</v>
      </c>
      <c r="I2552" s="58" t="str">
        <f t="shared" ref="I2552:I2794" si="138">D2552&amp;"-"&amp;F2552</f>
        <v>Argentina-Online Supplier-Direct</v>
      </c>
      <c r="J2552" s="40"/>
      <c r="K2552" s="59"/>
      <c r="L2552" s="35"/>
      <c r="M2552" s="35"/>
      <c r="N2552" s="35"/>
      <c r="O2552" s="35"/>
      <c r="P2552" s="35"/>
      <c r="Q2552" s="35"/>
      <c r="R2552" s="35"/>
      <c r="S2552" s="35"/>
      <c r="T2552" s="35"/>
      <c r="U2552" s="35"/>
      <c r="V2552" s="35"/>
      <c r="W2552" s="35"/>
      <c r="X2552" s="35"/>
      <c r="Y2552" s="35"/>
      <c r="Z2552" s="35"/>
      <c r="AA2552" s="35"/>
      <c r="AB2552" s="35"/>
      <c r="AC2552" s="35"/>
      <c r="AD2552" s="35"/>
      <c r="AE2552" s="35"/>
      <c r="AF2552" s="35"/>
      <c r="AG2552" s="35"/>
      <c r="AH2552" s="35"/>
      <c r="AI2552" s="35"/>
      <c r="AJ2552" s="35"/>
      <c r="AK2552" s="35"/>
      <c r="AL2552" s="35"/>
      <c r="AM2552" s="35"/>
      <c r="AN2552" s="35"/>
      <c r="AO2552" s="35"/>
      <c r="AP2552" s="35"/>
    </row>
    <row r="2553" spans="1:42" ht="17.25" customHeight="1" x14ac:dyDescent="0.25">
      <c r="A2553" s="60">
        <v>2026</v>
      </c>
      <c r="B2553" s="61" t="s">
        <v>66</v>
      </c>
      <c r="C2553" s="61" t="s">
        <v>35</v>
      </c>
      <c r="D2553" s="61" t="s">
        <v>34</v>
      </c>
      <c r="E2553" s="61" t="s">
        <v>69</v>
      </c>
      <c r="F2553" s="61" t="s">
        <v>71</v>
      </c>
      <c r="G2553" s="62">
        <v>2268527294</v>
      </c>
      <c r="H2553" s="61" t="s">
        <v>68</v>
      </c>
      <c r="I2553" s="63" t="str">
        <f t="shared" si="138"/>
        <v>Argentina-OTA</v>
      </c>
      <c r="J2553" s="47"/>
      <c r="K2553" s="54"/>
      <c r="L2553" s="35"/>
      <c r="M2553" s="35"/>
      <c r="N2553" s="35"/>
      <c r="O2553" s="35"/>
      <c r="P2553" s="35"/>
      <c r="Q2553" s="35"/>
      <c r="R2553" s="35"/>
      <c r="S2553" s="35"/>
      <c r="T2553" s="35"/>
      <c r="U2553" s="35"/>
      <c r="V2553" s="35"/>
      <c r="W2553" s="35"/>
      <c r="X2553" s="35"/>
      <c r="Y2553" s="35"/>
      <c r="Z2553" s="35"/>
      <c r="AA2553" s="35"/>
      <c r="AB2553" s="35"/>
      <c r="AC2553" s="35"/>
      <c r="AD2553" s="35"/>
      <c r="AE2553" s="35"/>
      <c r="AF2553" s="35"/>
      <c r="AG2553" s="35"/>
      <c r="AH2553" s="35"/>
      <c r="AI2553" s="35"/>
      <c r="AJ2553" s="35"/>
      <c r="AK2553" s="35"/>
      <c r="AL2553" s="35"/>
      <c r="AM2553" s="35"/>
      <c r="AN2553" s="35"/>
      <c r="AO2553" s="35"/>
      <c r="AP2553" s="35"/>
    </row>
    <row r="2554" spans="1:42" ht="17.25" customHeight="1" x14ac:dyDescent="0.25">
      <c r="A2554" s="55">
        <v>2026</v>
      </c>
      <c r="B2554" s="56" t="s">
        <v>66</v>
      </c>
      <c r="C2554" s="56" t="s">
        <v>4</v>
      </c>
      <c r="D2554" s="56" t="s">
        <v>3</v>
      </c>
      <c r="E2554" s="56" t="s">
        <v>67</v>
      </c>
      <c r="F2554" s="56" t="s">
        <v>67</v>
      </c>
      <c r="G2554" s="57">
        <v>18082227677</v>
      </c>
      <c r="H2554" s="56" t="s">
        <v>68</v>
      </c>
      <c r="I2554" s="58" t="str">
        <f t="shared" si="138"/>
        <v>Australia-New Zealand-Offline</v>
      </c>
      <c r="J2554" s="40"/>
      <c r="K2554" s="59"/>
      <c r="L2554" s="35"/>
      <c r="M2554" s="35"/>
      <c r="N2554" s="35"/>
      <c r="O2554" s="35"/>
      <c r="P2554" s="35"/>
      <c r="Q2554" s="35"/>
      <c r="R2554" s="35"/>
      <c r="S2554" s="35"/>
      <c r="T2554" s="35"/>
      <c r="U2554" s="35"/>
      <c r="V2554" s="35"/>
      <c r="W2554" s="35"/>
      <c r="X2554" s="35"/>
      <c r="Y2554" s="35"/>
      <c r="Z2554" s="35"/>
      <c r="AA2554" s="35"/>
      <c r="AB2554" s="35"/>
      <c r="AC2554" s="35"/>
      <c r="AD2554" s="35"/>
      <c r="AE2554" s="35"/>
      <c r="AF2554" s="35"/>
      <c r="AG2554" s="35"/>
      <c r="AH2554" s="35"/>
      <c r="AI2554" s="35"/>
      <c r="AJ2554" s="35"/>
      <c r="AK2554" s="35"/>
      <c r="AL2554" s="35"/>
      <c r="AM2554" s="35"/>
      <c r="AN2554" s="35"/>
      <c r="AO2554" s="35"/>
      <c r="AP2554" s="35"/>
    </row>
    <row r="2555" spans="1:42" ht="17.25" customHeight="1" x14ac:dyDescent="0.25">
      <c r="A2555" s="60">
        <v>2026</v>
      </c>
      <c r="B2555" s="61" t="s">
        <v>66</v>
      </c>
      <c r="C2555" s="61" t="s">
        <v>4</v>
      </c>
      <c r="D2555" s="61" t="s">
        <v>3</v>
      </c>
      <c r="E2555" s="61" t="s">
        <v>69</v>
      </c>
      <c r="F2555" s="61" t="s">
        <v>70</v>
      </c>
      <c r="G2555" s="62">
        <v>18554421900</v>
      </c>
      <c r="H2555" s="61" t="s">
        <v>68</v>
      </c>
      <c r="I2555" s="63" t="str">
        <f t="shared" si="138"/>
        <v>Australia-New Zealand-Online Supplier-Direct</v>
      </c>
      <c r="J2555" s="47"/>
      <c r="K2555" s="54"/>
      <c r="L2555" s="35"/>
      <c r="M2555" s="35"/>
      <c r="N2555" s="35"/>
      <c r="O2555" s="35"/>
      <c r="P2555" s="35"/>
      <c r="Q2555" s="35"/>
      <c r="R2555" s="35"/>
      <c r="S2555" s="35"/>
      <c r="T2555" s="35"/>
      <c r="U2555" s="35"/>
      <c r="V2555" s="35"/>
      <c r="W2555" s="35"/>
      <c r="X2555" s="35"/>
      <c r="Y2555" s="35"/>
      <c r="Z2555" s="35"/>
      <c r="AA2555" s="35"/>
      <c r="AB2555" s="35"/>
      <c r="AC2555" s="35"/>
      <c r="AD2555" s="35"/>
      <c r="AE2555" s="35"/>
      <c r="AF2555" s="35"/>
      <c r="AG2555" s="35"/>
      <c r="AH2555" s="35"/>
      <c r="AI2555" s="35"/>
      <c r="AJ2555" s="35"/>
      <c r="AK2555" s="35"/>
      <c r="AL2555" s="35"/>
      <c r="AM2555" s="35"/>
      <c r="AN2555" s="35"/>
      <c r="AO2555" s="35"/>
      <c r="AP2555" s="35"/>
    </row>
    <row r="2556" spans="1:42" ht="17.25" customHeight="1" x14ac:dyDescent="0.25">
      <c r="A2556" s="55">
        <v>2026</v>
      </c>
      <c r="B2556" s="56" t="s">
        <v>66</v>
      </c>
      <c r="C2556" s="56" t="s">
        <v>4</v>
      </c>
      <c r="D2556" s="56" t="s">
        <v>3</v>
      </c>
      <c r="E2556" s="56" t="s">
        <v>69</v>
      </c>
      <c r="F2556" s="56" t="s">
        <v>71</v>
      </c>
      <c r="G2556" s="57">
        <v>7767211152</v>
      </c>
      <c r="H2556" s="56" t="s">
        <v>68</v>
      </c>
      <c r="I2556" s="58" t="str">
        <f t="shared" si="138"/>
        <v>Australia-New Zealand-OTA</v>
      </c>
      <c r="J2556" s="40"/>
      <c r="K2556" s="59"/>
      <c r="L2556" s="35"/>
      <c r="M2556" s="35"/>
      <c r="N2556" s="35"/>
      <c r="O2556" s="35"/>
      <c r="P2556" s="35"/>
      <c r="Q2556" s="35"/>
      <c r="R2556" s="35"/>
      <c r="S2556" s="35"/>
      <c r="T2556" s="35"/>
      <c r="U2556" s="35"/>
      <c r="V2556" s="35"/>
      <c r="W2556" s="35"/>
      <c r="X2556" s="35"/>
      <c r="Y2556" s="35"/>
      <c r="Z2556" s="35"/>
      <c r="AA2556" s="35"/>
      <c r="AB2556" s="35"/>
      <c r="AC2556" s="35"/>
      <c r="AD2556" s="35"/>
      <c r="AE2556" s="35"/>
      <c r="AF2556" s="35"/>
      <c r="AG2556" s="35"/>
      <c r="AH2556" s="35"/>
      <c r="AI2556" s="35"/>
      <c r="AJ2556" s="35"/>
      <c r="AK2556" s="35"/>
      <c r="AL2556" s="35"/>
      <c r="AM2556" s="35"/>
      <c r="AN2556" s="35"/>
      <c r="AO2556" s="35"/>
      <c r="AP2556" s="35"/>
    </row>
    <row r="2557" spans="1:42" ht="17.25" customHeight="1" x14ac:dyDescent="0.25">
      <c r="A2557" s="60">
        <v>2026</v>
      </c>
      <c r="B2557" s="61" t="s">
        <v>66</v>
      </c>
      <c r="C2557" s="61" t="s">
        <v>35</v>
      </c>
      <c r="D2557" s="61" t="s">
        <v>36</v>
      </c>
      <c r="E2557" s="61" t="s">
        <v>67</v>
      </c>
      <c r="F2557" s="61" t="s">
        <v>67</v>
      </c>
      <c r="G2557" s="62">
        <v>13334261596</v>
      </c>
      <c r="H2557" s="61" t="s">
        <v>68</v>
      </c>
      <c r="I2557" s="63" t="str">
        <f t="shared" si="138"/>
        <v>Brazil-Offline</v>
      </c>
      <c r="J2557" s="47"/>
      <c r="K2557" s="54"/>
      <c r="L2557" s="35"/>
      <c r="M2557" s="35"/>
      <c r="N2557" s="35"/>
      <c r="O2557" s="35"/>
      <c r="P2557" s="35"/>
      <c r="Q2557" s="35"/>
      <c r="R2557" s="35"/>
      <c r="S2557" s="35"/>
      <c r="T2557" s="35"/>
      <c r="U2557" s="35"/>
      <c r="V2557" s="35"/>
      <c r="W2557" s="35"/>
      <c r="X2557" s="35"/>
      <c r="Y2557" s="35"/>
      <c r="Z2557" s="35"/>
      <c r="AA2557" s="35"/>
      <c r="AB2557" s="35"/>
      <c r="AC2557" s="35"/>
      <c r="AD2557" s="35"/>
      <c r="AE2557" s="35"/>
      <c r="AF2557" s="35"/>
      <c r="AG2557" s="35"/>
      <c r="AH2557" s="35"/>
      <c r="AI2557" s="35"/>
      <c r="AJ2557" s="35"/>
      <c r="AK2557" s="35"/>
      <c r="AL2557" s="35"/>
      <c r="AM2557" s="35"/>
      <c r="AN2557" s="35"/>
      <c r="AO2557" s="35"/>
      <c r="AP2557" s="35"/>
    </row>
    <row r="2558" spans="1:42" ht="17.25" customHeight="1" x14ac:dyDescent="0.25">
      <c r="A2558" s="55">
        <v>2026</v>
      </c>
      <c r="B2558" s="56" t="s">
        <v>66</v>
      </c>
      <c r="C2558" s="56" t="s">
        <v>35</v>
      </c>
      <c r="D2558" s="56" t="s">
        <v>36</v>
      </c>
      <c r="E2558" s="56" t="s">
        <v>69</v>
      </c>
      <c r="F2558" s="56" t="s">
        <v>70</v>
      </c>
      <c r="G2558" s="57">
        <v>6935680734</v>
      </c>
      <c r="H2558" s="56" t="s">
        <v>68</v>
      </c>
      <c r="I2558" s="58" t="str">
        <f t="shared" si="138"/>
        <v>Brazil-Online Supplier-Direct</v>
      </c>
      <c r="J2558" s="40"/>
      <c r="K2558" s="59"/>
      <c r="L2558" s="35"/>
      <c r="M2558" s="35"/>
      <c r="N2558" s="35"/>
      <c r="O2558" s="35"/>
      <c r="P2558" s="35"/>
      <c r="Q2558" s="35"/>
      <c r="R2558" s="35"/>
      <c r="S2558" s="35"/>
      <c r="T2558" s="35"/>
      <c r="U2558" s="35"/>
      <c r="V2558" s="35"/>
      <c r="W2558" s="35"/>
      <c r="X2558" s="35"/>
      <c r="Y2558" s="35"/>
      <c r="Z2558" s="35"/>
      <c r="AA2558" s="35"/>
      <c r="AB2558" s="35"/>
      <c r="AC2558" s="35"/>
      <c r="AD2558" s="35"/>
      <c r="AE2558" s="35"/>
      <c r="AF2558" s="35"/>
      <c r="AG2558" s="35"/>
      <c r="AH2558" s="35"/>
      <c r="AI2558" s="35"/>
      <c r="AJ2558" s="35"/>
      <c r="AK2558" s="35"/>
      <c r="AL2558" s="35"/>
      <c r="AM2558" s="35"/>
      <c r="AN2558" s="35"/>
      <c r="AO2558" s="35"/>
      <c r="AP2558" s="35"/>
    </row>
    <row r="2559" spans="1:42" ht="17.25" customHeight="1" x14ac:dyDescent="0.25">
      <c r="A2559" s="60">
        <v>2026</v>
      </c>
      <c r="B2559" s="61" t="s">
        <v>66</v>
      </c>
      <c r="C2559" s="61" t="s">
        <v>35</v>
      </c>
      <c r="D2559" s="61" t="s">
        <v>36</v>
      </c>
      <c r="E2559" s="61" t="s">
        <v>69</v>
      </c>
      <c r="F2559" s="61" t="s">
        <v>71</v>
      </c>
      <c r="G2559" s="62">
        <v>7777137008</v>
      </c>
      <c r="H2559" s="61" t="s">
        <v>68</v>
      </c>
      <c r="I2559" s="63" t="str">
        <f t="shared" si="138"/>
        <v>Brazil-OTA</v>
      </c>
      <c r="J2559" s="47"/>
      <c r="K2559" s="54"/>
      <c r="L2559" s="35"/>
      <c r="M2559" s="35"/>
      <c r="N2559" s="35"/>
      <c r="O2559" s="35"/>
      <c r="P2559" s="35"/>
      <c r="Q2559" s="35"/>
      <c r="R2559" s="35"/>
      <c r="S2559" s="35"/>
      <c r="T2559" s="35"/>
      <c r="U2559" s="35"/>
      <c r="V2559" s="35"/>
      <c r="W2559" s="35"/>
      <c r="X2559" s="35"/>
      <c r="Y2559" s="35"/>
      <c r="Z2559" s="35"/>
      <c r="AA2559" s="35"/>
      <c r="AB2559" s="35"/>
      <c r="AC2559" s="35"/>
      <c r="AD2559" s="35"/>
      <c r="AE2559" s="35"/>
      <c r="AF2559" s="35"/>
      <c r="AG2559" s="35"/>
      <c r="AH2559" s="35"/>
      <c r="AI2559" s="35"/>
      <c r="AJ2559" s="35"/>
      <c r="AK2559" s="35"/>
      <c r="AL2559" s="35"/>
      <c r="AM2559" s="35"/>
      <c r="AN2559" s="35"/>
      <c r="AO2559" s="35"/>
      <c r="AP2559" s="35"/>
    </row>
    <row r="2560" spans="1:42" ht="17.25" customHeight="1" x14ac:dyDescent="0.25">
      <c r="A2560" s="55">
        <v>2026</v>
      </c>
      <c r="B2560" s="56" t="s">
        <v>66</v>
      </c>
      <c r="C2560" s="56" t="s">
        <v>17</v>
      </c>
      <c r="D2560" s="56" t="s">
        <v>16</v>
      </c>
      <c r="E2560" s="56" t="s">
        <v>67</v>
      </c>
      <c r="F2560" s="56" t="s">
        <v>67</v>
      </c>
      <c r="G2560" s="57">
        <v>982238463</v>
      </c>
      <c r="H2560" s="56" t="s">
        <v>68</v>
      </c>
      <c r="I2560" s="58" t="str">
        <f t="shared" si="138"/>
        <v>Bulgaria-Offline</v>
      </c>
      <c r="J2560" s="40"/>
      <c r="K2560" s="59"/>
      <c r="L2560" s="35"/>
      <c r="M2560" s="35"/>
      <c r="N2560" s="35"/>
      <c r="O2560" s="35"/>
      <c r="P2560" s="35"/>
      <c r="Q2560" s="35"/>
      <c r="R2560" s="35"/>
      <c r="S2560" s="35"/>
      <c r="T2560" s="35"/>
      <c r="U2560" s="35"/>
      <c r="V2560" s="35"/>
      <c r="W2560" s="35"/>
      <c r="X2560" s="35"/>
      <c r="Y2560" s="35"/>
      <c r="Z2560" s="35"/>
      <c r="AA2560" s="35"/>
      <c r="AB2560" s="35"/>
      <c r="AC2560" s="35"/>
      <c r="AD2560" s="35"/>
      <c r="AE2560" s="35"/>
      <c r="AF2560" s="35"/>
      <c r="AG2560" s="35"/>
      <c r="AH2560" s="35"/>
      <c r="AI2560" s="35"/>
      <c r="AJ2560" s="35"/>
      <c r="AK2560" s="35"/>
      <c r="AL2560" s="35"/>
      <c r="AM2560" s="35"/>
      <c r="AN2560" s="35"/>
      <c r="AO2560" s="35"/>
      <c r="AP2560" s="35"/>
    </row>
    <row r="2561" spans="1:42" ht="17.25" customHeight="1" x14ac:dyDescent="0.25">
      <c r="A2561" s="60">
        <v>2026</v>
      </c>
      <c r="B2561" s="61" t="s">
        <v>66</v>
      </c>
      <c r="C2561" s="61" t="s">
        <v>17</v>
      </c>
      <c r="D2561" s="61" t="s">
        <v>16</v>
      </c>
      <c r="E2561" s="61" t="s">
        <v>69</v>
      </c>
      <c r="F2561" s="61" t="s">
        <v>70</v>
      </c>
      <c r="G2561" s="62">
        <v>346039020</v>
      </c>
      <c r="H2561" s="61" t="s">
        <v>68</v>
      </c>
      <c r="I2561" s="63" t="str">
        <f t="shared" si="138"/>
        <v>Bulgaria-Online Supplier-Direct</v>
      </c>
      <c r="J2561" s="47"/>
      <c r="K2561" s="54"/>
      <c r="L2561" s="35"/>
      <c r="M2561" s="35"/>
      <c r="N2561" s="35"/>
      <c r="O2561" s="35"/>
      <c r="P2561" s="35"/>
      <c r="Q2561" s="35"/>
      <c r="R2561" s="35"/>
      <c r="S2561" s="35"/>
      <c r="T2561" s="35"/>
      <c r="U2561" s="35"/>
      <c r="V2561" s="35"/>
      <c r="W2561" s="35"/>
      <c r="X2561" s="35"/>
      <c r="Y2561" s="35"/>
      <c r="Z2561" s="35"/>
      <c r="AA2561" s="35"/>
      <c r="AB2561" s="35"/>
      <c r="AC2561" s="35"/>
      <c r="AD2561" s="35"/>
      <c r="AE2561" s="35"/>
      <c r="AF2561" s="35"/>
      <c r="AG2561" s="35"/>
      <c r="AH2561" s="35"/>
      <c r="AI2561" s="35"/>
      <c r="AJ2561" s="35"/>
      <c r="AK2561" s="35"/>
      <c r="AL2561" s="35"/>
      <c r="AM2561" s="35"/>
      <c r="AN2561" s="35"/>
      <c r="AO2561" s="35"/>
      <c r="AP2561" s="35"/>
    </row>
    <row r="2562" spans="1:42" ht="17.25" customHeight="1" x14ac:dyDescent="0.25">
      <c r="A2562" s="55">
        <v>2026</v>
      </c>
      <c r="B2562" s="56" t="s">
        <v>66</v>
      </c>
      <c r="C2562" s="56" t="s">
        <v>17</v>
      </c>
      <c r="D2562" s="56" t="s">
        <v>16</v>
      </c>
      <c r="E2562" s="56" t="s">
        <v>69</v>
      </c>
      <c r="F2562" s="56" t="s">
        <v>71</v>
      </c>
      <c r="G2562" s="57">
        <v>838600126</v>
      </c>
      <c r="H2562" s="56" t="s">
        <v>68</v>
      </c>
      <c r="I2562" s="58" t="str">
        <f t="shared" si="138"/>
        <v>Bulgaria-OTA</v>
      </c>
      <c r="J2562" s="40"/>
      <c r="K2562" s="59"/>
      <c r="L2562" s="35"/>
      <c r="M2562" s="35"/>
      <c r="N2562" s="35"/>
      <c r="O2562" s="35"/>
      <c r="P2562" s="35"/>
      <c r="Q2562" s="35"/>
      <c r="R2562" s="35"/>
      <c r="S2562" s="35"/>
      <c r="T2562" s="35"/>
      <c r="U2562" s="35"/>
      <c r="V2562" s="35"/>
      <c r="W2562" s="35"/>
      <c r="X2562" s="35"/>
      <c r="Y2562" s="35"/>
      <c r="Z2562" s="35"/>
      <c r="AA2562" s="35"/>
      <c r="AB2562" s="35"/>
      <c r="AC2562" s="35"/>
      <c r="AD2562" s="35"/>
      <c r="AE2562" s="35"/>
      <c r="AF2562" s="35"/>
      <c r="AG2562" s="35"/>
      <c r="AH2562" s="35"/>
      <c r="AI2562" s="35"/>
      <c r="AJ2562" s="35"/>
      <c r="AK2562" s="35"/>
      <c r="AL2562" s="35"/>
      <c r="AM2562" s="35"/>
      <c r="AN2562" s="35"/>
      <c r="AO2562" s="35"/>
      <c r="AP2562" s="35"/>
    </row>
    <row r="2563" spans="1:42" ht="17.25" customHeight="1" x14ac:dyDescent="0.25">
      <c r="A2563" s="60">
        <v>2026</v>
      </c>
      <c r="B2563" s="61" t="s">
        <v>66</v>
      </c>
      <c r="C2563" s="61" t="s">
        <v>47</v>
      </c>
      <c r="D2563" s="61" t="s">
        <v>46</v>
      </c>
      <c r="E2563" s="61" t="s">
        <v>72</v>
      </c>
      <c r="F2563" s="61" t="s">
        <v>73</v>
      </c>
      <c r="G2563" s="62">
        <v>8715045447</v>
      </c>
      <c r="H2563" s="61" t="s">
        <v>68</v>
      </c>
      <c r="I2563" s="63" t="str">
        <f t="shared" si="138"/>
        <v>Canada-Central Reservation</v>
      </c>
      <c r="J2563" s="47"/>
      <c r="K2563" s="54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  <c r="AB2563" s="35"/>
      <c r="AC2563" s="35"/>
      <c r="AD2563" s="35"/>
      <c r="AE2563" s="35"/>
      <c r="AF2563" s="35"/>
      <c r="AG2563" s="35"/>
      <c r="AH2563" s="35"/>
      <c r="AI2563" s="35"/>
      <c r="AJ2563" s="35"/>
      <c r="AK2563" s="35"/>
      <c r="AL2563" s="35"/>
      <c r="AM2563" s="35"/>
      <c r="AN2563" s="35"/>
      <c r="AO2563" s="35"/>
      <c r="AP2563" s="35"/>
    </row>
    <row r="2564" spans="1:42" ht="17.25" customHeight="1" x14ac:dyDescent="0.25">
      <c r="A2564" s="55">
        <v>2026</v>
      </c>
      <c r="B2564" s="56" t="s">
        <v>66</v>
      </c>
      <c r="C2564" s="56" t="s">
        <v>47</v>
      </c>
      <c r="D2564" s="56" t="s">
        <v>46</v>
      </c>
      <c r="E2564" s="56" t="s">
        <v>67</v>
      </c>
      <c r="F2564" s="56" t="s">
        <v>74</v>
      </c>
      <c r="G2564" s="57">
        <v>7950816455</v>
      </c>
      <c r="H2564" s="56" t="s">
        <v>68</v>
      </c>
      <c r="I2564" s="58" t="str">
        <f t="shared" si="138"/>
        <v>Canada-Travel Agency/TMC</v>
      </c>
      <c r="J2564" s="40"/>
      <c r="K2564" s="59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  <c r="AA2564" s="35"/>
      <c r="AB2564" s="35"/>
      <c r="AC2564" s="35"/>
      <c r="AD2564" s="35"/>
      <c r="AE2564" s="35"/>
      <c r="AF2564" s="35"/>
      <c r="AG2564" s="35"/>
      <c r="AH2564" s="35"/>
      <c r="AI2564" s="35"/>
      <c r="AJ2564" s="35"/>
      <c r="AK2564" s="35"/>
      <c r="AL2564" s="35"/>
      <c r="AM2564" s="35"/>
      <c r="AN2564" s="35"/>
      <c r="AO2564" s="35"/>
      <c r="AP2564" s="35"/>
    </row>
    <row r="2565" spans="1:42" ht="17.25" customHeight="1" x14ac:dyDescent="0.25">
      <c r="A2565" s="60">
        <v>2026</v>
      </c>
      <c r="B2565" s="61" t="s">
        <v>66</v>
      </c>
      <c r="C2565" s="61" t="s">
        <v>47</v>
      </c>
      <c r="D2565" s="61" t="s">
        <v>46</v>
      </c>
      <c r="E2565" s="61" t="s">
        <v>69</v>
      </c>
      <c r="F2565" s="61" t="s">
        <v>70</v>
      </c>
      <c r="G2565" s="62">
        <v>16611073632</v>
      </c>
      <c r="H2565" s="61" t="s">
        <v>68</v>
      </c>
      <c r="I2565" s="63" t="str">
        <f t="shared" si="138"/>
        <v>Canada-Online Supplier-Direct</v>
      </c>
      <c r="J2565" s="47"/>
      <c r="K2565" s="54"/>
      <c r="L2565" s="35"/>
      <c r="M2565" s="35"/>
      <c r="N2565" s="35"/>
      <c r="O2565" s="35"/>
      <c r="P2565" s="35"/>
      <c r="Q2565" s="35"/>
      <c r="R2565" s="35"/>
      <c r="S2565" s="35"/>
      <c r="T2565" s="35"/>
      <c r="U2565" s="35"/>
      <c r="V2565" s="35"/>
      <c r="W2565" s="35"/>
      <c r="X2565" s="35"/>
      <c r="Y2565" s="35"/>
      <c r="Z2565" s="35"/>
      <c r="AA2565" s="35"/>
      <c r="AB2565" s="35"/>
      <c r="AC2565" s="35"/>
      <c r="AD2565" s="35"/>
      <c r="AE2565" s="35"/>
      <c r="AF2565" s="35"/>
      <c r="AG2565" s="35"/>
      <c r="AH2565" s="35"/>
      <c r="AI2565" s="35"/>
      <c r="AJ2565" s="35"/>
      <c r="AK2565" s="35"/>
      <c r="AL2565" s="35"/>
      <c r="AM2565" s="35"/>
      <c r="AN2565" s="35"/>
      <c r="AO2565" s="35"/>
      <c r="AP2565" s="35"/>
    </row>
    <row r="2566" spans="1:42" ht="17.25" customHeight="1" x14ac:dyDescent="0.25">
      <c r="A2566" s="55">
        <v>2026</v>
      </c>
      <c r="B2566" s="56" t="s">
        <v>66</v>
      </c>
      <c r="C2566" s="56" t="s">
        <v>47</v>
      </c>
      <c r="D2566" s="56" t="s">
        <v>46</v>
      </c>
      <c r="E2566" s="56" t="s">
        <v>69</v>
      </c>
      <c r="F2566" s="56" t="s">
        <v>71</v>
      </c>
      <c r="G2566" s="57">
        <v>11191322746</v>
      </c>
      <c r="H2566" s="56" t="s">
        <v>68</v>
      </c>
      <c r="I2566" s="58" t="str">
        <f t="shared" si="138"/>
        <v>Canada-OTA</v>
      </c>
      <c r="J2566" s="40"/>
      <c r="K2566" s="59"/>
      <c r="L2566" s="35"/>
      <c r="M2566" s="35"/>
      <c r="N2566" s="35"/>
      <c r="O2566" s="35"/>
      <c r="P2566" s="35"/>
      <c r="Q2566" s="35"/>
      <c r="R2566" s="35"/>
      <c r="S2566" s="35"/>
      <c r="T2566" s="35"/>
      <c r="U2566" s="35"/>
      <c r="V2566" s="35"/>
      <c r="W2566" s="35"/>
      <c r="X2566" s="35"/>
      <c r="Y2566" s="35"/>
      <c r="Z2566" s="35"/>
      <c r="AA2566" s="35"/>
      <c r="AB2566" s="35"/>
      <c r="AC2566" s="35"/>
      <c r="AD2566" s="35"/>
      <c r="AE2566" s="35"/>
      <c r="AF2566" s="35"/>
      <c r="AG2566" s="35"/>
      <c r="AH2566" s="35"/>
      <c r="AI2566" s="35"/>
      <c r="AJ2566" s="35"/>
      <c r="AK2566" s="35"/>
      <c r="AL2566" s="35"/>
      <c r="AM2566" s="35"/>
      <c r="AN2566" s="35"/>
      <c r="AO2566" s="35"/>
      <c r="AP2566" s="35"/>
    </row>
    <row r="2567" spans="1:42" ht="17.25" customHeight="1" x14ac:dyDescent="0.25">
      <c r="A2567" s="60">
        <v>2026</v>
      </c>
      <c r="B2567" s="61" t="s">
        <v>66</v>
      </c>
      <c r="C2567" s="61" t="s">
        <v>35</v>
      </c>
      <c r="D2567" s="61" t="s">
        <v>37</v>
      </c>
      <c r="E2567" s="61" t="s">
        <v>67</v>
      </c>
      <c r="F2567" s="61" t="s">
        <v>67</v>
      </c>
      <c r="G2567" s="62">
        <v>2233315939</v>
      </c>
      <c r="H2567" s="61" t="s">
        <v>68</v>
      </c>
      <c r="I2567" s="63" t="str">
        <f t="shared" si="138"/>
        <v>Chile-Offline</v>
      </c>
      <c r="J2567" s="47"/>
      <c r="K2567" s="54"/>
      <c r="L2567" s="35"/>
      <c r="M2567" s="35"/>
      <c r="N2567" s="35"/>
      <c r="O2567" s="35"/>
      <c r="P2567" s="35"/>
      <c r="Q2567" s="35"/>
      <c r="R2567" s="35"/>
      <c r="S2567" s="35"/>
      <c r="T2567" s="35"/>
      <c r="U2567" s="35"/>
      <c r="V2567" s="35"/>
      <c r="W2567" s="35"/>
      <c r="X2567" s="35"/>
      <c r="Y2567" s="35"/>
      <c r="Z2567" s="35"/>
      <c r="AA2567" s="35"/>
      <c r="AB2567" s="35"/>
      <c r="AC2567" s="35"/>
      <c r="AD2567" s="35"/>
      <c r="AE2567" s="35"/>
      <c r="AF2567" s="35"/>
      <c r="AG2567" s="35"/>
      <c r="AH2567" s="35"/>
      <c r="AI2567" s="35"/>
      <c r="AJ2567" s="35"/>
      <c r="AK2567" s="35"/>
      <c r="AL2567" s="35"/>
      <c r="AM2567" s="35"/>
      <c r="AN2567" s="35"/>
      <c r="AO2567" s="35"/>
      <c r="AP2567" s="35"/>
    </row>
    <row r="2568" spans="1:42" ht="17.25" customHeight="1" x14ac:dyDescent="0.25">
      <c r="A2568" s="55">
        <v>2026</v>
      </c>
      <c r="B2568" s="56" t="s">
        <v>66</v>
      </c>
      <c r="C2568" s="56" t="s">
        <v>35</v>
      </c>
      <c r="D2568" s="56" t="s">
        <v>37</v>
      </c>
      <c r="E2568" s="56" t="s">
        <v>69</v>
      </c>
      <c r="F2568" s="56" t="s">
        <v>70</v>
      </c>
      <c r="G2568" s="57">
        <v>1642391689</v>
      </c>
      <c r="H2568" s="56" t="s">
        <v>68</v>
      </c>
      <c r="I2568" s="58" t="str">
        <f t="shared" si="138"/>
        <v>Chile-Online Supplier-Direct</v>
      </c>
      <c r="J2568" s="40"/>
      <c r="K2568" s="59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  <c r="AA2568" s="35"/>
      <c r="AB2568" s="35"/>
      <c r="AC2568" s="35"/>
      <c r="AD2568" s="35"/>
      <c r="AE2568" s="35"/>
      <c r="AF2568" s="35"/>
      <c r="AG2568" s="35"/>
      <c r="AH2568" s="35"/>
      <c r="AI2568" s="35"/>
      <c r="AJ2568" s="35"/>
      <c r="AK2568" s="35"/>
      <c r="AL2568" s="35"/>
      <c r="AM2568" s="35"/>
      <c r="AN2568" s="35"/>
      <c r="AO2568" s="35"/>
      <c r="AP2568" s="35"/>
    </row>
    <row r="2569" spans="1:42" ht="17.25" customHeight="1" x14ac:dyDescent="0.25">
      <c r="A2569" s="60">
        <v>2026</v>
      </c>
      <c r="B2569" s="61" t="s">
        <v>66</v>
      </c>
      <c r="C2569" s="61" t="s">
        <v>35</v>
      </c>
      <c r="D2569" s="61" t="s">
        <v>37</v>
      </c>
      <c r="E2569" s="61" t="s">
        <v>69</v>
      </c>
      <c r="F2569" s="61" t="s">
        <v>71</v>
      </c>
      <c r="G2569" s="62">
        <v>1274858051</v>
      </c>
      <c r="H2569" s="61" t="s">
        <v>68</v>
      </c>
      <c r="I2569" s="63" t="str">
        <f t="shared" si="138"/>
        <v>Chile-OTA</v>
      </c>
      <c r="J2569" s="47"/>
      <c r="K2569" s="54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  <c r="AB2569" s="35"/>
      <c r="AC2569" s="35"/>
      <c r="AD2569" s="35"/>
      <c r="AE2569" s="35"/>
      <c r="AF2569" s="35"/>
      <c r="AG2569" s="35"/>
      <c r="AH2569" s="35"/>
      <c r="AI2569" s="35"/>
      <c r="AJ2569" s="35"/>
      <c r="AK2569" s="35"/>
      <c r="AL2569" s="35"/>
      <c r="AM2569" s="35"/>
      <c r="AN2569" s="35"/>
      <c r="AO2569" s="35"/>
      <c r="AP2569" s="35"/>
    </row>
    <row r="2570" spans="1:42" ht="17.25" customHeight="1" x14ac:dyDescent="0.25">
      <c r="A2570" s="55">
        <v>2026</v>
      </c>
      <c r="B2570" s="56" t="s">
        <v>66</v>
      </c>
      <c r="C2570" s="56" t="s">
        <v>4</v>
      </c>
      <c r="D2570" s="56" t="s">
        <v>5</v>
      </c>
      <c r="E2570" s="56" t="s">
        <v>67</v>
      </c>
      <c r="F2570" s="56" t="s">
        <v>67</v>
      </c>
      <c r="G2570" s="57">
        <v>45651214884</v>
      </c>
      <c r="H2570" s="56" t="s">
        <v>68</v>
      </c>
      <c r="I2570" s="58" t="str">
        <f t="shared" si="138"/>
        <v>China-Offline</v>
      </c>
      <c r="J2570" s="40"/>
      <c r="K2570" s="59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  <c r="AA2570" s="35"/>
      <c r="AB2570" s="35"/>
      <c r="AC2570" s="35"/>
      <c r="AD2570" s="35"/>
      <c r="AE2570" s="35"/>
      <c r="AF2570" s="35"/>
      <c r="AG2570" s="35"/>
      <c r="AH2570" s="35"/>
      <c r="AI2570" s="35"/>
      <c r="AJ2570" s="35"/>
      <c r="AK2570" s="35"/>
      <c r="AL2570" s="35"/>
      <c r="AM2570" s="35"/>
      <c r="AN2570" s="35"/>
      <c r="AO2570" s="35"/>
      <c r="AP2570" s="35"/>
    </row>
    <row r="2571" spans="1:42" ht="17.25" customHeight="1" x14ac:dyDescent="0.25">
      <c r="A2571" s="60">
        <v>2026</v>
      </c>
      <c r="B2571" s="61" t="s">
        <v>66</v>
      </c>
      <c r="C2571" s="61" t="s">
        <v>4</v>
      </c>
      <c r="D2571" s="61" t="s">
        <v>5</v>
      </c>
      <c r="E2571" s="61" t="s">
        <v>69</v>
      </c>
      <c r="F2571" s="61" t="s">
        <v>70</v>
      </c>
      <c r="G2571" s="62">
        <v>75002379302</v>
      </c>
      <c r="H2571" s="61" t="s">
        <v>68</v>
      </c>
      <c r="I2571" s="63" t="str">
        <f t="shared" si="138"/>
        <v>China-Online Supplier-Direct</v>
      </c>
      <c r="J2571" s="47"/>
      <c r="K2571" s="54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  <c r="AB2571" s="35"/>
      <c r="AC2571" s="35"/>
      <c r="AD2571" s="35"/>
      <c r="AE2571" s="35"/>
      <c r="AF2571" s="35"/>
      <c r="AG2571" s="35"/>
      <c r="AH2571" s="35"/>
      <c r="AI2571" s="35"/>
      <c r="AJ2571" s="35"/>
      <c r="AK2571" s="35"/>
      <c r="AL2571" s="35"/>
      <c r="AM2571" s="35"/>
      <c r="AN2571" s="35"/>
      <c r="AO2571" s="35"/>
      <c r="AP2571" s="35"/>
    </row>
    <row r="2572" spans="1:42" ht="17.25" customHeight="1" x14ac:dyDescent="0.25">
      <c r="A2572" s="55">
        <v>2026</v>
      </c>
      <c r="B2572" s="56" t="s">
        <v>66</v>
      </c>
      <c r="C2572" s="56" t="s">
        <v>4</v>
      </c>
      <c r="D2572" s="56" t="s">
        <v>5</v>
      </c>
      <c r="E2572" s="56" t="s">
        <v>69</v>
      </c>
      <c r="F2572" s="56" t="s">
        <v>71</v>
      </c>
      <c r="G2572" s="57">
        <v>81007939843</v>
      </c>
      <c r="H2572" s="56" t="s">
        <v>68</v>
      </c>
      <c r="I2572" s="58" t="str">
        <f t="shared" si="138"/>
        <v>China-OTA</v>
      </c>
      <c r="J2572" s="40"/>
      <c r="K2572" s="59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5"/>
      <c r="AB2572" s="35"/>
      <c r="AC2572" s="35"/>
      <c r="AD2572" s="35"/>
      <c r="AE2572" s="35"/>
      <c r="AF2572" s="35"/>
      <c r="AG2572" s="35"/>
      <c r="AH2572" s="35"/>
      <c r="AI2572" s="35"/>
      <c r="AJ2572" s="35"/>
      <c r="AK2572" s="35"/>
      <c r="AL2572" s="35"/>
      <c r="AM2572" s="35"/>
      <c r="AN2572" s="35"/>
      <c r="AO2572" s="35"/>
      <c r="AP2572" s="35"/>
    </row>
    <row r="2573" spans="1:42" ht="17.25" customHeight="1" x14ac:dyDescent="0.25">
      <c r="A2573" s="60">
        <v>2026</v>
      </c>
      <c r="B2573" s="61" t="s">
        <v>66</v>
      </c>
      <c r="C2573" s="61" t="s">
        <v>35</v>
      </c>
      <c r="D2573" s="61" t="s">
        <v>38</v>
      </c>
      <c r="E2573" s="61" t="s">
        <v>67</v>
      </c>
      <c r="F2573" s="61" t="s">
        <v>67</v>
      </c>
      <c r="G2573" s="62">
        <v>3424884998</v>
      </c>
      <c r="H2573" s="61" t="s">
        <v>68</v>
      </c>
      <c r="I2573" s="63" t="str">
        <f t="shared" si="138"/>
        <v>Colombia-Offline</v>
      </c>
      <c r="J2573" s="47"/>
      <c r="K2573" s="54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  <c r="AB2573" s="35"/>
      <c r="AC2573" s="35"/>
      <c r="AD2573" s="35"/>
      <c r="AE2573" s="35"/>
      <c r="AF2573" s="35"/>
      <c r="AG2573" s="35"/>
      <c r="AH2573" s="35"/>
      <c r="AI2573" s="35"/>
      <c r="AJ2573" s="35"/>
      <c r="AK2573" s="35"/>
      <c r="AL2573" s="35"/>
      <c r="AM2573" s="35"/>
      <c r="AN2573" s="35"/>
      <c r="AO2573" s="35"/>
      <c r="AP2573" s="35"/>
    </row>
    <row r="2574" spans="1:42" ht="17.25" customHeight="1" x14ac:dyDescent="0.25">
      <c r="A2574" s="55">
        <v>2026</v>
      </c>
      <c r="B2574" s="56" t="s">
        <v>66</v>
      </c>
      <c r="C2574" s="56" t="s">
        <v>35</v>
      </c>
      <c r="D2574" s="56" t="s">
        <v>38</v>
      </c>
      <c r="E2574" s="56" t="s">
        <v>69</v>
      </c>
      <c r="F2574" s="56" t="s">
        <v>70</v>
      </c>
      <c r="G2574" s="57">
        <v>2060663936</v>
      </c>
      <c r="H2574" s="56" t="s">
        <v>68</v>
      </c>
      <c r="I2574" s="58" t="str">
        <f t="shared" si="138"/>
        <v>Colombia-Online Supplier-Direct</v>
      </c>
      <c r="J2574" s="40"/>
      <c r="K2574" s="59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  <c r="AA2574" s="35"/>
      <c r="AB2574" s="35"/>
      <c r="AC2574" s="35"/>
      <c r="AD2574" s="35"/>
      <c r="AE2574" s="35"/>
      <c r="AF2574" s="35"/>
      <c r="AG2574" s="35"/>
      <c r="AH2574" s="35"/>
      <c r="AI2574" s="35"/>
      <c r="AJ2574" s="35"/>
      <c r="AK2574" s="35"/>
      <c r="AL2574" s="35"/>
      <c r="AM2574" s="35"/>
      <c r="AN2574" s="35"/>
      <c r="AO2574" s="35"/>
      <c r="AP2574" s="35"/>
    </row>
    <row r="2575" spans="1:42" ht="17.25" customHeight="1" x14ac:dyDescent="0.25">
      <c r="A2575" s="60">
        <v>2026</v>
      </c>
      <c r="B2575" s="61" t="s">
        <v>66</v>
      </c>
      <c r="C2575" s="61" t="s">
        <v>35</v>
      </c>
      <c r="D2575" s="61" t="s">
        <v>38</v>
      </c>
      <c r="E2575" s="61" t="s">
        <v>69</v>
      </c>
      <c r="F2575" s="61" t="s">
        <v>71</v>
      </c>
      <c r="G2575" s="62">
        <v>1676170516</v>
      </c>
      <c r="H2575" s="61" t="s">
        <v>68</v>
      </c>
      <c r="I2575" s="63" t="str">
        <f t="shared" si="138"/>
        <v>Colombia-OTA</v>
      </c>
      <c r="J2575" s="47"/>
      <c r="K2575" s="54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35"/>
      <c r="AE2575" s="35"/>
      <c r="AF2575" s="35"/>
      <c r="AG2575" s="35"/>
      <c r="AH2575" s="35"/>
      <c r="AI2575" s="35"/>
      <c r="AJ2575" s="35"/>
      <c r="AK2575" s="35"/>
      <c r="AL2575" s="35"/>
      <c r="AM2575" s="35"/>
      <c r="AN2575" s="35"/>
      <c r="AO2575" s="35"/>
      <c r="AP2575" s="35"/>
    </row>
    <row r="2576" spans="1:42" ht="17.25" customHeight="1" x14ac:dyDescent="0.25">
      <c r="A2576" s="55">
        <v>2026</v>
      </c>
      <c r="B2576" s="56" t="s">
        <v>66</v>
      </c>
      <c r="C2576" s="56" t="s">
        <v>17</v>
      </c>
      <c r="D2576" s="56" t="s">
        <v>18</v>
      </c>
      <c r="E2576" s="56" t="s">
        <v>67</v>
      </c>
      <c r="F2576" s="56" t="s">
        <v>67</v>
      </c>
      <c r="G2576" s="57">
        <v>1667365988</v>
      </c>
      <c r="H2576" s="56" t="s">
        <v>68</v>
      </c>
      <c r="I2576" s="58" t="str">
        <f t="shared" si="138"/>
        <v>Czech Republic-Offline</v>
      </c>
      <c r="J2576" s="40"/>
      <c r="K2576" s="59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  <c r="AA2576" s="35"/>
      <c r="AB2576" s="35"/>
      <c r="AC2576" s="35"/>
      <c r="AD2576" s="35"/>
      <c r="AE2576" s="35"/>
      <c r="AF2576" s="35"/>
      <c r="AG2576" s="35"/>
      <c r="AH2576" s="35"/>
      <c r="AI2576" s="35"/>
      <c r="AJ2576" s="35"/>
      <c r="AK2576" s="35"/>
      <c r="AL2576" s="35"/>
      <c r="AM2576" s="35"/>
      <c r="AN2576" s="35"/>
      <c r="AO2576" s="35"/>
      <c r="AP2576" s="35"/>
    </row>
    <row r="2577" spans="1:42" ht="17.25" customHeight="1" x14ac:dyDescent="0.25">
      <c r="A2577" s="60">
        <v>2026</v>
      </c>
      <c r="B2577" s="61" t="s">
        <v>66</v>
      </c>
      <c r="C2577" s="61" t="s">
        <v>17</v>
      </c>
      <c r="D2577" s="61" t="s">
        <v>18</v>
      </c>
      <c r="E2577" s="61" t="s">
        <v>69</v>
      </c>
      <c r="F2577" s="61" t="s">
        <v>70</v>
      </c>
      <c r="G2577" s="62">
        <v>2214181944</v>
      </c>
      <c r="H2577" s="61" t="s">
        <v>68</v>
      </c>
      <c r="I2577" s="63" t="str">
        <f t="shared" si="138"/>
        <v>Czech Republic-Online Supplier-Direct</v>
      </c>
      <c r="J2577" s="47"/>
      <c r="K2577" s="54"/>
      <c r="L2577" s="35"/>
      <c r="M2577" s="35"/>
      <c r="N2577" s="35"/>
      <c r="O2577" s="35"/>
      <c r="P2577" s="35"/>
      <c r="Q2577" s="35"/>
      <c r="R2577" s="35"/>
      <c r="S2577" s="35"/>
      <c r="T2577" s="35"/>
      <c r="U2577" s="35"/>
      <c r="V2577" s="35"/>
      <c r="W2577" s="35"/>
      <c r="X2577" s="35"/>
      <c r="Y2577" s="35"/>
      <c r="Z2577" s="35"/>
      <c r="AA2577" s="35"/>
      <c r="AB2577" s="35"/>
      <c r="AC2577" s="35"/>
      <c r="AD2577" s="35"/>
      <c r="AE2577" s="35"/>
      <c r="AF2577" s="35"/>
      <c r="AG2577" s="35"/>
      <c r="AH2577" s="35"/>
      <c r="AI2577" s="35"/>
      <c r="AJ2577" s="35"/>
      <c r="AK2577" s="35"/>
      <c r="AL2577" s="35"/>
      <c r="AM2577" s="35"/>
      <c r="AN2577" s="35"/>
      <c r="AO2577" s="35"/>
      <c r="AP2577" s="35"/>
    </row>
    <row r="2578" spans="1:42" ht="17.25" customHeight="1" x14ac:dyDescent="0.25">
      <c r="A2578" s="55">
        <v>2026</v>
      </c>
      <c r="B2578" s="56" t="s">
        <v>66</v>
      </c>
      <c r="C2578" s="56" t="s">
        <v>17</v>
      </c>
      <c r="D2578" s="56" t="s">
        <v>18</v>
      </c>
      <c r="E2578" s="56" t="s">
        <v>69</v>
      </c>
      <c r="F2578" s="56" t="s">
        <v>71</v>
      </c>
      <c r="G2578" s="57">
        <v>1630997938</v>
      </c>
      <c r="H2578" s="56" t="s">
        <v>68</v>
      </c>
      <c r="I2578" s="58" t="str">
        <f t="shared" si="138"/>
        <v>Czech Republic-OTA</v>
      </c>
      <c r="J2578" s="40"/>
      <c r="K2578" s="59"/>
      <c r="L2578" s="35"/>
      <c r="M2578" s="35"/>
      <c r="N2578" s="35"/>
      <c r="O2578" s="35"/>
      <c r="P2578" s="35"/>
      <c r="Q2578" s="35"/>
      <c r="R2578" s="35"/>
      <c r="S2578" s="35"/>
      <c r="T2578" s="35"/>
      <c r="U2578" s="35"/>
      <c r="V2578" s="35"/>
      <c r="W2578" s="35"/>
      <c r="X2578" s="35"/>
      <c r="Y2578" s="35"/>
      <c r="Z2578" s="35"/>
      <c r="AA2578" s="35"/>
      <c r="AB2578" s="35"/>
      <c r="AC2578" s="35"/>
      <c r="AD2578" s="35"/>
      <c r="AE2578" s="35"/>
      <c r="AF2578" s="35"/>
      <c r="AG2578" s="35"/>
      <c r="AH2578" s="35"/>
      <c r="AI2578" s="35"/>
      <c r="AJ2578" s="35"/>
      <c r="AK2578" s="35"/>
      <c r="AL2578" s="35"/>
      <c r="AM2578" s="35"/>
      <c r="AN2578" s="35"/>
      <c r="AO2578" s="35"/>
      <c r="AP2578" s="35"/>
    </row>
    <row r="2579" spans="1:42" ht="17.25" customHeight="1" x14ac:dyDescent="0.25">
      <c r="A2579" s="60">
        <v>2026</v>
      </c>
      <c r="B2579" s="61" t="s">
        <v>66</v>
      </c>
      <c r="C2579" s="61" t="s">
        <v>41</v>
      </c>
      <c r="D2579" s="61" t="s">
        <v>40</v>
      </c>
      <c r="E2579" s="61" t="s">
        <v>67</v>
      </c>
      <c r="F2579" s="61" t="s">
        <v>67</v>
      </c>
      <c r="G2579" s="62">
        <v>1634813791</v>
      </c>
      <c r="H2579" s="61" t="s">
        <v>68</v>
      </c>
      <c r="I2579" s="63" t="str">
        <f t="shared" si="138"/>
        <v>Egypt-Offline</v>
      </c>
      <c r="J2579" s="47"/>
      <c r="K2579" s="54"/>
      <c r="L2579" s="35"/>
      <c r="M2579" s="35"/>
      <c r="N2579" s="35"/>
      <c r="O2579" s="35"/>
      <c r="P2579" s="35"/>
      <c r="Q2579" s="35"/>
      <c r="R2579" s="35"/>
      <c r="S2579" s="35"/>
      <c r="T2579" s="35"/>
      <c r="U2579" s="35"/>
      <c r="V2579" s="35"/>
      <c r="W2579" s="35"/>
      <c r="X2579" s="35"/>
      <c r="Y2579" s="35"/>
      <c r="Z2579" s="35"/>
      <c r="AA2579" s="35"/>
      <c r="AB2579" s="35"/>
      <c r="AC2579" s="35"/>
      <c r="AD2579" s="35"/>
      <c r="AE2579" s="35"/>
      <c r="AF2579" s="35"/>
      <c r="AG2579" s="35"/>
      <c r="AH2579" s="35"/>
      <c r="AI2579" s="35"/>
      <c r="AJ2579" s="35"/>
      <c r="AK2579" s="35"/>
      <c r="AL2579" s="35"/>
      <c r="AM2579" s="35"/>
      <c r="AN2579" s="35"/>
      <c r="AO2579" s="35"/>
      <c r="AP2579" s="35"/>
    </row>
    <row r="2580" spans="1:42" ht="17.25" customHeight="1" x14ac:dyDescent="0.25">
      <c r="A2580" s="55">
        <v>2026</v>
      </c>
      <c r="B2580" s="56" t="s">
        <v>66</v>
      </c>
      <c r="C2580" s="56" t="s">
        <v>41</v>
      </c>
      <c r="D2580" s="56" t="s">
        <v>40</v>
      </c>
      <c r="E2580" s="56" t="s">
        <v>69</v>
      </c>
      <c r="F2580" s="56" t="s">
        <v>70</v>
      </c>
      <c r="G2580" s="57">
        <v>605463133</v>
      </c>
      <c r="H2580" s="56" t="s">
        <v>68</v>
      </c>
      <c r="I2580" s="58" t="str">
        <f t="shared" si="138"/>
        <v>Egypt-Online Supplier-Direct</v>
      </c>
      <c r="J2580" s="40"/>
      <c r="K2580" s="59"/>
      <c r="L2580" s="35"/>
      <c r="M2580" s="35"/>
      <c r="N2580" s="35"/>
      <c r="O2580" s="35"/>
      <c r="P2580" s="35"/>
      <c r="Q2580" s="35"/>
      <c r="R2580" s="35"/>
      <c r="S2580" s="35"/>
      <c r="T2580" s="35"/>
      <c r="U2580" s="35"/>
      <c r="V2580" s="35"/>
      <c r="W2580" s="35"/>
      <c r="X2580" s="35"/>
      <c r="Y2580" s="35"/>
      <c r="Z2580" s="35"/>
      <c r="AA2580" s="35"/>
      <c r="AB2580" s="35"/>
      <c r="AC2580" s="35"/>
      <c r="AD2580" s="35"/>
      <c r="AE2580" s="35"/>
      <c r="AF2580" s="35"/>
      <c r="AG2580" s="35"/>
      <c r="AH2580" s="35"/>
      <c r="AI2580" s="35"/>
      <c r="AJ2580" s="35"/>
      <c r="AK2580" s="35"/>
      <c r="AL2580" s="35"/>
      <c r="AM2580" s="35"/>
      <c r="AN2580" s="35"/>
      <c r="AO2580" s="35"/>
      <c r="AP2580" s="35"/>
    </row>
    <row r="2581" spans="1:42" ht="17.25" customHeight="1" x14ac:dyDescent="0.25">
      <c r="A2581" s="60">
        <v>2026</v>
      </c>
      <c r="B2581" s="61" t="s">
        <v>66</v>
      </c>
      <c r="C2581" s="61" t="s">
        <v>41</v>
      </c>
      <c r="D2581" s="61" t="s">
        <v>40</v>
      </c>
      <c r="E2581" s="61" t="s">
        <v>69</v>
      </c>
      <c r="F2581" s="61" t="s">
        <v>71</v>
      </c>
      <c r="G2581" s="62">
        <v>652907028</v>
      </c>
      <c r="H2581" s="61" t="s">
        <v>68</v>
      </c>
      <c r="I2581" s="63" t="str">
        <f t="shared" si="138"/>
        <v>Egypt-OTA</v>
      </c>
      <c r="J2581" s="47"/>
      <c r="K2581" s="54"/>
      <c r="L2581" s="35"/>
      <c r="M2581" s="35"/>
      <c r="N2581" s="35"/>
      <c r="O2581" s="35"/>
      <c r="P2581" s="35"/>
      <c r="Q2581" s="35"/>
      <c r="R2581" s="35"/>
      <c r="S2581" s="35"/>
      <c r="T2581" s="35"/>
      <c r="U2581" s="35"/>
      <c r="V2581" s="35"/>
      <c r="W2581" s="35"/>
      <c r="X2581" s="35"/>
      <c r="Y2581" s="35"/>
      <c r="Z2581" s="35"/>
      <c r="AA2581" s="35"/>
      <c r="AB2581" s="35"/>
      <c r="AC2581" s="35"/>
      <c r="AD2581" s="35"/>
      <c r="AE2581" s="35"/>
      <c r="AF2581" s="35"/>
      <c r="AG2581" s="35"/>
      <c r="AH2581" s="35"/>
      <c r="AI2581" s="35"/>
      <c r="AJ2581" s="35"/>
      <c r="AK2581" s="35"/>
      <c r="AL2581" s="35"/>
      <c r="AM2581" s="35"/>
      <c r="AN2581" s="35"/>
      <c r="AO2581" s="35"/>
      <c r="AP2581" s="35"/>
    </row>
    <row r="2582" spans="1:42" ht="17.25" customHeight="1" x14ac:dyDescent="0.25">
      <c r="A2582" s="55">
        <v>2026</v>
      </c>
      <c r="B2582" s="56" t="s">
        <v>66</v>
      </c>
      <c r="C2582" s="56" t="s">
        <v>27</v>
      </c>
      <c r="D2582" s="56" t="s">
        <v>26</v>
      </c>
      <c r="E2582" s="56" t="s">
        <v>67</v>
      </c>
      <c r="F2582" s="56" t="s">
        <v>67</v>
      </c>
      <c r="G2582" s="57">
        <v>28327450431</v>
      </c>
      <c r="H2582" s="56" t="s">
        <v>68</v>
      </c>
      <c r="I2582" s="58" t="str">
        <f t="shared" si="138"/>
        <v>France-Offline</v>
      </c>
      <c r="J2582" s="40"/>
      <c r="K2582" s="59"/>
      <c r="L2582" s="35"/>
      <c r="M2582" s="35"/>
      <c r="N2582" s="35"/>
      <c r="O2582" s="35"/>
      <c r="P2582" s="35"/>
      <c r="Q2582" s="35"/>
      <c r="R2582" s="35"/>
      <c r="S2582" s="35"/>
      <c r="T2582" s="35"/>
      <c r="U2582" s="35"/>
      <c r="V2582" s="35"/>
      <c r="W2582" s="35"/>
      <c r="X2582" s="35"/>
      <c r="Y2582" s="35"/>
      <c r="Z2582" s="35"/>
      <c r="AA2582" s="35"/>
      <c r="AB2582" s="35"/>
      <c r="AC2582" s="35"/>
      <c r="AD2582" s="35"/>
      <c r="AE2582" s="35"/>
      <c r="AF2582" s="35"/>
      <c r="AG2582" s="35"/>
      <c r="AH2582" s="35"/>
      <c r="AI2582" s="35"/>
      <c r="AJ2582" s="35"/>
      <c r="AK2582" s="35"/>
      <c r="AL2582" s="35"/>
      <c r="AM2582" s="35"/>
      <c r="AN2582" s="35"/>
      <c r="AO2582" s="35"/>
      <c r="AP2582" s="35"/>
    </row>
    <row r="2583" spans="1:42" ht="17.25" customHeight="1" x14ac:dyDescent="0.25">
      <c r="A2583" s="60">
        <v>2026</v>
      </c>
      <c r="B2583" s="61" t="s">
        <v>66</v>
      </c>
      <c r="C2583" s="61" t="s">
        <v>27</v>
      </c>
      <c r="D2583" s="61" t="s">
        <v>26</v>
      </c>
      <c r="E2583" s="61" t="s">
        <v>69</v>
      </c>
      <c r="F2583" s="61" t="s">
        <v>70</v>
      </c>
      <c r="G2583" s="62">
        <v>26005802916</v>
      </c>
      <c r="H2583" s="61" t="s">
        <v>68</v>
      </c>
      <c r="I2583" s="63" t="str">
        <f t="shared" si="138"/>
        <v>France-Online Supplier-Direct</v>
      </c>
      <c r="J2583" s="47"/>
      <c r="K2583" s="54"/>
      <c r="L2583" s="35"/>
      <c r="M2583" s="35"/>
      <c r="N2583" s="35"/>
      <c r="O2583" s="35"/>
      <c r="P2583" s="35"/>
      <c r="Q2583" s="35"/>
      <c r="R2583" s="35"/>
      <c r="S2583" s="35"/>
      <c r="T2583" s="35"/>
      <c r="U2583" s="35"/>
      <c r="V2583" s="35"/>
      <c r="W2583" s="35"/>
      <c r="X2583" s="35"/>
      <c r="Y2583" s="35"/>
      <c r="Z2583" s="35"/>
      <c r="AA2583" s="35"/>
      <c r="AB2583" s="35"/>
      <c r="AC2583" s="35"/>
      <c r="AD2583" s="35"/>
      <c r="AE2583" s="35"/>
      <c r="AF2583" s="35"/>
      <c r="AG2583" s="35"/>
      <c r="AH2583" s="35"/>
      <c r="AI2583" s="35"/>
      <c r="AJ2583" s="35"/>
      <c r="AK2583" s="35"/>
      <c r="AL2583" s="35"/>
      <c r="AM2583" s="35"/>
      <c r="AN2583" s="35"/>
      <c r="AO2583" s="35"/>
      <c r="AP2583" s="35"/>
    </row>
    <row r="2584" spans="1:42" ht="17.25" customHeight="1" x14ac:dyDescent="0.25">
      <c r="A2584" s="55">
        <v>2026</v>
      </c>
      <c r="B2584" s="56" t="s">
        <v>66</v>
      </c>
      <c r="C2584" s="56" t="s">
        <v>27</v>
      </c>
      <c r="D2584" s="56" t="s">
        <v>26</v>
      </c>
      <c r="E2584" s="56" t="s">
        <v>69</v>
      </c>
      <c r="F2584" s="56" t="s">
        <v>71</v>
      </c>
      <c r="G2584" s="57">
        <v>9280000192</v>
      </c>
      <c r="H2584" s="56" t="s">
        <v>68</v>
      </c>
      <c r="I2584" s="58" t="str">
        <f t="shared" si="138"/>
        <v>France-OTA</v>
      </c>
      <c r="J2584" s="40"/>
      <c r="K2584" s="59"/>
      <c r="L2584" s="35"/>
      <c r="M2584" s="35"/>
      <c r="N2584" s="35"/>
      <c r="O2584" s="35"/>
      <c r="P2584" s="35"/>
      <c r="Q2584" s="35"/>
      <c r="R2584" s="35"/>
      <c r="S2584" s="35"/>
      <c r="T2584" s="35"/>
      <c r="U2584" s="35"/>
      <c r="V2584" s="35"/>
      <c r="W2584" s="35"/>
      <c r="X2584" s="35"/>
      <c r="Y2584" s="35"/>
      <c r="Z2584" s="35"/>
      <c r="AA2584" s="35"/>
      <c r="AB2584" s="35"/>
      <c r="AC2584" s="35"/>
      <c r="AD2584" s="35"/>
      <c r="AE2584" s="35"/>
      <c r="AF2584" s="35"/>
      <c r="AG2584" s="35"/>
      <c r="AH2584" s="35"/>
      <c r="AI2584" s="35"/>
      <c r="AJ2584" s="35"/>
      <c r="AK2584" s="35"/>
      <c r="AL2584" s="35"/>
      <c r="AM2584" s="35"/>
      <c r="AN2584" s="35"/>
      <c r="AO2584" s="35"/>
      <c r="AP2584" s="35"/>
    </row>
    <row r="2585" spans="1:42" ht="17.25" customHeight="1" x14ac:dyDescent="0.25">
      <c r="A2585" s="60">
        <v>2026</v>
      </c>
      <c r="B2585" s="61" t="s">
        <v>66</v>
      </c>
      <c r="C2585" s="61" t="s">
        <v>27</v>
      </c>
      <c r="D2585" s="61" t="s">
        <v>28</v>
      </c>
      <c r="E2585" s="61" t="s">
        <v>67</v>
      </c>
      <c r="F2585" s="61" t="s">
        <v>67</v>
      </c>
      <c r="G2585" s="62">
        <v>25498920598</v>
      </c>
      <c r="H2585" s="61" t="s">
        <v>68</v>
      </c>
      <c r="I2585" s="63" t="str">
        <f t="shared" si="138"/>
        <v>Germany-Offline</v>
      </c>
      <c r="J2585" s="47"/>
      <c r="K2585" s="54"/>
      <c r="L2585" s="35"/>
      <c r="M2585" s="35"/>
      <c r="N2585" s="35"/>
      <c r="O2585" s="35"/>
      <c r="P2585" s="35"/>
      <c r="Q2585" s="35"/>
      <c r="R2585" s="35"/>
      <c r="S2585" s="35"/>
      <c r="T2585" s="35"/>
      <c r="U2585" s="35"/>
      <c r="V2585" s="35"/>
      <c r="W2585" s="35"/>
      <c r="X2585" s="35"/>
      <c r="Y2585" s="35"/>
      <c r="Z2585" s="35"/>
      <c r="AA2585" s="35"/>
      <c r="AB2585" s="35"/>
      <c r="AC2585" s="35"/>
      <c r="AD2585" s="35"/>
      <c r="AE2585" s="35"/>
      <c r="AF2585" s="35"/>
      <c r="AG2585" s="35"/>
      <c r="AH2585" s="35"/>
      <c r="AI2585" s="35"/>
      <c r="AJ2585" s="35"/>
      <c r="AK2585" s="35"/>
      <c r="AL2585" s="35"/>
      <c r="AM2585" s="35"/>
      <c r="AN2585" s="35"/>
      <c r="AO2585" s="35"/>
      <c r="AP2585" s="35"/>
    </row>
    <row r="2586" spans="1:42" ht="17.25" customHeight="1" x14ac:dyDescent="0.25">
      <c r="A2586" s="55">
        <v>2026</v>
      </c>
      <c r="B2586" s="56" t="s">
        <v>66</v>
      </c>
      <c r="C2586" s="56" t="s">
        <v>27</v>
      </c>
      <c r="D2586" s="56" t="s">
        <v>28</v>
      </c>
      <c r="E2586" s="56" t="s">
        <v>69</v>
      </c>
      <c r="F2586" s="56" t="s">
        <v>70</v>
      </c>
      <c r="G2586" s="57">
        <v>40306158822</v>
      </c>
      <c r="H2586" s="56" t="s">
        <v>68</v>
      </c>
      <c r="I2586" s="58" t="str">
        <f t="shared" si="138"/>
        <v>Germany-Online Supplier-Direct</v>
      </c>
      <c r="J2586" s="40"/>
      <c r="K2586" s="59"/>
      <c r="L2586" s="35"/>
      <c r="M2586" s="35"/>
      <c r="N2586" s="35"/>
      <c r="O2586" s="35"/>
      <c r="P2586" s="35"/>
      <c r="Q2586" s="35"/>
      <c r="R2586" s="35"/>
      <c r="S2586" s="35"/>
      <c r="T2586" s="35"/>
      <c r="U2586" s="35"/>
      <c r="V2586" s="35"/>
      <c r="W2586" s="35"/>
      <c r="X2586" s="35"/>
      <c r="Y2586" s="35"/>
      <c r="Z2586" s="35"/>
      <c r="AA2586" s="35"/>
      <c r="AB2586" s="35"/>
      <c r="AC2586" s="35"/>
      <c r="AD2586" s="35"/>
      <c r="AE2586" s="35"/>
      <c r="AF2586" s="35"/>
      <c r="AG2586" s="35"/>
      <c r="AH2586" s="35"/>
      <c r="AI2586" s="35"/>
      <c r="AJ2586" s="35"/>
      <c r="AK2586" s="35"/>
      <c r="AL2586" s="35"/>
      <c r="AM2586" s="35"/>
      <c r="AN2586" s="35"/>
      <c r="AO2586" s="35"/>
      <c r="AP2586" s="35"/>
    </row>
    <row r="2587" spans="1:42" ht="17.25" customHeight="1" x14ac:dyDescent="0.25">
      <c r="A2587" s="60">
        <v>2026</v>
      </c>
      <c r="B2587" s="61" t="s">
        <v>66</v>
      </c>
      <c r="C2587" s="61" t="s">
        <v>27</v>
      </c>
      <c r="D2587" s="61" t="s">
        <v>28</v>
      </c>
      <c r="E2587" s="61" t="s">
        <v>69</v>
      </c>
      <c r="F2587" s="61" t="s">
        <v>71</v>
      </c>
      <c r="G2587" s="62">
        <v>17677252677</v>
      </c>
      <c r="H2587" s="61" t="s">
        <v>68</v>
      </c>
      <c r="I2587" s="63" t="str">
        <f t="shared" si="138"/>
        <v>Germany-OTA</v>
      </c>
      <c r="J2587" s="47"/>
      <c r="K2587" s="54"/>
      <c r="L2587" s="35"/>
      <c r="M2587" s="35"/>
      <c r="N2587" s="35"/>
      <c r="O2587" s="35"/>
      <c r="P2587" s="35"/>
      <c r="Q2587" s="35"/>
      <c r="R2587" s="35"/>
      <c r="S2587" s="35"/>
      <c r="T2587" s="35"/>
      <c r="U2587" s="35"/>
      <c r="V2587" s="35"/>
      <c r="W2587" s="35"/>
      <c r="X2587" s="35"/>
      <c r="Y2587" s="35"/>
      <c r="Z2587" s="35"/>
      <c r="AA2587" s="35"/>
      <c r="AB2587" s="35"/>
      <c r="AC2587" s="35"/>
      <c r="AD2587" s="35"/>
      <c r="AE2587" s="35"/>
      <c r="AF2587" s="35"/>
      <c r="AG2587" s="35"/>
      <c r="AH2587" s="35"/>
      <c r="AI2587" s="35"/>
      <c r="AJ2587" s="35"/>
      <c r="AK2587" s="35"/>
      <c r="AL2587" s="35"/>
      <c r="AM2587" s="35"/>
      <c r="AN2587" s="35"/>
      <c r="AO2587" s="35"/>
      <c r="AP2587" s="35"/>
    </row>
    <row r="2588" spans="1:42" ht="17.25" customHeight="1" x14ac:dyDescent="0.25">
      <c r="A2588" s="55">
        <v>2026</v>
      </c>
      <c r="B2588" s="56" t="s">
        <v>66</v>
      </c>
      <c r="C2588" s="56" t="s">
        <v>17</v>
      </c>
      <c r="D2588" s="56" t="s">
        <v>19</v>
      </c>
      <c r="E2588" s="56" t="s">
        <v>67</v>
      </c>
      <c r="F2588" s="56" t="s">
        <v>67</v>
      </c>
      <c r="G2588" s="57">
        <v>5003176731</v>
      </c>
      <c r="H2588" s="56" t="s">
        <v>68</v>
      </c>
      <c r="I2588" s="58" t="str">
        <f t="shared" si="138"/>
        <v>Greece-Offline</v>
      </c>
      <c r="J2588" s="40"/>
      <c r="K2588" s="59"/>
      <c r="L2588" s="35"/>
      <c r="M2588" s="35"/>
      <c r="N2588" s="35"/>
      <c r="O2588" s="35"/>
      <c r="P2588" s="35"/>
      <c r="Q2588" s="35"/>
      <c r="R2588" s="35"/>
      <c r="S2588" s="35"/>
      <c r="T2588" s="35"/>
      <c r="U2588" s="35"/>
      <c r="V2588" s="35"/>
      <c r="W2588" s="35"/>
      <c r="X2588" s="35"/>
      <c r="Y2588" s="35"/>
      <c r="Z2588" s="35"/>
      <c r="AA2588" s="35"/>
      <c r="AB2588" s="35"/>
      <c r="AC2588" s="35"/>
      <c r="AD2588" s="35"/>
      <c r="AE2588" s="35"/>
      <c r="AF2588" s="35"/>
      <c r="AG2588" s="35"/>
      <c r="AH2588" s="35"/>
      <c r="AI2588" s="35"/>
      <c r="AJ2588" s="35"/>
      <c r="AK2588" s="35"/>
      <c r="AL2588" s="35"/>
      <c r="AM2588" s="35"/>
      <c r="AN2588" s="35"/>
      <c r="AO2588" s="35"/>
      <c r="AP2588" s="35"/>
    </row>
    <row r="2589" spans="1:42" ht="17.25" customHeight="1" x14ac:dyDescent="0.25">
      <c r="A2589" s="60">
        <v>2026</v>
      </c>
      <c r="B2589" s="61" t="s">
        <v>66</v>
      </c>
      <c r="C2589" s="61" t="s">
        <v>17</v>
      </c>
      <c r="D2589" s="61" t="s">
        <v>19</v>
      </c>
      <c r="E2589" s="61" t="s">
        <v>69</v>
      </c>
      <c r="F2589" s="61" t="s">
        <v>70</v>
      </c>
      <c r="G2589" s="62">
        <v>2484153766</v>
      </c>
      <c r="H2589" s="61" t="s">
        <v>68</v>
      </c>
      <c r="I2589" s="63" t="str">
        <f t="shared" si="138"/>
        <v>Greece-Online Supplier-Direct</v>
      </c>
      <c r="J2589" s="47"/>
      <c r="K2589" s="54"/>
      <c r="L2589" s="35"/>
      <c r="M2589" s="35"/>
      <c r="N2589" s="35"/>
      <c r="O2589" s="35"/>
      <c r="P2589" s="35"/>
      <c r="Q2589" s="35"/>
      <c r="R2589" s="35"/>
      <c r="S2589" s="35"/>
      <c r="T2589" s="35"/>
      <c r="U2589" s="35"/>
      <c r="V2589" s="35"/>
      <c r="W2589" s="35"/>
      <c r="X2589" s="35"/>
      <c r="Y2589" s="35"/>
      <c r="Z2589" s="35"/>
      <c r="AA2589" s="35"/>
      <c r="AB2589" s="35"/>
      <c r="AC2589" s="35"/>
      <c r="AD2589" s="35"/>
      <c r="AE2589" s="35"/>
      <c r="AF2589" s="35"/>
      <c r="AG2589" s="35"/>
      <c r="AH2589" s="35"/>
      <c r="AI2589" s="35"/>
      <c r="AJ2589" s="35"/>
      <c r="AK2589" s="35"/>
      <c r="AL2589" s="35"/>
      <c r="AM2589" s="35"/>
      <c r="AN2589" s="35"/>
      <c r="AO2589" s="35"/>
      <c r="AP2589" s="35"/>
    </row>
    <row r="2590" spans="1:42" ht="17.25" customHeight="1" x14ac:dyDescent="0.25">
      <c r="A2590" s="55">
        <v>2026</v>
      </c>
      <c r="B2590" s="56" t="s">
        <v>66</v>
      </c>
      <c r="C2590" s="56" t="s">
        <v>17</v>
      </c>
      <c r="D2590" s="56" t="s">
        <v>19</v>
      </c>
      <c r="E2590" s="56" t="s">
        <v>69</v>
      </c>
      <c r="F2590" s="56" t="s">
        <v>71</v>
      </c>
      <c r="G2590" s="57">
        <v>4769855493</v>
      </c>
      <c r="H2590" s="56" t="s">
        <v>68</v>
      </c>
      <c r="I2590" s="58" t="str">
        <f t="shared" si="138"/>
        <v>Greece-OTA</v>
      </c>
      <c r="J2590" s="40"/>
      <c r="K2590" s="59"/>
      <c r="L2590" s="35"/>
      <c r="M2590" s="35"/>
      <c r="N2590" s="35"/>
      <c r="O2590" s="35"/>
      <c r="P2590" s="35"/>
      <c r="Q2590" s="35"/>
      <c r="R2590" s="35"/>
      <c r="S2590" s="35"/>
      <c r="T2590" s="35"/>
      <c r="U2590" s="35"/>
      <c r="V2590" s="35"/>
      <c r="W2590" s="35"/>
      <c r="X2590" s="35"/>
      <c r="Y2590" s="35"/>
      <c r="Z2590" s="35"/>
      <c r="AA2590" s="35"/>
      <c r="AB2590" s="35"/>
      <c r="AC2590" s="35"/>
      <c r="AD2590" s="35"/>
      <c r="AE2590" s="35"/>
      <c r="AF2590" s="35"/>
      <c r="AG2590" s="35"/>
      <c r="AH2590" s="35"/>
      <c r="AI2590" s="35"/>
      <c r="AJ2590" s="35"/>
      <c r="AK2590" s="35"/>
      <c r="AL2590" s="35"/>
      <c r="AM2590" s="35"/>
      <c r="AN2590" s="35"/>
      <c r="AO2590" s="35"/>
      <c r="AP2590" s="35"/>
    </row>
    <row r="2591" spans="1:42" ht="17.25" customHeight="1" x14ac:dyDescent="0.25">
      <c r="A2591" s="60">
        <v>2026</v>
      </c>
      <c r="B2591" s="61" t="s">
        <v>66</v>
      </c>
      <c r="C2591" s="61" t="s">
        <v>4</v>
      </c>
      <c r="D2591" s="61" t="s">
        <v>6</v>
      </c>
      <c r="E2591" s="61" t="s">
        <v>67</v>
      </c>
      <c r="F2591" s="61" t="s">
        <v>67</v>
      </c>
      <c r="G2591" s="62">
        <v>7547970565</v>
      </c>
      <c r="H2591" s="61" t="s">
        <v>68</v>
      </c>
      <c r="I2591" s="63" t="str">
        <f t="shared" si="138"/>
        <v>Hong Kong-Offline</v>
      </c>
      <c r="J2591" s="47"/>
      <c r="K2591" s="54"/>
      <c r="L2591" s="35"/>
      <c r="M2591" s="35"/>
      <c r="N2591" s="35"/>
      <c r="O2591" s="35"/>
      <c r="P2591" s="35"/>
      <c r="Q2591" s="35"/>
      <c r="R2591" s="35"/>
      <c r="S2591" s="35"/>
      <c r="T2591" s="35"/>
      <c r="U2591" s="35"/>
      <c r="V2591" s="35"/>
      <c r="W2591" s="35"/>
      <c r="X2591" s="35"/>
      <c r="Y2591" s="35"/>
      <c r="Z2591" s="35"/>
      <c r="AA2591" s="35"/>
      <c r="AB2591" s="35"/>
      <c r="AC2591" s="35"/>
      <c r="AD2591" s="35"/>
      <c r="AE2591" s="35"/>
      <c r="AF2591" s="35"/>
      <c r="AG2591" s="35"/>
      <c r="AH2591" s="35"/>
      <c r="AI2591" s="35"/>
      <c r="AJ2591" s="35"/>
      <c r="AK2591" s="35"/>
      <c r="AL2591" s="35"/>
      <c r="AM2591" s="35"/>
      <c r="AN2591" s="35"/>
      <c r="AO2591" s="35"/>
      <c r="AP2591" s="35"/>
    </row>
    <row r="2592" spans="1:42" ht="17.25" customHeight="1" x14ac:dyDescent="0.25">
      <c r="A2592" s="55">
        <v>2026</v>
      </c>
      <c r="B2592" s="56" t="s">
        <v>66</v>
      </c>
      <c r="C2592" s="56" t="s">
        <v>4</v>
      </c>
      <c r="D2592" s="56" t="s">
        <v>6</v>
      </c>
      <c r="E2592" s="56" t="s">
        <v>69</v>
      </c>
      <c r="F2592" s="56" t="s">
        <v>70</v>
      </c>
      <c r="G2592" s="57">
        <v>2730178565</v>
      </c>
      <c r="H2592" s="56" t="s">
        <v>68</v>
      </c>
      <c r="I2592" s="58" t="str">
        <f t="shared" si="138"/>
        <v>Hong Kong-Online Supplier-Direct</v>
      </c>
      <c r="J2592" s="40"/>
      <c r="K2592" s="59"/>
      <c r="L2592" s="35"/>
      <c r="M2592" s="35"/>
      <c r="N2592" s="35"/>
      <c r="O2592" s="35"/>
      <c r="P2592" s="35"/>
      <c r="Q2592" s="35"/>
      <c r="R2592" s="35"/>
      <c r="S2592" s="35"/>
      <c r="T2592" s="35"/>
      <c r="U2592" s="35"/>
      <c r="V2592" s="35"/>
      <c r="W2592" s="35"/>
      <c r="X2592" s="35"/>
      <c r="Y2592" s="35"/>
      <c r="Z2592" s="35"/>
      <c r="AA2592" s="35"/>
      <c r="AB2592" s="35"/>
      <c r="AC2592" s="35"/>
      <c r="AD2592" s="35"/>
      <c r="AE2592" s="35"/>
      <c r="AF2592" s="35"/>
      <c r="AG2592" s="35"/>
      <c r="AH2592" s="35"/>
      <c r="AI2592" s="35"/>
      <c r="AJ2592" s="35"/>
      <c r="AK2592" s="35"/>
      <c r="AL2592" s="35"/>
      <c r="AM2592" s="35"/>
      <c r="AN2592" s="35"/>
      <c r="AO2592" s="35"/>
      <c r="AP2592" s="35"/>
    </row>
    <row r="2593" spans="1:42" ht="17.25" customHeight="1" x14ac:dyDescent="0.25">
      <c r="A2593" s="60">
        <v>2026</v>
      </c>
      <c r="B2593" s="61" t="s">
        <v>66</v>
      </c>
      <c r="C2593" s="61" t="s">
        <v>4</v>
      </c>
      <c r="D2593" s="61" t="s">
        <v>6</v>
      </c>
      <c r="E2593" s="61" t="s">
        <v>69</v>
      </c>
      <c r="F2593" s="61" t="s">
        <v>71</v>
      </c>
      <c r="G2593" s="62">
        <v>3813244395</v>
      </c>
      <c r="H2593" s="61" t="s">
        <v>68</v>
      </c>
      <c r="I2593" s="63" t="str">
        <f t="shared" si="138"/>
        <v>Hong Kong-OTA</v>
      </c>
      <c r="J2593" s="47"/>
      <c r="K2593" s="54"/>
      <c r="L2593" s="35"/>
      <c r="M2593" s="35"/>
      <c r="N2593" s="35"/>
      <c r="O2593" s="35"/>
      <c r="P2593" s="35"/>
      <c r="Q2593" s="35"/>
      <c r="R2593" s="35"/>
      <c r="S2593" s="35"/>
      <c r="T2593" s="35"/>
      <c r="U2593" s="35"/>
      <c r="V2593" s="35"/>
      <c r="W2593" s="35"/>
      <c r="X2593" s="35"/>
      <c r="Y2593" s="35"/>
      <c r="Z2593" s="35"/>
      <c r="AA2593" s="35"/>
      <c r="AB2593" s="35"/>
      <c r="AC2593" s="35"/>
      <c r="AD2593" s="35"/>
      <c r="AE2593" s="35"/>
      <c r="AF2593" s="35"/>
      <c r="AG2593" s="35"/>
      <c r="AH2593" s="35"/>
      <c r="AI2593" s="35"/>
      <c r="AJ2593" s="35"/>
      <c r="AK2593" s="35"/>
      <c r="AL2593" s="35"/>
      <c r="AM2593" s="35"/>
      <c r="AN2593" s="35"/>
      <c r="AO2593" s="35"/>
      <c r="AP2593" s="35"/>
    </row>
    <row r="2594" spans="1:42" ht="17.25" customHeight="1" x14ac:dyDescent="0.25">
      <c r="A2594" s="55">
        <v>2026</v>
      </c>
      <c r="B2594" s="56" t="s">
        <v>66</v>
      </c>
      <c r="C2594" s="56" t="s">
        <v>17</v>
      </c>
      <c r="D2594" s="56" t="s">
        <v>20</v>
      </c>
      <c r="E2594" s="56" t="s">
        <v>67</v>
      </c>
      <c r="F2594" s="56" t="s">
        <v>67</v>
      </c>
      <c r="G2594" s="57">
        <v>660750411</v>
      </c>
      <c r="H2594" s="56" t="s">
        <v>68</v>
      </c>
      <c r="I2594" s="58" t="str">
        <f t="shared" si="138"/>
        <v>Hungary-Offline</v>
      </c>
      <c r="J2594" s="40"/>
      <c r="K2594" s="59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  <c r="AG2594" s="35"/>
      <c r="AH2594" s="35"/>
      <c r="AI2594" s="35"/>
      <c r="AJ2594" s="35"/>
      <c r="AK2594" s="35"/>
      <c r="AL2594" s="35"/>
      <c r="AM2594" s="35"/>
      <c r="AN2594" s="35"/>
      <c r="AO2594" s="35"/>
      <c r="AP2594" s="35"/>
    </row>
    <row r="2595" spans="1:42" ht="17.25" customHeight="1" x14ac:dyDescent="0.25">
      <c r="A2595" s="60">
        <v>2026</v>
      </c>
      <c r="B2595" s="61" t="s">
        <v>66</v>
      </c>
      <c r="C2595" s="61" t="s">
        <v>17</v>
      </c>
      <c r="D2595" s="61" t="s">
        <v>20</v>
      </c>
      <c r="E2595" s="61" t="s">
        <v>69</v>
      </c>
      <c r="F2595" s="61" t="s">
        <v>70</v>
      </c>
      <c r="G2595" s="62">
        <v>7079157983</v>
      </c>
      <c r="H2595" s="61" t="s">
        <v>68</v>
      </c>
      <c r="I2595" s="63" t="str">
        <f t="shared" si="138"/>
        <v>Hungary-Online Supplier-Direct</v>
      </c>
      <c r="J2595" s="47"/>
      <c r="K2595" s="54"/>
      <c r="L2595" s="35"/>
      <c r="M2595" s="35"/>
      <c r="N2595" s="35"/>
      <c r="O2595" s="35"/>
      <c r="P2595" s="35"/>
      <c r="Q2595" s="35"/>
      <c r="R2595" s="35"/>
      <c r="S2595" s="35"/>
      <c r="T2595" s="35"/>
      <c r="U2595" s="35"/>
      <c r="V2595" s="35"/>
      <c r="W2595" s="35"/>
      <c r="X2595" s="35"/>
      <c r="Y2595" s="35"/>
      <c r="Z2595" s="35"/>
      <c r="AA2595" s="35"/>
      <c r="AB2595" s="35"/>
      <c r="AC2595" s="35"/>
      <c r="AD2595" s="35"/>
      <c r="AE2595" s="35"/>
      <c r="AF2595" s="35"/>
      <c r="AG2595" s="35"/>
      <c r="AH2595" s="35"/>
      <c r="AI2595" s="35"/>
      <c r="AJ2595" s="35"/>
      <c r="AK2595" s="35"/>
      <c r="AL2595" s="35"/>
      <c r="AM2595" s="35"/>
      <c r="AN2595" s="35"/>
      <c r="AO2595" s="35"/>
      <c r="AP2595" s="35"/>
    </row>
    <row r="2596" spans="1:42" ht="17.25" customHeight="1" x14ac:dyDescent="0.25">
      <c r="A2596" s="55">
        <v>2026</v>
      </c>
      <c r="B2596" s="56" t="s">
        <v>66</v>
      </c>
      <c r="C2596" s="56" t="s">
        <v>17</v>
      </c>
      <c r="D2596" s="56" t="s">
        <v>20</v>
      </c>
      <c r="E2596" s="56" t="s">
        <v>69</v>
      </c>
      <c r="F2596" s="56" t="s">
        <v>71</v>
      </c>
      <c r="G2596" s="57">
        <v>1202035733</v>
      </c>
      <c r="H2596" s="56" t="s">
        <v>68</v>
      </c>
      <c r="I2596" s="58" t="str">
        <f t="shared" si="138"/>
        <v>Hungary-OTA</v>
      </c>
      <c r="J2596" s="40"/>
      <c r="K2596" s="59"/>
      <c r="L2596" s="35"/>
      <c r="M2596" s="35"/>
      <c r="N2596" s="35"/>
      <c r="O2596" s="35"/>
      <c r="P2596" s="35"/>
      <c r="Q2596" s="35"/>
      <c r="R2596" s="35"/>
      <c r="S2596" s="35"/>
      <c r="T2596" s="35"/>
      <c r="U2596" s="35"/>
      <c r="V2596" s="35"/>
      <c r="W2596" s="35"/>
      <c r="X2596" s="35"/>
      <c r="Y2596" s="35"/>
      <c r="Z2596" s="35"/>
      <c r="AA2596" s="35"/>
      <c r="AB2596" s="35"/>
      <c r="AC2596" s="35"/>
      <c r="AD2596" s="35"/>
      <c r="AE2596" s="35"/>
      <c r="AF2596" s="35"/>
      <c r="AG2596" s="35"/>
      <c r="AH2596" s="35"/>
      <c r="AI2596" s="35"/>
      <c r="AJ2596" s="35"/>
      <c r="AK2596" s="35"/>
      <c r="AL2596" s="35"/>
      <c r="AM2596" s="35"/>
      <c r="AN2596" s="35"/>
      <c r="AO2596" s="35"/>
      <c r="AP2596" s="35"/>
    </row>
    <row r="2597" spans="1:42" ht="17.25" customHeight="1" x14ac:dyDescent="0.25">
      <c r="A2597" s="60">
        <v>2026</v>
      </c>
      <c r="B2597" s="61" t="s">
        <v>66</v>
      </c>
      <c r="C2597" s="61" t="s">
        <v>4</v>
      </c>
      <c r="D2597" s="61" t="s">
        <v>7</v>
      </c>
      <c r="E2597" s="61" t="s">
        <v>67</v>
      </c>
      <c r="F2597" s="61" t="s">
        <v>67</v>
      </c>
      <c r="G2597" s="62">
        <v>21056917112</v>
      </c>
      <c r="H2597" s="61" t="s">
        <v>68</v>
      </c>
      <c r="I2597" s="63" t="str">
        <f t="shared" si="138"/>
        <v>India-Offline</v>
      </c>
      <c r="J2597" s="47"/>
      <c r="K2597" s="54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  <c r="AG2597" s="35"/>
      <c r="AH2597" s="35"/>
      <c r="AI2597" s="35"/>
      <c r="AJ2597" s="35"/>
      <c r="AK2597" s="35"/>
      <c r="AL2597" s="35"/>
      <c r="AM2597" s="35"/>
      <c r="AN2597" s="35"/>
      <c r="AO2597" s="35"/>
      <c r="AP2597" s="35"/>
    </row>
    <row r="2598" spans="1:42" ht="17.25" customHeight="1" x14ac:dyDescent="0.25">
      <c r="A2598" s="55">
        <v>2026</v>
      </c>
      <c r="B2598" s="56" t="s">
        <v>66</v>
      </c>
      <c r="C2598" s="56" t="s">
        <v>4</v>
      </c>
      <c r="D2598" s="56" t="s">
        <v>7</v>
      </c>
      <c r="E2598" s="56" t="s">
        <v>69</v>
      </c>
      <c r="F2598" s="56" t="s">
        <v>70</v>
      </c>
      <c r="G2598" s="57">
        <v>13485694524</v>
      </c>
      <c r="H2598" s="56" t="s">
        <v>68</v>
      </c>
      <c r="I2598" s="58" t="str">
        <f t="shared" si="138"/>
        <v>India-Online Supplier-Direct</v>
      </c>
      <c r="J2598" s="40"/>
      <c r="K2598" s="59"/>
      <c r="L2598" s="35"/>
      <c r="M2598" s="35"/>
      <c r="N2598" s="35"/>
      <c r="O2598" s="35"/>
      <c r="P2598" s="35"/>
      <c r="Q2598" s="35"/>
      <c r="R2598" s="35"/>
      <c r="S2598" s="35"/>
      <c r="T2598" s="35"/>
      <c r="U2598" s="35"/>
      <c r="V2598" s="35"/>
      <c r="W2598" s="35"/>
      <c r="X2598" s="35"/>
      <c r="Y2598" s="35"/>
      <c r="Z2598" s="35"/>
      <c r="AA2598" s="35"/>
      <c r="AB2598" s="35"/>
      <c r="AC2598" s="35"/>
      <c r="AD2598" s="35"/>
      <c r="AE2598" s="35"/>
      <c r="AF2598" s="35"/>
      <c r="AG2598" s="35"/>
      <c r="AH2598" s="35"/>
      <c r="AI2598" s="35"/>
      <c r="AJ2598" s="35"/>
      <c r="AK2598" s="35"/>
      <c r="AL2598" s="35"/>
      <c r="AM2598" s="35"/>
      <c r="AN2598" s="35"/>
      <c r="AO2598" s="35"/>
      <c r="AP2598" s="35"/>
    </row>
    <row r="2599" spans="1:42" ht="17.25" customHeight="1" x14ac:dyDescent="0.25">
      <c r="A2599" s="60">
        <v>2026</v>
      </c>
      <c r="B2599" s="61" t="s">
        <v>66</v>
      </c>
      <c r="C2599" s="61" t="s">
        <v>4</v>
      </c>
      <c r="D2599" s="61" t="s">
        <v>7</v>
      </c>
      <c r="E2599" s="61" t="s">
        <v>69</v>
      </c>
      <c r="F2599" s="61" t="s">
        <v>71</v>
      </c>
      <c r="G2599" s="62">
        <v>17071255607</v>
      </c>
      <c r="H2599" s="61" t="s">
        <v>68</v>
      </c>
      <c r="I2599" s="63" t="str">
        <f t="shared" si="138"/>
        <v>India-OTA</v>
      </c>
      <c r="J2599" s="47"/>
      <c r="K2599" s="54"/>
      <c r="L2599" s="35"/>
      <c r="M2599" s="35"/>
      <c r="N2599" s="35"/>
      <c r="O2599" s="35"/>
      <c r="P2599" s="35"/>
      <c r="Q2599" s="35"/>
      <c r="R2599" s="35"/>
      <c r="S2599" s="35"/>
      <c r="T2599" s="35"/>
      <c r="U2599" s="35"/>
      <c r="V2599" s="35"/>
      <c r="W2599" s="35"/>
      <c r="X2599" s="35"/>
      <c r="Y2599" s="35"/>
      <c r="Z2599" s="35"/>
      <c r="AA2599" s="35"/>
      <c r="AB2599" s="35"/>
      <c r="AC2599" s="35"/>
      <c r="AD2599" s="35"/>
      <c r="AE2599" s="35"/>
      <c r="AF2599" s="35"/>
      <c r="AG2599" s="35"/>
      <c r="AH2599" s="35"/>
      <c r="AI2599" s="35"/>
      <c r="AJ2599" s="35"/>
      <c r="AK2599" s="35"/>
      <c r="AL2599" s="35"/>
      <c r="AM2599" s="35"/>
      <c r="AN2599" s="35"/>
      <c r="AO2599" s="35"/>
      <c r="AP2599" s="35"/>
    </row>
    <row r="2600" spans="1:42" ht="17.25" customHeight="1" x14ac:dyDescent="0.25">
      <c r="A2600" s="55">
        <v>2026</v>
      </c>
      <c r="B2600" s="56" t="s">
        <v>66</v>
      </c>
      <c r="C2600" s="56" t="s">
        <v>4</v>
      </c>
      <c r="D2600" s="56" t="s">
        <v>8</v>
      </c>
      <c r="E2600" s="56" t="s">
        <v>67</v>
      </c>
      <c r="F2600" s="56" t="s">
        <v>67</v>
      </c>
      <c r="G2600" s="57">
        <v>4815330874</v>
      </c>
      <c r="H2600" s="56" t="s">
        <v>68</v>
      </c>
      <c r="I2600" s="58" t="str">
        <f t="shared" si="138"/>
        <v>Indonesia-Offline</v>
      </c>
      <c r="J2600" s="40"/>
      <c r="K2600" s="59"/>
      <c r="L2600" s="35"/>
      <c r="M2600" s="35"/>
      <c r="N2600" s="35"/>
      <c r="O2600" s="35"/>
      <c r="P2600" s="35"/>
      <c r="Q2600" s="35"/>
      <c r="R2600" s="35"/>
      <c r="S2600" s="35"/>
      <c r="T2600" s="35"/>
      <c r="U2600" s="35"/>
      <c r="V2600" s="35"/>
      <c r="W2600" s="35"/>
      <c r="X2600" s="35"/>
      <c r="Y2600" s="35"/>
      <c r="Z2600" s="35"/>
      <c r="AA2600" s="35"/>
      <c r="AB2600" s="35"/>
      <c r="AC2600" s="35"/>
      <c r="AD2600" s="35"/>
      <c r="AE2600" s="35"/>
      <c r="AF2600" s="35"/>
      <c r="AG2600" s="35"/>
      <c r="AH2600" s="35"/>
      <c r="AI2600" s="35"/>
      <c r="AJ2600" s="35"/>
      <c r="AK2600" s="35"/>
      <c r="AL2600" s="35"/>
      <c r="AM2600" s="35"/>
      <c r="AN2600" s="35"/>
      <c r="AO2600" s="35"/>
      <c r="AP2600" s="35"/>
    </row>
    <row r="2601" spans="1:42" ht="17.25" customHeight="1" x14ac:dyDescent="0.25">
      <c r="A2601" s="60">
        <v>2026</v>
      </c>
      <c r="B2601" s="61" t="s">
        <v>66</v>
      </c>
      <c r="C2601" s="61" t="s">
        <v>4</v>
      </c>
      <c r="D2601" s="61" t="s">
        <v>8</v>
      </c>
      <c r="E2601" s="61" t="s">
        <v>69</v>
      </c>
      <c r="F2601" s="61" t="s">
        <v>70</v>
      </c>
      <c r="G2601" s="62">
        <v>3593368596</v>
      </c>
      <c r="H2601" s="61" t="s">
        <v>68</v>
      </c>
      <c r="I2601" s="63" t="str">
        <f t="shared" si="138"/>
        <v>Indonesia-Online Supplier-Direct</v>
      </c>
      <c r="J2601" s="47"/>
      <c r="K2601" s="54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  <c r="AB2601" s="35"/>
      <c r="AC2601" s="35"/>
      <c r="AD2601" s="35"/>
      <c r="AE2601" s="35"/>
      <c r="AF2601" s="35"/>
      <c r="AG2601" s="35"/>
      <c r="AH2601" s="35"/>
      <c r="AI2601" s="35"/>
      <c r="AJ2601" s="35"/>
      <c r="AK2601" s="35"/>
      <c r="AL2601" s="35"/>
      <c r="AM2601" s="35"/>
      <c r="AN2601" s="35"/>
      <c r="AO2601" s="35"/>
      <c r="AP2601" s="35"/>
    </row>
    <row r="2602" spans="1:42" ht="17.25" customHeight="1" x14ac:dyDescent="0.25">
      <c r="A2602" s="55">
        <v>2026</v>
      </c>
      <c r="B2602" s="56" t="s">
        <v>66</v>
      </c>
      <c r="C2602" s="56" t="s">
        <v>4</v>
      </c>
      <c r="D2602" s="56" t="s">
        <v>8</v>
      </c>
      <c r="E2602" s="56" t="s">
        <v>69</v>
      </c>
      <c r="F2602" s="56" t="s">
        <v>71</v>
      </c>
      <c r="G2602" s="57">
        <v>8054919013</v>
      </c>
      <c r="H2602" s="56" t="s">
        <v>68</v>
      </c>
      <c r="I2602" s="58" t="str">
        <f t="shared" si="138"/>
        <v>Indonesia-OTA</v>
      </c>
      <c r="J2602" s="40"/>
      <c r="K2602" s="59"/>
      <c r="L2602" s="35"/>
      <c r="M2602" s="35"/>
      <c r="N2602" s="35"/>
      <c r="O2602" s="35"/>
      <c r="P2602" s="35"/>
      <c r="Q2602" s="35"/>
      <c r="R2602" s="35"/>
      <c r="S2602" s="35"/>
      <c r="T2602" s="35"/>
      <c r="U2602" s="35"/>
      <c r="V2602" s="35"/>
      <c r="W2602" s="35"/>
      <c r="X2602" s="35"/>
      <c r="Y2602" s="35"/>
      <c r="Z2602" s="35"/>
      <c r="AA2602" s="35"/>
      <c r="AB2602" s="35"/>
      <c r="AC2602" s="35"/>
      <c r="AD2602" s="35"/>
      <c r="AE2602" s="35"/>
      <c r="AF2602" s="35"/>
      <c r="AG2602" s="35"/>
      <c r="AH2602" s="35"/>
      <c r="AI2602" s="35"/>
      <c r="AJ2602" s="35"/>
      <c r="AK2602" s="35"/>
      <c r="AL2602" s="35"/>
      <c r="AM2602" s="35"/>
      <c r="AN2602" s="35"/>
      <c r="AO2602" s="35"/>
      <c r="AP2602" s="35"/>
    </row>
    <row r="2603" spans="1:42" ht="17.25" customHeight="1" x14ac:dyDescent="0.25">
      <c r="A2603" s="60">
        <v>2026</v>
      </c>
      <c r="B2603" s="61" t="s">
        <v>66</v>
      </c>
      <c r="C2603" s="61" t="s">
        <v>27</v>
      </c>
      <c r="D2603" s="61" t="s">
        <v>29</v>
      </c>
      <c r="E2603" s="61" t="s">
        <v>67</v>
      </c>
      <c r="F2603" s="61" t="s">
        <v>67</v>
      </c>
      <c r="G2603" s="62">
        <v>14825888758</v>
      </c>
      <c r="H2603" s="61" t="s">
        <v>68</v>
      </c>
      <c r="I2603" s="63" t="str">
        <f t="shared" si="138"/>
        <v>Italy-Offline</v>
      </c>
      <c r="J2603" s="47"/>
      <c r="K2603" s="54"/>
      <c r="L2603" s="35"/>
      <c r="M2603" s="35"/>
      <c r="N2603" s="35"/>
      <c r="O2603" s="35"/>
      <c r="P2603" s="35"/>
      <c r="Q2603" s="35"/>
      <c r="R2603" s="35"/>
      <c r="S2603" s="35"/>
      <c r="T2603" s="35"/>
      <c r="U2603" s="35"/>
      <c r="V2603" s="35"/>
      <c r="W2603" s="35"/>
      <c r="X2603" s="35"/>
      <c r="Y2603" s="35"/>
      <c r="Z2603" s="35"/>
      <c r="AA2603" s="35"/>
      <c r="AB2603" s="35"/>
      <c r="AC2603" s="35"/>
      <c r="AD2603" s="35"/>
      <c r="AE2603" s="35"/>
      <c r="AF2603" s="35"/>
      <c r="AG2603" s="35"/>
      <c r="AH2603" s="35"/>
      <c r="AI2603" s="35"/>
      <c r="AJ2603" s="35"/>
      <c r="AK2603" s="35"/>
      <c r="AL2603" s="35"/>
      <c r="AM2603" s="35"/>
      <c r="AN2603" s="35"/>
      <c r="AO2603" s="35"/>
      <c r="AP2603" s="35"/>
    </row>
    <row r="2604" spans="1:42" ht="17.25" customHeight="1" x14ac:dyDescent="0.25">
      <c r="A2604" s="55">
        <v>2026</v>
      </c>
      <c r="B2604" s="56" t="s">
        <v>66</v>
      </c>
      <c r="C2604" s="56" t="s">
        <v>27</v>
      </c>
      <c r="D2604" s="56" t="s">
        <v>29</v>
      </c>
      <c r="E2604" s="56" t="s">
        <v>69</v>
      </c>
      <c r="F2604" s="56" t="s">
        <v>70</v>
      </c>
      <c r="G2604" s="57">
        <v>13884920573</v>
      </c>
      <c r="H2604" s="56" t="s">
        <v>68</v>
      </c>
      <c r="I2604" s="58" t="str">
        <f t="shared" si="138"/>
        <v>Italy-Online Supplier-Direct</v>
      </c>
      <c r="J2604" s="40"/>
      <c r="K2604" s="59"/>
      <c r="L2604" s="35"/>
      <c r="M2604" s="35"/>
      <c r="N2604" s="35"/>
      <c r="O2604" s="35"/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  <c r="Z2604" s="35"/>
      <c r="AA2604" s="35"/>
      <c r="AB2604" s="35"/>
      <c r="AC2604" s="35"/>
      <c r="AD2604" s="35"/>
      <c r="AE2604" s="35"/>
      <c r="AF2604" s="35"/>
      <c r="AG2604" s="35"/>
      <c r="AH2604" s="35"/>
      <c r="AI2604" s="35"/>
      <c r="AJ2604" s="35"/>
      <c r="AK2604" s="35"/>
      <c r="AL2604" s="35"/>
      <c r="AM2604" s="35"/>
      <c r="AN2604" s="35"/>
      <c r="AO2604" s="35"/>
      <c r="AP2604" s="35"/>
    </row>
    <row r="2605" spans="1:42" ht="17.25" customHeight="1" x14ac:dyDescent="0.25">
      <c r="A2605" s="60">
        <v>2026</v>
      </c>
      <c r="B2605" s="61" t="s">
        <v>66</v>
      </c>
      <c r="C2605" s="61" t="s">
        <v>27</v>
      </c>
      <c r="D2605" s="61" t="s">
        <v>29</v>
      </c>
      <c r="E2605" s="61" t="s">
        <v>69</v>
      </c>
      <c r="F2605" s="61" t="s">
        <v>71</v>
      </c>
      <c r="G2605" s="62">
        <v>7650880893</v>
      </c>
      <c r="H2605" s="61" t="s">
        <v>68</v>
      </c>
      <c r="I2605" s="63" t="str">
        <f t="shared" si="138"/>
        <v>Italy-OTA</v>
      </c>
      <c r="J2605" s="47"/>
      <c r="K2605" s="54"/>
      <c r="L2605" s="35"/>
      <c r="M2605" s="35"/>
      <c r="N2605" s="35"/>
      <c r="O2605" s="35"/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  <c r="Z2605" s="35"/>
      <c r="AA2605" s="35"/>
      <c r="AB2605" s="35"/>
      <c r="AC2605" s="35"/>
      <c r="AD2605" s="35"/>
      <c r="AE2605" s="35"/>
      <c r="AF2605" s="35"/>
      <c r="AG2605" s="35"/>
      <c r="AH2605" s="35"/>
      <c r="AI2605" s="35"/>
      <c r="AJ2605" s="35"/>
      <c r="AK2605" s="35"/>
      <c r="AL2605" s="35"/>
      <c r="AM2605" s="35"/>
      <c r="AN2605" s="35"/>
      <c r="AO2605" s="35"/>
      <c r="AP2605" s="35"/>
    </row>
    <row r="2606" spans="1:42" ht="17.25" customHeight="1" x14ac:dyDescent="0.25">
      <c r="A2606" s="55">
        <v>2026</v>
      </c>
      <c r="B2606" s="56" t="s">
        <v>66</v>
      </c>
      <c r="C2606" s="56" t="s">
        <v>4</v>
      </c>
      <c r="D2606" s="56" t="s">
        <v>9</v>
      </c>
      <c r="E2606" s="56" t="s">
        <v>67</v>
      </c>
      <c r="F2606" s="56" t="s">
        <v>67</v>
      </c>
      <c r="G2606" s="57">
        <v>41187815831</v>
      </c>
      <c r="H2606" s="56" t="s">
        <v>68</v>
      </c>
      <c r="I2606" s="58" t="str">
        <f t="shared" si="138"/>
        <v>Japan-Offline</v>
      </c>
      <c r="J2606" s="40"/>
      <c r="K2606" s="59"/>
      <c r="L2606" s="35"/>
      <c r="M2606" s="35"/>
      <c r="N2606" s="35"/>
      <c r="O2606" s="35"/>
      <c r="P2606" s="35"/>
      <c r="Q2606" s="35"/>
      <c r="R2606" s="35"/>
      <c r="S2606" s="35"/>
      <c r="T2606" s="35"/>
      <c r="U2606" s="35"/>
      <c r="V2606" s="35"/>
      <c r="W2606" s="35"/>
      <c r="X2606" s="35"/>
      <c r="Y2606" s="35"/>
      <c r="Z2606" s="35"/>
      <c r="AA2606" s="35"/>
      <c r="AB2606" s="35"/>
      <c r="AC2606" s="35"/>
      <c r="AD2606" s="35"/>
      <c r="AE2606" s="35"/>
      <c r="AF2606" s="35"/>
      <c r="AG2606" s="35"/>
      <c r="AH2606" s="35"/>
      <c r="AI2606" s="35"/>
      <c r="AJ2606" s="35"/>
      <c r="AK2606" s="35"/>
      <c r="AL2606" s="35"/>
      <c r="AM2606" s="35"/>
      <c r="AN2606" s="35"/>
      <c r="AO2606" s="35"/>
      <c r="AP2606" s="35"/>
    </row>
    <row r="2607" spans="1:42" ht="17.25" customHeight="1" x14ac:dyDescent="0.25">
      <c r="A2607" s="60">
        <v>2026</v>
      </c>
      <c r="B2607" s="61" t="s">
        <v>66</v>
      </c>
      <c r="C2607" s="61" t="s">
        <v>4</v>
      </c>
      <c r="D2607" s="61" t="s">
        <v>9</v>
      </c>
      <c r="E2607" s="61" t="s">
        <v>69</v>
      </c>
      <c r="F2607" s="61" t="s">
        <v>70</v>
      </c>
      <c r="G2607" s="62">
        <v>32835520512</v>
      </c>
      <c r="H2607" s="61" t="s">
        <v>68</v>
      </c>
      <c r="I2607" s="63" t="str">
        <f t="shared" si="138"/>
        <v>Japan-Online Supplier-Direct</v>
      </c>
      <c r="J2607" s="47"/>
      <c r="K2607" s="54"/>
      <c r="L2607" s="35"/>
      <c r="M2607" s="35"/>
      <c r="N2607" s="35"/>
      <c r="O2607" s="35"/>
      <c r="P2607" s="35"/>
      <c r="Q2607" s="35"/>
      <c r="R2607" s="35"/>
      <c r="S2607" s="35"/>
      <c r="T2607" s="35"/>
      <c r="U2607" s="35"/>
      <c r="V2607" s="35"/>
      <c r="W2607" s="35"/>
      <c r="X2607" s="35"/>
      <c r="Y2607" s="35"/>
      <c r="Z2607" s="35"/>
      <c r="AA2607" s="35"/>
      <c r="AB2607" s="35"/>
      <c r="AC2607" s="35"/>
      <c r="AD2607" s="35"/>
      <c r="AE2607" s="35"/>
      <c r="AF2607" s="35"/>
      <c r="AG2607" s="35"/>
      <c r="AH2607" s="35"/>
      <c r="AI2607" s="35"/>
      <c r="AJ2607" s="35"/>
      <c r="AK2607" s="35"/>
      <c r="AL2607" s="35"/>
      <c r="AM2607" s="35"/>
      <c r="AN2607" s="35"/>
      <c r="AO2607" s="35"/>
      <c r="AP2607" s="35"/>
    </row>
    <row r="2608" spans="1:42" ht="17.25" customHeight="1" x14ac:dyDescent="0.25">
      <c r="A2608" s="55">
        <v>2026</v>
      </c>
      <c r="B2608" s="56" t="s">
        <v>66</v>
      </c>
      <c r="C2608" s="56" t="s">
        <v>4</v>
      </c>
      <c r="D2608" s="56" t="s">
        <v>9</v>
      </c>
      <c r="E2608" s="56" t="s">
        <v>69</v>
      </c>
      <c r="F2608" s="56" t="s">
        <v>71</v>
      </c>
      <c r="G2608" s="57">
        <v>26316040544</v>
      </c>
      <c r="H2608" s="56" t="s">
        <v>68</v>
      </c>
      <c r="I2608" s="58" t="str">
        <f t="shared" si="138"/>
        <v>Japan-OTA</v>
      </c>
      <c r="J2608" s="40"/>
      <c r="K2608" s="59"/>
      <c r="L2608" s="35"/>
      <c r="M2608" s="35"/>
      <c r="N2608" s="35"/>
      <c r="O2608" s="35"/>
      <c r="P2608" s="35"/>
      <c r="Q2608" s="35"/>
      <c r="R2608" s="35"/>
      <c r="S2608" s="35"/>
      <c r="T2608" s="35"/>
      <c r="U2608" s="35"/>
      <c r="V2608" s="35"/>
      <c r="W2608" s="35"/>
      <c r="X2608" s="35"/>
      <c r="Y2608" s="35"/>
      <c r="Z2608" s="35"/>
      <c r="AA2608" s="35"/>
      <c r="AB2608" s="35"/>
      <c r="AC2608" s="35"/>
      <c r="AD2608" s="35"/>
      <c r="AE2608" s="35"/>
      <c r="AF2608" s="35"/>
      <c r="AG2608" s="35"/>
      <c r="AH2608" s="35"/>
      <c r="AI2608" s="35"/>
      <c r="AJ2608" s="35"/>
      <c r="AK2608" s="35"/>
      <c r="AL2608" s="35"/>
      <c r="AM2608" s="35"/>
      <c r="AN2608" s="35"/>
      <c r="AO2608" s="35"/>
      <c r="AP2608" s="35"/>
    </row>
    <row r="2609" spans="1:42" ht="17.25" customHeight="1" x14ac:dyDescent="0.25">
      <c r="A2609" s="60">
        <v>2026</v>
      </c>
      <c r="B2609" s="61" t="s">
        <v>66</v>
      </c>
      <c r="C2609" s="61" t="s">
        <v>4</v>
      </c>
      <c r="D2609" s="61" t="s">
        <v>10</v>
      </c>
      <c r="E2609" s="61" t="s">
        <v>67</v>
      </c>
      <c r="F2609" s="61" t="s">
        <v>67</v>
      </c>
      <c r="G2609" s="62">
        <v>813229292</v>
      </c>
      <c r="H2609" s="61" t="s">
        <v>68</v>
      </c>
      <c r="I2609" s="63" t="str">
        <f t="shared" si="138"/>
        <v>Macau-Offline</v>
      </c>
      <c r="J2609" s="47"/>
      <c r="K2609" s="54"/>
      <c r="L2609" s="35"/>
      <c r="M2609" s="35"/>
      <c r="N2609" s="35"/>
      <c r="O2609" s="35"/>
      <c r="P2609" s="35"/>
      <c r="Q2609" s="35"/>
      <c r="R2609" s="35"/>
      <c r="S2609" s="35"/>
      <c r="T2609" s="35"/>
      <c r="U2609" s="35"/>
      <c r="V2609" s="35"/>
      <c r="W2609" s="35"/>
      <c r="X2609" s="35"/>
      <c r="Y2609" s="35"/>
      <c r="Z2609" s="35"/>
      <c r="AA2609" s="35"/>
      <c r="AB2609" s="35"/>
      <c r="AC2609" s="35"/>
      <c r="AD2609" s="35"/>
      <c r="AE2609" s="35"/>
      <c r="AF2609" s="35"/>
      <c r="AG2609" s="35"/>
      <c r="AH2609" s="35"/>
      <c r="AI2609" s="35"/>
      <c r="AJ2609" s="35"/>
      <c r="AK2609" s="35"/>
      <c r="AL2609" s="35"/>
      <c r="AM2609" s="35"/>
      <c r="AN2609" s="35"/>
      <c r="AO2609" s="35"/>
      <c r="AP2609" s="35"/>
    </row>
    <row r="2610" spans="1:42" ht="17.25" customHeight="1" x14ac:dyDescent="0.25">
      <c r="A2610" s="55">
        <v>2026</v>
      </c>
      <c r="B2610" s="56" t="s">
        <v>66</v>
      </c>
      <c r="C2610" s="56" t="s">
        <v>4</v>
      </c>
      <c r="D2610" s="56" t="s">
        <v>10</v>
      </c>
      <c r="E2610" s="56" t="s">
        <v>69</v>
      </c>
      <c r="F2610" s="56" t="s">
        <v>70</v>
      </c>
      <c r="G2610" s="57">
        <v>202842621</v>
      </c>
      <c r="H2610" s="56" t="s">
        <v>68</v>
      </c>
      <c r="I2610" s="58" t="str">
        <f t="shared" si="138"/>
        <v>Macau-Online Supplier-Direct</v>
      </c>
      <c r="J2610" s="40"/>
      <c r="K2610" s="59"/>
      <c r="L2610" s="35"/>
      <c r="M2610" s="35"/>
      <c r="N2610" s="35"/>
      <c r="O2610" s="35"/>
      <c r="P2610" s="35"/>
      <c r="Q2610" s="35"/>
      <c r="R2610" s="35"/>
      <c r="S2610" s="35"/>
      <c r="T2610" s="35"/>
      <c r="U2610" s="35"/>
      <c r="V2610" s="35"/>
      <c r="W2610" s="35"/>
      <c r="X2610" s="35"/>
      <c r="Y2610" s="35"/>
      <c r="Z2610" s="35"/>
      <c r="AA2610" s="35"/>
      <c r="AB2610" s="35"/>
      <c r="AC2610" s="35"/>
      <c r="AD2610" s="35"/>
      <c r="AE2610" s="35"/>
      <c r="AF2610" s="35"/>
      <c r="AG2610" s="35"/>
      <c r="AH2610" s="35"/>
      <c r="AI2610" s="35"/>
      <c r="AJ2610" s="35"/>
      <c r="AK2610" s="35"/>
      <c r="AL2610" s="35"/>
      <c r="AM2610" s="35"/>
      <c r="AN2610" s="35"/>
      <c r="AO2610" s="35"/>
      <c r="AP2610" s="35"/>
    </row>
    <row r="2611" spans="1:42" ht="17.25" customHeight="1" x14ac:dyDescent="0.25">
      <c r="A2611" s="60">
        <v>2026</v>
      </c>
      <c r="B2611" s="61" t="s">
        <v>66</v>
      </c>
      <c r="C2611" s="61" t="s">
        <v>4</v>
      </c>
      <c r="D2611" s="61" t="s">
        <v>10</v>
      </c>
      <c r="E2611" s="61" t="s">
        <v>69</v>
      </c>
      <c r="F2611" s="61" t="s">
        <v>71</v>
      </c>
      <c r="G2611" s="62">
        <v>1888318416</v>
      </c>
      <c r="H2611" s="61" t="s">
        <v>68</v>
      </c>
      <c r="I2611" s="63" t="str">
        <f t="shared" si="138"/>
        <v>Macau-OTA</v>
      </c>
      <c r="J2611" s="47"/>
      <c r="K2611" s="54"/>
      <c r="L2611" s="35"/>
      <c r="M2611" s="35"/>
      <c r="N2611" s="35"/>
      <c r="O2611" s="35"/>
      <c r="P2611" s="35"/>
      <c r="Q2611" s="35"/>
      <c r="R2611" s="35"/>
      <c r="S2611" s="35"/>
      <c r="T2611" s="35"/>
      <c r="U2611" s="35"/>
      <c r="V2611" s="35"/>
      <c r="W2611" s="35"/>
      <c r="X2611" s="35"/>
      <c r="Y2611" s="35"/>
      <c r="Z2611" s="35"/>
      <c r="AA2611" s="35"/>
      <c r="AB2611" s="35"/>
      <c r="AC2611" s="35"/>
      <c r="AD2611" s="35"/>
      <c r="AE2611" s="35"/>
      <c r="AF2611" s="35"/>
      <c r="AG2611" s="35"/>
      <c r="AH2611" s="35"/>
      <c r="AI2611" s="35"/>
      <c r="AJ2611" s="35"/>
      <c r="AK2611" s="35"/>
      <c r="AL2611" s="35"/>
      <c r="AM2611" s="35"/>
      <c r="AN2611" s="35"/>
      <c r="AO2611" s="35"/>
      <c r="AP2611" s="35"/>
    </row>
    <row r="2612" spans="1:42" ht="17.25" customHeight="1" x14ac:dyDescent="0.25">
      <c r="A2612" s="55">
        <v>2026</v>
      </c>
      <c r="B2612" s="56" t="s">
        <v>66</v>
      </c>
      <c r="C2612" s="56" t="s">
        <v>4</v>
      </c>
      <c r="D2612" s="56" t="s">
        <v>11</v>
      </c>
      <c r="E2612" s="56" t="s">
        <v>67</v>
      </c>
      <c r="F2612" s="56" t="s">
        <v>67</v>
      </c>
      <c r="G2612" s="57">
        <v>3232846576</v>
      </c>
      <c r="H2612" s="56" t="s">
        <v>68</v>
      </c>
      <c r="I2612" s="58" t="str">
        <f t="shared" si="138"/>
        <v>Malaysia-Offline</v>
      </c>
      <c r="J2612" s="40"/>
      <c r="K2612" s="59"/>
      <c r="L2612" s="35"/>
      <c r="M2612" s="35"/>
      <c r="N2612" s="35"/>
      <c r="O2612" s="35"/>
      <c r="P2612" s="35"/>
      <c r="Q2612" s="35"/>
      <c r="R2612" s="35"/>
      <c r="S2612" s="35"/>
      <c r="T2612" s="35"/>
      <c r="U2612" s="35"/>
      <c r="V2612" s="35"/>
      <c r="W2612" s="35"/>
      <c r="X2612" s="35"/>
      <c r="Y2612" s="35"/>
      <c r="Z2612" s="35"/>
      <c r="AA2612" s="35"/>
      <c r="AB2612" s="35"/>
      <c r="AC2612" s="35"/>
      <c r="AD2612" s="35"/>
      <c r="AE2612" s="35"/>
      <c r="AF2612" s="35"/>
      <c r="AG2612" s="35"/>
      <c r="AH2612" s="35"/>
      <c r="AI2612" s="35"/>
      <c r="AJ2612" s="35"/>
      <c r="AK2612" s="35"/>
      <c r="AL2612" s="35"/>
      <c r="AM2612" s="35"/>
      <c r="AN2612" s="35"/>
      <c r="AO2612" s="35"/>
      <c r="AP2612" s="35"/>
    </row>
    <row r="2613" spans="1:42" ht="17.25" customHeight="1" x14ac:dyDescent="0.25">
      <c r="A2613" s="60">
        <v>2026</v>
      </c>
      <c r="B2613" s="61" t="s">
        <v>66</v>
      </c>
      <c r="C2613" s="61" t="s">
        <v>4</v>
      </c>
      <c r="D2613" s="61" t="s">
        <v>11</v>
      </c>
      <c r="E2613" s="61" t="s">
        <v>69</v>
      </c>
      <c r="F2613" s="61" t="s">
        <v>70</v>
      </c>
      <c r="G2613" s="62">
        <v>7693323983</v>
      </c>
      <c r="H2613" s="61" t="s">
        <v>68</v>
      </c>
      <c r="I2613" s="63" t="str">
        <f t="shared" si="138"/>
        <v>Malaysia-Online Supplier-Direct</v>
      </c>
      <c r="J2613" s="47"/>
      <c r="K2613" s="54"/>
      <c r="L2613" s="35"/>
      <c r="M2613" s="35"/>
      <c r="N2613" s="35"/>
      <c r="O2613" s="35"/>
      <c r="P2613" s="35"/>
      <c r="Q2613" s="35"/>
      <c r="R2613" s="35"/>
      <c r="S2613" s="35"/>
      <c r="T2613" s="35"/>
      <c r="U2613" s="35"/>
      <c r="V2613" s="35"/>
      <c r="W2613" s="35"/>
      <c r="X2613" s="35"/>
      <c r="Y2613" s="35"/>
      <c r="Z2613" s="35"/>
      <c r="AA2613" s="35"/>
      <c r="AB2613" s="35"/>
      <c r="AC2613" s="35"/>
      <c r="AD2613" s="35"/>
      <c r="AE2613" s="35"/>
      <c r="AF2613" s="35"/>
      <c r="AG2613" s="35"/>
      <c r="AH2613" s="35"/>
      <c r="AI2613" s="35"/>
      <c r="AJ2613" s="35"/>
      <c r="AK2613" s="35"/>
      <c r="AL2613" s="35"/>
      <c r="AM2613" s="35"/>
      <c r="AN2613" s="35"/>
      <c r="AO2613" s="35"/>
      <c r="AP2613" s="35"/>
    </row>
    <row r="2614" spans="1:42" ht="17.25" customHeight="1" x14ac:dyDescent="0.25">
      <c r="A2614" s="55">
        <v>2026</v>
      </c>
      <c r="B2614" s="56" t="s">
        <v>66</v>
      </c>
      <c r="C2614" s="56" t="s">
        <v>4</v>
      </c>
      <c r="D2614" s="56" t="s">
        <v>11</v>
      </c>
      <c r="E2614" s="56" t="s">
        <v>69</v>
      </c>
      <c r="F2614" s="56" t="s">
        <v>71</v>
      </c>
      <c r="G2614" s="57">
        <v>4040753409</v>
      </c>
      <c r="H2614" s="56" t="s">
        <v>68</v>
      </c>
      <c r="I2614" s="58" t="str">
        <f t="shared" si="138"/>
        <v>Malaysia-OTA</v>
      </c>
      <c r="J2614" s="40"/>
      <c r="K2614" s="59"/>
      <c r="L2614" s="35"/>
      <c r="M2614" s="35"/>
      <c r="N2614" s="35"/>
      <c r="O2614" s="35"/>
      <c r="P2614" s="35"/>
      <c r="Q2614" s="35"/>
      <c r="R2614" s="35"/>
      <c r="S2614" s="35"/>
      <c r="T2614" s="35"/>
      <c r="U2614" s="35"/>
      <c r="V2614" s="35"/>
      <c r="W2614" s="35"/>
      <c r="X2614" s="35"/>
      <c r="Y2614" s="35"/>
      <c r="Z2614" s="35"/>
      <c r="AA2614" s="35"/>
      <c r="AB2614" s="35"/>
      <c r="AC2614" s="35"/>
      <c r="AD2614" s="35"/>
      <c r="AE2614" s="35"/>
      <c r="AF2614" s="35"/>
      <c r="AG2614" s="35"/>
      <c r="AH2614" s="35"/>
      <c r="AI2614" s="35"/>
      <c r="AJ2614" s="35"/>
      <c r="AK2614" s="35"/>
      <c r="AL2614" s="35"/>
      <c r="AM2614" s="35"/>
      <c r="AN2614" s="35"/>
      <c r="AO2614" s="35"/>
      <c r="AP2614" s="35"/>
    </row>
    <row r="2615" spans="1:42" ht="17.25" customHeight="1" x14ac:dyDescent="0.25">
      <c r="A2615" s="60">
        <v>2026</v>
      </c>
      <c r="B2615" s="61" t="s">
        <v>66</v>
      </c>
      <c r="C2615" s="61" t="s">
        <v>35</v>
      </c>
      <c r="D2615" s="61" t="s">
        <v>39</v>
      </c>
      <c r="E2615" s="61" t="s">
        <v>67</v>
      </c>
      <c r="F2615" s="61" t="s">
        <v>67</v>
      </c>
      <c r="G2615" s="62">
        <v>17100686837</v>
      </c>
      <c r="H2615" s="61" t="s">
        <v>68</v>
      </c>
      <c r="I2615" s="63" t="str">
        <f t="shared" si="138"/>
        <v>Mexico-Offline</v>
      </c>
      <c r="J2615" s="47"/>
      <c r="K2615" s="54"/>
      <c r="L2615" s="35"/>
      <c r="M2615" s="35"/>
      <c r="N2615" s="35"/>
      <c r="O2615" s="35"/>
      <c r="P2615" s="35"/>
      <c r="Q2615" s="35"/>
      <c r="R2615" s="35"/>
      <c r="S2615" s="35"/>
      <c r="T2615" s="35"/>
      <c r="U2615" s="35"/>
      <c r="V2615" s="35"/>
      <c r="W2615" s="35"/>
      <c r="X2615" s="35"/>
      <c r="Y2615" s="35"/>
      <c r="Z2615" s="35"/>
      <c r="AA2615" s="35"/>
      <c r="AB2615" s="35"/>
      <c r="AC2615" s="35"/>
      <c r="AD2615" s="35"/>
      <c r="AE2615" s="35"/>
      <c r="AF2615" s="35"/>
      <c r="AG2615" s="35"/>
      <c r="AH2615" s="35"/>
      <c r="AI2615" s="35"/>
      <c r="AJ2615" s="35"/>
      <c r="AK2615" s="35"/>
      <c r="AL2615" s="35"/>
      <c r="AM2615" s="35"/>
      <c r="AN2615" s="35"/>
      <c r="AO2615" s="35"/>
      <c r="AP2615" s="35"/>
    </row>
    <row r="2616" spans="1:42" ht="17.25" customHeight="1" x14ac:dyDescent="0.25">
      <c r="A2616" s="55">
        <v>2026</v>
      </c>
      <c r="B2616" s="56" t="s">
        <v>66</v>
      </c>
      <c r="C2616" s="56" t="s">
        <v>35</v>
      </c>
      <c r="D2616" s="56" t="s">
        <v>39</v>
      </c>
      <c r="E2616" s="56" t="s">
        <v>69</v>
      </c>
      <c r="F2616" s="56" t="s">
        <v>70</v>
      </c>
      <c r="G2616" s="57">
        <v>9914890541</v>
      </c>
      <c r="H2616" s="56" t="s">
        <v>68</v>
      </c>
      <c r="I2616" s="58" t="str">
        <f t="shared" si="138"/>
        <v>Mexico-Online Supplier-Direct</v>
      </c>
      <c r="J2616" s="40"/>
      <c r="K2616" s="59"/>
      <c r="L2616" s="35"/>
      <c r="M2616" s="35"/>
      <c r="N2616" s="35"/>
      <c r="O2616" s="35"/>
      <c r="P2616" s="35"/>
      <c r="Q2616" s="35"/>
      <c r="R2616" s="35"/>
      <c r="S2616" s="35"/>
      <c r="T2616" s="35"/>
      <c r="U2616" s="35"/>
      <c r="V2616" s="35"/>
      <c r="W2616" s="35"/>
      <c r="X2616" s="35"/>
      <c r="Y2616" s="35"/>
      <c r="Z2616" s="35"/>
      <c r="AA2616" s="35"/>
      <c r="AB2616" s="35"/>
      <c r="AC2616" s="35"/>
      <c r="AD2616" s="35"/>
      <c r="AE2616" s="35"/>
      <c r="AF2616" s="35"/>
      <c r="AG2616" s="35"/>
      <c r="AH2616" s="35"/>
      <c r="AI2616" s="35"/>
      <c r="AJ2616" s="35"/>
      <c r="AK2616" s="35"/>
      <c r="AL2616" s="35"/>
      <c r="AM2616" s="35"/>
      <c r="AN2616" s="35"/>
      <c r="AO2616" s="35"/>
      <c r="AP2616" s="35"/>
    </row>
    <row r="2617" spans="1:42" ht="17.25" customHeight="1" x14ac:dyDescent="0.25">
      <c r="A2617" s="60">
        <v>2026</v>
      </c>
      <c r="B2617" s="61" t="s">
        <v>66</v>
      </c>
      <c r="C2617" s="61" t="s">
        <v>35</v>
      </c>
      <c r="D2617" s="61" t="s">
        <v>39</v>
      </c>
      <c r="E2617" s="61" t="s">
        <v>69</v>
      </c>
      <c r="F2617" s="61" t="s">
        <v>71</v>
      </c>
      <c r="G2617" s="62">
        <v>9960526262</v>
      </c>
      <c r="H2617" s="61" t="s">
        <v>68</v>
      </c>
      <c r="I2617" s="63" t="str">
        <f t="shared" si="138"/>
        <v>Mexico-OTA</v>
      </c>
      <c r="J2617" s="47"/>
      <c r="K2617" s="54"/>
      <c r="L2617" s="35"/>
      <c r="M2617" s="35"/>
      <c r="N2617" s="35"/>
      <c r="O2617" s="35"/>
      <c r="P2617" s="35"/>
      <c r="Q2617" s="35"/>
      <c r="R2617" s="35"/>
      <c r="S2617" s="35"/>
      <c r="T2617" s="35"/>
      <c r="U2617" s="35"/>
      <c r="V2617" s="35"/>
      <c r="W2617" s="35"/>
      <c r="X2617" s="35"/>
      <c r="Y2617" s="35"/>
      <c r="Z2617" s="35"/>
      <c r="AA2617" s="35"/>
      <c r="AB2617" s="35"/>
      <c r="AC2617" s="35"/>
      <c r="AD2617" s="35"/>
      <c r="AE2617" s="35"/>
      <c r="AF2617" s="35"/>
      <c r="AG2617" s="35"/>
      <c r="AH2617" s="35"/>
      <c r="AI2617" s="35"/>
      <c r="AJ2617" s="35"/>
      <c r="AK2617" s="35"/>
      <c r="AL2617" s="35"/>
      <c r="AM2617" s="35"/>
      <c r="AN2617" s="35"/>
      <c r="AO2617" s="35"/>
      <c r="AP2617" s="35"/>
    </row>
    <row r="2618" spans="1:42" ht="17.25" customHeight="1" x14ac:dyDescent="0.25">
      <c r="A2618" s="55">
        <v>2026</v>
      </c>
      <c r="B2618" s="56" t="s">
        <v>66</v>
      </c>
      <c r="C2618" s="56" t="s">
        <v>17</v>
      </c>
      <c r="D2618" s="56" t="s">
        <v>21</v>
      </c>
      <c r="E2618" s="56" t="s">
        <v>67</v>
      </c>
      <c r="F2618" s="56" t="s">
        <v>67</v>
      </c>
      <c r="G2618" s="57">
        <v>3318966122</v>
      </c>
      <c r="H2618" s="56" t="s">
        <v>68</v>
      </c>
      <c r="I2618" s="58" t="str">
        <f t="shared" si="138"/>
        <v>Poland-Offline</v>
      </c>
      <c r="J2618" s="40"/>
      <c r="K2618" s="59"/>
      <c r="L2618" s="35"/>
      <c r="M2618" s="35"/>
      <c r="N2618" s="35"/>
      <c r="O2618" s="35"/>
      <c r="P2618" s="35"/>
      <c r="Q2618" s="35"/>
      <c r="R2618" s="35"/>
      <c r="S2618" s="35"/>
      <c r="T2618" s="35"/>
      <c r="U2618" s="35"/>
      <c r="V2618" s="35"/>
      <c r="W2618" s="35"/>
      <c r="X2618" s="35"/>
      <c r="Y2618" s="35"/>
      <c r="Z2618" s="35"/>
      <c r="AA2618" s="35"/>
      <c r="AB2618" s="35"/>
      <c r="AC2618" s="35"/>
      <c r="AD2618" s="35"/>
      <c r="AE2618" s="35"/>
      <c r="AF2618" s="35"/>
      <c r="AG2618" s="35"/>
      <c r="AH2618" s="35"/>
      <c r="AI2618" s="35"/>
      <c r="AJ2618" s="35"/>
      <c r="AK2618" s="35"/>
      <c r="AL2618" s="35"/>
      <c r="AM2618" s="35"/>
      <c r="AN2618" s="35"/>
      <c r="AO2618" s="35"/>
      <c r="AP2618" s="35"/>
    </row>
    <row r="2619" spans="1:42" ht="17.25" customHeight="1" x14ac:dyDescent="0.25">
      <c r="A2619" s="60">
        <v>2026</v>
      </c>
      <c r="B2619" s="61" t="s">
        <v>66</v>
      </c>
      <c r="C2619" s="61" t="s">
        <v>17</v>
      </c>
      <c r="D2619" s="61" t="s">
        <v>21</v>
      </c>
      <c r="E2619" s="61" t="s">
        <v>69</v>
      </c>
      <c r="F2619" s="61" t="s">
        <v>70</v>
      </c>
      <c r="G2619" s="62">
        <v>2665926744</v>
      </c>
      <c r="H2619" s="61" t="s">
        <v>68</v>
      </c>
      <c r="I2619" s="63" t="str">
        <f t="shared" si="138"/>
        <v>Poland-Online Supplier-Direct</v>
      </c>
      <c r="J2619" s="47"/>
      <c r="K2619" s="54"/>
      <c r="L2619" s="35"/>
      <c r="M2619" s="35"/>
      <c r="N2619" s="35"/>
      <c r="O2619" s="35"/>
      <c r="P2619" s="35"/>
      <c r="Q2619" s="35"/>
      <c r="R2619" s="35"/>
      <c r="S2619" s="35"/>
      <c r="T2619" s="35"/>
      <c r="U2619" s="35"/>
      <c r="V2619" s="35"/>
      <c r="W2619" s="35"/>
      <c r="X2619" s="35"/>
      <c r="Y2619" s="35"/>
      <c r="Z2619" s="35"/>
      <c r="AA2619" s="35"/>
      <c r="AB2619" s="35"/>
      <c r="AC2619" s="35"/>
      <c r="AD2619" s="35"/>
      <c r="AE2619" s="35"/>
      <c r="AF2619" s="35"/>
      <c r="AG2619" s="35"/>
      <c r="AH2619" s="35"/>
      <c r="AI2619" s="35"/>
      <c r="AJ2619" s="35"/>
      <c r="AK2619" s="35"/>
      <c r="AL2619" s="35"/>
      <c r="AM2619" s="35"/>
      <c r="AN2619" s="35"/>
      <c r="AO2619" s="35"/>
      <c r="AP2619" s="35"/>
    </row>
    <row r="2620" spans="1:42" ht="17.25" customHeight="1" x14ac:dyDescent="0.25">
      <c r="A2620" s="55">
        <v>2026</v>
      </c>
      <c r="B2620" s="56" t="s">
        <v>66</v>
      </c>
      <c r="C2620" s="56" t="s">
        <v>17</v>
      </c>
      <c r="D2620" s="56" t="s">
        <v>21</v>
      </c>
      <c r="E2620" s="56" t="s">
        <v>69</v>
      </c>
      <c r="F2620" s="56" t="s">
        <v>71</v>
      </c>
      <c r="G2620" s="57">
        <v>2033727704</v>
      </c>
      <c r="H2620" s="56" t="s">
        <v>68</v>
      </c>
      <c r="I2620" s="58" t="str">
        <f t="shared" si="138"/>
        <v>Poland-OTA</v>
      </c>
      <c r="J2620" s="40"/>
      <c r="K2620" s="59"/>
      <c r="L2620" s="35"/>
      <c r="M2620" s="35"/>
      <c r="N2620" s="35"/>
      <c r="O2620" s="35"/>
      <c r="P2620" s="35"/>
      <c r="Q2620" s="35"/>
      <c r="R2620" s="35"/>
      <c r="S2620" s="35"/>
      <c r="T2620" s="35"/>
      <c r="U2620" s="35"/>
      <c r="V2620" s="35"/>
      <c r="W2620" s="35"/>
      <c r="X2620" s="35"/>
      <c r="Y2620" s="35"/>
      <c r="Z2620" s="35"/>
      <c r="AA2620" s="35"/>
      <c r="AB2620" s="35"/>
      <c r="AC2620" s="35"/>
      <c r="AD2620" s="35"/>
      <c r="AE2620" s="35"/>
      <c r="AF2620" s="35"/>
      <c r="AG2620" s="35"/>
      <c r="AH2620" s="35"/>
      <c r="AI2620" s="35"/>
      <c r="AJ2620" s="35"/>
      <c r="AK2620" s="35"/>
      <c r="AL2620" s="35"/>
      <c r="AM2620" s="35"/>
      <c r="AN2620" s="35"/>
      <c r="AO2620" s="35"/>
      <c r="AP2620" s="35"/>
    </row>
    <row r="2621" spans="1:42" ht="17.25" customHeight="1" x14ac:dyDescent="0.25">
      <c r="A2621" s="60">
        <v>2026</v>
      </c>
      <c r="B2621" s="61" t="s">
        <v>66</v>
      </c>
      <c r="C2621" s="61" t="s">
        <v>41</v>
      </c>
      <c r="D2621" s="61" t="s">
        <v>42</v>
      </c>
      <c r="E2621" s="61" t="s">
        <v>67</v>
      </c>
      <c r="F2621" s="61" t="s">
        <v>67</v>
      </c>
      <c r="G2621" s="62">
        <v>10229763888</v>
      </c>
      <c r="H2621" s="61" t="s">
        <v>68</v>
      </c>
      <c r="I2621" s="63" t="str">
        <f t="shared" si="138"/>
        <v>Qatar-Offline</v>
      </c>
      <c r="J2621" s="47"/>
      <c r="K2621" s="54"/>
      <c r="L2621" s="35"/>
      <c r="M2621" s="35"/>
      <c r="N2621" s="35"/>
      <c r="O2621" s="35"/>
      <c r="P2621" s="35"/>
      <c r="Q2621" s="35"/>
      <c r="R2621" s="35"/>
      <c r="S2621" s="35"/>
      <c r="T2621" s="35"/>
      <c r="U2621" s="35"/>
      <c r="V2621" s="35"/>
      <c r="W2621" s="35"/>
      <c r="X2621" s="35"/>
      <c r="Y2621" s="35"/>
      <c r="Z2621" s="35"/>
      <c r="AA2621" s="35"/>
      <c r="AB2621" s="35"/>
      <c r="AC2621" s="35"/>
      <c r="AD2621" s="35"/>
      <c r="AE2621" s="35"/>
      <c r="AF2621" s="35"/>
      <c r="AG2621" s="35"/>
      <c r="AH2621" s="35"/>
      <c r="AI2621" s="35"/>
      <c r="AJ2621" s="35"/>
      <c r="AK2621" s="35"/>
      <c r="AL2621" s="35"/>
      <c r="AM2621" s="35"/>
      <c r="AN2621" s="35"/>
      <c r="AO2621" s="35"/>
      <c r="AP2621" s="35"/>
    </row>
    <row r="2622" spans="1:42" ht="17.25" customHeight="1" x14ac:dyDescent="0.25">
      <c r="A2622" s="55">
        <v>2026</v>
      </c>
      <c r="B2622" s="56" t="s">
        <v>66</v>
      </c>
      <c r="C2622" s="56" t="s">
        <v>41</v>
      </c>
      <c r="D2622" s="56" t="s">
        <v>42</v>
      </c>
      <c r="E2622" s="56" t="s">
        <v>69</v>
      </c>
      <c r="F2622" s="56" t="s">
        <v>70</v>
      </c>
      <c r="G2622" s="57">
        <v>7281596739</v>
      </c>
      <c r="H2622" s="56" t="s">
        <v>68</v>
      </c>
      <c r="I2622" s="58" t="str">
        <f t="shared" si="138"/>
        <v>Qatar-Online Supplier-Direct</v>
      </c>
      <c r="J2622" s="40"/>
      <c r="K2622" s="59"/>
      <c r="L2622" s="35"/>
      <c r="M2622" s="35"/>
      <c r="N2622" s="35"/>
      <c r="O2622" s="35"/>
      <c r="P2622" s="35"/>
      <c r="Q2622" s="35"/>
      <c r="R2622" s="35"/>
      <c r="S2622" s="35"/>
      <c r="T2622" s="35"/>
      <c r="U2622" s="35"/>
      <c r="V2622" s="35"/>
      <c r="W2622" s="35"/>
      <c r="X2622" s="35"/>
      <c r="Y2622" s="35"/>
      <c r="Z2622" s="35"/>
      <c r="AA2622" s="35"/>
      <c r="AB2622" s="35"/>
      <c r="AC2622" s="35"/>
      <c r="AD2622" s="35"/>
      <c r="AE2622" s="35"/>
      <c r="AF2622" s="35"/>
      <c r="AG2622" s="35"/>
      <c r="AH2622" s="35"/>
      <c r="AI2622" s="35"/>
      <c r="AJ2622" s="35"/>
      <c r="AK2622" s="35"/>
      <c r="AL2622" s="35"/>
      <c r="AM2622" s="35"/>
      <c r="AN2622" s="35"/>
      <c r="AO2622" s="35"/>
      <c r="AP2622" s="35"/>
    </row>
    <row r="2623" spans="1:42" ht="17.25" customHeight="1" x14ac:dyDescent="0.25">
      <c r="A2623" s="60">
        <v>2026</v>
      </c>
      <c r="B2623" s="61" t="s">
        <v>66</v>
      </c>
      <c r="C2623" s="61" t="s">
        <v>41</v>
      </c>
      <c r="D2623" s="61" t="s">
        <v>42</v>
      </c>
      <c r="E2623" s="61" t="s">
        <v>69</v>
      </c>
      <c r="F2623" s="61" t="s">
        <v>71</v>
      </c>
      <c r="G2623" s="62">
        <v>2051195361</v>
      </c>
      <c r="H2623" s="61" t="s">
        <v>68</v>
      </c>
      <c r="I2623" s="63" t="str">
        <f t="shared" si="138"/>
        <v>Qatar-OTA</v>
      </c>
      <c r="J2623" s="47"/>
      <c r="K2623" s="54"/>
      <c r="L2623" s="35"/>
      <c r="M2623" s="35"/>
      <c r="N2623" s="35"/>
      <c r="O2623" s="35"/>
      <c r="P2623" s="35"/>
      <c r="Q2623" s="35"/>
      <c r="R2623" s="35"/>
      <c r="S2623" s="35"/>
      <c r="T2623" s="35"/>
      <c r="U2623" s="35"/>
      <c r="V2623" s="35"/>
      <c r="W2623" s="35"/>
      <c r="X2623" s="35"/>
      <c r="Y2623" s="35"/>
      <c r="Z2623" s="35"/>
      <c r="AA2623" s="35"/>
      <c r="AB2623" s="35"/>
      <c r="AC2623" s="35"/>
      <c r="AD2623" s="35"/>
      <c r="AE2623" s="35"/>
      <c r="AF2623" s="35"/>
      <c r="AG2623" s="35"/>
      <c r="AH2623" s="35"/>
      <c r="AI2623" s="35"/>
      <c r="AJ2623" s="35"/>
      <c r="AK2623" s="35"/>
      <c r="AL2623" s="35"/>
      <c r="AM2623" s="35"/>
      <c r="AN2623" s="35"/>
      <c r="AO2623" s="35"/>
      <c r="AP2623" s="35"/>
    </row>
    <row r="2624" spans="1:42" ht="17.25" customHeight="1" x14ac:dyDescent="0.25">
      <c r="A2624" s="55">
        <v>2026</v>
      </c>
      <c r="B2624" s="56" t="s">
        <v>66</v>
      </c>
      <c r="C2624" s="56" t="s">
        <v>17</v>
      </c>
      <c r="D2624" s="56" t="s">
        <v>22</v>
      </c>
      <c r="E2624" s="56" t="s">
        <v>67</v>
      </c>
      <c r="F2624" s="56" t="s">
        <v>67</v>
      </c>
      <c r="G2624" s="57">
        <v>1090439702</v>
      </c>
      <c r="H2624" s="56" t="s">
        <v>68</v>
      </c>
      <c r="I2624" s="58" t="str">
        <f t="shared" si="138"/>
        <v>Rest of Eastern Europe-Offline</v>
      </c>
      <c r="J2624" s="40"/>
      <c r="K2624" s="59"/>
      <c r="L2624" s="35"/>
      <c r="M2624" s="35"/>
      <c r="N2624" s="35"/>
      <c r="O2624" s="35"/>
      <c r="P2624" s="35"/>
      <c r="Q2624" s="35"/>
      <c r="R2624" s="35"/>
      <c r="S2624" s="35"/>
      <c r="T2624" s="35"/>
      <c r="U2624" s="35"/>
      <c r="V2624" s="35"/>
      <c r="W2624" s="35"/>
      <c r="X2624" s="35"/>
      <c r="Y2624" s="35"/>
      <c r="Z2624" s="35"/>
      <c r="AA2624" s="35"/>
      <c r="AB2624" s="35"/>
      <c r="AC2624" s="35"/>
      <c r="AD2624" s="35"/>
      <c r="AE2624" s="35"/>
      <c r="AF2624" s="35"/>
      <c r="AG2624" s="35"/>
      <c r="AH2624" s="35"/>
      <c r="AI2624" s="35"/>
      <c r="AJ2624" s="35"/>
      <c r="AK2624" s="35"/>
      <c r="AL2624" s="35"/>
      <c r="AM2624" s="35"/>
      <c r="AN2624" s="35"/>
      <c r="AO2624" s="35"/>
      <c r="AP2624" s="35"/>
    </row>
    <row r="2625" spans="1:42" ht="17.25" customHeight="1" x14ac:dyDescent="0.25">
      <c r="A2625" s="60">
        <v>2026</v>
      </c>
      <c r="B2625" s="61" t="s">
        <v>66</v>
      </c>
      <c r="C2625" s="61" t="s">
        <v>17</v>
      </c>
      <c r="D2625" s="61" t="s">
        <v>22</v>
      </c>
      <c r="E2625" s="61" t="s">
        <v>69</v>
      </c>
      <c r="F2625" s="61" t="s">
        <v>70</v>
      </c>
      <c r="G2625" s="62">
        <v>1328470346</v>
      </c>
      <c r="H2625" s="61" t="s">
        <v>68</v>
      </c>
      <c r="I2625" s="63" t="str">
        <f t="shared" si="138"/>
        <v>Rest of Eastern Europe-Online Supplier-Direct</v>
      </c>
      <c r="J2625" s="47"/>
      <c r="K2625" s="54"/>
      <c r="L2625" s="35"/>
      <c r="M2625" s="35"/>
      <c r="N2625" s="35"/>
      <c r="O2625" s="35"/>
      <c r="P2625" s="35"/>
      <c r="Q2625" s="35"/>
      <c r="R2625" s="35"/>
      <c r="S2625" s="35"/>
      <c r="T2625" s="35"/>
      <c r="U2625" s="35"/>
      <c r="V2625" s="35"/>
      <c r="W2625" s="35"/>
      <c r="X2625" s="35"/>
      <c r="Y2625" s="35"/>
      <c r="Z2625" s="35"/>
      <c r="AA2625" s="35"/>
      <c r="AB2625" s="35"/>
      <c r="AC2625" s="35"/>
      <c r="AD2625" s="35"/>
      <c r="AE2625" s="35"/>
      <c r="AF2625" s="35"/>
      <c r="AG2625" s="35"/>
      <c r="AH2625" s="35"/>
      <c r="AI2625" s="35"/>
      <c r="AJ2625" s="35"/>
      <c r="AK2625" s="35"/>
      <c r="AL2625" s="35"/>
      <c r="AM2625" s="35"/>
      <c r="AN2625" s="35"/>
      <c r="AO2625" s="35"/>
      <c r="AP2625" s="35"/>
    </row>
    <row r="2626" spans="1:42" ht="17.25" customHeight="1" x14ac:dyDescent="0.25">
      <c r="A2626" s="55">
        <v>2026</v>
      </c>
      <c r="B2626" s="56" t="s">
        <v>66</v>
      </c>
      <c r="C2626" s="56" t="s">
        <v>17</v>
      </c>
      <c r="D2626" s="56" t="s">
        <v>22</v>
      </c>
      <c r="E2626" s="56" t="s">
        <v>69</v>
      </c>
      <c r="F2626" s="56" t="s">
        <v>71</v>
      </c>
      <c r="G2626" s="57">
        <v>979196405</v>
      </c>
      <c r="H2626" s="56" t="s">
        <v>68</v>
      </c>
      <c r="I2626" s="58" t="str">
        <f t="shared" si="138"/>
        <v>Rest of Eastern Europe-OTA</v>
      </c>
      <c r="J2626" s="40"/>
      <c r="K2626" s="59"/>
      <c r="L2626" s="35"/>
      <c r="M2626" s="35"/>
      <c r="N2626" s="35"/>
      <c r="O2626" s="35"/>
      <c r="P2626" s="35"/>
      <c r="Q2626" s="35"/>
      <c r="R2626" s="35"/>
      <c r="S2626" s="35"/>
      <c r="T2626" s="35"/>
      <c r="U2626" s="35"/>
      <c r="V2626" s="35"/>
      <c r="W2626" s="35"/>
      <c r="X2626" s="35"/>
      <c r="Y2626" s="35"/>
      <c r="Z2626" s="35"/>
      <c r="AA2626" s="35"/>
      <c r="AB2626" s="35"/>
      <c r="AC2626" s="35"/>
      <c r="AD2626" s="35"/>
      <c r="AE2626" s="35"/>
      <c r="AF2626" s="35"/>
      <c r="AG2626" s="35"/>
      <c r="AH2626" s="35"/>
      <c r="AI2626" s="35"/>
      <c r="AJ2626" s="35"/>
      <c r="AK2626" s="35"/>
      <c r="AL2626" s="35"/>
      <c r="AM2626" s="35"/>
      <c r="AN2626" s="35"/>
      <c r="AO2626" s="35"/>
      <c r="AP2626" s="35"/>
    </row>
    <row r="2627" spans="1:42" ht="17.25" customHeight="1" x14ac:dyDescent="0.25">
      <c r="A2627" s="60">
        <v>2026</v>
      </c>
      <c r="B2627" s="61" t="s">
        <v>66</v>
      </c>
      <c r="C2627" s="61" t="s">
        <v>27</v>
      </c>
      <c r="D2627" s="61" t="s">
        <v>30</v>
      </c>
      <c r="E2627" s="61" t="s">
        <v>67</v>
      </c>
      <c r="F2627" s="61" t="s">
        <v>67</v>
      </c>
      <c r="G2627" s="62">
        <v>26784959758</v>
      </c>
      <c r="H2627" s="61" t="s">
        <v>68</v>
      </c>
      <c r="I2627" s="63" t="str">
        <f t="shared" si="138"/>
        <v>Rest of Europe-Offline</v>
      </c>
      <c r="J2627" s="47"/>
      <c r="K2627" s="54"/>
      <c r="L2627" s="35"/>
      <c r="M2627" s="35"/>
      <c r="N2627" s="35"/>
      <c r="O2627" s="35"/>
      <c r="P2627" s="35"/>
      <c r="Q2627" s="35"/>
      <c r="R2627" s="35"/>
      <c r="S2627" s="35"/>
      <c r="T2627" s="35"/>
      <c r="U2627" s="35"/>
      <c r="V2627" s="35"/>
      <c r="W2627" s="35"/>
      <c r="X2627" s="35"/>
      <c r="Y2627" s="35"/>
      <c r="Z2627" s="35"/>
      <c r="AA2627" s="35"/>
      <c r="AB2627" s="35"/>
      <c r="AC2627" s="35"/>
      <c r="AD2627" s="35"/>
      <c r="AE2627" s="35"/>
      <c r="AF2627" s="35"/>
      <c r="AG2627" s="35"/>
      <c r="AH2627" s="35"/>
      <c r="AI2627" s="35"/>
      <c r="AJ2627" s="35"/>
      <c r="AK2627" s="35"/>
      <c r="AL2627" s="35"/>
      <c r="AM2627" s="35"/>
      <c r="AN2627" s="35"/>
      <c r="AO2627" s="35"/>
      <c r="AP2627" s="35"/>
    </row>
    <row r="2628" spans="1:42" ht="17.25" customHeight="1" x14ac:dyDescent="0.25">
      <c r="A2628" s="55">
        <v>2026</v>
      </c>
      <c r="B2628" s="56" t="s">
        <v>66</v>
      </c>
      <c r="C2628" s="56" t="s">
        <v>27</v>
      </c>
      <c r="D2628" s="56" t="s">
        <v>30</v>
      </c>
      <c r="E2628" s="56" t="s">
        <v>69</v>
      </c>
      <c r="F2628" s="56" t="s">
        <v>70</v>
      </c>
      <c r="G2628" s="57">
        <v>46997840477</v>
      </c>
      <c r="H2628" s="56" t="s">
        <v>68</v>
      </c>
      <c r="I2628" s="58" t="str">
        <f t="shared" si="138"/>
        <v>Rest of Europe-Online Supplier-Direct</v>
      </c>
      <c r="J2628" s="40"/>
      <c r="K2628" s="59"/>
      <c r="L2628" s="35"/>
      <c r="M2628" s="35"/>
      <c r="N2628" s="35"/>
      <c r="O2628" s="35"/>
      <c r="P2628" s="35"/>
      <c r="Q2628" s="35"/>
      <c r="R2628" s="35"/>
      <c r="S2628" s="35"/>
      <c r="T2628" s="35"/>
      <c r="U2628" s="35"/>
      <c r="V2628" s="35"/>
      <c r="W2628" s="35"/>
      <c r="X2628" s="35"/>
      <c r="Y2628" s="35"/>
      <c r="Z2628" s="35"/>
      <c r="AA2628" s="35"/>
      <c r="AB2628" s="35"/>
      <c r="AC2628" s="35"/>
      <c r="AD2628" s="35"/>
      <c r="AE2628" s="35"/>
      <c r="AF2628" s="35"/>
      <c r="AG2628" s="35"/>
      <c r="AH2628" s="35"/>
      <c r="AI2628" s="35"/>
      <c r="AJ2628" s="35"/>
      <c r="AK2628" s="35"/>
      <c r="AL2628" s="35"/>
      <c r="AM2628" s="35"/>
      <c r="AN2628" s="35"/>
      <c r="AO2628" s="35"/>
      <c r="AP2628" s="35"/>
    </row>
    <row r="2629" spans="1:42" ht="17.25" customHeight="1" x14ac:dyDescent="0.25">
      <c r="A2629" s="60">
        <v>2026</v>
      </c>
      <c r="B2629" s="61" t="s">
        <v>66</v>
      </c>
      <c r="C2629" s="61" t="s">
        <v>27</v>
      </c>
      <c r="D2629" s="61" t="s">
        <v>30</v>
      </c>
      <c r="E2629" s="61" t="s">
        <v>69</v>
      </c>
      <c r="F2629" s="61" t="s">
        <v>71</v>
      </c>
      <c r="G2629" s="62">
        <v>15185631164</v>
      </c>
      <c r="H2629" s="61" t="s">
        <v>68</v>
      </c>
      <c r="I2629" s="63" t="str">
        <f t="shared" si="138"/>
        <v>Rest of Europe-OTA</v>
      </c>
      <c r="J2629" s="47"/>
      <c r="K2629" s="54"/>
      <c r="L2629" s="35"/>
      <c r="M2629" s="35"/>
      <c r="N2629" s="35"/>
      <c r="O2629" s="35"/>
      <c r="P2629" s="35"/>
      <c r="Q2629" s="35"/>
      <c r="R2629" s="35"/>
      <c r="S2629" s="35"/>
      <c r="T2629" s="35"/>
      <c r="U2629" s="35"/>
      <c r="V2629" s="35"/>
      <c r="W2629" s="35"/>
      <c r="X2629" s="35"/>
      <c r="Y2629" s="35"/>
      <c r="Z2629" s="35"/>
      <c r="AA2629" s="35"/>
      <c r="AB2629" s="35"/>
      <c r="AC2629" s="35"/>
      <c r="AD2629" s="35"/>
      <c r="AE2629" s="35"/>
      <c r="AF2629" s="35"/>
      <c r="AG2629" s="35"/>
      <c r="AH2629" s="35"/>
      <c r="AI2629" s="35"/>
      <c r="AJ2629" s="35"/>
      <c r="AK2629" s="35"/>
      <c r="AL2629" s="35"/>
      <c r="AM2629" s="35"/>
      <c r="AN2629" s="35"/>
      <c r="AO2629" s="35"/>
      <c r="AP2629" s="35"/>
    </row>
    <row r="2630" spans="1:42" ht="17.25" customHeight="1" x14ac:dyDescent="0.25">
      <c r="A2630" s="55">
        <v>2026</v>
      </c>
      <c r="B2630" s="56" t="s">
        <v>66</v>
      </c>
      <c r="C2630" s="56" t="s">
        <v>41</v>
      </c>
      <c r="D2630" s="56" t="s">
        <v>43</v>
      </c>
      <c r="E2630" s="56" t="s">
        <v>67</v>
      </c>
      <c r="F2630" s="56" t="s">
        <v>67</v>
      </c>
      <c r="G2630" s="57">
        <v>7441756040</v>
      </c>
      <c r="H2630" s="56" t="s">
        <v>68</v>
      </c>
      <c r="I2630" s="58" t="str">
        <f t="shared" si="138"/>
        <v>Rest of Middle East-Offline</v>
      </c>
      <c r="J2630" s="40"/>
      <c r="K2630" s="59"/>
      <c r="L2630" s="35"/>
      <c r="M2630" s="35"/>
      <c r="N2630" s="35"/>
      <c r="O2630" s="35"/>
      <c r="P2630" s="35"/>
      <c r="Q2630" s="35"/>
      <c r="R2630" s="35"/>
      <c r="S2630" s="35"/>
      <c r="T2630" s="35"/>
      <c r="U2630" s="35"/>
      <c r="V2630" s="35"/>
      <c r="W2630" s="35"/>
      <c r="X2630" s="35"/>
      <c r="Y2630" s="35"/>
      <c r="Z2630" s="35"/>
      <c r="AA2630" s="35"/>
      <c r="AB2630" s="35"/>
      <c r="AC2630" s="35"/>
      <c r="AD2630" s="35"/>
      <c r="AE2630" s="35"/>
      <c r="AF2630" s="35"/>
      <c r="AG2630" s="35"/>
      <c r="AH2630" s="35"/>
      <c r="AI2630" s="35"/>
      <c r="AJ2630" s="35"/>
      <c r="AK2630" s="35"/>
      <c r="AL2630" s="35"/>
      <c r="AM2630" s="35"/>
      <c r="AN2630" s="35"/>
      <c r="AO2630" s="35"/>
      <c r="AP2630" s="35"/>
    </row>
    <row r="2631" spans="1:42" ht="17.25" customHeight="1" x14ac:dyDescent="0.25">
      <c r="A2631" s="60">
        <v>2026</v>
      </c>
      <c r="B2631" s="61" t="s">
        <v>66</v>
      </c>
      <c r="C2631" s="61" t="s">
        <v>41</v>
      </c>
      <c r="D2631" s="61" t="s">
        <v>43</v>
      </c>
      <c r="E2631" s="61" t="s">
        <v>69</v>
      </c>
      <c r="F2631" s="61" t="s">
        <v>70</v>
      </c>
      <c r="G2631" s="62">
        <v>3593408933</v>
      </c>
      <c r="H2631" s="61" t="s">
        <v>68</v>
      </c>
      <c r="I2631" s="63" t="str">
        <f t="shared" si="138"/>
        <v>Rest of Middle East-Online Supplier-Direct</v>
      </c>
      <c r="J2631" s="47"/>
      <c r="K2631" s="54"/>
      <c r="L2631" s="35"/>
      <c r="M2631" s="35"/>
      <c r="N2631" s="35"/>
      <c r="O2631" s="35"/>
      <c r="P2631" s="35"/>
      <c r="Q2631" s="35"/>
      <c r="R2631" s="35"/>
      <c r="S2631" s="35"/>
      <c r="T2631" s="35"/>
      <c r="U2631" s="35"/>
      <c r="V2631" s="35"/>
      <c r="W2631" s="35"/>
      <c r="X2631" s="35"/>
      <c r="Y2631" s="35"/>
      <c r="Z2631" s="35"/>
      <c r="AA2631" s="35"/>
      <c r="AB2631" s="35"/>
      <c r="AC2631" s="35"/>
      <c r="AD2631" s="35"/>
      <c r="AE2631" s="35"/>
      <c r="AF2631" s="35"/>
      <c r="AG2631" s="35"/>
      <c r="AH2631" s="35"/>
      <c r="AI2631" s="35"/>
      <c r="AJ2631" s="35"/>
      <c r="AK2631" s="35"/>
      <c r="AL2631" s="35"/>
      <c r="AM2631" s="35"/>
      <c r="AN2631" s="35"/>
      <c r="AO2631" s="35"/>
      <c r="AP2631" s="35"/>
    </row>
    <row r="2632" spans="1:42" ht="17.25" customHeight="1" x14ac:dyDescent="0.25">
      <c r="A2632" s="55">
        <v>2026</v>
      </c>
      <c r="B2632" s="56" t="s">
        <v>66</v>
      </c>
      <c r="C2632" s="56" t="s">
        <v>41</v>
      </c>
      <c r="D2632" s="56" t="s">
        <v>43</v>
      </c>
      <c r="E2632" s="56" t="s">
        <v>69</v>
      </c>
      <c r="F2632" s="56" t="s">
        <v>71</v>
      </c>
      <c r="G2632" s="57">
        <v>2962053181</v>
      </c>
      <c r="H2632" s="56" t="s">
        <v>68</v>
      </c>
      <c r="I2632" s="58" t="str">
        <f t="shared" si="138"/>
        <v>Rest of Middle East-OTA</v>
      </c>
      <c r="J2632" s="40"/>
      <c r="K2632" s="59"/>
      <c r="L2632" s="35"/>
      <c r="M2632" s="35"/>
      <c r="N2632" s="35"/>
      <c r="O2632" s="35"/>
      <c r="P2632" s="35"/>
      <c r="Q2632" s="35"/>
      <c r="R2632" s="35"/>
      <c r="S2632" s="35"/>
      <c r="T2632" s="35"/>
      <c r="U2632" s="35"/>
      <c r="V2632" s="35"/>
      <c r="W2632" s="35"/>
      <c r="X2632" s="35"/>
      <c r="Y2632" s="35"/>
      <c r="Z2632" s="35"/>
      <c r="AA2632" s="35"/>
      <c r="AB2632" s="35"/>
      <c r="AC2632" s="35"/>
      <c r="AD2632" s="35"/>
      <c r="AE2632" s="35"/>
      <c r="AF2632" s="35"/>
      <c r="AG2632" s="35"/>
      <c r="AH2632" s="35"/>
      <c r="AI2632" s="35"/>
      <c r="AJ2632" s="35"/>
      <c r="AK2632" s="35"/>
      <c r="AL2632" s="35"/>
      <c r="AM2632" s="35"/>
      <c r="AN2632" s="35"/>
      <c r="AO2632" s="35"/>
      <c r="AP2632" s="35"/>
    </row>
    <row r="2633" spans="1:42" ht="17.25" customHeight="1" x14ac:dyDescent="0.25">
      <c r="A2633" s="60">
        <v>2026</v>
      </c>
      <c r="B2633" s="61" t="s">
        <v>66</v>
      </c>
      <c r="C2633" s="61" t="s">
        <v>17</v>
      </c>
      <c r="D2633" s="61" t="s">
        <v>23</v>
      </c>
      <c r="E2633" s="61" t="s">
        <v>67</v>
      </c>
      <c r="F2633" s="61" t="s">
        <v>67</v>
      </c>
      <c r="G2633" s="62">
        <v>1135002619</v>
      </c>
      <c r="H2633" s="61" t="s">
        <v>68</v>
      </c>
      <c r="I2633" s="63" t="str">
        <f t="shared" si="138"/>
        <v>Romania-Offline</v>
      </c>
      <c r="J2633" s="47"/>
      <c r="K2633" s="54"/>
      <c r="L2633" s="35"/>
      <c r="M2633" s="35"/>
      <c r="N2633" s="35"/>
      <c r="O2633" s="35"/>
      <c r="P2633" s="35"/>
      <c r="Q2633" s="35"/>
      <c r="R2633" s="35"/>
      <c r="S2633" s="35"/>
      <c r="T2633" s="35"/>
      <c r="U2633" s="35"/>
      <c r="V2633" s="35"/>
      <c r="W2633" s="35"/>
      <c r="X2633" s="35"/>
      <c r="Y2633" s="35"/>
      <c r="Z2633" s="35"/>
      <c r="AA2633" s="35"/>
      <c r="AB2633" s="35"/>
      <c r="AC2633" s="35"/>
      <c r="AD2633" s="35"/>
      <c r="AE2633" s="35"/>
      <c r="AF2633" s="35"/>
      <c r="AG2633" s="35"/>
      <c r="AH2633" s="35"/>
      <c r="AI2633" s="35"/>
      <c r="AJ2633" s="35"/>
      <c r="AK2633" s="35"/>
      <c r="AL2633" s="35"/>
      <c r="AM2633" s="35"/>
      <c r="AN2633" s="35"/>
      <c r="AO2633" s="35"/>
      <c r="AP2633" s="35"/>
    </row>
    <row r="2634" spans="1:42" ht="17.25" customHeight="1" x14ac:dyDescent="0.25">
      <c r="A2634" s="55">
        <v>2026</v>
      </c>
      <c r="B2634" s="56" t="s">
        <v>66</v>
      </c>
      <c r="C2634" s="56" t="s">
        <v>17</v>
      </c>
      <c r="D2634" s="56" t="s">
        <v>23</v>
      </c>
      <c r="E2634" s="56" t="s">
        <v>69</v>
      </c>
      <c r="F2634" s="56" t="s">
        <v>70</v>
      </c>
      <c r="G2634" s="57">
        <v>577652182</v>
      </c>
      <c r="H2634" s="56" t="s">
        <v>68</v>
      </c>
      <c r="I2634" s="58" t="str">
        <f t="shared" si="138"/>
        <v>Romania-Online Supplier-Direct</v>
      </c>
      <c r="J2634" s="40"/>
      <c r="K2634" s="59"/>
      <c r="L2634" s="35"/>
      <c r="M2634" s="35"/>
      <c r="N2634" s="35"/>
      <c r="O2634" s="35"/>
      <c r="P2634" s="35"/>
      <c r="Q2634" s="35"/>
      <c r="R2634" s="35"/>
      <c r="S2634" s="35"/>
      <c r="T2634" s="35"/>
      <c r="U2634" s="35"/>
      <c r="V2634" s="35"/>
      <c r="W2634" s="35"/>
      <c r="X2634" s="35"/>
      <c r="Y2634" s="35"/>
      <c r="Z2634" s="35"/>
      <c r="AA2634" s="35"/>
      <c r="AB2634" s="35"/>
      <c r="AC2634" s="35"/>
      <c r="AD2634" s="35"/>
      <c r="AE2634" s="35"/>
      <c r="AF2634" s="35"/>
      <c r="AG2634" s="35"/>
      <c r="AH2634" s="35"/>
      <c r="AI2634" s="35"/>
      <c r="AJ2634" s="35"/>
      <c r="AK2634" s="35"/>
      <c r="AL2634" s="35"/>
      <c r="AM2634" s="35"/>
      <c r="AN2634" s="35"/>
      <c r="AO2634" s="35"/>
      <c r="AP2634" s="35"/>
    </row>
    <row r="2635" spans="1:42" ht="17.25" customHeight="1" x14ac:dyDescent="0.25">
      <c r="A2635" s="60">
        <v>2026</v>
      </c>
      <c r="B2635" s="61" t="s">
        <v>66</v>
      </c>
      <c r="C2635" s="61" t="s">
        <v>17</v>
      </c>
      <c r="D2635" s="61" t="s">
        <v>23</v>
      </c>
      <c r="E2635" s="61" t="s">
        <v>69</v>
      </c>
      <c r="F2635" s="61" t="s">
        <v>71</v>
      </c>
      <c r="G2635" s="62">
        <v>1098193844</v>
      </c>
      <c r="H2635" s="61" t="s">
        <v>68</v>
      </c>
      <c r="I2635" s="63" t="str">
        <f t="shared" si="138"/>
        <v>Romania-OTA</v>
      </c>
      <c r="J2635" s="47"/>
      <c r="K2635" s="54"/>
      <c r="L2635" s="35"/>
      <c r="M2635" s="35"/>
      <c r="N2635" s="35"/>
      <c r="O2635" s="35"/>
      <c r="P2635" s="35"/>
      <c r="Q2635" s="35"/>
      <c r="R2635" s="35"/>
      <c r="S2635" s="35"/>
      <c r="T2635" s="35"/>
      <c r="U2635" s="35"/>
      <c r="V2635" s="35"/>
      <c r="W2635" s="35"/>
      <c r="X2635" s="35"/>
      <c r="Y2635" s="35"/>
      <c r="Z2635" s="35"/>
      <c r="AA2635" s="35"/>
      <c r="AB2635" s="35"/>
      <c r="AC2635" s="35"/>
      <c r="AD2635" s="35"/>
      <c r="AE2635" s="35"/>
      <c r="AF2635" s="35"/>
      <c r="AG2635" s="35"/>
      <c r="AH2635" s="35"/>
      <c r="AI2635" s="35"/>
      <c r="AJ2635" s="35"/>
      <c r="AK2635" s="35"/>
      <c r="AL2635" s="35"/>
      <c r="AM2635" s="35"/>
      <c r="AN2635" s="35"/>
      <c r="AO2635" s="35"/>
      <c r="AP2635" s="35"/>
    </row>
    <row r="2636" spans="1:42" ht="17.25" customHeight="1" x14ac:dyDescent="0.25">
      <c r="A2636" s="55">
        <v>2026</v>
      </c>
      <c r="B2636" s="56" t="s">
        <v>66</v>
      </c>
      <c r="C2636" s="56" t="s">
        <v>17</v>
      </c>
      <c r="D2636" s="56" t="s">
        <v>24</v>
      </c>
      <c r="E2636" s="56" t="s">
        <v>67</v>
      </c>
      <c r="F2636" s="56" t="s">
        <v>67</v>
      </c>
      <c r="G2636" s="57">
        <v>17441951561</v>
      </c>
      <c r="H2636" s="56" t="s">
        <v>68</v>
      </c>
      <c r="I2636" s="58" t="str">
        <f t="shared" si="138"/>
        <v>Russia-Offline</v>
      </c>
      <c r="J2636" s="40"/>
      <c r="K2636" s="59"/>
      <c r="L2636" s="35"/>
      <c r="M2636" s="35"/>
      <c r="N2636" s="35"/>
      <c r="O2636" s="35"/>
      <c r="P2636" s="35"/>
      <c r="Q2636" s="35"/>
      <c r="R2636" s="35"/>
      <c r="S2636" s="35"/>
      <c r="T2636" s="35"/>
      <c r="U2636" s="35"/>
      <c r="V2636" s="35"/>
      <c r="W2636" s="35"/>
      <c r="X2636" s="35"/>
      <c r="Y2636" s="35"/>
      <c r="Z2636" s="35"/>
      <c r="AA2636" s="35"/>
      <c r="AB2636" s="35"/>
      <c r="AC2636" s="35"/>
      <c r="AD2636" s="35"/>
      <c r="AE2636" s="35"/>
      <c r="AF2636" s="35"/>
      <c r="AG2636" s="35"/>
      <c r="AH2636" s="35"/>
      <c r="AI2636" s="35"/>
      <c r="AJ2636" s="35"/>
      <c r="AK2636" s="35"/>
      <c r="AL2636" s="35"/>
      <c r="AM2636" s="35"/>
      <c r="AN2636" s="35"/>
      <c r="AO2636" s="35"/>
      <c r="AP2636" s="35"/>
    </row>
    <row r="2637" spans="1:42" ht="17.25" customHeight="1" x14ac:dyDescent="0.25">
      <c r="A2637" s="60">
        <v>2026</v>
      </c>
      <c r="B2637" s="61" t="s">
        <v>66</v>
      </c>
      <c r="C2637" s="61" t="s">
        <v>17</v>
      </c>
      <c r="D2637" s="61" t="s">
        <v>24</v>
      </c>
      <c r="E2637" s="61" t="s">
        <v>69</v>
      </c>
      <c r="F2637" s="61" t="s">
        <v>70</v>
      </c>
      <c r="G2637" s="62">
        <v>12375620130</v>
      </c>
      <c r="H2637" s="61" t="s">
        <v>68</v>
      </c>
      <c r="I2637" s="63" t="str">
        <f t="shared" si="138"/>
        <v>Russia-Online Supplier-Direct</v>
      </c>
      <c r="J2637" s="47"/>
      <c r="K2637" s="54"/>
      <c r="L2637" s="35"/>
      <c r="M2637" s="35"/>
      <c r="N2637" s="35"/>
      <c r="O2637" s="35"/>
      <c r="P2637" s="35"/>
      <c r="Q2637" s="35"/>
      <c r="R2637" s="35"/>
      <c r="S2637" s="35"/>
      <c r="T2637" s="35"/>
      <c r="U2637" s="35"/>
      <c r="V2637" s="35"/>
      <c r="W2637" s="35"/>
      <c r="X2637" s="35"/>
      <c r="Y2637" s="35"/>
      <c r="Z2637" s="35"/>
      <c r="AA2637" s="35"/>
      <c r="AB2637" s="35"/>
      <c r="AC2637" s="35"/>
      <c r="AD2637" s="35"/>
      <c r="AE2637" s="35"/>
      <c r="AF2637" s="35"/>
      <c r="AG2637" s="35"/>
      <c r="AH2637" s="35"/>
      <c r="AI2637" s="35"/>
      <c r="AJ2637" s="35"/>
      <c r="AK2637" s="35"/>
      <c r="AL2637" s="35"/>
      <c r="AM2637" s="35"/>
      <c r="AN2637" s="35"/>
      <c r="AO2637" s="35"/>
      <c r="AP2637" s="35"/>
    </row>
    <row r="2638" spans="1:42" ht="17.25" customHeight="1" x14ac:dyDescent="0.25">
      <c r="A2638" s="55">
        <v>2026</v>
      </c>
      <c r="B2638" s="56" t="s">
        <v>66</v>
      </c>
      <c r="C2638" s="56" t="s">
        <v>17</v>
      </c>
      <c r="D2638" s="56" t="s">
        <v>24</v>
      </c>
      <c r="E2638" s="56" t="s">
        <v>69</v>
      </c>
      <c r="F2638" s="56" t="s">
        <v>71</v>
      </c>
      <c r="G2638" s="57">
        <v>10380949735</v>
      </c>
      <c r="H2638" s="56" t="s">
        <v>68</v>
      </c>
      <c r="I2638" s="58" t="str">
        <f t="shared" si="138"/>
        <v>Russia-OTA</v>
      </c>
      <c r="J2638" s="40"/>
      <c r="K2638" s="59"/>
      <c r="L2638" s="35"/>
      <c r="M2638" s="35"/>
      <c r="N2638" s="35"/>
      <c r="O2638" s="35"/>
      <c r="P2638" s="35"/>
      <c r="Q2638" s="35"/>
      <c r="R2638" s="35"/>
      <c r="S2638" s="35"/>
      <c r="T2638" s="35"/>
      <c r="U2638" s="35"/>
      <c r="V2638" s="35"/>
      <c r="W2638" s="35"/>
      <c r="X2638" s="35"/>
      <c r="Y2638" s="35"/>
      <c r="Z2638" s="35"/>
      <c r="AA2638" s="35"/>
      <c r="AB2638" s="35"/>
      <c r="AC2638" s="35"/>
      <c r="AD2638" s="35"/>
      <c r="AE2638" s="35"/>
      <c r="AF2638" s="35"/>
      <c r="AG2638" s="35"/>
      <c r="AH2638" s="35"/>
      <c r="AI2638" s="35"/>
      <c r="AJ2638" s="35"/>
      <c r="AK2638" s="35"/>
      <c r="AL2638" s="35"/>
      <c r="AM2638" s="35"/>
      <c r="AN2638" s="35"/>
      <c r="AO2638" s="35"/>
      <c r="AP2638" s="35"/>
    </row>
    <row r="2639" spans="1:42" ht="17.25" customHeight="1" x14ac:dyDescent="0.25">
      <c r="A2639" s="60">
        <v>2026</v>
      </c>
      <c r="B2639" s="61" t="s">
        <v>66</v>
      </c>
      <c r="C2639" s="61" t="s">
        <v>41</v>
      </c>
      <c r="D2639" s="61" t="s">
        <v>44</v>
      </c>
      <c r="E2639" s="61" t="s">
        <v>67</v>
      </c>
      <c r="F2639" s="61" t="s">
        <v>67</v>
      </c>
      <c r="G2639" s="62">
        <v>10503655600</v>
      </c>
      <c r="H2639" s="61" t="s">
        <v>68</v>
      </c>
      <c r="I2639" s="63" t="str">
        <f t="shared" si="138"/>
        <v>Saudi Arabia-Offline</v>
      </c>
      <c r="J2639" s="47"/>
      <c r="K2639" s="54"/>
      <c r="L2639" s="35"/>
      <c r="M2639" s="35"/>
      <c r="N2639" s="35"/>
      <c r="O2639" s="35"/>
      <c r="P2639" s="35"/>
      <c r="Q2639" s="35"/>
      <c r="R2639" s="35"/>
      <c r="S2639" s="35"/>
      <c r="T2639" s="35"/>
      <c r="U2639" s="35"/>
      <c r="V2639" s="35"/>
      <c r="W2639" s="35"/>
      <c r="X2639" s="35"/>
      <c r="Y2639" s="35"/>
      <c r="Z2639" s="35"/>
      <c r="AA2639" s="35"/>
      <c r="AB2639" s="35"/>
      <c r="AC2639" s="35"/>
      <c r="AD2639" s="35"/>
      <c r="AE2639" s="35"/>
      <c r="AF2639" s="35"/>
      <c r="AG2639" s="35"/>
      <c r="AH2639" s="35"/>
      <c r="AI2639" s="35"/>
      <c r="AJ2639" s="35"/>
      <c r="AK2639" s="35"/>
      <c r="AL2639" s="35"/>
      <c r="AM2639" s="35"/>
      <c r="AN2639" s="35"/>
      <c r="AO2639" s="35"/>
      <c r="AP2639" s="35"/>
    </row>
    <row r="2640" spans="1:42" ht="17.25" customHeight="1" x14ac:dyDescent="0.25">
      <c r="A2640" s="55">
        <v>2026</v>
      </c>
      <c r="B2640" s="56" t="s">
        <v>66</v>
      </c>
      <c r="C2640" s="56" t="s">
        <v>41</v>
      </c>
      <c r="D2640" s="56" t="s">
        <v>44</v>
      </c>
      <c r="E2640" s="56" t="s">
        <v>69</v>
      </c>
      <c r="F2640" s="56" t="s">
        <v>70</v>
      </c>
      <c r="G2640" s="57">
        <v>8277044978</v>
      </c>
      <c r="H2640" s="56" t="s">
        <v>68</v>
      </c>
      <c r="I2640" s="58" t="str">
        <f t="shared" si="138"/>
        <v>Saudi Arabia-Online Supplier-Direct</v>
      </c>
      <c r="J2640" s="40"/>
      <c r="K2640" s="59"/>
      <c r="L2640" s="35"/>
      <c r="M2640" s="35"/>
      <c r="N2640" s="35"/>
      <c r="O2640" s="35"/>
      <c r="P2640" s="35"/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  <c r="AA2640" s="35"/>
      <c r="AB2640" s="35"/>
      <c r="AC2640" s="35"/>
      <c r="AD2640" s="35"/>
      <c r="AE2640" s="35"/>
      <c r="AF2640" s="35"/>
      <c r="AG2640" s="35"/>
      <c r="AH2640" s="35"/>
      <c r="AI2640" s="35"/>
      <c r="AJ2640" s="35"/>
      <c r="AK2640" s="35"/>
      <c r="AL2640" s="35"/>
      <c r="AM2640" s="35"/>
      <c r="AN2640" s="35"/>
      <c r="AO2640" s="35"/>
      <c r="AP2640" s="35"/>
    </row>
    <row r="2641" spans="1:42" ht="17.25" customHeight="1" x14ac:dyDescent="0.25">
      <c r="A2641" s="60">
        <v>2026</v>
      </c>
      <c r="B2641" s="61" t="s">
        <v>66</v>
      </c>
      <c r="C2641" s="61" t="s">
        <v>41</v>
      </c>
      <c r="D2641" s="61" t="s">
        <v>44</v>
      </c>
      <c r="E2641" s="61" t="s">
        <v>69</v>
      </c>
      <c r="F2641" s="61" t="s">
        <v>71</v>
      </c>
      <c r="G2641" s="62">
        <v>5177870032</v>
      </c>
      <c r="H2641" s="61" t="s">
        <v>68</v>
      </c>
      <c r="I2641" s="63" t="str">
        <f t="shared" si="138"/>
        <v>Saudi Arabia-OTA</v>
      </c>
      <c r="J2641" s="47"/>
      <c r="K2641" s="54"/>
      <c r="L2641" s="35"/>
      <c r="M2641" s="35"/>
      <c r="N2641" s="35"/>
      <c r="O2641" s="35"/>
      <c r="P2641" s="35"/>
      <c r="Q2641" s="35"/>
      <c r="R2641" s="35"/>
      <c r="S2641" s="35"/>
      <c r="T2641" s="35"/>
      <c r="U2641" s="35"/>
      <c r="V2641" s="35"/>
      <c r="W2641" s="35"/>
      <c r="X2641" s="35"/>
      <c r="Y2641" s="35"/>
      <c r="Z2641" s="35"/>
      <c r="AA2641" s="35"/>
      <c r="AB2641" s="35"/>
      <c r="AC2641" s="35"/>
      <c r="AD2641" s="35"/>
      <c r="AE2641" s="35"/>
      <c r="AF2641" s="35"/>
      <c r="AG2641" s="35"/>
      <c r="AH2641" s="35"/>
      <c r="AI2641" s="35"/>
      <c r="AJ2641" s="35"/>
      <c r="AK2641" s="35"/>
      <c r="AL2641" s="35"/>
      <c r="AM2641" s="35"/>
      <c r="AN2641" s="35"/>
      <c r="AO2641" s="35"/>
      <c r="AP2641" s="35"/>
    </row>
    <row r="2642" spans="1:42" ht="17.25" customHeight="1" x14ac:dyDescent="0.25">
      <c r="A2642" s="55">
        <v>2026</v>
      </c>
      <c r="B2642" s="56" t="s">
        <v>66</v>
      </c>
      <c r="C2642" s="56" t="s">
        <v>27</v>
      </c>
      <c r="D2642" s="56" t="s">
        <v>31</v>
      </c>
      <c r="E2642" s="56" t="s">
        <v>67</v>
      </c>
      <c r="F2642" s="56" t="s">
        <v>67</v>
      </c>
      <c r="G2642" s="57">
        <v>4776890035</v>
      </c>
      <c r="H2642" s="56" t="s">
        <v>68</v>
      </c>
      <c r="I2642" s="58" t="str">
        <f t="shared" si="138"/>
        <v>Scandinavia-Offline</v>
      </c>
      <c r="J2642" s="40"/>
      <c r="K2642" s="59"/>
      <c r="L2642" s="35"/>
      <c r="M2642" s="35"/>
      <c r="N2642" s="35"/>
      <c r="O2642" s="35"/>
      <c r="P2642" s="35"/>
      <c r="Q2642" s="35"/>
      <c r="R2642" s="35"/>
      <c r="S2642" s="35"/>
      <c r="T2642" s="35"/>
      <c r="U2642" s="35"/>
      <c r="V2642" s="35"/>
      <c r="W2642" s="35"/>
      <c r="X2642" s="35"/>
      <c r="Y2642" s="35"/>
      <c r="Z2642" s="35"/>
      <c r="AA2642" s="35"/>
      <c r="AB2642" s="35"/>
      <c r="AC2642" s="35"/>
      <c r="AD2642" s="35"/>
      <c r="AE2642" s="35"/>
      <c r="AF2642" s="35"/>
      <c r="AG2642" s="35"/>
      <c r="AH2642" s="35"/>
      <c r="AI2642" s="35"/>
      <c r="AJ2642" s="35"/>
      <c r="AK2642" s="35"/>
      <c r="AL2642" s="35"/>
      <c r="AM2642" s="35"/>
      <c r="AN2642" s="35"/>
      <c r="AO2642" s="35"/>
      <c r="AP2642" s="35"/>
    </row>
    <row r="2643" spans="1:42" ht="17.25" customHeight="1" x14ac:dyDescent="0.25">
      <c r="A2643" s="60">
        <v>2026</v>
      </c>
      <c r="B2643" s="61" t="s">
        <v>66</v>
      </c>
      <c r="C2643" s="61" t="s">
        <v>27</v>
      </c>
      <c r="D2643" s="61" t="s">
        <v>31</v>
      </c>
      <c r="E2643" s="61" t="s">
        <v>69</v>
      </c>
      <c r="F2643" s="61" t="s">
        <v>70</v>
      </c>
      <c r="G2643" s="62">
        <v>13922206895</v>
      </c>
      <c r="H2643" s="61" t="s">
        <v>68</v>
      </c>
      <c r="I2643" s="63" t="str">
        <f t="shared" si="138"/>
        <v>Scandinavia-Online Supplier-Direct</v>
      </c>
      <c r="J2643" s="47"/>
      <c r="K2643" s="54"/>
      <c r="L2643" s="35"/>
      <c r="M2643" s="35"/>
      <c r="N2643" s="35"/>
      <c r="O2643" s="35"/>
      <c r="P2643" s="35"/>
      <c r="Q2643" s="35"/>
      <c r="R2643" s="35"/>
      <c r="S2643" s="35"/>
      <c r="T2643" s="35"/>
      <c r="U2643" s="35"/>
      <c r="V2643" s="35"/>
      <c r="W2643" s="35"/>
      <c r="X2643" s="35"/>
      <c r="Y2643" s="35"/>
      <c r="Z2643" s="35"/>
      <c r="AA2643" s="35"/>
      <c r="AB2643" s="35"/>
      <c r="AC2643" s="35"/>
      <c r="AD2643" s="35"/>
      <c r="AE2643" s="35"/>
      <c r="AF2643" s="35"/>
      <c r="AG2643" s="35"/>
      <c r="AH2643" s="35"/>
      <c r="AI2643" s="35"/>
      <c r="AJ2643" s="35"/>
      <c r="AK2643" s="35"/>
      <c r="AL2643" s="35"/>
      <c r="AM2643" s="35"/>
      <c r="AN2643" s="35"/>
      <c r="AO2643" s="35"/>
      <c r="AP2643" s="35"/>
    </row>
    <row r="2644" spans="1:42" ht="17.25" customHeight="1" x14ac:dyDescent="0.25">
      <c r="A2644" s="55">
        <v>2026</v>
      </c>
      <c r="B2644" s="56" t="s">
        <v>66</v>
      </c>
      <c r="C2644" s="56" t="s">
        <v>27</v>
      </c>
      <c r="D2644" s="56" t="s">
        <v>31</v>
      </c>
      <c r="E2644" s="56" t="s">
        <v>69</v>
      </c>
      <c r="F2644" s="56" t="s">
        <v>71</v>
      </c>
      <c r="G2644" s="57">
        <v>5620423310</v>
      </c>
      <c r="H2644" s="56" t="s">
        <v>68</v>
      </c>
      <c r="I2644" s="58" t="str">
        <f t="shared" si="138"/>
        <v>Scandinavia-OTA</v>
      </c>
      <c r="J2644" s="40"/>
      <c r="K2644" s="59"/>
      <c r="L2644" s="35"/>
      <c r="M2644" s="35"/>
      <c r="N2644" s="35"/>
      <c r="O2644" s="35"/>
      <c r="P2644" s="35"/>
      <c r="Q2644" s="35"/>
      <c r="R2644" s="35"/>
      <c r="S2644" s="35"/>
      <c r="T2644" s="35"/>
      <c r="U2644" s="35"/>
      <c r="V2644" s="35"/>
      <c r="W2644" s="35"/>
      <c r="X2644" s="35"/>
      <c r="Y2644" s="35"/>
      <c r="Z2644" s="35"/>
      <c r="AA2644" s="35"/>
      <c r="AB2644" s="35"/>
      <c r="AC2644" s="35"/>
      <c r="AD2644" s="35"/>
      <c r="AE2644" s="35"/>
      <c r="AF2644" s="35"/>
      <c r="AG2644" s="35"/>
      <c r="AH2644" s="35"/>
      <c r="AI2644" s="35"/>
      <c r="AJ2644" s="35"/>
      <c r="AK2644" s="35"/>
      <c r="AL2644" s="35"/>
      <c r="AM2644" s="35"/>
      <c r="AN2644" s="35"/>
      <c r="AO2644" s="35"/>
      <c r="AP2644" s="35"/>
    </row>
    <row r="2645" spans="1:42" ht="17.25" customHeight="1" x14ac:dyDescent="0.25">
      <c r="A2645" s="60">
        <v>2026</v>
      </c>
      <c r="B2645" s="61" t="s">
        <v>66</v>
      </c>
      <c r="C2645" s="61" t="s">
        <v>4</v>
      </c>
      <c r="D2645" s="61" t="s">
        <v>12</v>
      </c>
      <c r="E2645" s="61" t="s">
        <v>67</v>
      </c>
      <c r="F2645" s="61" t="s">
        <v>67</v>
      </c>
      <c r="G2645" s="62">
        <v>4802059840</v>
      </c>
      <c r="H2645" s="61" t="s">
        <v>68</v>
      </c>
      <c r="I2645" s="63" t="str">
        <f t="shared" si="138"/>
        <v>Singapore-Offline</v>
      </c>
      <c r="J2645" s="47"/>
      <c r="K2645" s="54"/>
      <c r="L2645" s="35"/>
      <c r="M2645" s="35"/>
      <c r="N2645" s="35"/>
      <c r="O2645" s="35"/>
      <c r="P2645" s="35"/>
      <c r="Q2645" s="35"/>
      <c r="R2645" s="35"/>
      <c r="S2645" s="35"/>
      <c r="T2645" s="35"/>
      <c r="U2645" s="35"/>
      <c r="V2645" s="35"/>
      <c r="W2645" s="35"/>
      <c r="X2645" s="35"/>
      <c r="Y2645" s="35"/>
      <c r="Z2645" s="35"/>
      <c r="AA2645" s="35"/>
      <c r="AB2645" s="35"/>
      <c r="AC2645" s="35"/>
      <c r="AD2645" s="35"/>
      <c r="AE2645" s="35"/>
      <c r="AF2645" s="35"/>
      <c r="AG2645" s="35"/>
      <c r="AH2645" s="35"/>
      <c r="AI2645" s="35"/>
      <c r="AJ2645" s="35"/>
      <c r="AK2645" s="35"/>
      <c r="AL2645" s="35"/>
      <c r="AM2645" s="35"/>
      <c r="AN2645" s="35"/>
      <c r="AO2645" s="35"/>
      <c r="AP2645" s="35"/>
    </row>
    <row r="2646" spans="1:42" ht="17.25" customHeight="1" x14ac:dyDescent="0.25">
      <c r="A2646" s="55">
        <v>2026</v>
      </c>
      <c r="B2646" s="56" t="s">
        <v>66</v>
      </c>
      <c r="C2646" s="56" t="s">
        <v>4</v>
      </c>
      <c r="D2646" s="56" t="s">
        <v>12</v>
      </c>
      <c r="E2646" s="56" t="s">
        <v>69</v>
      </c>
      <c r="F2646" s="56" t="s">
        <v>70</v>
      </c>
      <c r="G2646" s="57">
        <v>5983655010</v>
      </c>
      <c r="H2646" s="56" t="s">
        <v>68</v>
      </c>
      <c r="I2646" s="58" t="str">
        <f t="shared" si="138"/>
        <v>Singapore-Online Supplier-Direct</v>
      </c>
      <c r="J2646" s="40"/>
      <c r="K2646" s="59"/>
      <c r="L2646" s="35"/>
      <c r="M2646" s="35"/>
      <c r="N2646" s="35"/>
      <c r="O2646" s="35"/>
      <c r="P2646" s="35"/>
      <c r="Q2646" s="35"/>
      <c r="R2646" s="35"/>
      <c r="S2646" s="35"/>
      <c r="T2646" s="35"/>
      <c r="U2646" s="35"/>
      <c r="V2646" s="35"/>
      <c r="W2646" s="35"/>
      <c r="X2646" s="35"/>
      <c r="Y2646" s="35"/>
      <c r="Z2646" s="35"/>
      <c r="AA2646" s="35"/>
      <c r="AB2646" s="35"/>
      <c r="AC2646" s="35"/>
      <c r="AD2646" s="35"/>
      <c r="AE2646" s="35"/>
      <c r="AF2646" s="35"/>
      <c r="AG2646" s="35"/>
      <c r="AH2646" s="35"/>
      <c r="AI2646" s="35"/>
      <c r="AJ2646" s="35"/>
      <c r="AK2646" s="35"/>
      <c r="AL2646" s="35"/>
      <c r="AM2646" s="35"/>
      <c r="AN2646" s="35"/>
      <c r="AO2646" s="35"/>
      <c r="AP2646" s="35"/>
    </row>
    <row r="2647" spans="1:42" ht="17.25" customHeight="1" x14ac:dyDescent="0.25">
      <c r="A2647" s="60">
        <v>2026</v>
      </c>
      <c r="B2647" s="61" t="s">
        <v>66</v>
      </c>
      <c r="C2647" s="61" t="s">
        <v>4</v>
      </c>
      <c r="D2647" s="61" t="s">
        <v>12</v>
      </c>
      <c r="E2647" s="61" t="s">
        <v>69</v>
      </c>
      <c r="F2647" s="61" t="s">
        <v>71</v>
      </c>
      <c r="G2647" s="62">
        <v>6118762160</v>
      </c>
      <c r="H2647" s="61" t="s">
        <v>68</v>
      </c>
      <c r="I2647" s="63" t="str">
        <f t="shared" si="138"/>
        <v>Singapore-OTA</v>
      </c>
      <c r="J2647" s="47"/>
      <c r="K2647" s="54"/>
      <c r="L2647" s="35"/>
      <c r="M2647" s="35"/>
      <c r="N2647" s="35"/>
      <c r="O2647" s="35"/>
      <c r="P2647" s="35"/>
      <c r="Q2647" s="35"/>
      <c r="R2647" s="35"/>
      <c r="S2647" s="35"/>
      <c r="T2647" s="35"/>
      <c r="U2647" s="35"/>
      <c r="V2647" s="35"/>
      <c r="W2647" s="35"/>
      <c r="X2647" s="35"/>
      <c r="Y2647" s="35"/>
      <c r="Z2647" s="35"/>
      <c r="AA2647" s="35"/>
      <c r="AB2647" s="35"/>
      <c r="AC2647" s="35"/>
      <c r="AD2647" s="35"/>
      <c r="AE2647" s="35"/>
      <c r="AF2647" s="35"/>
      <c r="AG2647" s="35"/>
      <c r="AH2647" s="35"/>
      <c r="AI2647" s="35"/>
      <c r="AJ2647" s="35"/>
      <c r="AK2647" s="35"/>
      <c r="AL2647" s="35"/>
      <c r="AM2647" s="35"/>
      <c r="AN2647" s="35"/>
      <c r="AO2647" s="35"/>
      <c r="AP2647" s="35"/>
    </row>
    <row r="2648" spans="1:42" ht="17.25" customHeight="1" x14ac:dyDescent="0.25">
      <c r="A2648" s="55">
        <v>2026</v>
      </c>
      <c r="B2648" s="56" t="s">
        <v>66</v>
      </c>
      <c r="C2648" s="56" t="s">
        <v>4</v>
      </c>
      <c r="D2648" s="56" t="s">
        <v>13</v>
      </c>
      <c r="E2648" s="56" t="s">
        <v>67</v>
      </c>
      <c r="F2648" s="56" t="s">
        <v>67</v>
      </c>
      <c r="G2648" s="57">
        <v>10008434426</v>
      </c>
      <c r="H2648" s="56" t="s">
        <v>68</v>
      </c>
      <c r="I2648" s="58" t="str">
        <f t="shared" si="138"/>
        <v>South Korea-Offline</v>
      </c>
      <c r="J2648" s="40"/>
      <c r="K2648" s="59"/>
      <c r="L2648" s="35"/>
      <c r="M2648" s="35"/>
      <c r="N2648" s="35"/>
      <c r="O2648" s="35"/>
      <c r="P2648" s="35"/>
      <c r="Q2648" s="35"/>
      <c r="R2648" s="35"/>
      <c r="S2648" s="35"/>
      <c r="T2648" s="35"/>
      <c r="U2648" s="35"/>
      <c r="V2648" s="35"/>
      <c r="W2648" s="35"/>
      <c r="X2648" s="35"/>
      <c r="Y2648" s="35"/>
      <c r="Z2648" s="35"/>
      <c r="AA2648" s="35"/>
      <c r="AB2648" s="35"/>
      <c r="AC2648" s="35"/>
      <c r="AD2648" s="35"/>
      <c r="AE2648" s="35"/>
      <c r="AF2648" s="35"/>
      <c r="AG2648" s="35"/>
      <c r="AH2648" s="35"/>
      <c r="AI2648" s="35"/>
      <c r="AJ2648" s="35"/>
      <c r="AK2648" s="35"/>
      <c r="AL2648" s="35"/>
      <c r="AM2648" s="35"/>
      <c r="AN2648" s="35"/>
      <c r="AO2648" s="35"/>
      <c r="AP2648" s="35"/>
    </row>
    <row r="2649" spans="1:42" ht="17.25" customHeight="1" x14ac:dyDescent="0.25">
      <c r="A2649" s="60">
        <v>2026</v>
      </c>
      <c r="B2649" s="61" t="s">
        <v>66</v>
      </c>
      <c r="C2649" s="61" t="s">
        <v>4</v>
      </c>
      <c r="D2649" s="61" t="s">
        <v>13</v>
      </c>
      <c r="E2649" s="61" t="s">
        <v>69</v>
      </c>
      <c r="F2649" s="61" t="s">
        <v>70</v>
      </c>
      <c r="G2649" s="62">
        <v>8872557402</v>
      </c>
      <c r="H2649" s="61" t="s">
        <v>68</v>
      </c>
      <c r="I2649" s="63" t="str">
        <f t="shared" si="138"/>
        <v>South Korea-Online Supplier-Direct</v>
      </c>
      <c r="J2649" s="47"/>
      <c r="K2649" s="54"/>
      <c r="L2649" s="35"/>
      <c r="M2649" s="35"/>
      <c r="N2649" s="35"/>
      <c r="O2649" s="35"/>
      <c r="P2649" s="35"/>
      <c r="Q2649" s="35"/>
      <c r="R2649" s="35"/>
      <c r="S2649" s="35"/>
      <c r="T2649" s="35"/>
      <c r="U2649" s="35"/>
      <c r="V2649" s="35"/>
      <c r="W2649" s="35"/>
      <c r="X2649" s="35"/>
      <c r="Y2649" s="35"/>
      <c r="Z2649" s="35"/>
      <c r="AA2649" s="35"/>
      <c r="AB2649" s="35"/>
      <c r="AC2649" s="35"/>
      <c r="AD2649" s="35"/>
      <c r="AE2649" s="35"/>
      <c r="AF2649" s="35"/>
      <c r="AG2649" s="35"/>
      <c r="AH2649" s="35"/>
      <c r="AI2649" s="35"/>
      <c r="AJ2649" s="35"/>
      <c r="AK2649" s="35"/>
      <c r="AL2649" s="35"/>
      <c r="AM2649" s="35"/>
      <c r="AN2649" s="35"/>
      <c r="AO2649" s="35"/>
      <c r="AP2649" s="35"/>
    </row>
    <row r="2650" spans="1:42" ht="17.25" customHeight="1" x14ac:dyDescent="0.25">
      <c r="A2650" s="55">
        <v>2026</v>
      </c>
      <c r="B2650" s="56" t="s">
        <v>66</v>
      </c>
      <c r="C2650" s="56" t="s">
        <v>4</v>
      </c>
      <c r="D2650" s="56" t="s">
        <v>13</v>
      </c>
      <c r="E2650" s="56" t="s">
        <v>69</v>
      </c>
      <c r="F2650" s="56" t="s">
        <v>71</v>
      </c>
      <c r="G2650" s="57">
        <v>7700436402</v>
      </c>
      <c r="H2650" s="56" t="s">
        <v>68</v>
      </c>
      <c r="I2650" s="58" t="str">
        <f t="shared" si="138"/>
        <v>South Korea-OTA</v>
      </c>
      <c r="J2650" s="40"/>
      <c r="K2650" s="59"/>
      <c r="L2650" s="35"/>
      <c r="M2650" s="35"/>
      <c r="N2650" s="35"/>
      <c r="O2650" s="35"/>
      <c r="P2650" s="35"/>
      <c r="Q2650" s="35"/>
      <c r="R2650" s="35"/>
      <c r="S2650" s="35"/>
      <c r="T2650" s="35"/>
      <c r="U2650" s="35"/>
      <c r="V2650" s="35"/>
      <c r="W2650" s="35"/>
      <c r="X2650" s="35"/>
      <c r="Y2650" s="35"/>
      <c r="Z2650" s="35"/>
      <c r="AA2650" s="35"/>
      <c r="AB2650" s="35"/>
      <c r="AC2650" s="35"/>
      <c r="AD2650" s="35"/>
      <c r="AE2650" s="35"/>
      <c r="AF2650" s="35"/>
      <c r="AG2650" s="35"/>
      <c r="AH2650" s="35"/>
      <c r="AI2650" s="35"/>
      <c r="AJ2650" s="35"/>
      <c r="AK2650" s="35"/>
      <c r="AL2650" s="35"/>
      <c r="AM2650" s="35"/>
      <c r="AN2650" s="35"/>
      <c r="AO2650" s="35"/>
      <c r="AP2650" s="35"/>
    </row>
    <row r="2651" spans="1:42" ht="17.25" customHeight="1" x14ac:dyDescent="0.25">
      <c r="A2651" s="60">
        <v>2026</v>
      </c>
      <c r="B2651" s="61" t="s">
        <v>66</v>
      </c>
      <c r="C2651" s="61" t="s">
        <v>27</v>
      </c>
      <c r="D2651" s="61" t="s">
        <v>32</v>
      </c>
      <c r="E2651" s="61" t="s">
        <v>67</v>
      </c>
      <c r="F2651" s="61" t="s">
        <v>67</v>
      </c>
      <c r="G2651" s="62">
        <v>16243921669</v>
      </c>
      <c r="H2651" s="61" t="s">
        <v>68</v>
      </c>
      <c r="I2651" s="63" t="str">
        <f t="shared" si="138"/>
        <v>Spain-Offline</v>
      </c>
      <c r="J2651" s="47"/>
      <c r="K2651" s="54"/>
      <c r="L2651" s="35"/>
      <c r="M2651" s="35"/>
      <c r="N2651" s="35"/>
      <c r="O2651" s="35"/>
      <c r="P2651" s="35"/>
      <c r="Q2651" s="35"/>
      <c r="R2651" s="35"/>
      <c r="S2651" s="35"/>
      <c r="T2651" s="35"/>
      <c r="U2651" s="35"/>
      <c r="V2651" s="35"/>
      <c r="W2651" s="35"/>
      <c r="X2651" s="35"/>
      <c r="Y2651" s="35"/>
      <c r="Z2651" s="35"/>
      <c r="AA2651" s="35"/>
      <c r="AB2651" s="35"/>
      <c r="AC2651" s="35"/>
      <c r="AD2651" s="35"/>
      <c r="AE2651" s="35"/>
      <c r="AF2651" s="35"/>
      <c r="AG2651" s="35"/>
      <c r="AH2651" s="35"/>
      <c r="AI2651" s="35"/>
      <c r="AJ2651" s="35"/>
      <c r="AK2651" s="35"/>
      <c r="AL2651" s="35"/>
      <c r="AM2651" s="35"/>
      <c r="AN2651" s="35"/>
      <c r="AO2651" s="35"/>
      <c r="AP2651" s="35"/>
    </row>
    <row r="2652" spans="1:42" ht="17.25" customHeight="1" x14ac:dyDescent="0.25">
      <c r="A2652" s="55">
        <v>2026</v>
      </c>
      <c r="B2652" s="56" t="s">
        <v>66</v>
      </c>
      <c r="C2652" s="56" t="s">
        <v>27</v>
      </c>
      <c r="D2652" s="56" t="s">
        <v>32</v>
      </c>
      <c r="E2652" s="56" t="s">
        <v>69</v>
      </c>
      <c r="F2652" s="56" t="s">
        <v>70</v>
      </c>
      <c r="G2652" s="57">
        <v>15167409009</v>
      </c>
      <c r="H2652" s="56" t="s">
        <v>68</v>
      </c>
      <c r="I2652" s="58" t="str">
        <f t="shared" si="138"/>
        <v>Spain-Online Supplier-Direct</v>
      </c>
      <c r="J2652" s="40"/>
      <c r="K2652" s="59"/>
      <c r="L2652" s="35"/>
      <c r="M2652" s="35"/>
      <c r="N2652" s="35"/>
      <c r="O2652" s="35"/>
      <c r="P2652" s="35"/>
      <c r="Q2652" s="35"/>
      <c r="R2652" s="35"/>
      <c r="S2652" s="35"/>
      <c r="T2652" s="35"/>
      <c r="U2652" s="35"/>
      <c r="V2652" s="35"/>
      <c r="W2652" s="35"/>
      <c r="X2652" s="35"/>
      <c r="Y2652" s="35"/>
      <c r="Z2652" s="35"/>
      <c r="AA2652" s="35"/>
      <c r="AB2652" s="35"/>
      <c r="AC2652" s="35"/>
      <c r="AD2652" s="35"/>
      <c r="AE2652" s="35"/>
      <c r="AF2652" s="35"/>
      <c r="AG2652" s="35"/>
      <c r="AH2652" s="35"/>
      <c r="AI2652" s="35"/>
      <c r="AJ2652" s="35"/>
      <c r="AK2652" s="35"/>
      <c r="AL2652" s="35"/>
      <c r="AM2652" s="35"/>
      <c r="AN2652" s="35"/>
      <c r="AO2652" s="35"/>
      <c r="AP2652" s="35"/>
    </row>
    <row r="2653" spans="1:42" ht="17.25" customHeight="1" x14ac:dyDescent="0.25">
      <c r="A2653" s="60">
        <v>2026</v>
      </c>
      <c r="B2653" s="61" t="s">
        <v>66</v>
      </c>
      <c r="C2653" s="61" t="s">
        <v>27</v>
      </c>
      <c r="D2653" s="61" t="s">
        <v>32</v>
      </c>
      <c r="E2653" s="61" t="s">
        <v>69</v>
      </c>
      <c r="F2653" s="61" t="s">
        <v>71</v>
      </c>
      <c r="G2653" s="62">
        <v>13301902500</v>
      </c>
      <c r="H2653" s="61" t="s">
        <v>68</v>
      </c>
      <c r="I2653" s="63" t="str">
        <f t="shared" si="138"/>
        <v>Spain-OTA</v>
      </c>
      <c r="J2653" s="47"/>
      <c r="K2653" s="54"/>
      <c r="L2653" s="35"/>
      <c r="M2653" s="35"/>
      <c r="N2653" s="35"/>
      <c r="O2653" s="35"/>
      <c r="P2653" s="35"/>
      <c r="Q2653" s="35"/>
      <c r="R2653" s="35"/>
      <c r="S2653" s="35"/>
      <c r="T2653" s="35"/>
      <c r="U2653" s="35"/>
      <c r="V2653" s="35"/>
      <c r="W2653" s="35"/>
      <c r="X2653" s="35"/>
      <c r="Y2653" s="35"/>
      <c r="Z2653" s="35"/>
      <c r="AA2653" s="35"/>
      <c r="AB2653" s="35"/>
      <c r="AC2653" s="35"/>
      <c r="AD2653" s="35"/>
      <c r="AE2653" s="35"/>
      <c r="AF2653" s="35"/>
      <c r="AG2653" s="35"/>
      <c r="AH2653" s="35"/>
      <c r="AI2653" s="35"/>
      <c r="AJ2653" s="35"/>
      <c r="AK2653" s="35"/>
      <c r="AL2653" s="35"/>
      <c r="AM2653" s="35"/>
      <c r="AN2653" s="35"/>
      <c r="AO2653" s="35"/>
      <c r="AP2653" s="35"/>
    </row>
    <row r="2654" spans="1:42" ht="17.25" customHeight="1" x14ac:dyDescent="0.25">
      <c r="A2654" s="55">
        <v>2026</v>
      </c>
      <c r="B2654" s="56" t="s">
        <v>66</v>
      </c>
      <c r="C2654" s="56" t="s">
        <v>4</v>
      </c>
      <c r="D2654" s="56" t="s">
        <v>14</v>
      </c>
      <c r="E2654" s="56" t="s">
        <v>67</v>
      </c>
      <c r="F2654" s="56" t="s">
        <v>67</v>
      </c>
      <c r="G2654" s="57">
        <v>6579600385</v>
      </c>
      <c r="H2654" s="56" t="s">
        <v>68</v>
      </c>
      <c r="I2654" s="58" t="str">
        <f t="shared" si="138"/>
        <v>Taiwan-Offline</v>
      </c>
      <c r="J2654" s="40"/>
      <c r="K2654" s="59"/>
      <c r="L2654" s="35"/>
      <c r="M2654" s="35"/>
      <c r="N2654" s="35"/>
      <c r="O2654" s="35"/>
      <c r="P2654" s="35"/>
      <c r="Q2654" s="35"/>
      <c r="R2654" s="35"/>
      <c r="S2654" s="35"/>
      <c r="T2654" s="35"/>
      <c r="U2654" s="35"/>
      <c r="V2654" s="35"/>
      <c r="W2654" s="35"/>
      <c r="X2654" s="35"/>
      <c r="Y2654" s="35"/>
      <c r="Z2654" s="35"/>
      <c r="AA2654" s="35"/>
      <c r="AB2654" s="35"/>
      <c r="AC2654" s="35"/>
      <c r="AD2654" s="35"/>
      <c r="AE2654" s="35"/>
      <c r="AF2654" s="35"/>
      <c r="AG2654" s="35"/>
      <c r="AH2654" s="35"/>
      <c r="AI2654" s="35"/>
      <c r="AJ2654" s="35"/>
      <c r="AK2654" s="35"/>
      <c r="AL2654" s="35"/>
      <c r="AM2654" s="35"/>
      <c r="AN2654" s="35"/>
      <c r="AO2654" s="35"/>
      <c r="AP2654" s="35"/>
    </row>
    <row r="2655" spans="1:42" ht="17.25" customHeight="1" x14ac:dyDescent="0.25">
      <c r="A2655" s="60">
        <v>2026</v>
      </c>
      <c r="B2655" s="61" t="s">
        <v>66</v>
      </c>
      <c r="C2655" s="61" t="s">
        <v>4</v>
      </c>
      <c r="D2655" s="61" t="s">
        <v>14</v>
      </c>
      <c r="E2655" s="61" t="s">
        <v>69</v>
      </c>
      <c r="F2655" s="61" t="s">
        <v>70</v>
      </c>
      <c r="G2655" s="62">
        <v>4392076242</v>
      </c>
      <c r="H2655" s="61" t="s">
        <v>68</v>
      </c>
      <c r="I2655" s="63" t="str">
        <f t="shared" si="138"/>
        <v>Taiwan-Online Supplier-Direct</v>
      </c>
      <c r="J2655" s="47"/>
      <c r="K2655" s="54"/>
      <c r="L2655" s="35"/>
      <c r="M2655" s="35"/>
      <c r="N2655" s="35"/>
      <c r="O2655" s="35"/>
      <c r="P2655" s="35"/>
      <c r="Q2655" s="35"/>
      <c r="R2655" s="35"/>
      <c r="S2655" s="35"/>
      <c r="T2655" s="35"/>
      <c r="U2655" s="35"/>
      <c r="V2655" s="35"/>
      <c r="W2655" s="35"/>
      <c r="X2655" s="35"/>
      <c r="Y2655" s="35"/>
      <c r="Z2655" s="35"/>
      <c r="AA2655" s="35"/>
      <c r="AB2655" s="35"/>
      <c r="AC2655" s="35"/>
      <c r="AD2655" s="35"/>
      <c r="AE2655" s="35"/>
      <c r="AF2655" s="35"/>
      <c r="AG2655" s="35"/>
      <c r="AH2655" s="35"/>
      <c r="AI2655" s="35"/>
      <c r="AJ2655" s="35"/>
      <c r="AK2655" s="35"/>
      <c r="AL2655" s="35"/>
      <c r="AM2655" s="35"/>
      <c r="AN2655" s="35"/>
      <c r="AO2655" s="35"/>
      <c r="AP2655" s="35"/>
    </row>
    <row r="2656" spans="1:42" ht="17.25" customHeight="1" x14ac:dyDescent="0.25">
      <c r="A2656" s="55">
        <v>2026</v>
      </c>
      <c r="B2656" s="56" t="s">
        <v>66</v>
      </c>
      <c r="C2656" s="56" t="s">
        <v>4</v>
      </c>
      <c r="D2656" s="56" t="s">
        <v>14</v>
      </c>
      <c r="E2656" s="56" t="s">
        <v>69</v>
      </c>
      <c r="F2656" s="56" t="s">
        <v>71</v>
      </c>
      <c r="G2656" s="57">
        <v>3180585594</v>
      </c>
      <c r="H2656" s="56" t="s">
        <v>68</v>
      </c>
      <c r="I2656" s="58" t="str">
        <f t="shared" si="138"/>
        <v>Taiwan-OTA</v>
      </c>
      <c r="J2656" s="40"/>
      <c r="K2656" s="59"/>
      <c r="L2656" s="35"/>
      <c r="M2656" s="35"/>
      <c r="N2656" s="35"/>
      <c r="O2656" s="35"/>
      <c r="P2656" s="35"/>
      <c r="Q2656" s="35"/>
      <c r="R2656" s="35"/>
      <c r="S2656" s="35"/>
      <c r="T2656" s="35"/>
      <c r="U2656" s="35"/>
      <c r="V2656" s="35"/>
      <c r="W2656" s="35"/>
      <c r="X2656" s="35"/>
      <c r="Y2656" s="35"/>
      <c r="Z2656" s="35"/>
      <c r="AA2656" s="35"/>
      <c r="AB2656" s="35"/>
      <c r="AC2656" s="35"/>
      <c r="AD2656" s="35"/>
      <c r="AE2656" s="35"/>
      <c r="AF2656" s="35"/>
      <c r="AG2656" s="35"/>
      <c r="AH2656" s="35"/>
      <c r="AI2656" s="35"/>
      <c r="AJ2656" s="35"/>
      <c r="AK2656" s="35"/>
      <c r="AL2656" s="35"/>
      <c r="AM2656" s="35"/>
      <c r="AN2656" s="35"/>
      <c r="AO2656" s="35"/>
      <c r="AP2656" s="35"/>
    </row>
    <row r="2657" spans="1:42" ht="17.25" customHeight="1" x14ac:dyDescent="0.25">
      <c r="A2657" s="60">
        <v>2026</v>
      </c>
      <c r="B2657" s="61" t="s">
        <v>66</v>
      </c>
      <c r="C2657" s="61" t="s">
        <v>4</v>
      </c>
      <c r="D2657" s="61" t="s">
        <v>15</v>
      </c>
      <c r="E2657" s="61" t="s">
        <v>67</v>
      </c>
      <c r="F2657" s="61" t="s">
        <v>67</v>
      </c>
      <c r="G2657" s="62">
        <v>6504684693</v>
      </c>
      <c r="H2657" s="61" t="s">
        <v>68</v>
      </c>
      <c r="I2657" s="63" t="str">
        <f t="shared" si="138"/>
        <v>Thailand-Offline</v>
      </c>
      <c r="J2657" s="47"/>
      <c r="K2657" s="54"/>
      <c r="L2657" s="35"/>
      <c r="M2657" s="35"/>
      <c r="N2657" s="35"/>
      <c r="O2657" s="35"/>
      <c r="P2657" s="35"/>
      <c r="Q2657" s="35"/>
      <c r="R2657" s="35"/>
      <c r="S2657" s="35"/>
      <c r="T2657" s="35"/>
      <c r="U2657" s="35"/>
      <c r="V2657" s="35"/>
      <c r="W2657" s="35"/>
      <c r="X2657" s="35"/>
      <c r="Y2657" s="35"/>
      <c r="Z2657" s="35"/>
      <c r="AA2657" s="35"/>
      <c r="AB2657" s="35"/>
      <c r="AC2657" s="35"/>
      <c r="AD2657" s="35"/>
      <c r="AE2657" s="35"/>
      <c r="AF2657" s="35"/>
      <c r="AG2657" s="35"/>
      <c r="AH2657" s="35"/>
      <c r="AI2657" s="35"/>
      <c r="AJ2657" s="35"/>
      <c r="AK2657" s="35"/>
      <c r="AL2657" s="35"/>
      <c r="AM2657" s="35"/>
      <c r="AN2657" s="35"/>
      <c r="AO2657" s="35"/>
      <c r="AP2657" s="35"/>
    </row>
    <row r="2658" spans="1:42" ht="17.25" customHeight="1" x14ac:dyDescent="0.25">
      <c r="A2658" s="55">
        <v>2026</v>
      </c>
      <c r="B2658" s="56" t="s">
        <v>66</v>
      </c>
      <c r="C2658" s="56" t="s">
        <v>4</v>
      </c>
      <c r="D2658" s="56" t="s">
        <v>15</v>
      </c>
      <c r="E2658" s="56" t="s">
        <v>69</v>
      </c>
      <c r="F2658" s="56" t="s">
        <v>70</v>
      </c>
      <c r="G2658" s="57">
        <v>4033738751</v>
      </c>
      <c r="H2658" s="56" t="s">
        <v>68</v>
      </c>
      <c r="I2658" s="58" t="str">
        <f t="shared" si="138"/>
        <v>Thailand-Online Supplier-Direct</v>
      </c>
      <c r="J2658" s="40"/>
      <c r="K2658" s="59"/>
      <c r="L2658" s="35"/>
      <c r="M2658" s="35"/>
      <c r="N2658" s="35"/>
      <c r="O2658" s="35"/>
      <c r="P2658" s="35"/>
      <c r="Q2658" s="35"/>
      <c r="R2658" s="35"/>
      <c r="S2658" s="35"/>
      <c r="T2658" s="35"/>
      <c r="U2658" s="35"/>
      <c r="V2658" s="35"/>
      <c r="W2658" s="35"/>
      <c r="X2658" s="35"/>
      <c r="Y2658" s="35"/>
      <c r="Z2658" s="35"/>
      <c r="AA2658" s="35"/>
      <c r="AB2658" s="35"/>
      <c r="AC2658" s="35"/>
      <c r="AD2658" s="35"/>
      <c r="AE2658" s="35"/>
      <c r="AF2658" s="35"/>
      <c r="AG2658" s="35"/>
      <c r="AH2658" s="35"/>
      <c r="AI2658" s="35"/>
      <c r="AJ2658" s="35"/>
      <c r="AK2658" s="35"/>
      <c r="AL2658" s="35"/>
      <c r="AM2658" s="35"/>
      <c r="AN2658" s="35"/>
      <c r="AO2658" s="35"/>
      <c r="AP2658" s="35"/>
    </row>
    <row r="2659" spans="1:42" ht="17.25" customHeight="1" x14ac:dyDescent="0.25">
      <c r="A2659" s="60">
        <v>2026</v>
      </c>
      <c r="B2659" s="61" t="s">
        <v>66</v>
      </c>
      <c r="C2659" s="61" t="s">
        <v>4</v>
      </c>
      <c r="D2659" s="61" t="s">
        <v>15</v>
      </c>
      <c r="E2659" s="61" t="s">
        <v>69</v>
      </c>
      <c r="F2659" s="61" t="s">
        <v>71</v>
      </c>
      <c r="G2659" s="62">
        <v>10374593712</v>
      </c>
      <c r="H2659" s="61" t="s">
        <v>68</v>
      </c>
      <c r="I2659" s="63" t="str">
        <f t="shared" si="138"/>
        <v>Thailand-OTA</v>
      </c>
      <c r="J2659" s="47"/>
      <c r="K2659" s="54"/>
      <c r="L2659" s="35"/>
      <c r="M2659" s="35"/>
      <c r="N2659" s="35"/>
      <c r="O2659" s="35"/>
      <c r="P2659" s="35"/>
      <c r="Q2659" s="35"/>
      <c r="R2659" s="35"/>
      <c r="S2659" s="35"/>
      <c r="T2659" s="35"/>
      <c r="U2659" s="35"/>
      <c r="V2659" s="35"/>
      <c r="W2659" s="35"/>
      <c r="X2659" s="35"/>
      <c r="Y2659" s="35"/>
      <c r="Z2659" s="35"/>
      <c r="AA2659" s="35"/>
      <c r="AB2659" s="35"/>
      <c r="AC2659" s="35"/>
      <c r="AD2659" s="35"/>
      <c r="AE2659" s="35"/>
      <c r="AF2659" s="35"/>
      <c r="AG2659" s="35"/>
      <c r="AH2659" s="35"/>
      <c r="AI2659" s="35"/>
      <c r="AJ2659" s="35"/>
      <c r="AK2659" s="35"/>
      <c r="AL2659" s="35"/>
      <c r="AM2659" s="35"/>
      <c r="AN2659" s="35"/>
      <c r="AO2659" s="35"/>
      <c r="AP2659" s="35"/>
    </row>
    <row r="2660" spans="1:42" ht="17.25" customHeight="1" x14ac:dyDescent="0.25">
      <c r="A2660" s="55">
        <v>2026</v>
      </c>
      <c r="B2660" s="56" t="s">
        <v>66</v>
      </c>
      <c r="C2660" s="56" t="s">
        <v>41</v>
      </c>
      <c r="D2660" s="56" t="s">
        <v>45</v>
      </c>
      <c r="E2660" s="56" t="s">
        <v>67</v>
      </c>
      <c r="F2660" s="56" t="s">
        <v>67</v>
      </c>
      <c r="G2660" s="57">
        <v>26357217073</v>
      </c>
      <c r="H2660" s="56" t="s">
        <v>68</v>
      </c>
      <c r="I2660" s="58" t="str">
        <f t="shared" si="138"/>
        <v>U.A.E.-Offline</v>
      </c>
      <c r="J2660" s="40"/>
      <c r="K2660" s="59"/>
      <c r="L2660" s="35"/>
      <c r="M2660" s="35"/>
      <c r="N2660" s="35"/>
      <c r="O2660" s="35"/>
      <c r="P2660" s="35"/>
      <c r="Q2660" s="35"/>
      <c r="R2660" s="35"/>
      <c r="S2660" s="35"/>
      <c r="T2660" s="35"/>
      <c r="U2660" s="35"/>
      <c r="V2660" s="35"/>
      <c r="W2660" s="35"/>
      <c r="X2660" s="35"/>
      <c r="Y2660" s="35"/>
      <c r="Z2660" s="35"/>
      <c r="AA2660" s="35"/>
      <c r="AB2660" s="35"/>
      <c r="AC2660" s="35"/>
      <c r="AD2660" s="35"/>
      <c r="AE2660" s="35"/>
      <c r="AF2660" s="35"/>
      <c r="AG2660" s="35"/>
      <c r="AH2660" s="35"/>
      <c r="AI2660" s="35"/>
      <c r="AJ2660" s="35"/>
      <c r="AK2660" s="35"/>
      <c r="AL2660" s="35"/>
      <c r="AM2660" s="35"/>
      <c r="AN2660" s="35"/>
      <c r="AO2660" s="35"/>
      <c r="AP2660" s="35"/>
    </row>
    <row r="2661" spans="1:42" ht="17.25" customHeight="1" x14ac:dyDescent="0.25">
      <c r="A2661" s="60">
        <v>2026</v>
      </c>
      <c r="B2661" s="61" t="s">
        <v>66</v>
      </c>
      <c r="C2661" s="61" t="s">
        <v>41</v>
      </c>
      <c r="D2661" s="61" t="s">
        <v>45</v>
      </c>
      <c r="E2661" s="61" t="s">
        <v>69</v>
      </c>
      <c r="F2661" s="61" t="s">
        <v>70</v>
      </c>
      <c r="G2661" s="62">
        <v>21750136034</v>
      </c>
      <c r="H2661" s="61" t="s">
        <v>68</v>
      </c>
      <c r="I2661" s="63" t="str">
        <f t="shared" si="138"/>
        <v>U.A.E.-Online Supplier-Direct</v>
      </c>
      <c r="J2661" s="47"/>
      <c r="K2661" s="54"/>
      <c r="L2661" s="35"/>
      <c r="M2661" s="35"/>
      <c r="N2661" s="35"/>
      <c r="O2661" s="35"/>
      <c r="P2661" s="35"/>
      <c r="Q2661" s="35"/>
      <c r="R2661" s="35"/>
      <c r="S2661" s="35"/>
      <c r="T2661" s="35"/>
      <c r="U2661" s="35"/>
      <c r="V2661" s="35"/>
      <c r="W2661" s="35"/>
      <c r="X2661" s="35"/>
      <c r="Y2661" s="35"/>
      <c r="Z2661" s="35"/>
      <c r="AA2661" s="35"/>
      <c r="AB2661" s="35"/>
      <c r="AC2661" s="35"/>
      <c r="AD2661" s="35"/>
      <c r="AE2661" s="35"/>
      <c r="AF2661" s="35"/>
      <c r="AG2661" s="35"/>
      <c r="AH2661" s="35"/>
      <c r="AI2661" s="35"/>
      <c r="AJ2661" s="35"/>
      <c r="AK2661" s="35"/>
      <c r="AL2661" s="35"/>
      <c r="AM2661" s="35"/>
      <c r="AN2661" s="35"/>
      <c r="AO2661" s="35"/>
      <c r="AP2661" s="35"/>
    </row>
    <row r="2662" spans="1:42" ht="17.25" customHeight="1" x14ac:dyDescent="0.25">
      <c r="A2662" s="55">
        <v>2026</v>
      </c>
      <c r="B2662" s="56" t="s">
        <v>66</v>
      </c>
      <c r="C2662" s="56" t="s">
        <v>41</v>
      </c>
      <c r="D2662" s="56" t="s">
        <v>45</v>
      </c>
      <c r="E2662" s="56" t="s">
        <v>69</v>
      </c>
      <c r="F2662" s="56" t="s">
        <v>71</v>
      </c>
      <c r="G2662" s="57">
        <v>8271249803</v>
      </c>
      <c r="H2662" s="56" t="s">
        <v>68</v>
      </c>
      <c r="I2662" s="58" t="str">
        <f t="shared" si="138"/>
        <v>U.A.E.-OTA</v>
      </c>
      <c r="J2662" s="40"/>
      <c r="K2662" s="59"/>
      <c r="L2662" s="35"/>
      <c r="M2662" s="35"/>
      <c r="N2662" s="35"/>
      <c r="O2662" s="35"/>
      <c r="P2662" s="35"/>
      <c r="Q2662" s="35"/>
      <c r="R2662" s="35"/>
      <c r="S2662" s="35"/>
      <c r="T2662" s="35"/>
      <c r="U2662" s="35"/>
      <c r="V2662" s="35"/>
      <c r="W2662" s="35"/>
      <c r="X2662" s="35"/>
      <c r="Y2662" s="35"/>
      <c r="Z2662" s="35"/>
      <c r="AA2662" s="35"/>
      <c r="AB2662" s="35"/>
      <c r="AC2662" s="35"/>
      <c r="AD2662" s="35"/>
      <c r="AE2662" s="35"/>
      <c r="AF2662" s="35"/>
      <c r="AG2662" s="35"/>
      <c r="AH2662" s="35"/>
      <c r="AI2662" s="35"/>
      <c r="AJ2662" s="35"/>
      <c r="AK2662" s="35"/>
      <c r="AL2662" s="35"/>
      <c r="AM2662" s="35"/>
      <c r="AN2662" s="35"/>
      <c r="AO2662" s="35"/>
      <c r="AP2662" s="35"/>
    </row>
    <row r="2663" spans="1:42" ht="17.25" customHeight="1" x14ac:dyDescent="0.25">
      <c r="A2663" s="60">
        <v>2026</v>
      </c>
      <c r="B2663" s="61" t="s">
        <v>66</v>
      </c>
      <c r="C2663" s="61" t="s">
        <v>27</v>
      </c>
      <c r="D2663" s="61" t="s">
        <v>33</v>
      </c>
      <c r="E2663" s="61" t="s">
        <v>67</v>
      </c>
      <c r="F2663" s="61" t="s">
        <v>67</v>
      </c>
      <c r="G2663" s="62">
        <v>12084315663</v>
      </c>
      <c r="H2663" s="61" t="s">
        <v>68</v>
      </c>
      <c r="I2663" s="63" t="str">
        <f t="shared" si="138"/>
        <v>U.K.-Offline</v>
      </c>
      <c r="J2663" s="47"/>
      <c r="K2663" s="54"/>
      <c r="L2663" s="35"/>
      <c r="M2663" s="35"/>
      <c r="N2663" s="35"/>
      <c r="O2663" s="35"/>
      <c r="P2663" s="35"/>
      <c r="Q2663" s="35"/>
      <c r="R2663" s="35"/>
      <c r="S2663" s="35"/>
      <c r="T2663" s="35"/>
      <c r="U2663" s="35"/>
      <c r="V2663" s="35"/>
      <c r="W2663" s="35"/>
      <c r="X2663" s="35"/>
      <c r="Y2663" s="35"/>
      <c r="Z2663" s="35"/>
      <c r="AA2663" s="35"/>
      <c r="AB2663" s="35"/>
      <c r="AC2663" s="35"/>
      <c r="AD2663" s="35"/>
      <c r="AE2663" s="35"/>
      <c r="AF2663" s="35"/>
      <c r="AG2663" s="35"/>
      <c r="AH2663" s="35"/>
      <c r="AI2663" s="35"/>
      <c r="AJ2663" s="35"/>
      <c r="AK2663" s="35"/>
      <c r="AL2663" s="35"/>
      <c r="AM2663" s="35"/>
      <c r="AN2663" s="35"/>
      <c r="AO2663" s="35"/>
      <c r="AP2663" s="35"/>
    </row>
    <row r="2664" spans="1:42" ht="17.25" customHeight="1" x14ac:dyDescent="0.25">
      <c r="A2664" s="55">
        <v>2026</v>
      </c>
      <c r="B2664" s="56" t="s">
        <v>66</v>
      </c>
      <c r="C2664" s="56" t="s">
        <v>27</v>
      </c>
      <c r="D2664" s="56" t="s">
        <v>33</v>
      </c>
      <c r="E2664" s="56" t="s">
        <v>69</v>
      </c>
      <c r="F2664" s="56" t="s">
        <v>70</v>
      </c>
      <c r="G2664" s="57">
        <v>48968899704</v>
      </c>
      <c r="H2664" s="56" t="s">
        <v>68</v>
      </c>
      <c r="I2664" s="58" t="str">
        <f t="shared" si="138"/>
        <v>U.K.-Online Supplier-Direct</v>
      </c>
      <c r="J2664" s="40"/>
      <c r="K2664" s="59"/>
      <c r="L2664" s="35"/>
      <c r="M2664" s="35"/>
      <c r="N2664" s="35"/>
      <c r="O2664" s="35"/>
      <c r="P2664" s="35"/>
      <c r="Q2664" s="35"/>
      <c r="R2664" s="35"/>
      <c r="S2664" s="35"/>
      <c r="T2664" s="35"/>
      <c r="U2664" s="35"/>
      <c r="V2664" s="35"/>
      <c r="W2664" s="35"/>
      <c r="X2664" s="35"/>
      <c r="Y2664" s="35"/>
      <c r="Z2664" s="35"/>
      <c r="AA2664" s="35"/>
      <c r="AB2664" s="35"/>
      <c r="AC2664" s="35"/>
      <c r="AD2664" s="35"/>
      <c r="AE2664" s="35"/>
      <c r="AF2664" s="35"/>
      <c r="AG2664" s="35"/>
      <c r="AH2664" s="35"/>
      <c r="AI2664" s="35"/>
      <c r="AJ2664" s="35"/>
      <c r="AK2664" s="35"/>
      <c r="AL2664" s="35"/>
      <c r="AM2664" s="35"/>
      <c r="AN2664" s="35"/>
      <c r="AO2664" s="35"/>
      <c r="AP2664" s="35"/>
    </row>
    <row r="2665" spans="1:42" ht="17.25" customHeight="1" x14ac:dyDescent="0.25">
      <c r="A2665" s="60">
        <v>2026</v>
      </c>
      <c r="B2665" s="61" t="s">
        <v>66</v>
      </c>
      <c r="C2665" s="61" t="s">
        <v>27</v>
      </c>
      <c r="D2665" s="61" t="s">
        <v>33</v>
      </c>
      <c r="E2665" s="61" t="s">
        <v>69</v>
      </c>
      <c r="F2665" s="61" t="s">
        <v>71</v>
      </c>
      <c r="G2665" s="62">
        <v>13528076876</v>
      </c>
      <c r="H2665" s="61" t="s">
        <v>68</v>
      </c>
      <c r="I2665" s="63" t="str">
        <f t="shared" si="138"/>
        <v>U.K.-OTA</v>
      </c>
      <c r="J2665" s="47"/>
      <c r="K2665" s="54"/>
      <c r="L2665" s="35"/>
      <c r="M2665" s="35"/>
      <c r="N2665" s="35"/>
      <c r="O2665" s="35"/>
      <c r="P2665" s="35"/>
      <c r="Q2665" s="35"/>
      <c r="R2665" s="35"/>
      <c r="S2665" s="35"/>
      <c r="T2665" s="35"/>
      <c r="U2665" s="35"/>
      <c r="V2665" s="35"/>
      <c r="W2665" s="35"/>
      <c r="X2665" s="35"/>
      <c r="Y2665" s="35"/>
      <c r="Z2665" s="35"/>
      <c r="AA2665" s="35"/>
      <c r="AB2665" s="35"/>
      <c r="AC2665" s="35"/>
      <c r="AD2665" s="35"/>
      <c r="AE2665" s="35"/>
      <c r="AF2665" s="35"/>
      <c r="AG2665" s="35"/>
      <c r="AH2665" s="35"/>
      <c r="AI2665" s="35"/>
      <c r="AJ2665" s="35"/>
      <c r="AK2665" s="35"/>
      <c r="AL2665" s="35"/>
      <c r="AM2665" s="35"/>
      <c r="AN2665" s="35"/>
      <c r="AO2665" s="35"/>
      <c r="AP2665" s="35"/>
    </row>
    <row r="2666" spans="1:42" ht="17.25" customHeight="1" x14ac:dyDescent="0.25">
      <c r="A2666" s="55">
        <v>2026</v>
      </c>
      <c r="B2666" s="56" t="s">
        <v>66</v>
      </c>
      <c r="C2666" s="56" t="s">
        <v>47</v>
      </c>
      <c r="D2666" s="56" t="s">
        <v>48</v>
      </c>
      <c r="E2666" s="56" t="s">
        <v>72</v>
      </c>
      <c r="F2666" s="56" t="s">
        <v>73</v>
      </c>
      <c r="G2666" s="57">
        <v>86778740771</v>
      </c>
      <c r="H2666" s="56" t="s">
        <v>68</v>
      </c>
      <c r="I2666" s="58" t="str">
        <f t="shared" si="138"/>
        <v>U.S.-Central Reservation</v>
      </c>
      <c r="J2666" s="40"/>
      <c r="K2666" s="59"/>
      <c r="L2666" s="35"/>
      <c r="M2666" s="35"/>
      <c r="N2666" s="35"/>
      <c r="O2666" s="35"/>
      <c r="P2666" s="35"/>
      <c r="Q2666" s="35"/>
      <c r="R2666" s="35"/>
      <c r="S2666" s="35"/>
      <c r="T2666" s="35"/>
      <c r="U2666" s="35"/>
      <c r="V2666" s="35"/>
      <c r="W2666" s="35"/>
      <c r="X2666" s="35"/>
      <c r="Y2666" s="35"/>
      <c r="Z2666" s="35"/>
      <c r="AA2666" s="35"/>
      <c r="AB2666" s="35"/>
      <c r="AC2666" s="35"/>
      <c r="AD2666" s="35"/>
      <c r="AE2666" s="35"/>
      <c r="AF2666" s="35"/>
      <c r="AG2666" s="35"/>
      <c r="AH2666" s="35"/>
      <c r="AI2666" s="35"/>
      <c r="AJ2666" s="35"/>
      <c r="AK2666" s="35"/>
      <c r="AL2666" s="35"/>
      <c r="AM2666" s="35"/>
      <c r="AN2666" s="35"/>
      <c r="AO2666" s="35"/>
      <c r="AP2666" s="35"/>
    </row>
    <row r="2667" spans="1:42" ht="17.25" customHeight="1" x14ac:dyDescent="0.25">
      <c r="A2667" s="60">
        <v>2026</v>
      </c>
      <c r="B2667" s="61" t="s">
        <v>66</v>
      </c>
      <c r="C2667" s="61" t="s">
        <v>47</v>
      </c>
      <c r="D2667" s="61" t="s">
        <v>48</v>
      </c>
      <c r="E2667" s="61" t="s">
        <v>67</v>
      </c>
      <c r="F2667" s="61" t="s">
        <v>74</v>
      </c>
      <c r="G2667" s="62">
        <v>112095498557</v>
      </c>
      <c r="H2667" s="61" t="s">
        <v>68</v>
      </c>
      <c r="I2667" s="63" t="str">
        <f t="shared" si="138"/>
        <v>U.S.-Travel Agency/TMC</v>
      </c>
      <c r="J2667" s="47"/>
      <c r="K2667" s="54"/>
      <c r="L2667" s="35"/>
      <c r="M2667" s="35"/>
      <c r="N2667" s="35"/>
      <c r="O2667" s="35"/>
      <c r="P2667" s="35"/>
      <c r="Q2667" s="35"/>
      <c r="R2667" s="35"/>
      <c r="S2667" s="35"/>
      <c r="T2667" s="35"/>
      <c r="U2667" s="35"/>
      <c r="V2667" s="35"/>
      <c r="W2667" s="35"/>
      <c r="X2667" s="35"/>
      <c r="Y2667" s="35"/>
      <c r="Z2667" s="35"/>
      <c r="AA2667" s="35"/>
      <c r="AB2667" s="35"/>
      <c r="AC2667" s="35"/>
      <c r="AD2667" s="35"/>
      <c r="AE2667" s="35"/>
      <c r="AF2667" s="35"/>
      <c r="AG2667" s="35"/>
      <c r="AH2667" s="35"/>
      <c r="AI2667" s="35"/>
      <c r="AJ2667" s="35"/>
      <c r="AK2667" s="35"/>
      <c r="AL2667" s="35"/>
      <c r="AM2667" s="35"/>
      <c r="AN2667" s="35"/>
      <c r="AO2667" s="35"/>
      <c r="AP2667" s="35"/>
    </row>
    <row r="2668" spans="1:42" ht="17.25" customHeight="1" x14ac:dyDescent="0.25">
      <c r="A2668" s="55">
        <v>2026</v>
      </c>
      <c r="B2668" s="56" t="s">
        <v>66</v>
      </c>
      <c r="C2668" s="56" t="s">
        <v>47</v>
      </c>
      <c r="D2668" s="56" t="s">
        <v>48</v>
      </c>
      <c r="E2668" s="56" t="s">
        <v>69</v>
      </c>
      <c r="F2668" s="56" t="s">
        <v>70</v>
      </c>
      <c r="G2668" s="57">
        <v>233687650284</v>
      </c>
      <c r="H2668" s="56" t="s">
        <v>68</v>
      </c>
      <c r="I2668" s="58" t="str">
        <f t="shared" si="138"/>
        <v>U.S.-Online Supplier-Direct</v>
      </c>
      <c r="J2668" s="40"/>
      <c r="K2668" s="59"/>
      <c r="L2668" s="35"/>
      <c r="M2668" s="35"/>
      <c r="N2668" s="35"/>
      <c r="O2668" s="35"/>
      <c r="P2668" s="35"/>
      <c r="Q2668" s="35"/>
      <c r="R2668" s="35"/>
      <c r="S2668" s="35"/>
      <c r="T2668" s="35"/>
      <c r="U2668" s="35"/>
      <c r="V2668" s="35"/>
      <c r="W2668" s="35"/>
      <c r="X2668" s="35"/>
      <c r="Y2668" s="35"/>
      <c r="Z2668" s="35"/>
      <c r="AA2668" s="35"/>
      <c r="AB2668" s="35"/>
      <c r="AC2668" s="35"/>
      <c r="AD2668" s="35"/>
      <c r="AE2668" s="35"/>
      <c r="AF2668" s="35"/>
      <c r="AG2668" s="35"/>
      <c r="AH2668" s="35"/>
      <c r="AI2668" s="35"/>
      <c r="AJ2668" s="35"/>
      <c r="AK2668" s="35"/>
      <c r="AL2668" s="35"/>
      <c r="AM2668" s="35"/>
      <c r="AN2668" s="35"/>
      <c r="AO2668" s="35"/>
      <c r="AP2668" s="35"/>
    </row>
    <row r="2669" spans="1:42" ht="17.25" customHeight="1" x14ac:dyDescent="0.25">
      <c r="A2669" s="60">
        <v>2026</v>
      </c>
      <c r="B2669" s="61" t="s">
        <v>66</v>
      </c>
      <c r="C2669" s="61" t="s">
        <v>47</v>
      </c>
      <c r="D2669" s="61" t="s">
        <v>48</v>
      </c>
      <c r="E2669" s="61" t="s">
        <v>69</v>
      </c>
      <c r="F2669" s="61" t="s">
        <v>71</v>
      </c>
      <c r="G2669" s="62">
        <v>115855812000</v>
      </c>
      <c r="H2669" s="61" t="s">
        <v>68</v>
      </c>
      <c r="I2669" s="63" t="str">
        <f t="shared" si="138"/>
        <v>U.S.-OTA</v>
      </c>
      <c r="J2669" s="47"/>
      <c r="K2669" s="54"/>
      <c r="L2669" s="35"/>
      <c r="M2669" s="35"/>
      <c r="N2669" s="35"/>
      <c r="O2669" s="35"/>
      <c r="P2669" s="35"/>
      <c r="Q2669" s="35"/>
      <c r="R2669" s="35"/>
      <c r="S2669" s="35"/>
      <c r="T2669" s="35"/>
      <c r="U2669" s="35"/>
      <c r="V2669" s="35"/>
      <c r="W2669" s="35"/>
      <c r="X2669" s="35"/>
      <c r="Y2669" s="35"/>
      <c r="Z2669" s="35"/>
      <c r="AA2669" s="35"/>
      <c r="AB2669" s="35"/>
      <c r="AC2669" s="35"/>
      <c r="AD2669" s="35"/>
      <c r="AE2669" s="35"/>
      <c r="AF2669" s="35"/>
      <c r="AG2669" s="35"/>
      <c r="AH2669" s="35"/>
      <c r="AI2669" s="35"/>
      <c r="AJ2669" s="35"/>
      <c r="AK2669" s="35"/>
      <c r="AL2669" s="35"/>
      <c r="AM2669" s="35"/>
      <c r="AN2669" s="35"/>
      <c r="AO2669" s="35"/>
      <c r="AP2669" s="35"/>
    </row>
    <row r="2670" spans="1:42" ht="17.25" customHeight="1" x14ac:dyDescent="0.25">
      <c r="A2670" s="55">
        <v>2026</v>
      </c>
      <c r="B2670" s="56" t="s">
        <v>66</v>
      </c>
      <c r="C2670" s="56" t="s">
        <v>17</v>
      </c>
      <c r="D2670" s="56" t="s">
        <v>25</v>
      </c>
      <c r="E2670" s="56" t="s">
        <v>67</v>
      </c>
      <c r="F2670" s="56" t="s">
        <v>67</v>
      </c>
      <c r="G2670" s="57">
        <v>0</v>
      </c>
      <c r="H2670" s="56" t="s">
        <v>68</v>
      </c>
      <c r="I2670" s="58" t="str">
        <f t="shared" si="138"/>
        <v>Ukraine-Offline</v>
      </c>
      <c r="J2670" s="40"/>
      <c r="K2670" s="59"/>
      <c r="L2670" s="35"/>
      <c r="M2670" s="35"/>
      <c r="N2670" s="35"/>
      <c r="O2670" s="35"/>
      <c r="P2670" s="35"/>
      <c r="Q2670" s="35"/>
      <c r="R2670" s="35"/>
      <c r="S2670" s="35"/>
      <c r="T2670" s="35"/>
      <c r="U2670" s="35"/>
      <c r="V2670" s="35"/>
      <c r="W2670" s="35"/>
      <c r="X2670" s="35"/>
      <c r="Y2670" s="35"/>
      <c r="Z2670" s="35"/>
      <c r="AA2670" s="35"/>
      <c r="AB2670" s="35"/>
      <c r="AC2670" s="35"/>
      <c r="AD2670" s="35"/>
      <c r="AE2670" s="35"/>
      <c r="AF2670" s="35"/>
      <c r="AG2670" s="35"/>
      <c r="AH2670" s="35"/>
      <c r="AI2670" s="35"/>
      <c r="AJ2670" s="35"/>
      <c r="AK2670" s="35"/>
      <c r="AL2670" s="35"/>
      <c r="AM2670" s="35"/>
      <c r="AN2670" s="35"/>
      <c r="AO2670" s="35"/>
      <c r="AP2670" s="35"/>
    </row>
    <row r="2671" spans="1:42" ht="17.25" customHeight="1" x14ac:dyDescent="0.25">
      <c r="A2671" s="60">
        <v>2026</v>
      </c>
      <c r="B2671" s="61" t="s">
        <v>66</v>
      </c>
      <c r="C2671" s="61" t="s">
        <v>17</v>
      </c>
      <c r="D2671" s="61" t="s">
        <v>25</v>
      </c>
      <c r="E2671" s="61" t="s">
        <v>69</v>
      </c>
      <c r="F2671" s="61" t="s">
        <v>70</v>
      </c>
      <c r="G2671" s="62">
        <v>0</v>
      </c>
      <c r="H2671" s="61" t="s">
        <v>68</v>
      </c>
      <c r="I2671" s="63" t="str">
        <f t="shared" si="138"/>
        <v>Ukraine-Online Supplier-Direct</v>
      </c>
      <c r="J2671" s="47"/>
      <c r="K2671" s="54"/>
      <c r="L2671" s="35"/>
      <c r="M2671" s="35"/>
      <c r="N2671" s="35"/>
      <c r="O2671" s="35"/>
      <c r="P2671" s="35"/>
      <c r="Q2671" s="35"/>
      <c r="R2671" s="35"/>
      <c r="S2671" s="35"/>
      <c r="T2671" s="35"/>
      <c r="U2671" s="35"/>
      <c r="V2671" s="35"/>
      <c r="W2671" s="35"/>
      <c r="X2671" s="35"/>
      <c r="Y2671" s="35"/>
      <c r="Z2671" s="35"/>
      <c r="AA2671" s="35"/>
      <c r="AB2671" s="35"/>
      <c r="AC2671" s="35"/>
      <c r="AD2671" s="35"/>
      <c r="AE2671" s="35"/>
      <c r="AF2671" s="35"/>
      <c r="AG2671" s="35"/>
      <c r="AH2671" s="35"/>
      <c r="AI2671" s="35"/>
      <c r="AJ2671" s="35"/>
      <c r="AK2671" s="35"/>
      <c r="AL2671" s="35"/>
      <c r="AM2671" s="35"/>
      <c r="AN2671" s="35"/>
      <c r="AO2671" s="35"/>
      <c r="AP2671" s="35"/>
    </row>
    <row r="2672" spans="1:42" ht="17.25" customHeight="1" x14ac:dyDescent="0.25">
      <c r="A2672" s="55">
        <v>2026</v>
      </c>
      <c r="B2672" s="56" t="s">
        <v>66</v>
      </c>
      <c r="C2672" s="56" t="s">
        <v>17</v>
      </c>
      <c r="D2672" s="56" t="s">
        <v>25</v>
      </c>
      <c r="E2672" s="56" t="s">
        <v>69</v>
      </c>
      <c r="F2672" s="56" t="s">
        <v>71</v>
      </c>
      <c r="G2672" s="57">
        <v>0</v>
      </c>
      <c r="H2672" s="56" t="s">
        <v>68</v>
      </c>
      <c r="I2672" s="58" t="str">
        <f t="shared" si="138"/>
        <v>Ukraine-OTA</v>
      </c>
      <c r="J2672" s="40"/>
      <c r="K2672" s="59"/>
      <c r="L2672" s="35"/>
      <c r="M2672" s="35"/>
      <c r="N2672" s="35"/>
      <c r="O2672" s="35"/>
      <c r="P2672" s="35"/>
      <c r="Q2672" s="35"/>
      <c r="R2672" s="35"/>
      <c r="S2672" s="35"/>
      <c r="T2672" s="35"/>
      <c r="U2672" s="35"/>
      <c r="V2672" s="35"/>
      <c r="W2672" s="35"/>
      <c r="X2672" s="35"/>
      <c r="Y2672" s="35"/>
      <c r="Z2672" s="35"/>
      <c r="AA2672" s="35"/>
      <c r="AB2672" s="35"/>
      <c r="AC2672" s="35"/>
      <c r="AD2672" s="35"/>
      <c r="AE2672" s="35"/>
      <c r="AF2672" s="35"/>
      <c r="AG2672" s="35"/>
      <c r="AH2672" s="35"/>
      <c r="AI2672" s="35"/>
      <c r="AJ2672" s="35"/>
      <c r="AK2672" s="35"/>
      <c r="AL2672" s="35"/>
      <c r="AM2672" s="35"/>
      <c r="AN2672" s="35"/>
      <c r="AO2672" s="35"/>
      <c r="AP2672" s="35"/>
    </row>
    <row r="2673" spans="1:42" ht="17.25" customHeight="1" x14ac:dyDescent="0.25">
      <c r="A2673" s="60">
        <v>2027</v>
      </c>
      <c r="B2673" s="61" t="s">
        <v>66</v>
      </c>
      <c r="C2673" s="61" t="s">
        <v>35</v>
      </c>
      <c r="D2673" s="61" t="s">
        <v>34</v>
      </c>
      <c r="E2673" s="61" t="s">
        <v>67</v>
      </c>
      <c r="F2673" s="61" t="s">
        <v>67</v>
      </c>
      <c r="G2673" s="62">
        <v>5756083614</v>
      </c>
      <c r="H2673" s="61" t="s">
        <v>68</v>
      </c>
      <c r="I2673" s="63" t="str">
        <f t="shared" si="138"/>
        <v>Argentina-Offline</v>
      </c>
      <c r="J2673" s="47"/>
      <c r="K2673" s="54"/>
      <c r="L2673" s="35"/>
      <c r="M2673" s="35"/>
      <c r="N2673" s="35"/>
      <c r="O2673" s="35"/>
      <c r="P2673" s="35"/>
      <c r="Q2673" s="35"/>
      <c r="R2673" s="35"/>
      <c r="S2673" s="35"/>
      <c r="T2673" s="35"/>
      <c r="U2673" s="35"/>
      <c r="V2673" s="35"/>
      <c r="W2673" s="35"/>
      <c r="X2673" s="35"/>
      <c r="Y2673" s="35"/>
      <c r="Z2673" s="35"/>
      <c r="AA2673" s="35"/>
      <c r="AB2673" s="35"/>
      <c r="AC2673" s="35"/>
      <c r="AD2673" s="35"/>
      <c r="AE2673" s="35"/>
      <c r="AF2673" s="35"/>
      <c r="AG2673" s="35"/>
      <c r="AH2673" s="35"/>
      <c r="AI2673" s="35"/>
      <c r="AJ2673" s="35"/>
      <c r="AK2673" s="35"/>
      <c r="AL2673" s="35"/>
      <c r="AM2673" s="35"/>
      <c r="AN2673" s="35"/>
      <c r="AO2673" s="35"/>
      <c r="AP2673" s="35"/>
    </row>
    <row r="2674" spans="1:42" ht="17.25" customHeight="1" x14ac:dyDescent="0.25">
      <c r="A2674" s="55">
        <v>2027</v>
      </c>
      <c r="B2674" s="56" t="s">
        <v>66</v>
      </c>
      <c r="C2674" s="56" t="s">
        <v>35</v>
      </c>
      <c r="D2674" s="56" t="s">
        <v>34</v>
      </c>
      <c r="E2674" s="56" t="s">
        <v>69</v>
      </c>
      <c r="F2674" s="56" t="s">
        <v>70</v>
      </c>
      <c r="G2674" s="57">
        <v>2728402202</v>
      </c>
      <c r="H2674" s="56" t="s">
        <v>68</v>
      </c>
      <c r="I2674" s="58" t="str">
        <f t="shared" si="138"/>
        <v>Argentina-Online Supplier-Direct</v>
      </c>
      <c r="J2674" s="40"/>
      <c r="K2674" s="59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  <c r="AG2674" s="35"/>
      <c r="AH2674" s="35"/>
      <c r="AI2674" s="35"/>
      <c r="AJ2674" s="35"/>
      <c r="AK2674" s="35"/>
      <c r="AL2674" s="35"/>
      <c r="AM2674" s="35"/>
      <c r="AN2674" s="35"/>
      <c r="AO2674" s="35"/>
      <c r="AP2674" s="35"/>
    </row>
    <row r="2675" spans="1:42" ht="17.25" customHeight="1" x14ac:dyDescent="0.25">
      <c r="A2675" s="60">
        <v>2027</v>
      </c>
      <c r="B2675" s="61" t="s">
        <v>66</v>
      </c>
      <c r="C2675" s="61" t="s">
        <v>35</v>
      </c>
      <c r="D2675" s="61" t="s">
        <v>34</v>
      </c>
      <c r="E2675" s="61" t="s">
        <v>69</v>
      </c>
      <c r="F2675" s="61" t="s">
        <v>71</v>
      </c>
      <c r="G2675" s="62">
        <v>2653038645</v>
      </c>
      <c r="H2675" s="61" t="s">
        <v>68</v>
      </c>
      <c r="I2675" s="63" t="str">
        <f t="shared" si="138"/>
        <v>Argentina-OTA</v>
      </c>
      <c r="J2675" s="47"/>
      <c r="K2675" s="54"/>
      <c r="L2675" s="35"/>
      <c r="M2675" s="35"/>
      <c r="N2675" s="35"/>
      <c r="O2675" s="35"/>
      <c r="P2675" s="35"/>
      <c r="Q2675" s="35"/>
      <c r="R2675" s="35"/>
      <c r="S2675" s="35"/>
      <c r="T2675" s="35"/>
      <c r="U2675" s="35"/>
      <c r="V2675" s="35"/>
      <c r="W2675" s="35"/>
      <c r="X2675" s="35"/>
      <c r="Y2675" s="35"/>
      <c r="Z2675" s="35"/>
      <c r="AA2675" s="35"/>
      <c r="AB2675" s="35"/>
      <c r="AC2675" s="35"/>
      <c r="AD2675" s="35"/>
      <c r="AE2675" s="35"/>
      <c r="AF2675" s="35"/>
      <c r="AG2675" s="35"/>
      <c r="AH2675" s="35"/>
      <c r="AI2675" s="35"/>
      <c r="AJ2675" s="35"/>
      <c r="AK2675" s="35"/>
      <c r="AL2675" s="35"/>
      <c r="AM2675" s="35"/>
      <c r="AN2675" s="35"/>
      <c r="AO2675" s="35"/>
      <c r="AP2675" s="35"/>
    </row>
    <row r="2676" spans="1:42" ht="17.25" customHeight="1" x14ac:dyDescent="0.25">
      <c r="A2676" s="55">
        <v>2027</v>
      </c>
      <c r="B2676" s="56" t="s">
        <v>66</v>
      </c>
      <c r="C2676" s="56" t="s">
        <v>4</v>
      </c>
      <c r="D2676" s="56" t="s">
        <v>3</v>
      </c>
      <c r="E2676" s="56" t="s">
        <v>67</v>
      </c>
      <c r="F2676" s="56" t="s">
        <v>67</v>
      </c>
      <c r="G2676" s="57">
        <v>18935738031</v>
      </c>
      <c r="H2676" s="56" t="s">
        <v>68</v>
      </c>
      <c r="I2676" s="58" t="str">
        <f t="shared" si="138"/>
        <v>Australia-New Zealand-Offline</v>
      </c>
      <c r="J2676" s="40"/>
      <c r="K2676" s="59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  <c r="AG2676" s="35"/>
      <c r="AH2676" s="35"/>
      <c r="AI2676" s="35"/>
      <c r="AJ2676" s="35"/>
      <c r="AK2676" s="35"/>
      <c r="AL2676" s="35"/>
      <c r="AM2676" s="35"/>
      <c r="AN2676" s="35"/>
      <c r="AO2676" s="35"/>
      <c r="AP2676" s="35"/>
    </row>
    <row r="2677" spans="1:42" ht="17.25" customHeight="1" x14ac:dyDescent="0.25">
      <c r="A2677" s="60">
        <v>2027</v>
      </c>
      <c r="B2677" s="61" t="s">
        <v>66</v>
      </c>
      <c r="C2677" s="61" t="s">
        <v>4</v>
      </c>
      <c r="D2677" s="61" t="s">
        <v>3</v>
      </c>
      <c r="E2677" s="61" t="s">
        <v>69</v>
      </c>
      <c r="F2677" s="61" t="s">
        <v>70</v>
      </c>
      <c r="G2677" s="62">
        <v>19923813648</v>
      </c>
      <c r="H2677" s="61" t="s">
        <v>68</v>
      </c>
      <c r="I2677" s="63" t="str">
        <f t="shared" si="138"/>
        <v>Australia-New Zealand-Online Supplier-Direct</v>
      </c>
      <c r="J2677" s="47"/>
      <c r="K2677" s="54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  <c r="AG2677" s="35"/>
      <c r="AH2677" s="35"/>
      <c r="AI2677" s="35"/>
      <c r="AJ2677" s="35"/>
      <c r="AK2677" s="35"/>
      <c r="AL2677" s="35"/>
      <c r="AM2677" s="35"/>
      <c r="AN2677" s="35"/>
      <c r="AO2677" s="35"/>
      <c r="AP2677" s="35"/>
    </row>
    <row r="2678" spans="1:42" ht="17.25" customHeight="1" x14ac:dyDescent="0.25">
      <c r="A2678" s="55">
        <v>2027</v>
      </c>
      <c r="B2678" s="56" t="s">
        <v>66</v>
      </c>
      <c r="C2678" s="56" t="s">
        <v>4</v>
      </c>
      <c r="D2678" s="56" t="s">
        <v>3</v>
      </c>
      <c r="E2678" s="56" t="s">
        <v>69</v>
      </c>
      <c r="F2678" s="56" t="s">
        <v>71</v>
      </c>
      <c r="G2678" s="57">
        <v>8061111864</v>
      </c>
      <c r="H2678" s="56" t="s">
        <v>68</v>
      </c>
      <c r="I2678" s="58" t="str">
        <f t="shared" si="138"/>
        <v>Australia-New Zealand-OTA</v>
      </c>
      <c r="J2678" s="40"/>
      <c r="K2678" s="59"/>
      <c r="L2678" s="35"/>
      <c r="M2678" s="35"/>
      <c r="N2678" s="35"/>
      <c r="O2678" s="35"/>
      <c r="P2678" s="35"/>
      <c r="Q2678" s="35"/>
      <c r="R2678" s="35"/>
      <c r="S2678" s="35"/>
      <c r="T2678" s="35"/>
      <c r="U2678" s="35"/>
      <c r="V2678" s="35"/>
      <c r="W2678" s="35"/>
      <c r="X2678" s="35"/>
      <c r="Y2678" s="35"/>
      <c r="Z2678" s="35"/>
      <c r="AA2678" s="35"/>
      <c r="AB2678" s="35"/>
      <c r="AC2678" s="35"/>
      <c r="AD2678" s="35"/>
      <c r="AE2678" s="35"/>
      <c r="AF2678" s="35"/>
      <c r="AG2678" s="35"/>
      <c r="AH2678" s="35"/>
      <c r="AI2678" s="35"/>
      <c r="AJ2678" s="35"/>
      <c r="AK2678" s="35"/>
      <c r="AL2678" s="35"/>
      <c r="AM2678" s="35"/>
      <c r="AN2678" s="35"/>
      <c r="AO2678" s="35"/>
      <c r="AP2678" s="35"/>
    </row>
    <row r="2679" spans="1:42" ht="17.25" customHeight="1" x14ac:dyDescent="0.25">
      <c r="A2679" s="60">
        <v>2027</v>
      </c>
      <c r="B2679" s="61" t="s">
        <v>66</v>
      </c>
      <c r="C2679" s="61" t="s">
        <v>35</v>
      </c>
      <c r="D2679" s="61" t="s">
        <v>36</v>
      </c>
      <c r="E2679" s="61" t="s">
        <v>67</v>
      </c>
      <c r="F2679" s="61" t="s">
        <v>67</v>
      </c>
      <c r="G2679" s="62">
        <v>14200506763</v>
      </c>
      <c r="H2679" s="61" t="s">
        <v>68</v>
      </c>
      <c r="I2679" s="63" t="str">
        <f t="shared" si="138"/>
        <v>Brazil-Offline</v>
      </c>
      <c r="J2679" s="47"/>
      <c r="K2679" s="54"/>
      <c r="L2679" s="35"/>
      <c r="M2679" s="35"/>
      <c r="N2679" s="35"/>
      <c r="O2679" s="35"/>
      <c r="P2679" s="35"/>
      <c r="Q2679" s="35"/>
      <c r="R2679" s="35"/>
      <c r="S2679" s="35"/>
      <c r="T2679" s="35"/>
      <c r="U2679" s="35"/>
      <c r="V2679" s="35"/>
      <c r="W2679" s="35"/>
      <c r="X2679" s="35"/>
      <c r="Y2679" s="35"/>
      <c r="Z2679" s="35"/>
      <c r="AA2679" s="35"/>
      <c r="AB2679" s="35"/>
      <c r="AC2679" s="35"/>
      <c r="AD2679" s="35"/>
      <c r="AE2679" s="35"/>
      <c r="AF2679" s="35"/>
      <c r="AG2679" s="35"/>
      <c r="AH2679" s="35"/>
      <c r="AI2679" s="35"/>
      <c r="AJ2679" s="35"/>
      <c r="AK2679" s="35"/>
      <c r="AL2679" s="35"/>
      <c r="AM2679" s="35"/>
      <c r="AN2679" s="35"/>
      <c r="AO2679" s="35"/>
      <c r="AP2679" s="35"/>
    </row>
    <row r="2680" spans="1:42" ht="17.25" customHeight="1" x14ac:dyDescent="0.25">
      <c r="A2680" s="55">
        <v>2027</v>
      </c>
      <c r="B2680" s="56" t="s">
        <v>66</v>
      </c>
      <c r="C2680" s="56" t="s">
        <v>35</v>
      </c>
      <c r="D2680" s="56" t="s">
        <v>36</v>
      </c>
      <c r="E2680" s="56" t="s">
        <v>69</v>
      </c>
      <c r="F2680" s="56" t="s">
        <v>70</v>
      </c>
      <c r="G2680" s="57">
        <v>7692308274</v>
      </c>
      <c r="H2680" s="56" t="s">
        <v>68</v>
      </c>
      <c r="I2680" s="58" t="str">
        <f t="shared" si="138"/>
        <v>Brazil-Online Supplier-Direct</v>
      </c>
      <c r="J2680" s="40"/>
      <c r="K2680" s="59"/>
      <c r="L2680" s="35"/>
      <c r="M2680" s="35"/>
      <c r="N2680" s="35"/>
      <c r="O2680" s="35"/>
      <c r="P2680" s="35"/>
      <c r="Q2680" s="35"/>
      <c r="R2680" s="35"/>
      <c r="S2680" s="35"/>
      <c r="T2680" s="35"/>
      <c r="U2680" s="35"/>
      <c r="V2680" s="35"/>
      <c r="W2680" s="35"/>
      <c r="X2680" s="35"/>
      <c r="Y2680" s="35"/>
      <c r="Z2680" s="35"/>
      <c r="AA2680" s="35"/>
      <c r="AB2680" s="35"/>
      <c r="AC2680" s="35"/>
      <c r="AD2680" s="35"/>
      <c r="AE2680" s="35"/>
      <c r="AF2680" s="35"/>
      <c r="AG2680" s="35"/>
      <c r="AH2680" s="35"/>
      <c r="AI2680" s="35"/>
      <c r="AJ2680" s="35"/>
      <c r="AK2680" s="35"/>
      <c r="AL2680" s="35"/>
      <c r="AM2680" s="35"/>
      <c r="AN2680" s="35"/>
      <c r="AO2680" s="35"/>
      <c r="AP2680" s="35"/>
    </row>
    <row r="2681" spans="1:42" ht="17.25" customHeight="1" x14ac:dyDescent="0.25">
      <c r="A2681" s="60">
        <v>2027</v>
      </c>
      <c r="B2681" s="61" t="s">
        <v>66</v>
      </c>
      <c r="C2681" s="61" t="s">
        <v>35</v>
      </c>
      <c r="D2681" s="61" t="s">
        <v>36</v>
      </c>
      <c r="E2681" s="61" t="s">
        <v>69</v>
      </c>
      <c r="F2681" s="61" t="s">
        <v>71</v>
      </c>
      <c r="G2681" s="62">
        <v>8451090087</v>
      </c>
      <c r="H2681" s="61" t="s">
        <v>68</v>
      </c>
      <c r="I2681" s="63" t="str">
        <f t="shared" si="138"/>
        <v>Brazil-OTA</v>
      </c>
      <c r="J2681" s="47"/>
      <c r="K2681" s="54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  <c r="AG2681" s="35"/>
      <c r="AH2681" s="35"/>
      <c r="AI2681" s="35"/>
      <c r="AJ2681" s="35"/>
      <c r="AK2681" s="35"/>
      <c r="AL2681" s="35"/>
      <c r="AM2681" s="35"/>
      <c r="AN2681" s="35"/>
      <c r="AO2681" s="35"/>
      <c r="AP2681" s="35"/>
    </row>
    <row r="2682" spans="1:42" ht="17.25" customHeight="1" x14ac:dyDescent="0.25">
      <c r="A2682" s="55">
        <v>2027</v>
      </c>
      <c r="B2682" s="56" t="s">
        <v>66</v>
      </c>
      <c r="C2682" s="56" t="s">
        <v>17</v>
      </c>
      <c r="D2682" s="56" t="s">
        <v>16</v>
      </c>
      <c r="E2682" s="56" t="s">
        <v>67</v>
      </c>
      <c r="F2682" s="56" t="s">
        <v>67</v>
      </c>
      <c r="G2682" s="57">
        <v>1049545119</v>
      </c>
      <c r="H2682" s="56" t="s">
        <v>68</v>
      </c>
      <c r="I2682" s="58" t="str">
        <f t="shared" si="138"/>
        <v>Bulgaria-Offline</v>
      </c>
      <c r="J2682" s="40"/>
      <c r="K2682" s="59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  <c r="AG2682" s="35"/>
      <c r="AH2682" s="35"/>
      <c r="AI2682" s="35"/>
      <c r="AJ2682" s="35"/>
      <c r="AK2682" s="35"/>
      <c r="AL2682" s="35"/>
      <c r="AM2682" s="35"/>
      <c r="AN2682" s="35"/>
      <c r="AO2682" s="35"/>
      <c r="AP2682" s="35"/>
    </row>
    <row r="2683" spans="1:42" ht="17.25" customHeight="1" x14ac:dyDescent="0.25">
      <c r="A2683" s="60">
        <v>2027</v>
      </c>
      <c r="B2683" s="61" t="s">
        <v>66</v>
      </c>
      <c r="C2683" s="61" t="s">
        <v>17</v>
      </c>
      <c r="D2683" s="61" t="s">
        <v>16</v>
      </c>
      <c r="E2683" s="61" t="s">
        <v>69</v>
      </c>
      <c r="F2683" s="61" t="s">
        <v>70</v>
      </c>
      <c r="G2683" s="62">
        <v>398859246</v>
      </c>
      <c r="H2683" s="61" t="s">
        <v>68</v>
      </c>
      <c r="I2683" s="63" t="str">
        <f t="shared" si="138"/>
        <v>Bulgaria-Online Supplier-Direct</v>
      </c>
      <c r="J2683" s="47"/>
      <c r="K2683" s="54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  <c r="AG2683" s="35"/>
      <c r="AH2683" s="35"/>
      <c r="AI2683" s="35"/>
      <c r="AJ2683" s="35"/>
      <c r="AK2683" s="35"/>
      <c r="AL2683" s="35"/>
      <c r="AM2683" s="35"/>
      <c r="AN2683" s="35"/>
      <c r="AO2683" s="35"/>
      <c r="AP2683" s="35"/>
    </row>
    <row r="2684" spans="1:42" ht="17.25" customHeight="1" x14ac:dyDescent="0.25">
      <c r="A2684" s="55">
        <v>2027</v>
      </c>
      <c r="B2684" s="56" t="s">
        <v>66</v>
      </c>
      <c r="C2684" s="56" t="s">
        <v>17</v>
      </c>
      <c r="D2684" s="56" t="s">
        <v>16</v>
      </c>
      <c r="E2684" s="56" t="s">
        <v>69</v>
      </c>
      <c r="F2684" s="56" t="s">
        <v>71</v>
      </c>
      <c r="G2684" s="57">
        <v>959990074</v>
      </c>
      <c r="H2684" s="56" t="s">
        <v>68</v>
      </c>
      <c r="I2684" s="58" t="str">
        <f t="shared" si="138"/>
        <v>Bulgaria-OTA</v>
      </c>
      <c r="J2684" s="40"/>
      <c r="K2684" s="59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  <c r="AG2684" s="35"/>
      <c r="AH2684" s="35"/>
      <c r="AI2684" s="35"/>
      <c r="AJ2684" s="35"/>
      <c r="AK2684" s="35"/>
      <c r="AL2684" s="35"/>
      <c r="AM2684" s="35"/>
      <c r="AN2684" s="35"/>
      <c r="AO2684" s="35"/>
      <c r="AP2684" s="35"/>
    </row>
    <row r="2685" spans="1:42" ht="17.25" customHeight="1" x14ac:dyDescent="0.25">
      <c r="A2685" s="60">
        <v>2027</v>
      </c>
      <c r="B2685" s="61" t="s">
        <v>66</v>
      </c>
      <c r="C2685" s="61" t="s">
        <v>47</v>
      </c>
      <c r="D2685" s="61" t="s">
        <v>46</v>
      </c>
      <c r="E2685" s="61" t="s">
        <v>72</v>
      </c>
      <c r="F2685" s="61" t="s">
        <v>73</v>
      </c>
      <c r="G2685" s="62">
        <v>8711357347</v>
      </c>
      <c r="H2685" s="61" t="s">
        <v>68</v>
      </c>
      <c r="I2685" s="63" t="str">
        <f t="shared" si="138"/>
        <v>Canada-Central Reservation</v>
      </c>
      <c r="J2685" s="47"/>
      <c r="K2685" s="54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  <c r="AG2685" s="35"/>
      <c r="AH2685" s="35"/>
      <c r="AI2685" s="35"/>
      <c r="AJ2685" s="35"/>
      <c r="AK2685" s="35"/>
      <c r="AL2685" s="35"/>
      <c r="AM2685" s="35"/>
      <c r="AN2685" s="35"/>
      <c r="AO2685" s="35"/>
      <c r="AP2685" s="35"/>
    </row>
    <row r="2686" spans="1:42" ht="17.25" customHeight="1" x14ac:dyDescent="0.25">
      <c r="A2686" s="55">
        <v>2027</v>
      </c>
      <c r="B2686" s="56" t="s">
        <v>66</v>
      </c>
      <c r="C2686" s="56" t="s">
        <v>47</v>
      </c>
      <c r="D2686" s="56" t="s">
        <v>46</v>
      </c>
      <c r="E2686" s="56" t="s">
        <v>67</v>
      </c>
      <c r="F2686" s="56" t="s">
        <v>74</v>
      </c>
      <c r="G2686" s="57">
        <v>8201207297</v>
      </c>
      <c r="H2686" s="56" t="s">
        <v>68</v>
      </c>
      <c r="I2686" s="58" t="str">
        <f t="shared" si="138"/>
        <v>Canada-Travel Agency/TMC</v>
      </c>
      <c r="J2686" s="40"/>
      <c r="K2686" s="59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  <c r="AG2686" s="35"/>
      <c r="AH2686" s="35"/>
      <c r="AI2686" s="35"/>
      <c r="AJ2686" s="35"/>
      <c r="AK2686" s="35"/>
      <c r="AL2686" s="35"/>
      <c r="AM2686" s="35"/>
      <c r="AN2686" s="35"/>
      <c r="AO2686" s="35"/>
      <c r="AP2686" s="35"/>
    </row>
    <row r="2687" spans="1:42" ht="17.25" customHeight="1" x14ac:dyDescent="0.25">
      <c r="A2687" s="60">
        <v>2027</v>
      </c>
      <c r="B2687" s="61" t="s">
        <v>66</v>
      </c>
      <c r="C2687" s="61" t="s">
        <v>47</v>
      </c>
      <c r="D2687" s="61" t="s">
        <v>46</v>
      </c>
      <c r="E2687" s="61" t="s">
        <v>69</v>
      </c>
      <c r="F2687" s="61" t="s">
        <v>70</v>
      </c>
      <c r="G2687" s="62">
        <v>17708764572</v>
      </c>
      <c r="H2687" s="61" t="s">
        <v>68</v>
      </c>
      <c r="I2687" s="63" t="str">
        <f t="shared" si="138"/>
        <v>Canada-Online Supplier-Direct</v>
      </c>
      <c r="J2687" s="47"/>
      <c r="K2687" s="54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  <c r="AG2687" s="35"/>
      <c r="AH2687" s="35"/>
      <c r="AI2687" s="35"/>
      <c r="AJ2687" s="35"/>
      <c r="AK2687" s="35"/>
      <c r="AL2687" s="35"/>
      <c r="AM2687" s="35"/>
      <c r="AN2687" s="35"/>
      <c r="AO2687" s="35"/>
      <c r="AP2687" s="35"/>
    </row>
    <row r="2688" spans="1:42" ht="17.25" customHeight="1" x14ac:dyDescent="0.25">
      <c r="A2688" s="55">
        <v>2027</v>
      </c>
      <c r="B2688" s="56" t="s">
        <v>66</v>
      </c>
      <c r="C2688" s="56" t="s">
        <v>47</v>
      </c>
      <c r="D2688" s="56" t="s">
        <v>46</v>
      </c>
      <c r="E2688" s="56" t="s">
        <v>69</v>
      </c>
      <c r="F2688" s="56" t="s">
        <v>71</v>
      </c>
      <c r="G2688" s="57">
        <v>11594703060</v>
      </c>
      <c r="H2688" s="56" t="s">
        <v>68</v>
      </c>
      <c r="I2688" s="58" t="str">
        <f t="shared" si="138"/>
        <v>Canada-OTA</v>
      </c>
      <c r="J2688" s="40"/>
      <c r="K2688" s="59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  <c r="AG2688" s="35"/>
      <c r="AH2688" s="35"/>
      <c r="AI2688" s="35"/>
      <c r="AJ2688" s="35"/>
      <c r="AK2688" s="35"/>
      <c r="AL2688" s="35"/>
      <c r="AM2688" s="35"/>
      <c r="AN2688" s="35"/>
      <c r="AO2688" s="35"/>
      <c r="AP2688" s="35"/>
    </row>
    <row r="2689" spans="1:42" ht="17.25" customHeight="1" x14ac:dyDescent="0.25">
      <c r="A2689" s="60">
        <v>2027</v>
      </c>
      <c r="B2689" s="61" t="s">
        <v>66</v>
      </c>
      <c r="C2689" s="61" t="s">
        <v>35</v>
      </c>
      <c r="D2689" s="61" t="s">
        <v>37</v>
      </c>
      <c r="E2689" s="61" t="s">
        <v>67</v>
      </c>
      <c r="F2689" s="61" t="s">
        <v>67</v>
      </c>
      <c r="G2689" s="62">
        <v>2397583538</v>
      </c>
      <c r="H2689" s="61" t="s">
        <v>68</v>
      </c>
      <c r="I2689" s="63" t="str">
        <f t="shared" si="138"/>
        <v>Chile-Offline</v>
      </c>
      <c r="J2689" s="47"/>
      <c r="K2689" s="54"/>
      <c r="L2689" s="35"/>
      <c r="M2689" s="35"/>
      <c r="N2689" s="35"/>
      <c r="O2689" s="35"/>
      <c r="P2689" s="35"/>
      <c r="Q2689" s="35"/>
      <c r="R2689" s="35"/>
      <c r="S2689" s="35"/>
      <c r="T2689" s="35"/>
      <c r="U2689" s="35"/>
      <c r="V2689" s="35"/>
      <c r="W2689" s="35"/>
      <c r="X2689" s="35"/>
      <c r="Y2689" s="35"/>
      <c r="Z2689" s="35"/>
      <c r="AA2689" s="35"/>
      <c r="AB2689" s="35"/>
      <c r="AC2689" s="35"/>
      <c r="AD2689" s="35"/>
      <c r="AE2689" s="35"/>
      <c r="AF2689" s="35"/>
      <c r="AG2689" s="35"/>
      <c r="AH2689" s="35"/>
      <c r="AI2689" s="35"/>
      <c r="AJ2689" s="35"/>
      <c r="AK2689" s="35"/>
      <c r="AL2689" s="35"/>
      <c r="AM2689" s="35"/>
      <c r="AN2689" s="35"/>
      <c r="AO2689" s="35"/>
      <c r="AP2689" s="35"/>
    </row>
    <row r="2690" spans="1:42" ht="17.25" customHeight="1" x14ac:dyDescent="0.25">
      <c r="A2690" s="55">
        <v>2027</v>
      </c>
      <c r="B2690" s="56" t="s">
        <v>66</v>
      </c>
      <c r="C2690" s="56" t="s">
        <v>35</v>
      </c>
      <c r="D2690" s="56" t="s">
        <v>37</v>
      </c>
      <c r="E2690" s="56" t="s">
        <v>69</v>
      </c>
      <c r="F2690" s="56" t="s">
        <v>70</v>
      </c>
      <c r="G2690" s="57">
        <v>1893923045</v>
      </c>
      <c r="H2690" s="56" t="s">
        <v>68</v>
      </c>
      <c r="I2690" s="58" t="str">
        <f t="shared" si="138"/>
        <v>Chile-Online Supplier-Direct</v>
      </c>
      <c r="J2690" s="40"/>
      <c r="K2690" s="59"/>
      <c r="L2690" s="35"/>
      <c r="M2690" s="35"/>
      <c r="N2690" s="35"/>
      <c r="O2690" s="35"/>
      <c r="P2690" s="35"/>
      <c r="Q2690" s="35"/>
      <c r="R2690" s="35"/>
      <c r="S2690" s="35"/>
      <c r="T2690" s="35"/>
      <c r="U2690" s="35"/>
      <c r="V2690" s="35"/>
      <c r="W2690" s="35"/>
      <c r="X2690" s="35"/>
      <c r="Y2690" s="35"/>
      <c r="Z2690" s="35"/>
      <c r="AA2690" s="35"/>
      <c r="AB2690" s="35"/>
      <c r="AC2690" s="35"/>
      <c r="AD2690" s="35"/>
      <c r="AE2690" s="35"/>
      <c r="AF2690" s="35"/>
      <c r="AG2690" s="35"/>
      <c r="AH2690" s="35"/>
      <c r="AI2690" s="35"/>
      <c r="AJ2690" s="35"/>
      <c r="AK2690" s="35"/>
      <c r="AL2690" s="35"/>
      <c r="AM2690" s="35"/>
      <c r="AN2690" s="35"/>
      <c r="AO2690" s="35"/>
      <c r="AP2690" s="35"/>
    </row>
    <row r="2691" spans="1:42" ht="17.25" customHeight="1" x14ac:dyDescent="0.25">
      <c r="A2691" s="60">
        <v>2027</v>
      </c>
      <c r="B2691" s="61" t="s">
        <v>66</v>
      </c>
      <c r="C2691" s="61" t="s">
        <v>35</v>
      </c>
      <c r="D2691" s="61" t="s">
        <v>37</v>
      </c>
      <c r="E2691" s="61" t="s">
        <v>69</v>
      </c>
      <c r="F2691" s="61" t="s">
        <v>71</v>
      </c>
      <c r="G2691" s="62">
        <v>1489924229</v>
      </c>
      <c r="H2691" s="61" t="s">
        <v>68</v>
      </c>
      <c r="I2691" s="63" t="str">
        <f t="shared" si="138"/>
        <v>Chile-OTA</v>
      </c>
      <c r="J2691" s="47"/>
      <c r="K2691" s="54"/>
      <c r="L2691" s="35"/>
      <c r="M2691" s="35"/>
      <c r="N2691" s="35"/>
      <c r="O2691" s="35"/>
      <c r="P2691" s="35"/>
      <c r="Q2691" s="35"/>
      <c r="R2691" s="35"/>
      <c r="S2691" s="35"/>
      <c r="T2691" s="35"/>
      <c r="U2691" s="35"/>
      <c r="V2691" s="35"/>
      <c r="W2691" s="35"/>
      <c r="X2691" s="35"/>
      <c r="Y2691" s="35"/>
      <c r="Z2691" s="35"/>
      <c r="AA2691" s="35"/>
      <c r="AB2691" s="35"/>
      <c r="AC2691" s="35"/>
      <c r="AD2691" s="35"/>
      <c r="AE2691" s="35"/>
      <c r="AF2691" s="35"/>
      <c r="AG2691" s="35"/>
      <c r="AH2691" s="35"/>
      <c r="AI2691" s="35"/>
      <c r="AJ2691" s="35"/>
      <c r="AK2691" s="35"/>
      <c r="AL2691" s="35"/>
      <c r="AM2691" s="35"/>
      <c r="AN2691" s="35"/>
      <c r="AO2691" s="35"/>
      <c r="AP2691" s="35"/>
    </row>
    <row r="2692" spans="1:42" ht="17.25" customHeight="1" x14ac:dyDescent="0.25">
      <c r="A2692" s="55">
        <v>2027</v>
      </c>
      <c r="B2692" s="56" t="s">
        <v>66</v>
      </c>
      <c r="C2692" s="56" t="s">
        <v>4</v>
      </c>
      <c r="D2692" s="56" t="s">
        <v>5</v>
      </c>
      <c r="E2692" s="56" t="s">
        <v>67</v>
      </c>
      <c r="F2692" s="56" t="s">
        <v>67</v>
      </c>
      <c r="G2692" s="57">
        <v>44514742712</v>
      </c>
      <c r="H2692" s="56" t="s">
        <v>68</v>
      </c>
      <c r="I2692" s="58" t="str">
        <f t="shared" si="138"/>
        <v>China-Offline</v>
      </c>
      <c r="J2692" s="40"/>
      <c r="K2692" s="59"/>
      <c r="L2692" s="35"/>
      <c r="M2692" s="35"/>
      <c r="N2692" s="35"/>
      <c r="O2692" s="35"/>
      <c r="P2692" s="35"/>
      <c r="Q2692" s="35"/>
      <c r="R2692" s="35"/>
      <c r="S2692" s="35"/>
      <c r="T2692" s="35"/>
      <c r="U2692" s="35"/>
      <c r="V2692" s="35"/>
      <c r="W2692" s="35"/>
      <c r="X2692" s="35"/>
      <c r="Y2692" s="35"/>
      <c r="Z2692" s="35"/>
      <c r="AA2692" s="35"/>
      <c r="AB2692" s="35"/>
      <c r="AC2692" s="35"/>
      <c r="AD2692" s="35"/>
      <c r="AE2692" s="35"/>
      <c r="AF2692" s="35"/>
      <c r="AG2692" s="35"/>
      <c r="AH2692" s="35"/>
      <c r="AI2692" s="35"/>
      <c r="AJ2692" s="35"/>
      <c r="AK2692" s="35"/>
      <c r="AL2692" s="35"/>
      <c r="AM2692" s="35"/>
      <c r="AN2692" s="35"/>
      <c r="AO2692" s="35"/>
      <c r="AP2692" s="35"/>
    </row>
    <row r="2693" spans="1:42" ht="17.25" customHeight="1" x14ac:dyDescent="0.25">
      <c r="A2693" s="60">
        <v>2027</v>
      </c>
      <c r="B2693" s="61" t="s">
        <v>66</v>
      </c>
      <c r="C2693" s="61" t="s">
        <v>4</v>
      </c>
      <c r="D2693" s="61" t="s">
        <v>5</v>
      </c>
      <c r="E2693" s="61" t="s">
        <v>69</v>
      </c>
      <c r="F2693" s="61" t="s">
        <v>70</v>
      </c>
      <c r="G2693" s="62">
        <v>81441781951</v>
      </c>
      <c r="H2693" s="61" t="s">
        <v>68</v>
      </c>
      <c r="I2693" s="63" t="str">
        <f t="shared" si="138"/>
        <v>China-Online Supplier-Direct</v>
      </c>
      <c r="J2693" s="47"/>
      <c r="K2693" s="54"/>
      <c r="L2693" s="35"/>
      <c r="M2693" s="35"/>
      <c r="N2693" s="35"/>
      <c r="O2693" s="35"/>
      <c r="P2693" s="35"/>
      <c r="Q2693" s="35"/>
      <c r="R2693" s="35"/>
      <c r="S2693" s="35"/>
      <c r="T2693" s="35"/>
      <c r="U2693" s="35"/>
      <c r="V2693" s="35"/>
      <c r="W2693" s="35"/>
      <c r="X2693" s="35"/>
      <c r="Y2693" s="35"/>
      <c r="Z2693" s="35"/>
      <c r="AA2693" s="35"/>
      <c r="AB2693" s="35"/>
      <c r="AC2693" s="35"/>
      <c r="AD2693" s="35"/>
      <c r="AE2693" s="35"/>
      <c r="AF2693" s="35"/>
      <c r="AG2693" s="35"/>
      <c r="AH2693" s="35"/>
      <c r="AI2693" s="35"/>
      <c r="AJ2693" s="35"/>
      <c r="AK2693" s="35"/>
      <c r="AL2693" s="35"/>
      <c r="AM2693" s="35"/>
      <c r="AN2693" s="35"/>
      <c r="AO2693" s="35"/>
      <c r="AP2693" s="35"/>
    </row>
    <row r="2694" spans="1:42" ht="17.25" customHeight="1" x14ac:dyDescent="0.25">
      <c r="A2694" s="55">
        <v>2027</v>
      </c>
      <c r="B2694" s="56" t="s">
        <v>66</v>
      </c>
      <c r="C2694" s="56" t="s">
        <v>4</v>
      </c>
      <c r="D2694" s="56" t="s">
        <v>5</v>
      </c>
      <c r="E2694" s="56" t="s">
        <v>69</v>
      </c>
      <c r="F2694" s="56" t="s">
        <v>71</v>
      </c>
      <c r="G2694" s="57">
        <v>88794485252</v>
      </c>
      <c r="H2694" s="56" t="s">
        <v>68</v>
      </c>
      <c r="I2694" s="58" t="str">
        <f t="shared" si="138"/>
        <v>China-OTA</v>
      </c>
      <c r="J2694" s="40"/>
      <c r="K2694" s="59"/>
      <c r="L2694" s="35"/>
      <c r="M2694" s="35"/>
      <c r="N2694" s="35"/>
      <c r="O2694" s="35"/>
      <c r="P2694" s="35"/>
      <c r="Q2694" s="35"/>
      <c r="R2694" s="35"/>
      <c r="S2694" s="35"/>
      <c r="T2694" s="35"/>
      <c r="U2694" s="35"/>
      <c r="V2694" s="35"/>
      <c r="W2694" s="35"/>
      <c r="X2694" s="35"/>
      <c r="Y2694" s="35"/>
      <c r="Z2694" s="35"/>
      <c r="AA2694" s="35"/>
      <c r="AB2694" s="35"/>
      <c r="AC2694" s="35"/>
      <c r="AD2694" s="35"/>
      <c r="AE2694" s="35"/>
      <c r="AF2694" s="35"/>
      <c r="AG2694" s="35"/>
      <c r="AH2694" s="35"/>
      <c r="AI2694" s="35"/>
      <c r="AJ2694" s="35"/>
      <c r="AK2694" s="35"/>
      <c r="AL2694" s="35"/>
      <c r="AM2694" s="35"/>
      <c r="AN2694" s="35"/>
      <c r="AO2694" s="35"/>
      <c r="AP2694" s="35"/>
    </row>
    <row r="2695" spans="1:42" ht="17.25" customHeight="1" x14ac:dyDescent="0.25">
      <c r="A2695" s="60">
        <v>2027</v>
      </c>
      <c r="B2695" s="61" t="s">
        <v>66</v>
      </c>
      <c r="C2695" s="61" t="s">
        <v>35</v>
      </c>
      <c r="D2695" s="61" t="s">
        <v>38</v>
      </c>
      <c r="E2695" s="61" t="s">
        <v>67</v>
      </c>
      <c r="F2695" s="61" t="s">
        <v>67</v>
      </c>
      <c r="G2695" s="62">
        <v>3585941185</v>
      </c>
      <c r="H2695" s="61" t="s">
        <v>68</v>
      </c>
      <c r="I2695" s="63" t="str">
        <f t="shared" si="138"/>
        <v>Colombia-Offline</v>
      </c>
      <c r="J2695" s="47"/>
      <c r="K2695" s="54"/>
      <c r="L2695" s="35"/>
      <c r="M2695" s="35"/>
      <c r="N2695" s="35"/>
      <c r="O2695" s="35"/>
      <c r="P2695" s="35"/>
      <c r="Q2695" s="35"/>
      <c r="R2695" s="35"/>
      <c r="S2695" s="35"/>
      <c r="T2695" s="35"/>
      <c r="U2695" s="35"/>
      <c r="V2695" s="35"/>
      <c r="W2695" s="35"/>
      <c r="X2695" s="35"/>
      <c r="Y2695" s="35"/>
      <c r="Z2695" s="35"/>
      <c r="AA2695" s="35"/>
      <c r="AB2695" s="35"/>
      <c r="AC2695" s="35"/>
      <c r="AD2695" s="35"/>
      <c r="AE2695" s="35"/>
      <c r="AF2695" s="35"/>
      <c r="AG2695" s="35"/>
      <c r="AH2695" s="35"/>
      <c r="AI2695" s="35"/>
      <c r="AJ2695" s="35"/>
      <c r="AK2695" s="35"/>
      <c r="AL2695" s="35"/>
      <c r="AM2695" s="35"/>
      <c r="AN2695" s="35"/>
      <c r="AO2695" s="35"/>
      <c r="AP2695" s="35"/>
    </row>
    <row r="2696" spans="1:42" ht="17.25" customHeight="1" x14ac:dyDescent="0.25">
      <c r="A2696" s="55">
        <v>2027</v>
      </c>
      <c r="B2696" s="56" t="s">
        <v>66</v>
      </c>
      <c r="C2696" s="56" t="s">
        <v>35</v>
      </c>
      <c r="D2696" s="56" t="s">
        <v>38</v>
      </c>
      <c r="E2696" s="56" t="s">
        <v>69</v>
      </c>
      <c r="F2696" s="56" t="s">
        <v>70</v>
      </c>
      <c r="G2696" s="57">
        <v>2388991811</v>
      </c>
      <c r="H2696" s="56" t="s">
        <v>68</v>
      </c>
      <c r="I2696" s="58" t="str">
        <f t="shared" si="138"/>
        <v>Colombia-Online Supplier-Direct</v>
      </c>
      <c r="J2696" s="40"/>
      <c r="K2696" s="59"/>
      <c r="L2696" s="35"/>
      <c r="M2696" s="35"/>
      <c r="N2696" s="35"/>
      <c r="O2696" s="35"/>
      <c r="P2696" s="35"/>
      <c r="Q2696" s="35"/>
      <c r="R2696" s="35"/>
      <c r="S2696" s="35"/>
      <c r="T2696" s="35"/>
      <c r="U2696" s="35"/>
      <c r="V2696" s="35"/>
      <c r="W2696" s="35"/>
      <c r="X2696" s="35"/>
      <c r="Y2696" s="35"/>
      <c r="Z2696" s="35"/>
      <c r="AA2696" s="35"/>
      <c r="AB2696" s="35"/>
      <c r="AC2696" s="35"/>
      <c r="AD2696" s="35"/>
      <c r="AE2696" s="35"/>
      <c r="AF2696" s="35"/>
      <c r="AG2696" s="35"/>
      <c r="AH2696" s="35"/>
      <c r="AI2696" s="35"/>
      <c r="AJ2696" s="35"/>
      <c r="AK2696" s="35"/>
      <c r="AL2696" s="35"/>
      <c r="AM2696" s="35"/>
      <c r="AN2696" s="35"/>
      <c r="AO2696" s="35"/>
      <c r="AP2696" s="35"/>
    </row>
    <row r="2697" spans="1:42" ht="17.25" customHeight="1" x14ac:dyDescent="0.25">
      <c r="A2697" s="60">
        <v>2027</v>
      </c>
      <c r="B2697" s="61" t="s">
        <v>66</v>
      </c>
      <c r="C2697" s="61" t="s">
        <v>35</v>
      </c>
      <c r="D2697" s="61" t="s">
        <v>38</v>
      </c>
      <c r="E2697" s="61" t="s">
        <v>69</v>
      </c>
      <c r="F2697" s="61" t="s">
        <v>71</v>
      </c>
      <c r="G2697" s="62">
        <v>1896089709</v>
      </c>
      <c r="H2697" s="61" t="s">
        <v>68</v>
      </c>
      <c r="I2697" s="63" t="str">
        <f t="shared" si="138"/>
        <v>Colombia-OTA</v>
      </c>
      <c r="J2697" s="47"/>
      <c r="K2697" s="54"/>
      <c r="L2697" s="35"/>
      <c r="M2697" s="35"/>
      <c r="N2697" s="35"/>
      <c r="O2697" s="35"/>
      <c r="P2697" s="35"/>
      <c r="Q2697" s="35"/>
      <c r="R2697" s="35"/>
      <c r="S2697" s="35"/>
      <c r="T2697" s="35"/>
      <c r="U2697" s="35"/>
      <c r="V2697" s="35"/>
      <c r="W2697" s="35"/>
      <c r="X2697" s="35"/>
      <c r="Y2697" s="35"/>
      <c r="Z2697" s="35"/>
      <c r="AA2697" s="35"/>
      <c r="AB2697" s="35"/>
      <c r="AC2697" s="35"/>
      <c r="AD2697" s="35"/>
      <c r="AE2697" s="35"/>
      <c r="AF2697" s="35"/>
      <c r="AG2697" s="35"/>
      <c r="AH2697" s="35"/>
      <c r="AI2697" s="35"/>
      <c r="AJ2697" s="35"/>
      <c r="AK2697" s="35"/>
      <c r="AL2697" s="35"/>
      <c r="AM2697" s="35"/>
      <c r="AN2697" s="35"/>
      <c r="AO2697" s="35"/>
      <c r="AP2697" s="35"/>
    </row>
    <row r="2698" spans="1:42" ht="17.25" customHeight="1" x14ac:dyDescent="0.25">
      <c r="A2698" s="55">
        <v>2027</v>
      </c>
      <c r="B2698" s="56" t="s">
        <v>66</v>
      </c>
      <c r="C2698" s="56" t="s">
        <v>17</v>
      </c>
      <c r="D2698" s="56" t="s">
        <v>18</v>
      </c>
      <c r="E2698" s="56" t="s">
        <v>67</v>
      </c>
      <c r="F2698" s="56" t="s">
        <v>67</v>
      </c>
      <c r="G2698" s="57">
        <v>1754150116</v>
      </c>
      <c r="H2698" s="56" t="s">
        <v>68</v>
      </c>
      <c r="I2698" s="58" t="str">
        <f t="shared" si="138"/>
        <v>Czech Republic-Offline</v>
      </c>
      <c r="J2698" s="40"/>
      <c r="K2698" s="59"/>
      <c r="L2698" s="35"/>
      <c r="M2698" s="35"/>
      <c r="N2698" s="35"/>
      <c r="O2698" s="35"/>
      <c r="P2698" s="35"/>
      <c r="Q2698" s="35"/>
      <c r="R2698" s="35"/>
      <c r="S2698" s="35"/>
      <c r="T2698" s="35"/>
      <c r="U2698" s="35"/>
      <c r="V2698" s="35"/>
      <c r="W2698" s="35"/>
      <c r="X2698" s="35"/>
      <c r="Y2698" s="35"/>
      <c r="Z2698" s="35"/>
      <c r="AA2698" s="35"/>
      <c r="AB2698" s="35"/>
      <c r="AC2698" s="35"/>
      <c r="AD2698" s="35"/>
      <c r="AE2698" s="35"/>
      <c r="AF2698" s="35"/>
      <c r="AG2698" s="35"/>
      <c r="AH2698" s="35"/>
      <c r="AI2698" s="35"/>
      <c r="AJ2698" s="35"/>
      <c r="AK2698" s="35"/>
      <c r="AL2698" s="35"/>
      <c r="AM2698" s="35"/>
      <c r="AN2698" s="35"/>
      <c r="AO2698" s="35"/>
      <c r="AP2698" s="35"/>
    </row>
    <row r="2699" spans="1:42" ht="17.25" customHeight="1" x14ac:dyDescent="0.25">
      <c r="A2699" s="60">
        <v>2027</v>
      </c>
      <c r="B2699" s="61" t="s">
        <v>66</v>
      </c>
      <c r="C2699" s="61" t="s">
        <v>17</v>
      </c>
      <c r="D2699" s="61" t="s">
        <v>18</v>
      </c>
      <c r="E2699" s="61" t="s">
        <v>69</v>
      </c>
      <c r="F2699" s="61" t="s">
        <v>70</v>
      </c>
      <c r="G2699" s="62">
        <v>2453056251</v>
      </c>
      <c r="H2699" s="61" t="s">
        <v>68</v>
      </c>
      <c r="I2699" s="63" t="str">
        <f t="shared" si="138"/>
        <v>Czech Republic-Online Supplier-Direct</v>
      </c>
      <c r="J2699" s="47"/>
      <c r="K2699" s="54"/>
      <c r="L2699" s="35"/>
      <c r="M2699" s="35"/>
      <c r="N2699" s="35"/>
      <c r="O2699" s="35"/>
      <c r="P2699" s="35"/>
      <c r="Q2699" s="35"/>
      <c r="R2699" s="35"/>
      <c r="S2699" s="35"/>
      <c r="T2699" s="35"/>
      <c r="U2699" s="35"/>
      <c r="V2699" s="35"/>
      <c r="W2699" s="35"/>
      <c r="X2699" s="35"/>
      <c r="Y2699" s="35"/>
      <c r="Z2699" s="35"/>
      <c r="AA2699" s="35"/>
      <c r="AB2699" s="35"/>
      <c r="AC2699" s="35"/>
      <c r="AD2699" s="35"/>
      <c r="AE2699" s="35"/>
      <c r="AF2699" s="35"/>
      <c r="AG2699" s="35"/>
      <c r="AH2699" s="35"/>
      <c r="AI2699" s="35"/>
      <c r="AJ2699" s="35"/>
      <c r="AK2699" s="35"/>
      <c r="AL2699" s="35"/>
      <c r="AM2699" s="35"/>
      <c r="AN2699" s="35"/>
      <c r="AO2699" s="35"/>
      <c r="AP2699" s="35"/>
    </row>
    <row r="2700" spans="1:42" ht="17.25" customHeight="1" x14ac:dyDescent="0.25">
      <c r="A2700" s="55">
        <v>2027</v>
      </c>
      <c r="B2700" s="56" t="s">
        <v>66</v>
      </c>
      <c r="C2700" s="56" t="s">
        <v>17</v>
      </c>
      <c r="D2700" s="56" t="s">
        <v>18</v>
      </c>
      <c r="E2700" s="56" t="s">
        <v>69</v>
      </c>
      <c r="F2700" s="56" t="s">
        <v>71</v>
      </c>
      <c r="G2700" s="57">
        <v>1773486752</v>
      </c>
      <c r="H2700" s="56" t="s">
        <v>68</v>
      </c>
      <c r="I2700" s="58" t="str">
        <f t="shared" si="138"/>
        <v>Czech Republic-OTA</v>
      </c>
      <c r="J2700" s="40"/>
      <c r="K2700" s="59"/>
      <c r="L2700" s="35"/>
      <c r="M2700" s="35"/>
      <c r="N2700" s="35"/>
      <c r="O2700" s="35"/>
      <c r="P2700" s="35"/>
      <c r="Q2700" s="35"/>
      <c r="R2700" s="35"/>
      <c r="S2700" s="35"/>
      <c r="T2700" s="35"/>
      <c r="U2700" s="35"/>
      <c r="V2700" s="35"/>
      <c r="W2700" s="35"/>
      <c r="X2700" s="35"/>
      <c r="Y2700" s="35"/>
      <c r="Z2700" s="35"/>
      <c r="AA2700" s="35"/>
      <c r="AB2700" s="35"/>
      <c r="AC2700" s="35"/>
      <c r="AD2700" s="35"/>
      <c r="AE2700" s="35"/>
      <c r="AF2700" s="35"/>
      <c r="AG2700" s="35"/>
      <c r="AH2700" s="35"/>
      <c r="AI2700" s="35"/>
      <c r="AJ2700" s="35"/>
      <c r="AK2700" s="35"/>
      <c r="AL2700" s="35"/>
      <c r="AM2700" s="35"/>
      <c r="AN2700" s="35"/>
      <c r="AO2700" s="35"/>
      <c r="AP2700" s="35"/>
    </row>
    <row r="2701" spans="1:42" ht="17.25" customHeight="1" x14ac:dyDescent="0.25">
      <c r="A2701" s="60">
        <v>2027</v>
      </c>
      <c r="B2701" s="61" t="s">
        <v>66</v>
      </c>
      <c r="C2701" s="61" t="s">
        <v>41</v>
      </c>
      <c r="D2701" s="61" t="s">
        <v>40</v>
      </c>
      <c r="E2701" s="61" t="s">
        <v>67</v>
      </c>
      <c r="F2701" s="61" t="s">
        <v>67</v>
      </c>
      <c r="G2701" s="62">
        <v>1644215466</v>
      </c>
      <c r="H2701" s="61" t="s">
        <v>68</v>
      </c>
      <c r="I2701" s="63" t="str">
        <f t="shared" si="138"/>
        <v>Egypt-Offline</v>
      </c>
      <c r="J2701" s="47"/>
      <c r="K2701" s="54"/>
      <c r="L2701" s="35"/>
      <c r="M2701" s="35"/>
      <c r="N2701" s="35"/>
      <c r="O2701" s="35"/>
      <c r="P2701" s="35"/>
      <c r="Q2701" s="35"/>
      <c r="R2701" s="35"/>
      <c r="S2701" s="35"/>
      <c r="T2701" s="35"/>
      <c r="U2701" s="35"/>
      <c r="V2701" s="35"/>
      <c r="W2701" s="35"/>
      <c r="X2701" s="35"/>
      <c r="Y2701" s="35"/>
      <c r="Z2701" s="35"/>
      <c r="AA2701" s="35"/>
      <c r="AB2701" s="35"/>
      <c r="AC2701" s="35"/>
      <c r="AD2701" s="35"/>
      <c r="AE2701" s="35"/>
      <c r="AF2701" s="35"/>
      <c r="AG2701" s="35"/>
      <c r="AH2701" s="35"/>
      <c r="AI2701" s="35"/>
      <c r="AJ2701" s="35"/>
      <c r="AK2701" s="35"/>
      <c r="AL2701" s="35"/>
      <c r="AM2701" s="35"/>
      <c r="AN2701" s="35"/>
      <c r="AO2701" s="35"/>
      <c r="AP2701" s="35"/>
    </row>
    <row r="2702" spans="1:42" ht="17.25" customHeight="1" x14ac:dyDescent="0.25">
      <c r="A2702" s="55">
        <v>2027</v>
      </c>
      <c r="B2702" s="56" t="s">
        <v>66</v>
      </c>
      <c r="C2702" s="56" t="s">
        <v>41</v>
      </c>
      <c r="D2702" s="56" t="s">
        <v>40</v>
      </c>
      <c r="E2702" s="56" t="s">
        <v>69</v>
      </c>
      <c r="F2702" s="56" t="s">
        <v>70</v>
      </c>
      <c r="G2702" s="57">
        <v>677079743</v>
      </c>
      <c r="H2702" s="56" t="s">
        <v>68</v>
      </c>
      <c r="I2702" s="58" t="str">
        <f t="shared" si="138"/>
        <v>Egypt-Online Supplier-Direct</v>
      </c>
      <c r="J2702" s="40"/>
      <c r="K2702" s="59"/>
      <c r="L2702" s="35"/>
      <c r="M2702" s="35"/>
      <c r="N2702" s="35"/>
      <c r="O2702" s="35"/>
      <c r="P2702" s="35"/>
      <c r="Q2702" s="35"/>
      <c r="R2702" s="35"/>
      <c r="S2702" s="35"/>
      <c r="T2702" s="35"/>
      <c r="U2702" s="35"/>
      <c r="V2702" s="35"/>
      <c r="W2702" s="35"/>
      <c r="X2702" s="35"/>
      <c r="Y2702" s="35"/>
      <c r="Z2702" s="35"/>
      <c r="AA2702" s="35"/>
      <c r="AB2702" s="35"/>
      <c r="AC2702" s="35"/>
      <c r="AD2702" s="35"/>
      <c r="AE2702" s="35"/>
      <c r="AF2702" s="35"/>
      <c r="AG2702" s="35"/>
      <c r="AH2702" s="35"/>
      <c r="AI2702" s="35"/>
      <c r="AJ2702" s="35"/>
      <c r="AK2702" s="35"/>
      <c r="AL2702" s="35"/>
      <c r="AM2702" s="35"/>
      <c r="AN2702" s="35"/>
      <c r="AO2702" s="35"/>
      <c r="AP2702" s="35"/>
    </row>
    <row r="2703" spans="1:42" ht="17.25" customHeight="1" x14ac:dyDescent="0.25">
      <c r="A2703" s="60">
        <v>2027</v>
      </c>
      <c r="B2703" s="61" t="s">
        <v>66</v>
      </c>
      <c r="C2703" s="61" t="s">
        <v>41</v>
      </c>
      <c r="D2703" s="61" t="s">
        <v>40</v>
      </c>
      <c r="E2703" s="61" t="s">
        <v>69</v>
      </c>
      <c r="F2703" s="61" t="s">
        <v>71</v>
      </c>
      <c r="G2703" s="62">
        <v>714883483</v>
      </c>
      <c r="H2703" s="61" t="s">
        <v>68</v>
      </c>
      <c r="I2703" s="63" t="str">
        <f t="shared" si="138"/>
        <v>Egypt-OTA</v>
      </c>
      <c r="J2703" s="47"/>
      <c r="K2703" s="54"/>
      <c r="L2703" s="35"/>
      <c r="M2703" s="35"/>
      <c r="N2703" s="35"/>
      <c r="O2703" s="35"/>
      <c r="P2703" s="35"/>
      <c r="Q2703" s="35"/>
      <c r="R2703" s="35"/>
      <c r="S2703" s="35"/>
      <c r="T2703" s="35"/>
      <c r="U2703" s="35"/>
      <c r="V2703" s="35"/>
      <c r="W2703" s="35"/>
      <c r="X2703" s="35"/>
      <c r="Y2703" s="35"/>
      <c r="Z2703" s="35"/>
      <c r="AA2703" s="35"/>
      <c r="AB2703" s="35"/>
      <c r="AC2703" s="35"/>
      <c r="AD2703" s="35"/>
      <c r="AE2703" s="35"/>
      <c r="AF2703" s="35"/>
      <c r="AG2703" s="35"/>
      <c r="AH2703" s="35"/>
      <c r="AI2703" s="35"/>
      <c r="AJ2703" s="35"/>
      <c r="AK2703" s="35"/>
      <c r="AL2703" s="35"/>
      <c r="AM2703" s="35"/>
      <c r="AN2703" s="35"/>
      <c r="AO2703" s="35"/>
      <c r="AP2703" s="35"/>
    </row>
    <row r="2704" spans="1:42" ht="17.25" customHeight="1" x14ac:dyDescent="0.25">
      <c r="A2704" s="55">
        <v>2027</v>
      </c>
      <c r="B2704" s="56" t="s">
        <v>66</v>
      </c>
      <c r="C2704" s="56" t="s">
        <v>27</v>
      </c>
      <c r="D2704" s="56" t="s">
        <v>26</v>
      </c>
      <c r="E2704" s="56" t="s">
        <v>67</v>
      </c>
      <c r="F2704" s="56" t="s">
        <v>67</v>
      </c>
      <c r="G2704" s="57">
        <v>28649022950</v>
      </c>
      <c r="H2704" s="56" t="s">
        <v>68</v>
      </c>
      <c r="I2704" s="58" t="str">
        <f t="shared" si="138"/>
        <v>France-Offline</v>
      </c>
      <c r="J2704" s="40"/>
      <c r="K2704" s="59"/>
      <c r="L2704" s="35"/>
      <c r="M2704" s="35"/>
      <c r="N2704" s="35"/>
      <c r="O2704" s="35"/>
      <c r="P2704" s="35"/>
      <c r="Q2704" s="35"/>
      <c r="R2704" s="35"/>
      <c r="S2704" s="35"/>
      <c r="T2704" s="35"/>
      <c r="U2704" s="35"/>
      <c r="V2704" s="35"/>
      <c r="W2704" s="35"/>
      <c r="X2704" s="35"/>
      <c r="Y2704" s="35"/>
      <c r="Z2704" s="35"/>
      <c r="AA2704" s="35"/>
      <c r="AB2704" s="35"/>
      <c r="AC2704" s="35"/>
      <c r="AD2704" s="35"/>
      <c r="AE2704" s="35"/>
      <c r="AF2704" s="35"/>
      <c r="AG2704" s="35"/>
      <c r="AH2704" s="35"/>
      <c r="AI2704" s="35"/>
      <c r="AJ2704" s="35"/>
      <c r="AK2704" s="35"/>
      <c r="AL2704" s="35"/>
      <c r="AM2704" s="35"/>
      <c r="AN2704" s="35"/>
      <c r="AO2704" s="35"/>
      <c r="AP2704" s="35"/>
    </row>
    <row r="2705" spans="1:42" ht="17.25" customHeight="1" x14ac:dyDescent="0.25">
      <c r="A2705" s="60">
        <v>2027</v>
      </c>
      <c r="B2705" s="61" t="s">
        <v>66</v>
      </c>
      <c r="C2705" s="61" t="s">
        <v>27</v>
      </c>
      <c r="D2705" s="61" t="s">
        <v>26</v>
      </c>
      <c r="E2705" s="61" t="s">
        <v>69</v>
      </c>
      <c r="F2705" s="61" t="s">
        <v>70</v>
      </c>
      <c r="G2705" s="62">
        <v>26641180189</v>
      </c>
      <c r="H2705" s="61" t="s">
        <v>68</v>
      </c>
      <c r="I2705" s="63" t="str">
        <f t="shared" si="138"/>
        <v>France-Online Supplier-Direct</v>
      </c>
      <c r="J2705" s="47"/>
      <c r="K2705" s="54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  <c r="AG2705" s="35"/>
      <c r="AH2705" s="35"/>
      <c r="AI2705" s="35"/>
      <c r="AJ2705" s="35"/>
      <c r="AK2705" s="35"/>
      <c r="AL2705" s="35"/>
      <c r="AM2705" s="35"/>
      <c r="AN2705" s="35"/>
      <c r="AO2705" s="35"/>
      <c r="AP2705" s="35"/>
    </row>
    <row r="2706" spans="1:42" ht="17.25" customHeight="1" x14ac:dyDescent="0.25">
      <c r="A2706" s="55">
        <v>2027</v>
      </c>
      <c r="B2706" s="56" t="s">
        <v>66</v>
      </c>
      <c r="C2706" s="56" t="s">
        <v>27</v>
      </c>
      <c r="D2706" s="56" t="s">
        <v>26</v>
      </c>
      <c r="E2706" s="56" t="s">
        <v>69</v>
      </c>
      <c r="F2706" s="56" t="s">
        <v>71</v>
      </c>
      <c r="G2706" s="57">
        <v>9515838718</v>
      </c>
      <c r="H2706" s="56" t="s">
        <v>68</v>
      </c>
      <c r="I2706" s="58" t="str">
        <f t="shared" si="138"/>
        <v>France-OTA</v>
      </c>
      <c r="J2706" s="40"/>
      <c r="K2706" s="59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  <c r="AG2706" s="35"/>
      <c r="AH2706" s="35"/>
      <c r="AI2706" s="35"/>
      <c r="AJ2706" s="35"/>
      <c r="AK2706" s="35"/>
      <c r="AL2706" s="35"/>
      <c r="AM2706" s="35"/>
      <c r="AN2706" s="35"/>
      <c r="AO2706" s="35"/>
      <c r="AP2706" s="35"/>
    </row>
    <row r="2707" spans="1:42" ht="17.25" customHeight="1" x14ac:dyDescent="0.25">
      <c r="A2707" s="60">
        <v>2027</v>
      </c>
      <c r="B2707" s="61" t="s">
        <v>66</v>
      </c>
      <c r="C2707" s="61" t="s">
        <v>27</v>
      </c>
      <c r="D2707" s="61" t="s">
        <v>28</v>
      </c>
      <c r="E2707" s="61" t="s">
        <v>67</v>
      </c>
      <c r="F2707" s="61" t="s">
        <v>67</v>
      </c>
      <c r="G2707" s="62">
        <v>23814140664</v>
      </c>
      <c r="H2707" s="61" t="s">
        <v>68</v>
      </c>
      <c r="I2707" s="63" t="str">
        <f t="shared" si="138"/>
        <v>Germany-Offline</v>
      </c>
      <c r="J2707" s="47"/>
      <c r="K2707" s="54"/>
      <c r="L2707" s="35"/>
      <c r="M2707" s="35"/>
      <c r="N2707" s="35"/>
      <c r="O2707" s="35"/>
      <c r="P2707" s="35"/>
      <c r="Q2707" s="35"/>
      <c r="R2707" s="35"/>
      <c r="S2707" s="35"/>
      <c r="T2707" s="35"/>
      <c r="U2707" s="35"/>
      <c r="V2707" s="35"/>
      <c r="W2707" s="35"/>
      <c r="X2707" s="35"/>
      <c r="Y2707" s="35"/>
      <c r="Z2707" s="35"/>
      <c r="AA2707" s="35"/>
      <c r="AB2707" s="35"/>
      <c r="AC2707" s="35"/>
      <c r="AD2707" s="35"/>
      <c r="AE2707" s="35"/>
      <c r="AF2707" s="35"/>
      <c r="AG2707" s="35"/>
      <c r="AH2707" s="35"/>
      <c r="AI2707" s="35"/>
      <c r="AJ2707" s="35"/>
      <c r="AK2707" s="35"/>
      <c r="AL2707" s="35"/>
      <c r="AM2707" s="35"/>
      <c r="AN2707" s="35"/>
      <c r="AO2707" s="35"/>
      <c r="AP2707" s="35"/>
    </row>
    <row r="2708" spans="1:42" ht="17.25" customHeight="1" x14ac:dyDescent="0.25">
      <c r="A2708" s="55">
        <v>2027</v>
      </c>
      <c r="B2708" s="56" t="s">
        <v>66</v>
      </c>
      <c r="C2708" s="56" t="s">
        <v>27</v>
      </c>
      <c r="D2708" s="56" t="s">
        <v>28</v>
      </c>
      <c r="E2708" s="56" t="s">
        <v>69</v>
      </c>
      <c r="F2708" s="56" t="s">
        <v>70</v>
      </c>
      <c r="G2708" s="57">
        <v>44443766890</v>
      </c>
      <c r="H2708" s="56" t="s">
        <v>68</v>
      </c>
      <c r="I2708" s="58" t="str">
        <f t="shared" si="138"/>
        <v>Germany-Online Supplier-Direct</v>
      </c>
      <c r="J2708" s="40"/>
      <c r="K2708" s="59"/>
      <c r="L2708" s="35"/>
      <c r="M2708" s="35"/>
      <c r="N2708" s="35"/>
      <c r="O2708" s="35"/>
      <c r="P2708" s="35"/>
      <c r="Q2708" s="35"/>
      <c r="R2708" s="35"/>
      <c r="S2708" s="35"/>
      <c r="T2708" s="35"/>
      <c r="U2708" s="35"/>
      <c r="V2708" s="35"/>
      <c r="W2708" s="35"/>
      <c r="X2708" s="35"/>
      <c r="Y2708" s="35"/>
      <c r="Z2708" s="35"/>
      <c r="AA2708" s="35"/>
      <c r="AB2708" s="35"/>
      <c r="AC2708" s="35"/>
      <c r="AD2708" s="35"/>
      <c r="AE2708" s="35"/>
      <c r="AF2708" s="35"/>
      <c r="AG2708" s="35"/>
      <c r="AH2708" s="35"/>
      <c r="AI2708" s="35"/>
      <c r="AJ2708" s="35"/>
      <c r="AK2708" s="35"/>
      <c r="AL2708" s="35"/>
      <c r="AM2708" s="35"/>
      <c r="AN2708" s="35"/>
      <c r="AO2708" s="35"/>
      <c r="AP2708" s="35"/>
    </row>
    <row r="2709" spans="1:42" ht="17.25" customHeight="1" x14ac:dyDescent="0.25">
      <c r="A2709" s="60">
        <v>2027</v>
      </c>
      <c r="B2709" s="61" t="s">
        <v>66</v>
      </c>
      <c r="C2709" s="61" t="s">
        <v>27</v>
      </c>
      <c r="D2709" s="61" t="s">
        <v>28</v>
      </c>
      <c r="E2709" s="61" t="s">
        <v>69</v>
      </c>
      <c r="F2709" s="61" t="s">
        <v>71</v>
      </c>
      <c r="G2709" s="62">
        <v>18563809211</v>
      </c>
      <c r="H2709" s="61" t="s">
        <v>68</v>
      </c>
      <c r="I2709" s="63" t="str">
        <f t="shared" si="138"/>
        <v>Germany-OTA</v>
      </c>
      <c r="J2709" s="47"/>
      <c r="K2709" s="54"/>
      <c r="L2709" s="35"/>
      <c r="M2709" s="35"/>
      <c r="N2709" s="35"/>
      <c r="O2709" s="35"/>
      <c r="P2709" s="35"/>
      <c r="Q2709" s="35"/>
      <c r="R2709" s="35"/>
      <c r="S2709" s="35"/>
      <c r="T2709" s="35"/>
      <c r="U2709" s="35"/>
      <c r="V2709" s="35"/>
      <c r="W2709" s="35"/>
      <c r="X2709" s="35"/>
      <c r="Y2709" s="35"/>
      <c r="Z2709" s="35"/>
      <c r="AA2709" s="35"/>
      <c r="AB2709" s="35"/>
      <c r="AC2709" s="35"/>
      <c r="AD2709" s="35"/>
      <c r="AE2709" s="35"/>
      <c r="AF2709" s="35"/>
      <c r="AG2709" s="35"/>
      <c r="AH2709" s="35"/>
      <c r="AI2709" s="35"/>
      <c r="AJ2709" s="35"/>
      <c r="AK2709" s="35"/>
      <c r="AL2709" s="35"/>
      <c r="AM2709" s="35"/>
      <c r="AN2709" s="35"/>
      <c r="AO2709" s="35"/>
      <c r="AP2709" s="35"/>
    </row>
    <row r="2710" spans="1:42" ht="17.25" customHeight="1" x14ac:dyDescent="0.25">
      <c r="A2710" s="55">
        <v>2027</v>
      </c>
      <c r="B2710" s="56" t="s">
        <v>66</v>
      </c>
      <c r="C2710" s="56" t="s">
        <v>17</v>
      </c>
      <c r="D2710" s="56" t="s">
        <v>19</v>
      </c>
      <c r="E2710" s="56" t="s">
        <v>67</v>
      </c>
      <c r="F2710" s="56" t="s">
        <v>67</v>
      </c>
      <c r="G2710" s="57">
        <v>5175330628</v>
      </c>
      <c r="H2710" s="56" t="s">
        <v>68</v>
      </c>
      <c r="I2710" s="58" t="str">
        <f t="shared" si="138"/>
        <v>Greece-Offline</v>
      </c>
      <c r="J2710" s="40"/>
      <c r="K2710" s="59"/>
      <c r="L2710" s="35"/>
      <c r="M2710" s="35"/>
      <c r="N2710" s="35"/>
      <c r="O2710" s="35"/>
      <c r="P2710" s="35"/>
      <c r="Q2710" s="35"/>
      <c r="R2710" s="35"/>
      <c r="S2710" s="35"/>
      <c r="T2710" s="35"/>
      <c r="U2710" s="35"/>
      <c r="V2710" s="35"/>
      <c r="W2710" s="35"/>
      <c r="X2710" s="35"/>
      <c r="Y2710" s="35"/>
      <c r="Z2710" s="35"/>
      <c r="AA2710" s="35"/>
      <c r="AB2710" s="35"/>
      <c r="AC2710" s="35"/>
      <c r="AD2710" s="35"/>
      <c r="AE2710" s="35"/>
      <c r="AF2710" s="35"/>
      <c r="AG2710" s="35"/>
      <c r="AH2710" s="35"/>
      <c r="AI2710" s="35"/>
      <c r="AJ2710" s="35"/>
      <c r="AK2710" s="35"/>
      <c r="AL2710" s="35"/>
      <c r="AM2710" s="35"/>
      <c r="AN2710" s="35"/>
      <c r="AO2710" s="35"/>
      <c r="AP2710" s="35"/>
    </row>
    <row r="2711" spans="1:42" ht="17.25" customHeight="1" x14ac:dyDescent="0.25">
      <c r="A2711" s="60">
        <v>2027</v>
      </c>
      <c r="B2711" s="61" t="s">
        <v>66</v>
      </c>
      <c r="C2711" s="61" t="s">
        <v>17</v>
      </c>
      <c r="D2711" s="61" t="s">
        <v>19</v>
      </c>
      <c r="E2711" s="61" t="s">
        <v>69</v>
      </c>
      <c r="F2711" s="61" t="s">
        <v>70</v>
      </c>
      <c r="G2711" s="62">
        <v>2830358304</v>
      </c>
      <c r="H2711" s="61" t="s">
        <v>68</v>
      </c>
      <c r="I2711" s="63" t="str">
        <f t="shared" si="138"/>
        <v>Greece-Online Supplier-Direct</v>
      </c>
      <c r="J2711" s="47"/>
      <c r="K2711" s="54"/>
      <c r="L2711" s="35"/>
      <c r="M2711" s="35"/>
      <c r="N2711" s="35"/>
      <c r="O2711" s="35"/>
      <c r="P2711" s="35"/>
      <c r="Q2711" s="35"/>
      <c r="R2711" s="35"/>
      <c r="S2711" s="35"/>
      <c r="T2711" s="35"/>
      <c r="U2711" s="35"/>
      <c r="V2711" s="35"/>
      <c r="W2711" s="35"/>
      <c r="X2711" s="35"/>
      <c r="Y2711" s="35"/>
      <c r="Z2711" s="35"/>
      <c r="AA2711" s="35"/>
      <c r="AB2711" s="35"/>
      <c r="AC2711" s="35"/>
      <c r="AD2711" s="35"/>
      <c r="AE2711" s="35"/>
      <c r="AF2711" s="35"/>
      <c r="AG2711" s="35"/>
      <c r="AH2711" s="35"/>
      <c r="AI2711" s="35"/>
      <c r="AJ2711" s="35"/>
      <c r="AK2711" s="35"/>
      <c r="AL2711" s="35"/>
      <c r="AM2711" s="35"/>
      <c r="AN2711" s="35"/>
      <c r="AO2711" s="35"/>
      <c r="AP2711" s="35"/>
    </row>
    <row r="2712" spans="1:42" ht="17.25" customHeight="1" x14ac:dyDescent="0.25">
      <c r="A2712" s="55">
        <v>2027</v>
      </c>
      <c r="B2712" s="56" t="s">
        <v>66</v>
      </c>
      <c r="C2712" s="56" t="s">
        <v>17</v>
      </c>
      <c r="D2712" s="56" t="s">
        <v>19</v>
      </c>
      <c r="E2712" s="56" t="s">
        <v>69</v>
      </c>
      <c r="F2712" s="56" t="s">
        <v>71</v>
      </c>
      <c r="G2712" s="57">
        <v>5210293255</v>
      </c>
      <c r="H2712" s="56" t="s">
        <v>68</v>
      </c>
      <c r="I2712" s="58" t="str">
        <f t="shared" si="138"/>
        <v>Greece-OTA</v>
      </c>
      <c r="J2712" s="40"/>
      <c r="K2712" s="59"/>
      <c r="L2712" s="35"/>
      <c r="M2712" s="35"/>
      <c r="N2712" s="35"/>
      <c r="O2712" s="35"/>
      <c r="P2712" s="35"/>
      <c r="Q2712" s="35"/>
      <c r="R2712" s="35"/>
      <c r="S2712" s="35"/>
      <c r="T2712" s="35"/>
      <c r="U2712" s="35"/>
      <c r="V2712" s="35"/>
      <c r="W2712" s="35"/>
      <c r="X2712" s="35"/>
      <c r="Y2712" s="35"/>
      <c r="Z2712" s="35"/>
      <c r="AA2712" s="35"/>
      <c r="AB2712" s="35"/>
      <c r="AC2712" s="35"/>
      <c r="AD2712" s="35"/>
      <c r="AE2712" s="35"/>
      <c r="AF2712" s="35"/>
      <c r="AG2712" s="35"/>
      <c r="AH2712" s="35"/>
      <c r="AI2712" s="35"/>
      <c r="AJ2712" s="35"/>
      <c r="AK2712" s="35"/>
      <c r="AL2712" s="35"/>
      <c r="AM2712" s="35"/>
      <c r="AN2712" s="35"/>
      <c r="AO2712" s="35"/>
      <c r="AP2712" s="35"/>
    </row>
    <row r="2713" spans="1:42" ht="17.25" customHeight="1" x14ac:dyDescent="0.25">
      <c r="A2713" s="60">
        <v>2027</v>
      </c>
      <c r="B2713" s="61" t="s">
        <v>66</v>
      </c>
      <c r="C2713" s="61" t="s">
        <v>4</v>
      </c>
      <c r="D2713" s="61" t="s">
        <v>6</v>
      </c>
      <c r="E2713" s="61" t="s">
        <v>67</v>
      </c>
      <c r="F2713" s="61" t="s">
        <v>67</v>
      </c>
      <c r="G2713" s="62">
        <v>7478023869</v>
      </c>
      <c r="H2713" s="61" t="s">
        <v>68</v>
      </c>
      <c r="I2713" s="63" t="str">
        <f t="shared" si="138"/>
        <v>Hong Kong-Offline</v>
      </c>
      <c r="J2713" s="47"/>
      <c r="K2713" s="54"/>
      <c r="L2713" s="35"/>
      <c r="M2713" s="35"/>
      <c r="N2713" s="35"/>
      <c r="O2713" s="35"/>
      <c r="P2713" s="35"/>
      <c r="Q2713" s="35"/>
      <c r="R2713" s="35"/>
      <c r="S2713" s="35"/>
      <c r="T2713" s="35"/>
      <c r="U2713" s="35"/>
      <c r="V2713" s="35"/>
      <c r="W2713" s="35"/>
      <c r="X2713" s="35"/>
      <c r="Y2713" s="35"/>
      <c r="Z2713" s="35"/>
      <c r="AA2713" s="35"/>
      <c r="AB2713" s="35"/>
      <c r="AC2713" s="35"/>
      <c r="AD2713" s="35"/>
      <c r="AE2713" s="35"/>
      <c r="AF2713" s="35"/>
      <c r="AG2713" s="35"/>
      <c r="AH2713" s="35"/>
      <c r="AI2713" s="35"/>
      <c r="AJ2713" s="35"/>
      <c r="AK2713" s="35"/>
      <c r="AL2713" s="35"/>
      <c r="AM2713" s="35"/>
      <c r="AN2713" s="35"/>
      <c r="AO2713" s="35"/>
      <c r="AP2713" s="35"/>
    </row>
    <row r="2714" spans="1:42" ht="17.25" customHeight="1" x14ac:dyDescent="0.25">
      <c r="A2714" s="55">
        <v>2027</v>
      </c>
      <c r="B2714" s="56" t="s">
        <v>66</v>
      </c>
      <c r="C2714" s="56" t="s">
        <v>4</v>
      </c>
      <c r="D2714" s="56" t="s">
        <v>6</v>
      </c>
      <c r="E2714" s="56" t="s">
        <v>69</v>
      </c>
      <c r="F2714" s="56" t="s">
        <v>70</v>
      </c>
      <c r="G2714" s="57">
        <v>2892552677</v>
      </c>
      <c r="H2714" s="56" t="s">
        <v>68</v>
      </c>
      <c r="I2714" s="58" t="str">
        <f t="shared" si="138"/>
        <v>Hong Kong-Online Supplier-Direct</v>
      </c>
      <c r="J2714" s="40"/>
      <c r="K2714" s="59"/>
      <c r="L2714" s="35"/>
      <c r="M2714" s="35"/>
      <c r="N2714" s="35"/>
      <c r="O2714" s="35"/>
      <c r="P2714" s="35"/>
      <c r="Q2714" s="35"/>
      <c r="R2714" s="35"/>
      <c r="S2714" s="35"/>
      <c r="T2714" s="35"/>
      <c r="U2714" s="35"/>
      <c r="V2714" s="35"/>
      <c r="W2714" s="35"/>
      <c r="X2714" s="35"/>
      <c r="Y2714" s="35"/>
      <c r="Z2714" s="35"/>
      <c r="AA2714" s="35"/>
      <c r="AB2714" s="35"/>
      <c r="AC2714" s="35"/>
      <c r="AD2714" s="35"/>
      <c r="AE2714" s="35"/>
      <c r="AF2714" s="35"/>
      <c r="AG2714" s="35"/>
      <c r="AH2714" s="35"/>
      <c r="AI2714" s="35"/>
      <c r="AJ2714" s="35"/>
      <c r="AK2714" s="35"/>
      <c r="AL2714" s="35"/>
      <c r="AM2714" s="35"/>
      <c r="AN2714" s="35"/>
      <c r="AO2714" s="35"/>
      <c r="AP2714" s="35"/>
    </row>
    <row r="2715" spans="1:42" ht="17.25" customHeight="1" x14ac:dyDescent="0.25">
      <c r="A2715" s="60">
        <v>2027</v>
      </c>
      <c r="B2715" s="61" t="s">
        <v>66</v>
      </c>
      <c r="C2715" s="61" t="s">
        <v>4</v>
      </c>
      <c r="D2715" s="61" t="s">
        <v>6</v>
      </c>
      <c r="E2715" s="61" t="s">
        <v>69</v>
      </c>
      <c r="F2715" s="61" t="s">
        <v>71</v>
      </c>
      <c r="G2715" s="62">
        <v>4204265047</v>
      </c>
      <c r="H2715" s="61" t="s">
        <v>68</v>
      </c>
      <c r="I2715" s="63" t="str">
        <f t="shared" si="138"/>
        <v>Hong Kong-OTA</v>
      </c>
      <c r="J2715" s="47"/>
      <c r="K2715" s="54"/>
      <c r="L2715" s="35"/>
      <c r="M2715" s="35"/>
      <c r="N2715" s="35"/>
      <c r="O2715" s="35"/>
      <c r="P2715" s="35"/>
      <c r="Q2715" s="35"/>
      <c r="R2715" s="35"/>
      <c r="S2715" s="35"/>
      <c r="T2715" s="35"/>
      <c r="U2715" s="35"/>
      <c r="V2715" s="35"/>
      <c r="W2715" s="35"/>
      <c r="X2715" s="35"/>
      <c r="Y2715" s="35"/>
      <c r="Z2715" s="35"/>
      <c r="AA2715" s="35"/>
      <c r="AB2715" s="35"/>
      <c r="AC2715" s="35"/>
      <c r="AD2715" s="35"/>
      <c r="AE2715" s="35"/>
      <c r="AF2715" s="35"/>
      <c r="AG2715" s="35"/>
      <c r="AH2715" s="35"/>
      <c r="AI2715" s="35"/>
      <c r="AJ2715" s="35"/>
      <c r="AK2715" s="35"/>
      <c r="AL2715" s="35"/>
      <c r="AM2715" s="35"/>
      <c r="AN2715" s="35"/>
      <c r="AO2715" s="35"/>
      <c r="AP2715" s="35"/>
    </row>
    <row r="2716" spans="1:42" ht="17.25" customHeight="1" x14ac:dyDescent="0.25">
      <c r="A2716" s="55">
        <v>2027</v>
      </c>
      <c r="B2716" s="56" t="s">
        <v>66</v>
      </c>
      <c r="C2716" s="56" t="s">
        <v>17</v>
      </c>
      <c r="D2716" s="56" t="s">
        <v>20</v>
      </c>
      <c r="E2716" s="56" t="s">
        <v>67</v>
      </c>
      <c r="F2716" s="56" t="s">
        <v>67</v>
      </c>
      <c r="G2716" s="57">
        <v>686403668</v>
      </c>
      <c r="H2716" s="56" t="s">
        <v>68</v>
      </c>
      <c r="I2716" s="58" t="str">
        <f t="shared" si="138"/>
        <v>Hungary-Offline</v>
      </c>
      <c r="J2716" s="40"/>
      <c r="K2716" s="59"/>
      <c r="L2716" s="35"/>
      <c r="M2716" s="35"/>
      <c r="N2716" s="35"/>
      <c r="O2716" s="35"/>
      <c r="P2716" s="35"/>
      <c r="Q2716" s="35"/>
      <c r="R2716" s="35"/>
      <c r="S2716" s="35"/>
      <c r="T2716" s="35"/>
      <c r="U2716" s="35"/>
      <c r="V2716" s="35"/>
      <c r="W2716" s="35"/>
      <c r="X2716" s="35"/>
      <c r="Y2716" s="35"/>
      <c r="Z2716" s="35"/>
      <c r="AA2716" s="35"/>
      <c r="AB2716" s="35"/>
      <c r="AC2716" s="35"/>
      <c r="AD2716" s="35"/>
      <c r="AE2716" s="35"/>
      <c r="AF2716" s="35"/>
      <c r="AG2716" s="35"/>
      <c r="AH2716" s="35"/>
      <c r="AI2716" s="35"/>
      <c r="AJ2716" s="35"/>
      <c r="AK2716" s="35"/>
      <c r="AL2716" s="35"/>
      <c r="AM2716" s="35"/>
      <c r="AN2716" s="35"/>
      <c r="AO2716" s="35"/>
      <c r="AP2716" s="35"/>
    </row>
    <row r="2717" spans="1:42" ht="17.25" customHeight="1" x14ac:dyDescent="0.25">
      <c r="A2717" s="60">
        <v>2027</v>
      </c>
      <c r="B2717" s="61" t="s">
        <v>66</v>
      </c>
      <c r="C2717" s="61" t="s">
        <v>17</v>
      </c>
      <c r="D2717" s="61" t="s">
        <v>20</v>
      </c>
      <c r="E2717" s="61" t="s">
        <v>69</v>
      </c>
      <c r="F2717" s="61" t="s">
        <v>70</v>
      </c>
      <c r="G2717" s="62">
        <v>7654935240</v>
      </c>
      <c r="H2717" s="61" t="s">
        <v>68</v>
      </c>
      <c r="I2717" s="63" t="str">
        <f t="shared" si="138"/>
        <v>Hungary-Online Supplier-Direct</v>
      </c>
      <c r="J2717" s="47"/>
      <c r="K2717" s="54"/>
      <c r="L2717" s="35"/>
      <c r="M2717" s="35"/>
      <c r="N2717" s="35"/>
      <c r="O2717" s="35"/>
      <c r="P2717" s="35"/>
      <c r="Q2717" s="35"/>
      <c r="R2717" s="35"/>
      <c r="S2717" s="35"/>
      <c r="T2717" s="35"/>
      <c r="U2717" s="35"/>
      <c r="V2717" s="35"/>
      <c r="W2717" s="35"/>
      <c r="X2717" s="35"/>
      <c r="Y2717" s="35"/>
      <c r="Z2717" s="35"/>
      <c r="AA2717" s="35"/>
      <c r="AB2717" s="35"/>
      <c r="AC2717" s="35"/>
      <c r="AD2717" s="35"/>
      <c r="AE2717" s="35"/>
      <c r="AF2717" s="35"/>
      <c r="AG2717" s="35"/>
      <c r="AH2717" s="35"/>
      <c r="AI2717" s="35"/>
      <c r="AJ2717" s="35"/>
      <c r="AK2717" s="35"/>
      <c r="AL2717" s="35"/>
      <c r="AM2717" s="35"/>
      <c r="AN2717" s="35"/>
      <c r="AO2717" s="35"/>
      <c r="AP2717" s="35"/>
    </row>
    <row r="2718" spans="1:42" ht="17.25" customHeight="1" x14ac:dyDescent="0.25">
      <c r="A2718" s="55">
        <v>2027</v>
      </c>
      <c r="B2718" s="56" t="s">
        <v>66</v>
      </c>
      <c r="C2718" s="56" t="s">
        <v>17</v>
      </c>
      <c r="D2718" s="56" t="s">
        <v>20</v>
      </c>
      <c r="E2718" s="56" t="s">
        <v>69</v>
      </c>
      <c r="F2718" s="56" t="s">
        <v>71</v>
      </c>
      <c r="G2718" s="57">
        <v>1289834843</v>
      </c>
      <c r="H2718" s="56" t="s">
        <v>68</v>
      </c>
      <c r="I2718" s="58" t="str">
        <f t="shared" si="138"/>
        <v>Hungary-OTA</v>
      </c>
      <c r="J2718" s="40"/>
      <c r="K2718" s="59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  <c r="AG2718" s="35"/>
      <c r="AH2718" s="35"/>
      <c r="AI2718" s="35"/>
      <c r="AJ2718" s="35"/>
      <c r="AK2718" s="35"/>
      <c r="AL2718" s="35"/>
      <c r="AM2718" s="35"/>
      <c r="AN2718" s="35"/>
      <c r="AO2718" s="35"/>
      <c r="AP2718" s="35"/>
    </row>
    <row r="2719" spans="1:42" ht="17.25" customHeight="1" x14ac:dyDescent="0.25">
      <c r="A2719" s="60">
        <v>2027</v>
      </c>
      <c r="B2719" s="61" t="s">
        <v>66</v>
      </c>
      <c r="C2719" s="61" t="s">
        <v>4</v>
      </c>
      <c r="D2719" s="61" t="s">
        <v>7</v>
      </c>
      <c r="E2719" s="61" t="s">
        <v>67</v>
      </c>
      <c r="F2719" s="61" t="s">
        <v>67</v>
      </c>
      <c r="G2719" s="62">
        <v>22275839172</v>
      </c>
      <c r="H2719" s="61" t="s">
        <v>68</v>
      </c>
      <c r="I2719" s="63" t="str">
        <f t="shared" si="138"/>
        <v>India-Offline</v>
      </c>
      <c r="J2719" s="47"/>
      <c r="K2719" s="54"/>
      <c r="L2719" s="35"/>
      <c r="M2719" s="35"/>
      <c r="N2719" s="35"/>
      <c r="O2719" s="35"/>
      <c r="P2719" s="35"/>
      <c r="Q2719" s="35"/>
      <c r="R2719" s="35"/>
      <c r="S2719" s="35"/>
      <c r="T2719" s="35"/>
      <c r="U2719" s="35"/>
      <c r="V2719" s="35"/>
      <c r="W2719" s="35"/>
      <c r="X2719" s="35"/>
      <c r="Y2719" s="35"/>
      <c r="Z2719" s="35"/>
      <c r="AA2719" s="35"/>
      <c r="AB2719" s="35"/>
      <c r="AC2719" s="35"/>
      <c r="AD2719" s="35"/>
      <c r="AE2719" s="35"/>
      <c r="AF2719" s="35"/>
      <c r="AG2719" s="35"/>
      <c r="AH2719" s="35"/>
      <c r="AI2719" s="35"/>
      <c r="AJ2719" s="35"/>
      <c r="AK2719" s="35"/>
      <c r="AL2719" s="35"/>
      <c r="AM2719" s="35"/>
      <c r="AN2719" s="35"/>
      <c r="AO2719" s="35"/>
      <c r="AP2719" s="35"/>
    </row>
    <row r="2720" spans="1:42" ht="17.25" customHeight="1" x14ac:dyDescent="0.25">
      <c r="A2720" s="55">
        <v>2027</v>
      </c>
      <c r="B2720" s="56" t="s">
        <v>66</v>
      </c>
      <c r="C2720" s="56" t="s">
        <v>4</v>
      </c>
      <c r="D2720" s="56" t="s">
        <v>7</v>
      </c>
      <c r="E2720" s="56" t="s">
        <v>69</v>
      </c>
      <c r="F2720" s="56" t="s">
        <v>70</v>
      </c>
      <c r="G2720" s="57">
        <v>14998319081</v>
      </c>
      <c r="H2720" s="56" t="s">
        <v>68</v>
      </c>
      <c r="I2720" s="58" t="str">
        <f t="shared" si="138"/>
        <v>India-Online Supplier-Direct</v>
      </c>
      <c r="J2720" s="40"/>
      <c r="K2720" s="59"/>
      <c r="L2720" s="35"/>
      <c r="M2720" s="35"/>
      <c r="N2720" s="35"/>
      <c r="O2720" s="35"/>
      <c r="P2720" s="35"/>
      <c r="Q2720" s="35"/>
      <c r="R2720" s="35"/>
      <c r="S2720" s="35"/>
      <c r="T2720" s="35"/>
      <c r="U2720" s="35"/>
      <c r="V2720" s="35"/>
      <c r="W2720" s="35"/>
      <c r="X2720" s="35"/>
      <c r="Y2720" s="35"/>
      <c r="Z2720" s="35"/>
      <c r="AA2720" s="35"/>
      <c r="AB2720" s="35"/>
      <c r="AC2720" s="35"/>
      <c r="AD2720" s="35"/>
      <c r="AE2720" s="35"/>
      <c r="AF2720" s="35"/>
      <c r="AG2720" s="35"/>
      <c r="AH2720" s="35"/>
      <c r="AI2720" s="35"/>
      <c r="AJ2720" s="35"/>
      <c r="AK2720" s="35"/>
      <c r="AL2720" s="35"/>
      <c r="AM2720" s="35"/>
      <c r="AN2720" s="35"/>
      <c r="AO2720" s="35"/>
      <c r="AP2720" s="35"/>
    </row>
    <row r="2721" spans="1:42" ht="17.25" customHeight="1" x14ac:dyDescent="0.25">
      <c r="A2721" s="60">
        <v>2027</v>
      </c>
      <c r="B2721" s="61" t="s">
        <v>66</v>
      </c>
      <c r="C2721" s="61" t="s">
        <v>4</v>
      </c>
      <c r="D2721" s="61" t="s">
        <v>7</v>
      </c>
      <c r="E2721" s="61" t="s">
        <v>69</v>
      </c>
      <c r="F2721" s="61" t="s">
        <v>71</v>
      </c>
      <c r="G2721" s="62">
        <v>19253059492</v>
      </c>
      <c r="H2721" s="61" t="s">
        <v>68</v>
      </c>
      <c r="I2721" s="63" t="str">
        <f t="shared" si="138"/>
        <v>India-OTA</v>
      </c>
      <c r="J2721" s="47"/>
      <c r="K2721" s="54"/>
      <c r="L2721" s="35"/>
      <c r="M2721" s="35"/>
      <c r="N2721" s="35"/>
      <c r="O2721" s="35"/>
      <c r="P2721" s="35"/>
      <c r="Q2721" s="35"/>
      <c r="R2721" s="35"/>
      <c r="S2721" s="35"/>
      <c r="T2721" s="35"/>
      <c r="U2721" s="35"/>
      <c r="V2721" s="35"/>
      <c r="W2721" s="35"/>
      <c r="X2721" s="35"/>
      <c r="Y2721" s="35"/>
      <c r="Z2721" s="35"/>
      <c r="AA2721" s="35"/>
      <c r="AB2721" s="35"/>
      <c r="AC2721" s="35"/>
      <c r="AD2721" s="35"/>
      <c r="AE2721" s="35"/>
      <c r="AF2721" s="35"/>
      <c r="AG2721" s="35"/>
      <c r="AH2721" s="35"/>
      <c r="AI2721" s="35"/>
      <c r="AJ2721" s="35"/>
      <c r="AK2721" s="35"/>
      <c r="AL2721" s="35"/>
      <c r="AM2721" s="35"/>
      <c r="AN2721" s="35"/>
      <c r="AO2721" s="35"/>
      <c r="AP2721" s="35"/>
    </row>
    <row r="2722" spans="1:42" ht="17.25" customHeight="1" x14ac:dyDescent="0.25">
      <c r="A2722" s="55">
        <v>2027</v>
      </c>
      <c r="B2722" s="56" t="s">
        <v>66</v>
      </c>
      <c r="C2722" s="56" t="s">
        <v>4</v>
      </c>
      <c r="D2722" s="56" t="s">
        <v>8</v>
      </c>
      <c r="E2722" s="56" t="s">
        <v>67</v>
      </c>
      <c r="F2722" s="56" t="s">
        <v>67</v>
      </c>
      <c r="G2722" s="57">
        <v>4524725938</v>
      </c>
      <c r="H2722" s="56" t="s">
        <v>68</v>
      </c>
      <c r="I2722" s="58" t="str">
        <f t="shared" si="138"/>
        <v>Indonesia-Offline</v>
      </c>
      <c r="J2722" s="40"/>
      <c r="K2722" s="59"/>
      <c r="L2722" s="35"/>
      <c r="M2722" s="35"/>
      <c r="N2722" s="35"/>
      <c r="O2722" s="35"/>
      <c r="P2722" s="35"/>
      <c r="Q2722" s="35"/>
      <c r="R2722" s="35"/>
      <c r="S2722" s="35"/>
      <c r="T2722" s="35"/>
      <c r="U2722" s="35"/>
      <c r="V2722" s="35"/>
      <c r="W2722" s="35"/>
      <c r="X2722" s="35"/>
      <c r="Y2722" s="35"/>
      <c r="Z2722" s="35"/>
      <c r="AA2722" s="35"/>
      <c r="AB2722" s="35"/>
      <c r="AC2722" s="35"/>
      <c r="AD2722" s="35"/>
      <c r="AE2722" s="35"/>
      <c r="AF2722" s="35"/>
      <c r="AG2722" s="35"/>
      <c r="AH2722" s="35"/>
      <c r="AI2722" s="35"/>
      <c r="AJ2722" s="35"/>
      <c r="AK2722" s="35"/>
      <c r="AL2722" s="35"/>
      <c r="AM2722" s="35"/>
      <c r="AN2722" s="35"/>
      <c r="AO2722" s="35"/>
      <c r="AP2722" s="35"/>
    </row>
    <row r="2723" spans="1:42" ht="17.25" customHeight="1" x14ac:dyDescent="0.25">
      <c r="A2723" s="60">
        <v>2027</v>
      </c>
      <c r="B2723" s="61" t="s">
        <v>66</v>
      </c>
      <c r="C2723" s="61" t="s">
        <v>4</v>
      </c>
      <c r="D2723" s="61" t="s">
        <v>8</v>
      </c>
      <c r="E2723" s="61" t="s">
        <v>69</v>
      </c>
      <c r="F2723" s="61" t="s">
        <v>70</v>
      </c>
      <c r="G2723" s="62">
        <v>4000219080</v>
      </c>
      <c r="H2723" s="61" t="s">
        <v>68</v>
      </c>
      <c r="I2723" s="63" t="str">
        <f t="shared" si="138"/>
        <v>Indonesia-Online Supplier-Direct</v>
      </c>
      <c r="J2723" s="47"/>
      <c r="K2723" s="54"/>
      <c r="L2723" s="35"/>
      <c r="M2723" s="35"/>
      <c r="N2723" s="35"/>
      <c r="O2723" s="35"/>
      <c r="P2723" s="35"/>
      <c r="Q2723" s="35"/>
      <c r="R2723" s="35"/>
      <c r="S2723" s="35"/>
      <c r="T2723" s="35"/>
      <c r="U2723" s="35"/>
      <c r="V2723" s="35"/>
      <c r="W2723" s="35"/>
      <c r="X2723" s="35"/>
      <c r="Y2723" s="35"/>
      <c r="Z2723" s="35"/>
      <c r="AA2723" s="35"/>
      <c r="AB2723" s="35"/>
      <c r="AC2723" s="35"/>
      <c r="AD2723" s="35"/>
      <c r="AE2723" s="35"/>
      <c r="AF2723" s="35"/>
      <c r="AG2723" s="35"/>
      <c r="AH2723" s="35"/>
      <c r="AI2723" s="35"/>
      <c r="AJ2723" s="35"/>
      <c r="AK2723" s="35"/>
      <c r="AL2723" s="35"/>
      <c r="AM2723" s="35"/>
      <c r="AN2723" s="35"/>
      <c r="AO2723" s="35"/>
      <c r="AP2723" s="35"/>
    </row>
    <row r="2724" spans="1:42" ht="17.25" customHeight="1" x14ac:dyDescent="0.25">
      <c r="A2724" s="55">
        <v>2027</v>
      </c>
      <c r="B2724" s="56" t="s">
        <v>66</v>
      </c>
      <c r="C2724" s="56" t="s">
        <v>4</v>
      </c>
      <c r="D2724" s="56" t="s">
        <v>8</v>
      </c>
      <c r="E2724" s="56" t="s">
        <v>69</v>
      </c>
      <c r="F2724" s="56" t="s">
        <v>71</v>
      </c>
      <c r="G2724" s="57">
        <v>8896894254</v>
      </c>
      <c r="H2724" s="56" t="s">
        <v>68</v>
      </c>
      <c r="I2724" s="58" t="str">
        <f t="shared" si="138"/>
        <v>Indonesia-OTA</v>
      </c>
      <c r="J2724" s="40"/>
      <c r="K2724" s="59"/>
      <c r="L2724" s="35"/>
      <c r="M2724" s="35"/>
      <c r="N2724" s="35"/>
      <c r="O2724" s="35"/>
      <c r="P2724" s="35"/>
      <c r="Q2724" s="35"/>
      <c r="R2724" s="35"/>
      <c r="S2724" s="35"/>
      <c r="T2724" s="35"/>
      <c r="U2724" s="35"/>
      <c r="V2724" s="35"/>
      <c r="W2724" s="35"/>
      <c r="X2724" s="35"/>
      <c r="Y2724" s="35"/>
      <c r="Z2724" s="35"/>
      <c r="AA2724" s="35"/>
      <c r="AB2724" s="35"/>
      <c r="AC2724" s="35"/>
      <c r="AD2724" s="35"/>
      <c r="AE2724" s="35"/>
      <c r="AF2724" s="35"/>
      <c r="AG2724" s="35"/>
      <c r="AH2724" s="35"/>
      <c r="AI2724" s="35"/>
      <c r="AJ2724" s="35"/>
      <c r="AK2724" s="35"/>
      <c r="AL2724" s="35"/>
      <c r="AM2724" s="35"/>
      <c r="AN2724" s="35"/>
      <c r="AO2724" s="35"/>
      <c r="AP2724" s="35"/>
    </row>
    <row r="2725" spans="1:42" ht="17.25" customHeight="1" x14ac:dyDescent="0.25">
      <c r="A2725" s="60">
        <v>2027</v>
      </c>
      <c r="B2725" s="61" t="s">
        <v>66</v>
      </c>
      <c r="C2725" s="61" t="s">
        <v>27</v>
      </c>
      <c r="D2725" s="61" t="s">
        <v>29</v>
      </c>
      <c r="E2725" s="61" t="s">
        <v>67</v>
      </c>
      <c r="F2725" s="61" t="s">
        <v>67</v>
      </c>
      <c r="G2725" s="62">
        <v>15032131969</v>
      </c>
      <c r="H2725" s="61" t="s">
        <v>68</v>
      </c>
      <c r="I2725" s="63" t="str">
        <f t="shared" si="138"/>
        <v>Italy-Offline</v>
      </c>
      <c r="J2725" s="47"/>
      <c r="K2725" s="54"/>
      <c r="L2725" s="35"/>
      <c r="M2725" s="35"/>
      <c r="N2725" s="35"/>
      <c r="O2725" s="35"/>
      <c r="P2725" s="35"/>
      <c r="Q2725" s="35"/>
      <c r="R2725" s="35"/>
      <c r="S2725" s="35"/>
      <c r="T2725" s="35"/>
      <c r="U2725" s="35"/>
      <c r="V2725" s="35"/>
      <c r="W2725" s="35"/>
      <c r="X2725" s="35"/>
      <c r="Y2725" s="35"/>
      <c r="Z2725" s="35"/>
      <c r="AA2725" s="35"/>
      <c r="AB2725" s="35"/>
      <c r="AC2725" s="35"/>
      <c r="AD2725" s="35"/>
      <c r="AE2725" s="35"/>
      <c r="AF2725" s="35"/>
      <c r="AG2725" s="35"/>
      <c r="AH2725" s="35"/>
      <c r="AI2725" s="35"/>
      <c r="AJ2725" s="35"/>
      <c r="AK2725" s="35"/>
      <c r="AL2725" s="35"/>
      <c r="AM2725" s="35"/>
      <c r="AN2725" s="35"/>
      <c r="AO2725" s="35"/>
      <c r="AP2725" s="35"/>
    </row>
    <row r="2726" spans="1:42" ht="17.25" customHeight="1" x14ac:dyDescent="0.25">
      <c r="A2726" s="55">
        <v>2027</v>
      </c>
      <c r="B2726" s="56" t="s">
        <v>66</v>
      </c>
      <c r="C2726" s="56" t="s">
        <v>27</v>
      </c>
      <c r="D2726" s="56" t="s">
        <v>29</v>
      </c>
      <c r="E2726" s="56" t="s">
        <v>69</v>
      </c>
      <c r="F2726" s="56" t="s">
        <v>70</v>
      </c>
      <c r="G2726" s="57">
        <v>15423024566</v>
      </c>
      <c r="H2726" s="56" t="s">
        <v>68</v>
      </c>
      <c r="I2726" s="58" t="str">
        <f t="shared" si="138"/>
        <v>Italy-Online Supplier-Direct</v>
      </c>
      <c r="J2726" s="40"/>
      <c r="K2726" s="59"/>
      <c r="L2726" s="35"/>
      <c r="M2726" s="35"/>
      <c r="N2726" s="35"/>
      <c r="O2726" s="35"/>
      <c r="P2726" s="35"/>
      <c r="Q2726" s="35"/>
      <c r="R2726" s="35"/>
      <c r="S2726" s="35"/>
      <c r="T2726" s="35"/>
      <c r="U2726" s="35"/>
      <c r="V2726" s="35"/>
      <c r="W2726" s="35"/>
      <c r="X2726" s="35"/>
      <c r="Y2726" s="35"/>
      <c r="Z2726" s="35"/>
      <c r="AA2726" s="35"/>
      <c r="AB2726" s="35"/>
      <c r="AC2726" s="35"/>
      <c r="AD2726" s="35"/>
      <c r="AE2726" s="35"/>
      <c r="AF2726" s="35"/>
      <c r="AG2726" s="35"/>
      <c r="AH2726" s="35"/>
      <c r="AI2726" s="35"/>
      <c r="AJ2726" s="35"/>
      <c r="AK2726" s="35"/>
      <c r="AL2726" s="35"/>
      <c r="AM2726" s="35"/>
      <c r="AN2726" s="35"/>
      <c r="AO2726" s="35"/>
      <c r="AP2726" s="35"/>
    </row>
    <row r="2727" spans="1:42" ht="17.25" customHeight="1" x14ac:dyDescent="0.25">
      <c r="A2727" s="60">
        <v>2027</v>
      </c>
      <c r="B2727" s="61" t="s">
        <v>66</v>
      </c>
      <c r="C2727" s="61" t="s">
        <v>27</v>
      </c>
      <c r="D2727" s="61" t="s">
        <v>29</v>
      </c>
      <c r="E2727" s="61" t="s">
        <v>69</v>
      </c>
      <c r="F2727" s="61" t="s">
        <v>71</v>
      </c>
      <c r="G2727" s="62">
        <v>8048135727</v>
      </c>
      <c r="H2727" s="61" t="s">
        <v>68</v>
      </c>
      <c r="I2727" s="63" t="str">
        <f t="shared" si="138"/>
        <v>Italy-OTA</v>
      </c>
      <c r="J2727" s="47"/>
      <c r="K2727" s="54"/>
      <c r="L2727" s="35"/>
      <c r="M2727" s="35"/>
      <c r="N2727" s="35"/>
      <c r="O2727" s="35"/>
      <c r="P2727" s="35"/>
      <c r="Q2727" s="35"/>
      <c r="R2727" s="35"/>
      <c r="S2727" s="35"/>
      <c r="T2727" s="35"/>
      <c r="U2727" s="35"/>
      <c r="V2727" s="35"/>
      <c r="W2727" s="35"/>
      <c r="X2727" s="35"/>
      <c r="Y2727" s="35"/>
      <c r="Z2727" s="35"/>
      <c r="AA2727" s="35"/>
      <c r="AB2727" s="35"/>
      <c r="AC2727" s="35"/>
      <c r="AD2727" s="35"/>
      <c r="AE2727" s="35"/>
      <c r="AF2727" s="35"/>
      <c r="AG2727" s="35"/>
      <c r="AH2727" s="35"/>
      <c r="AI2727" s="35"/>
      <c r="AJ2727" s="35"/>
      <c r="AK2727" s="35"/>
      <c r="AL2727" s="35"/>
      <c r="AM2727" s="35"/>
      <c r="AN2727" s="35"/>
      <c r="AO2727" s="35"/>
      <c r="AP2727" s="35"/>
    </row>
    <row r="2728" spans="1:42" ht="17.25" customHeight="1" x14ac:dyDescent="0.25">
      <c r="A2728" s="55">
        <v>2027</v>
      </c>
      <c r="B2728" s="56" t="s">
        <v>66</v>
      </c>
      <c r="C2728" s="56" t="s">
        <v>4</v>
      </c>
      <c r="D2728" s="56" t="s">
        <v>9</v>
      </c>
      <c r="E2728" s="56" t="s">
        <v>67</v>
      </c>
      <c r="F2728" s="56" t="s">
        <v>67</v>
      </c>
      <c r="G2728" s="57">
        <v>41261278439</v>
      </c>
      <c r="H2728" s="56" t="s">
        <v>68</v>
      </c>
      <c r="I2728" s="58" t="str">
        <f t="shared" si="138"/>
        <v>Japan-Offline</v>
      </c>
      <c r="J2728" s="40"/>
      <c r="K2728" s="59"/>
      <c r="L2728" s="35"/>
      <c r="M2728" s="35"/>
      <c r="N2728" s="35"/>
      <c r="O2728" s="35"/>
      <c r="P2728" s="35"/>
      <c r="Q2728" s="35"/>
      <c r="R2728" s="35"/>
      <c r="S2728" s="35"/>
      <c r="T2728" s="35"/>
      <c r="U2728" s="35"/>
      <c r="V2728" s="35"/>
      <c r="W2728" s="35"/>
      <c r="X2728" s="35"/>
      <c r="Y2728" s="35"/>
      <c r="Z2728" s="35"/>
      <c r="AA2728" s="35"/>
      <c r="AB2728" s="35"/>
      <c r="AC2728" s="35"/>
      <c r="AD2728" s="35"/>
      <c r="AE2728" s="35"/>
      <c r="AF2728" s="35"/>
      <c r="AG2728" s="35"/>
      <c r="AH2728" s="35"/>
      <c r="AI2728" s="35"/>
      <c r="AJ2728" s="35"/>
      <c r="AK2728" s="35"/>
      <c r="AL2728" s="35"/>
      <c r="AM2728" s="35"/>
      <c r="AN2728" s="35"/>
      <c r="AO2728" s="35"/>
      <c r="AP2728" s="35"/>
    </row>
    <row r="2729" spans="1:42" ht="17.25" customHeight="1" x14ac:dyDescent="0.25">
      <c r="A2729" s="60">
        <v>2027</v>
      </c>
      <c r="B2729" s="61" t="s">
        <v>66</v>
      </c>
      <c r="C2729" s="61" t="s">
        <v>4</v>
      </c>
      <c r="D2729" s="61" t="s">
        <v>9</v>
      </c>
      <c r="E2729" s="61" t="s">
        <v>69</v>
      </c>
      <c r="F2729" s="61" t="s">
        <v>70</v>
      </c>
      <c r="G2729" s="62">
        <v>34591348089</v>
      </c>
      <c r="H2729" s="61" t="s">
        <v>68</v>
      </c>
      <c r="I2729" s="63" t="str">
        <f t="shared" si="138"/>
        <v>Japan-Online Supplier-Direct</v>
      </c>
      <c r="J2729" s="47"/>
      <c r="K2729" s="54"/>
      <c r="L2729" s="35"/>
      <c r="M2729" s="35"/>
      <c r="N2729" s="35"/>
      <c r="O2729" s="35"/>
      <c r="P2729" s="35"/>
      <c r="Q2729" s="35"/>
      <c r="R2729" s="35"/>
      <c r="S2729" s="35"/>
      <c r="T2729" s="35"/>
      <c r="U2729" s="35"/>
      <c r="V2729" s="35"/>
      <c r="W2729" s="35"/>
      <c r="X2729" s="35"/>
      <c r="Y2729" s="35"/>
      <c r="Z2729" s="35"/>
      <c r="AA2729" s="35"/>
      <c r="AB2729" s="35"/>
      <c r="AC2729" s="35"/>
      <c r="AD2729" s="35"/>
      <c r="AE2729" s="35"/>
      <c r="AF2729" s="35"/>
      <c r="AG2729" s="35"/>
      <c r="AH2729" s="35"/>
      <c r="AI2729" s="35"/>
      <c r="AJ2729" s="35"/>
      <c r="AK2729" s="35"/>
      <c r="AL2729" s="35"/>
      <c r="AM2729" s="35"/>
      <c r="AN2729" s="35"/>
      <c r="AO2729" s="35"/>
      <c r="AP2729" s="35"/>
    </row>
    <row r="2730" spans="1:42" ht="17.25" customHeight="1" x14ac:dyDescent="0.25">
      <c r="A2730" s="55">
        <v>2027</v>
      </c>
      <c r="B2730" s="56" t="s">
        <v>66</v>
      </c>
      <c r="C2730" s="56" t="s">
        <v>4</v>
      </c>
      <c r="D2730" s="56" t="s">
        <v>9</v>
      </c>
      <c r="E2730" s="56" t="s">
        <v>69</v>
      </c>
      <c r="F2730" s="56" t="s">
        <v>71</v>
      </c>
      <c r="G2730" s="57">
        <v>27690090930</v>
      </c>
      <c r="H2730" s="56" t="s">
        <v>68</v>
      </c>
      <c r="I2730" s="58" t="str">
        <f t="shared" si="138"/>
        <v>Japan-OTA</v>
      </c>
      <c r="J2730" s="40"/>
      <c r="K2730" s="59"/>
      <c r="L2730" s="35"/>
      <c r="M2730" s="35"/>
      <c r="N2730" s="35"/>
      <c r="O2730" s="35"/>
      <c r="P2730" s="35"/>
      <c r="Q2730" s="35"/>
      <c r="R2730" s="35"/>
      <c r="S2730" s="35"/>
      <c r="T2730" s="35"/>
      <c r="U2730" s="35"/>
      <c r="V2730" s="35"/>
      <c r="W2730" s="35"/>
      <c r="X2730" s="35"/>
      <c r="Y2730" s="35"/>
      <c r="Z2730" s="35"/>
      <c r="AA2730" s="35"/>
      <c r="AB2730" s="35"/>
      <c r="AC2730" s="35"/>
      <c r="AD2730" s="35"/>
      <c r="AE2730" s="35"/>
      <c r="AF2730" s="35"/>
      <c r="AG2730" s="35"/>
      <c r="AH2730" s="35"/>
      <c r="AI2730" s="35"/>
      <c r="AJ2730" s="35"/>
      <c r="AK2730" s="35"/>
      <c r="AL2730" s="35"/>
      <c r="AM2730" s="35"/>
      <c r="AN2730" s="35"/>
      <c r="AO2730" s="35"/>
      <c r="AP2730" s="35"/>
    </row>
    <row r="2731" spans="1:42" ht="17.25" customHeight="1" x14ac:dyDescent="0.25">
      <c r="A2731" s="60">
        <v>2027</v>
      </c>
      <c r="B2731" s="61" t="s">
        <v>66</v>
      </c>
      <c r="C2731" s="61" t="s">
        <v>4</v>
      </c>
      <c r="D2731" s="61" t="s">
        <v>10</v>
      </c>
      <c r="E2731" s="61" t="s">
        <v>67</v>
      </c>
      <c r="F2731" s="61" t="s">
        <v>67</v>
      </c>
      <c r="G2731" s="62">
        <v>709753253</v>
      </c>
      <c r="H2731" s="61" t="s">
        <v>68</v>
      </c>
      <c r="I2731" s="63" t="str">
        <f t="shared" si="138"/>
        <v>Macau-Offline</v>
      </c>
      <c r="J2731" s="47"/>
      <c r="K2731" s="54"/>
      <c r="L2731" s="35"/>
      <c r="M2731" s="35"/>
      <c r="N2731" s="35"/>
      <c r="O2731" s="35"/>
      <c r="P2731" s="35"/>
      <c r="Q2731" s="35"/>
      <c r="R2731" s="35"/>
      <c r="S2731" s="35"/>
      <c r="T2731" s="35"/>
      <c r="U2731" s="35"/>
      <c r="V2731" s="35"/>
      <c r="W2731" s="35"/>
      <c r="X2731" s="35"/>
      <c r="Y2731" s="35"/>
      <c r="Z2731" s="35"/>
      <c r="AA2731" s="35"/>
      <c r="AB2731" s="35"/>
      <c r="AC2731" s="35"/>
      <c r="AD2731" s="35"/>
      <c r="AE2731" s="35"/>
      <c r="AF2731" s="35"/>
      <c r="AG2731" s="35"/>
      <c r="AH2731" s="35"/>
      <c r="AI2731" s="35"/>
      <c r="AJ2731" s="35"/>
      <c r="AK2731" s="35"/>
      <c r="AL2731" s="35"/>
      <c r="AM2731" s="35"/>
      <c r="AN2731" s="35"/>
      <c r="AO2731" s="35"/>
      <c r="AP2731" s="35"/>
    </row>
    <row r="2732" spans="1:42" ht="17.25" customHeight="1" x14ac:dyDescent="0.25">
      <c r="A2732" s="55">
        <v>2027</v>
      </c>
      <c r="B2732" s="56" t="s">
        <v>66</v>
      </c>
      <c r="C2732" s="56" t="s">
        <v>4</v>
      </c>
      <c r="D2732" s="56" t="s">
        <v>10</v>
      </c>
      <c r="E2732" s="56" t="s">
        <v>69</v>
      </c>
      <c r="F2732" s="56" t="s">
        <v>70</v>
      </c>
      <c r="G2732" s="57">
        <v>223356263</v>
      </c>
      <c r="H2732" s="56" t="s">
        <v>68</v>
      </c>
      <c r="I2732" s="58" t="str">
        <f t="shared" si="138"/>
        <v>Macau-Online Supplier-Direct</v>
      </c>
      <c r="J2732" s="40"/>
      <c r="K2732" s="59"/>
      <c r="L2732" s="35"/>
      <c r="M2732" s="35"/>
      <c r="N2732" s="35"/>
      <c r="O2732" s="35"/>
      <c r="P2732" s="35"/>
      <c r="Q2732" s="35"/>
      <c r="R2732" s="35"/>
      <c r="S2732" s="35"/>
      <c r="T2732" s="35"/>
      <c r="U2732" s="35"/>
      <c r="V2732" s="35"/>
      <c r="W2732" s="35"/>
      <c r="X2732" s="35"/>
      <c r="Y2732" s="35"/>
      <c r="Z2732" s="35"/>
      <c r="AA2732" s="35"/>
      <c r="AB2732" s="35"/>
      <c r="AC2732" s="35"/>
      <c r="AD2732" s="35"/>
      <c r="AE2732" s="35"/>
      <c r="AF2732" s="35"/>
      <c r="AG2732" s="35"/>
      <c r="AH2732" s="35"/>
      <c r="AI2732" s="35"/>
      <c r="AJ2732" s="35"/>
      <c r="AK2732" s="35"/>
      <c r="AL2732" s="35"/>
      <c r="AM2732" s="35"/>
      <c r="AN2732" s="35"/>
      <c r="AO2732" s="35"/>
      <c r="AP2732" s="35"/>
    </row>
    <row r="2733" spans="1:42" ht="17.25" customHeight="1" x14ac:dyDescent="0.25">
      <c r="A2733" s="60">
        <v>2027</v>
      </c>
      <c r="B2733" s="61" t="s">
        <v>66</v>
      </c>
      <c r="C2733" s="61" t="s">
        <v>4</v>
      </c>
      <c r="D2733" s="61" t="s">
        <v>10</v>
      </c>
      <c r="E2733" s="61" t="s">
        <v>69</v>
      </c>
      <c r="F2733" s="61" t="s">
        <v>71</v>
      </c>
      <c r="G2733" s="62">
        <v>2152774194</v>
      </c>
      <c r="H2733" s="61" t="s">
        <v>68</v>
      </c>
      <c r="I2733" s="63" t="str">
        <f t="shared" si="138"/>
        <v>Macau-OTA</v>
      </c>
      <c r="J2733" s="47"/>
      <c r="K2733" s="54"/>
      <c r="L2733" s="35"/>
      <c r="M2733" s="35"/>
      <c r="N2733" s="35"/>
      <c r="O2733" s="35"/>
      <c r="P2733" s="35"/>
      <c r="Q2733" s="35"/>
      <c r="R2733" s="35"/>
      <c r="S2733" s="35"/>
      <c r="T2733" s="35"/>
      <c r="U2733" s="35"/>
      <c r="V2733" s="35"/>
      <c r="W2733" s="35"/>
      <c r="X2733" s="35"/>
      <c r="Y2733" s="35"/>
      <c r="Z2733" s="35"/>
      <c r="AA2733" s="35"/>
      <c r="AB2733" s="35"/>
      <c r="AC2733" s="35"/>
      <c r="AD2733" s="35"/>
      <c r="AE2733" s="35"/>
      <c r="AF2733" s="35"/>
      <c r="AG2733" s="35"/>
      <c r="AH2733" s="35"/>
      <c r="AI2733" s="35"/>
      <c r="AJ2733" s="35"/>
      <c r="AK2733" s="35"/>
      <c r="AL2733" s="35"/>
      <c r="AM2733" s="35"/>
      <c r="AN2733" s="35"/>
      <c r="AO2733" s="35"/>
      <c r="AP2733" s="35"/>
    </row>
    <row r="2734" spans="1:42" ht="17.25" customHeight="1" x14ac:dyDescent="0.25">
      <c r="A2734" s="55">
        <v>2027</v>
      </c>
      <c r="B2734" s="56" t="s">
        <v>66</v>
      </c>
      <c r="C2734" s="56" t="s">
        <v>4</v>
      </c>
      <c r="D2734" s="56" t="s">
        <v>11</v>
      </c>
      <c r="E2734" s="56" t="s">
        <v>67</v>
      </c>
      <c r="F2734" s="56" t="s">
        <v>67</v>
      </c>
      <c r="G2734" s="57">
        <v>3081381551</v>
      </c>
      <c r="H2734" s="56" t="s">
        <v>68</v>
      </c>
      <c r="I2734" s="58" t="str">
        <f t="shared" si="138"/>
        <v>Malaysia-Offline</v>
      </c>
      <c r="J2734" s="40"/>
      <c r="K2734" s="59"/>
      <c r="L2734" s="35"/>
      <c r="M2734" s="35"/>
      <c r="N2734" s="35"/>
      <c r="O2734" s="35"/>
      <c r="P2734" s="35"/>
      <c r="Q2734" s="35"/>
      <c r="R2734" s="35"/>
      <c r="S2734" s="35"/>
      <c r="T2734" s="35"/>
      <c r="U2734" s="35"/>
      <c r="V2734" s="35"/>
      <c r="W2734" s="35"/>
      <c r="X2734" s="35"/>
      <c r="Y2734" s="35"/>
      <c r="Z2734" s="35"/>
      <c r="AA2734" s="35"/>
      <c r="AB2734" s="35"/>
      <c r="AC2734" s="35"/>
      <c r="AD2734" s="35"/>
      <c r="AE2734" s="35"/>
      <c r="AF2734" s="35"/>
      <c r="AG2734" s="35"/>
      <c r="AH2734" s="35"/>
      <c r="AI2734" s="35"/>
      <c r="AJ2734" s="35"/>
      <c r="AK2734" s="35"/>
      <c r="AL2734" s="35"/>
      <c r="AM2734" s="35"/>
      <c r="AN2734" s="35"/>
      <c r="AO2734" s="35"/>
      <c r="AP2734" s="35"/>
    </row>
    <row r="2735" spans="1:42" ht="17.25" customHeight="1" x14ac:dyDescent="0.25">
      <c r="A2735" s="60">
        <v>2027</v>
      </c>
      <c r="B2735" s="61" t="s">
        <v>66</v>
      </c>
      <c r="C2735" s="61" t="s">
        <v>4</v>
      </c>
      <c r="D2735" s="61" t="s">
        <v>11</v>
      </c>
      <c r="E2735" s="61" t="s">
        <v>69</v>
      </c>
      <c r="F2735" s="61" t="s">
        <v>70</v>
      </c>
      <c r="G2735" s="62">
        <v>8381224870</v>
      </c>
      <c r="H2735" s="61" t="s">
        <v>68</v>
      </c>
      <c r="I2735" s="63" t="str">
        <f t="shared" si="138"/>
        <v>Malaysia-Online Supplier-Direct</v>
      </c>
      <c r="J2735" s="47"/>
      <c r="K2735" s="54"/>
      <c r="L2735" s="35"/>
      <c r="M2735" s="35"/>
      <c r="N2735" s="35"/>
      <c r="O2735" s="35"/>
      <c r="P2735" s="35"/>
      <c r="Q2735" s="35"/>
      <c r="R2735" s="35"/>
      <c r="S2735" s="35"/>
      <c r="T2735" s="35"/>
      <c r="U2735" s="35"/>
      <c r="V2735" s="35"/>
      <c r="W2735" s="35"/>
      <c r="X2735" s="35"/>
      <c r="Y2735" s="35"/>
      <c r="Z2735" s="35"/>
      <c r="AA2735" s="35"/>
      <c r="AB2735" s="35"/>
      <c r="AC2735" s="35"/>
      <c r="AD2735" s="35"/>
      <c r="AE2735" s="35"/>
      <c r="AF2735" s="35"/>
      <c r="AG2735" s="35"/>
      <c r="AH2735" s="35"/>
      <c r="AI2735" s="35"/>
      <c r="AJ2735" s="35"/>
      <c r="AK2735" s="35"/>
      <c r="AL2735" s="35"/>
      <c r="AM2735" s="35"/>
      <c r="AN2735" s="35"/>
      <c r="AO2735" s="35"/>
      <c r="AP2735" s="35"/>
    </row>
    <row r="2736" spans="1:42" ht="17.25" customHeight="1" x14ac:dyDescent="0.25">
      <c r="A2736" s="55">
        <v>2027</v>
      </c>
      <c r="B2736" s="56" t="s">
        <v>66</v>
      </c>
      <c r="C2736" s="56" t="s">
        <v>4</v>
      </c>
      <c r="D2736" s="56" t="s">
        <v>11</v>
      </c>
      <c r="E2736" s="56" t="s">
        <v>69</v>
      </c>
      <c r="F2736" s="56" t="s">
        <v>71</v>
      </c>
      <c r="G2736" s="57">
        <v>4446994903</v>
      </c>
      <c r="H2736" s="56" t="s">
        <v>68</v>
      </c>
      <c r="I2736" s="58" t="str">
        <f t="shared" si="138"/>
        <v>Malaysia-OTA</v>
      </c>
      <c r="J2736" s="40"/>
      <c r="K2736" s="59"/>
      <c r="L2736" s="35"/>
      <c r="M2736" s="35"/>
      <c r="N2736" s="35"/>
      <c r="O2736" s="35"/>
      <c r="P2736" s="35"/>
      <c r="Q2736" s="35"/>
      <c r="R2736" s="35"/>
      <c r="S2736" s="35"/>
      <c r="T2736" s="35"/>
      <c r="U2736" s="35"/>
      <c r="V2736" s="35"/>
      <c r="W2736" s="35"/>
      <c r="X2736" s="35"/>
      <c r="Y2736" s="35"/>
      <c r="Z2736" s="35"/>
      <c r="AA2736" s="35"/>
      <c r="AB2736" s="35"/>
      <c r="AC2736" s="35"/>
      <c r="AD2736" s="35"/>
      <c r="AE2736" s="35"/>
      <c r="AF2736" s="35"/>
      <c r="AG2736" s="35"/>
      <c r="AH2736" s="35"/>
      <c r="AI2736" s="35"/>
      <c r="AJ2736" s="35"/>
      <c r="AK2736" s="35"/>
      <c r="AL2736" s="35"/>
      <c r="AM2736" s="35"/>
      <c r="AN2736" s="35"/>
      <c r="AO2736" s="35"/>
      <c r="AP2736" s="35"/>
    </row>
    <row r="2737" spans="1:42" ht="17.25" customHeight="1" x14ac:dyDescent="0.25">
      <c r="A2737" s="60">
        <v>2027</v>
      </c>
      <c r="B2737" s="61" t="s">
        <v>66</v>
      </c>
      <c r="C2737" s="61" t="s">
        <v>35</v>
      </c>
      <c r="D2737" s="61" t="s">
        <v>39</v>
      </c>
      <c r="E2737" s="61" t="s">
        <v>67</v>
      </c>
      <c r="F2737" s="61" t="s">
        <v>67</v>
      </c>
      <c r="G2737" s="62">
        <v>18315051255</v>
      </c>
      <c r="H2737" s="61" t="s">
        <v>68</v>
      </c>
      <c r="I2737" s="63" t="str">
        <f t="shared" si="138"/>
        <v>Mexico-Offline</v>
      </c>
      <c r="J2737" s="47"/>
      <c r="K2737" s="54"/>
      <c r="L2737" s="35"/>
      <c r="M2737" s="35"/>
      <c r="N2737" s="35"/>
      <c r="O2737" s="35"/>
      <c r="P2737" s="35"/>
      <c r="Q2737" s="35"/>
      <c r="R2737" s="35"/>
      <c r="S2737" s="35"/>
      <c r="T2737" s="35"/>
      <c r="U2737" s="35"/>
      <c r="V2737" s="35"/>
      <c r="W2737" s="35"/>
      <c r="X2737" s="35"/>
      <c r="Y2737" s="35"/>
      <c r="Z2737" s="35"/>
      <c r="AA2737" s="35"/>
      <c r="AB2737" s="35"/>
      <c r="AC2737" s="35"/>
      <c r="AD2737" s="35"/>
      <c r="AE2737" s="35"/>
      <c r="AF2737" s="35"/>
      <c r="AG2737" s="35"/>
      <c r="AH2737" s="35"/>
      <c r="AI2737" s="35"/>
      <c r="AJ2737" s="35"/>
      <c r="AK2737" s="35"/>
      <c r="AL2737" s="35"/>
      <c r="AM2737" s="35"/>
      <c r="AN2737" s="35"/>
      <c r="AO2737" s="35"/>
      <c r="AP2737" s="35"/>
    </row>
    <row r="2738" spans="1:42" ht="17.25" customHeight="1" x14ac:dyDescent="0.25">
      <c r="A2738" s="55">
        <v>2027</v>
      </c>
      <c r="B2738" s="56" t="s">
        <v>66</v>
      </c>
      <c r="C2738" s="56" t="s">
        <v>35</v>
      </c>
      <c r="D2738" s="56" t="s">
        <v>39</v>
      </c>
      <c r="E2738" s="56" t="s">
        <v>69</v>
      </c>
      <c r="F2738" s="56" t="s">
        <v>70</v>
      </c>
      <c r="G2738" s="57">
        <v>11246265453</v>
      </c>
      <c r="H2738" s="56" t="s">
        <v>68</v>
      </c>
      <c r="I2738" s="58" t="str">
        <f t="shared" si="138"/>
        <v>Mexico-Online Supplier-Direct</v>
      </c>
      <c r="J2738" s="40"/>
      <c r="K2738" s="59"/>
      <c r="L2738" s="35"/>
      <c r="M2738" s="35"/>
      <c r="N2738" s="35"/>
      <c r="O2738" s="35"/>
      <c r="P2738" s="35"/>
      <c r="Q2738" s="35"/>
      <c r="R2738" s="35"/>
      <c r="S2738" s="35"/>
      <c r="T2738" s="35"/>
      <c r="U2738" s="35"/>
      <c r="V2738" s="35"/>
      <c r="W2738" s="35"/>
      <c r="X2738" s="35"/>
      <c r="Y2738" s="35"/>
      <c r="Z2738" s="35"/>
      <c r="AA2738" s="35"/>
      <c r="AB2738" s="35"/>
      <c r="AC2738" s="35"/>
      <c r="AD2738" s="35"/>
      <c r="AE2738" s="35"/>
      <c r="AF2738" s="35"/>
      <c r="AG2738" s="35"/>
      <c r="AH2738" s="35"/>
      <c r="AI2738" s="35"/>
      <c r="AJ2738" s="35"/>
      <c r="AK2738" s="35"/>
      <c r="AL2738" s="35"/>
      <c r="AM2738" s="35"/>
      <c r="AN2738" s="35"/>
      <c r="AO2738" s="35"/>
      <c r="AP2738" s="35"/>
    </row>
    <row r="2739" spans="1:42" ht="17.25" customHeight="1" x14ac:dyDescent="0.25">
      <c r="A2739" s="60">
        <v>2027</v>
      </c>
      <c r="B2739" s="61" t="s">
        <v>66</v>
      </c>
      <c r="C2739" s="61" t="s">
        <v>35</v>
      </c>
      <c r="D2739" s="61" t="s">
        <v>39</v>
      </c>
      <c r="E2739" s="61" t="s">
        <v>69</v>
      </c>
      <c r="F2739" s="61" t="s">
        <v>71</v>
      </c>
      <c r="G2739" s="62">
        <v>11059011020</v>
      </c>
      <c r="H2739" s="61" t="s">
        <v>68</v>
      </c>
      <c r="I2739" s="63" t="str">
        <f t="shared" si="138"/>
        <v>Mexico-OTA</v>
      </c>
      <c r="J2739" s="47"/>
      <c r="K2739" s="54"/>
      <c r="L2739" s="35"/>
      <c r="M2739" s="35"/>
      <c r="N2739" s="35"/>
      <c r="O2739" s="35"/>
      <c r="P2739" s="35"/>
      <c r="Q2739" s="35"/>
      <c r="R2739" s="35"/>
      <c r="S2739" s="35"/>
      <c r="T2739" s="35"/>
      <c r="U2739" s="35"/>
      <c r="V2739" s="35"/>
      <c r="W2739" s="35"/>
      <c r="X2739" s="35"/>
      <c r="Y2739" s="35"/>
      <c r="Z2739" s="35"/>
      <c r="AA2739" s="35"/>
      <c r="AB2739" s="35"/>
      <c r="AC2739" s="35"/>
      <c r="AD2739" s="35"/>
      <c r="AE2739" s="35"/>
      <c r="AF2739" s="35"/>
      <c r="AG2739" s="35"/>
      <c r="AH2739" s="35"/>
      <c r="AI2739" s="35"/>
      <c r="AJ2739" s="35"/>
      <c r="AK2739" s="35"/>
      <c r="AL2739" s="35"/>
      <c r="AM2739" s="35"/>
      <c r="AN2739" s="35"/>
      <c r="AO2739" s="35"/>
      <c r="AP2739" s="35"/>
    </row>
    <row r="2740" spans="1:42" ht="17.25" customHeight="1" x14ac:dyDescent="0.25">
      <c r="A2740" s="55">
        <v>2027</v>
      </c>
      <c r="B2740" s="56" t="s">
        <v>66</v>
      </c>
      <c r="C2740" s="56" t="s">
        <v>17</v>
      </c>
      <c r="D2740" s="56" t="s">
        <v>21</v>
      </c>
      <c r="E2740" s="56" t="s">
        <v>67</v>
      </c>
      <c r="F2740" s="56" t="s">
        <v>67</v>
      </c>
      <c r="G2740" s="57">
        <v>3481393711</v>
      </c>
      <c r="H2740" s="56" t="s">
        <v>68</v>
      </c>
      <c r="I2740" s="58" t="str">
        <f t="shared" si="138"/>
        <v>Poland-Offline</v>
      </c>
      <c r="J2740" s="40"/>
      <c r="K2740" s="59"/>
      <c r="L2740" s="35"/>
      <c r="M2740" s="35"/>
      <c r="N2740" s="35"/>
      <c r="O2740" s="35"/>
      <c r="P2740" s="35"/>
      <c r="Q2740" s="35"/>
      <c r="R2740" s="35"/>
      <c r="S2740" s="35"/>
      <c r="T2740" s="35"/>
      <c r="U2740" s="35"/>
      <c r="V2740" s="35"/>
      <c r="W2740" s="35"/>
      <c r="X2740" s="35"/>
      <c r="Y2740" s="35"/>
      <c r="Z2740" s="35"/>
      <c r="AA2740" s="35"/>
      <c r="AB2740" s="35"/>
      <c r="AC2740" s="35"/>
      <c r="AD2740" s="35"/>
      <c r="AE2740" s="35"/>
      <c r="AF2740" s="35"/>
      <c r="AG2740" s="35"/>
      <c r="AH2740" s="35"/>
      <c r="AI2740" s="35"/>
      <c r="AJ2740" s="35"/>
      <c r="AK2740" s="35"/>
      <c r="AL2740" s="35"/>
      <c r="AM2740" s="35"/>
      <c r="AN2740" s="35"/>
      <c r="AO2740" s="35"/>
      <c r="AP2740" s="35"/>
    </row>
    <row r="2741" spans="1:42" ht="17.25" customHeight="1" x14ac:dyDescent="0.25">
      <c r="A2741" s="60">
        <v>2027</v>
      </c>
      <c r="B2741" s="61" t="s">
        <v>66</v>
      </c>
      <c r="C2741" s="61" t="s">
        <v>17</v>
      </c>
      <c r="D2741" s="61" t="s">
        <v>21</v>
      </c>
      <c r="E2741" s="61" t="s">
        <v>69</v>
      </c>
      <c r="F2741" s="61" t="s">
        <v>70</v>
      </c>
      <c r="G2741" s="62">
        <v>2956268442</v>
      </c>
      <c r="H2741" s="61" t="s">
        <v>68</v>
      </c>
      <c r="I2741" s="63" t="str">
        <f t="shared" si="138"/>
        <v>Poland-Online Supplier-Direct</v>
      </c>
      <c r="J2741" s="47"/>
      <c r="K2741" s="54"/>
      <c r="L2741" s="35"/>
      <c r="M2741" s="35"/>
      <c r="N2741" s="35"/>
      <c r="O2741" s="35"/>
      <c r="P2741" s="35"/>
      <c r="Q2741" s="35"/>
      <c r="R2741" s="35"/>
      <c r="S2741" s="35"/>
      <c r="T2741" s="35"/>
      <c r="U2741" s="35"/>
      <c r="V2741" s="35"/>
      <c r="W2741" s="35"/>
      <c r="X2741" s="35"/>
      <c r="Y2741" s="35"/>
      <c r="Z2741" s="35"/>
      <c r="AA2741" s="35"/>
      <c r="AB2741" s="35"/>
      <c r="AC2741" s="35"/>
      <c r="AD2741" s="35"/>
      <c r="AE2741" s="35"/>
      <c r="AF2741" s="35"/>
      <c r="AG2741" s="35"/>
      <c r="AH2741" s="35"/>
      <c r="AI2741" s="35"/>
      <c r="AJ2741" s="35"/>
      <c r="AK2741" s="35"/>
      <c r="AL2741" s="35"/>
      <c r="AM2741" s="35"/>
      <c r="AN2741" s="35"/>
      <c r="AO2741" s="35"/>
      <c r="AP2741" s="35"/>
    </row>
    <row r="2742" spans="1:42" ht="17.25" customHeight="1" x14ac:dyDescent="0.25">
      <c r="A2742" s="55">
        <v>2027</v>
      </c>
      <c r="B2742" s="56" t="s">
        <v>66</v>
      </c>
      <c r="C2742" s="56" t="s">
        <v>17</v>
      </c>
      <c r="D2742" s="56" t="s">
        <v>21</v>
      </c>
      <c r="E2742" s="56" t="s">
        <v>69</v>
      </c>
      <c r="F2742" s="56" t="s">
        <v>71</v>
      </c>
      <c r="G2742" s="57">
        <v>2315209631</v>
      </c>
      <c r="H2742" s="56" t="s">
        <v>68</v>
      </c>
      <c r="I2742" s="58" t="str">
        <f t="shared" si="138"/>
        <v>Poland-OTA</v>
      </c>
      <c r="J2742" s="40"/>
      <c r="K2742" s="59"/>
      <c r="L2742" s="35"/>
      <c r="M2742" s="35"/>
      <c r="N2742" s="35"/>
      <c r="O2742" s="35"/>
      <c r="P2742" s="35"/>
      <c r="Q2742" s="35"/>
      <c r="R2742" s="35"/>
      <c r="S2742" s="35"/>
      <c r="T2742" s="35"/>
      <c r="U2742" s="35"/>
      <c r="V2742" s="35"/>
      <c r="W2742" s="35"/>
      <c r="X2742" s="35"/>
      <c r="Y2742" s="35"/>
      <c r="Z2742" s="35"/>
      <c r="AA2742" s="35"/>
      <c r="AB2742" s="35"/>
      <c r="AC2742" s="35"/>
      <c r="AD2742" s="35"/>
      <c r="AE2742" s="35"/>
      <c r="AF2742" s="35"/>
      <c r="AG2742" s="35"/>
      <c r="AH2742" s="35"/>
      <c r="AI2742" s="35"/>
      <c r="AJ2742" s="35"/>
      <c r="AK2742" s="35"/>
      <c r="AL2742" s="35"/>
      <c r="AM2742" s="35"/>
      <c r="AN2742" s="35"/>
      <c r="AO2742" s="35"/>
      <c r="AP2742" s="35"/>
    </row>
    <row r="2743" spans="1:42" ht="17.25" customHeight="1" x14ac:dyDescent="0.25">
      <c r="A2743" s="60">
        <v>2027</v>
      </c>
      <c r="B2743" s="61" t="s">
        <v>66</v>
      </c>
      <c r="C2743" s="61" t="s">
        <v>41</v>
      </c>
      <c r="D2743" s="61" t="s">
        <v>42</v>
      </c>
      <c r="E2743" s="61" t="s">
        <v>67</v>
      </c>
      <c r="F2743" s="61" t="s">
        <v>67</v>
      </c>
      <c r="G2743" s="62">
        <v>10490473483</v>
      </c>
      <c r="H2743" s="61" t="s">
        <v>68</v>
      </c>
      <c r="I2743" s="63" t="str">
        <f t="shared" si="138"/>
        <v>Qatar-Offline</v>
      </c>
      <c r="J2743" s="47"/>
      <c r="K2743" s="54"/>
      <c r="L2743" s="35"/>
      <c r="M2743" s="35"/>
      <c r="N2743" s="35"/>
      <c r="O2743" s="35"/>
      <c r="P2743" s="35"/>
      <c r="Q2743" s="35"/>
      <c r="R2743" s="35"/>
      <c r="S2743" s="35"/>
      <c r="T2743" s="35"/>
      <c r="U2743" s="35"/>
      <c r="V2743" s="35"/>
      <c r="W2743" s="35"/>
      <c r="X2743" s="35"/>
      <c r="Y2743" s="35"/>
      <c r="Z2743" s="35"/>
      <c r="AA2743" s="35"/>
      <c r="AB2743" s="35"/>
      <c r="AC2743" s="35"/>
      <c r="AD2743" s="35"/>
      <c r="AE2743" s="35"/>
      <c r="AF2743" s="35"/>
      <c r="AG2743" s="35"/>
      <c r="AH2743" s="35"/>
      <c r="AI2743" s="35"/>
      <c r="AJ2743" s="35"/>
      <c r="AK2743" s="35"/>
      <c r="AL2743" s="35"/>
      <c r="AM2743" s="35"/>
      <c r="AN2743" s="35"/>
      <c r="AO2743" s="35"/>
      <c r="AP2743" s="35"/>
    </row>
    <row r="2744" spans="1:42" ht="17.25" customHeight="1" x14ac:dyDescent="0.25">
      <c r="A2744" s="55">
        <v>2027</v>
      </c>
      <c r="B2744" s="56" t="s">
        <v>66</v>
      </c>
      <c r="C2744" s="56" t="s">
        <v>41</v>
      </c>
      <c r="D2744" s="56" t="s">
        <v>42</v>
      </c>
      <c r="E2744" s="56" t="s">
        <v>69</v>
      </c>
      <c r="F2744" s="56" t="s">
        <v>70</v>
      </c>
      <c r="G2744" s="57">
        <v>8020999236</v>
      </c>
      <c r="H2744" s="56" t="s">
        <v>68</v>
      </c>
      <c r="I2744" s="58" t="str">
        <f t="shared" si="138"/>
        <v>Qatar-Online Supplier-Direct</v>
      </c>
      <c r="J2744" s="40"/>
      <c r="K2744" s="59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  <c r="AG2744" s="35"/>
      <c r="AH2744" s="35"/>
      <c r="AI2744" s="35"/>
      <c r="AJ2744" s="35"/>
      <c r="AK2744" s="35"/>
      <c r="AL2744" s="35"/>
      <c r="AM2744" s="35"/>
      <c r="AN2744" s="35"/>
      <c r="AO2744" s="35"/>
      <c r="AP2744" s="35"/>
    </row>
    <row r="2745" spans="1:42" ht="17.25" customHeight="1" x14ac:dyDescent="0.25">
      <c r="A2745" s="60">
        <v>2027</v>
      </c>
      <c r="B2745" s="61" t="s">
        <v>66</v>
      </c>
      <c r="C2745" s="61" t="s">
        <v>41</v>
      </c>
      <c r="D2745" s="61" t="s">
        <v>42</v>
      </c>
      <c r="E2745" s="61" t="s">
        <v>69</v>
      </c>
      <c r="F2745" s="61" t="s">
        <v>71</v>
      </c>
      <c r="G2745" s="62">
        <v>2218757677</v>
      </c>
      <c r="H2745" s="61" t="s">
        <v>68</v>
      </c>
      <c r="I2745" s="63" t="str">
        <f t="shared" si="138"/>
        <v>Qatar-OTA</v>
      </c>
      <c r="J2745" s="47"/>
      <c r="K2745" s="54"/>
      <c r="L2745" s="35"/>
      <c r="M2745" s="35"/>
      <c r="N2745" s="35"/>
      <c r="O2745" s="35"/>
      <c r="P2745" s="35"/>
      <c r="Q2745" s="35"/>
      <c r="R2745" s="35"/>
      <c r="S2745" s="35"/>
      <c r="T2745" s="35"/>
      <c r="U2745" s="35"/>
      <c r="V2745" s="35"/>
      <c r="W2745" s="35"/>
      <c r="X2745" s="35"/>
      <c r="Y2745" s="35"/>
      <c r="Z2745" s="35"/>
      <c r="AA2745" s="35"/>
      <c r="AB2745" s="35"/>
      <c r="AC2745" s="35"/>
      <c r="AD2745" s="35"/>
      <c r="AE2745" s="35"/>
      <c r="AF2745" s="35"/>
      <c r="AG2745" s="35"/>
      <c r="AH2745" s="35"/>
      <c r="AI2745" s="35"/>
      <c r="AJ2745" s="35"/>
      <c r="AK2745" s="35"/>
      <c r="AL2745" s="35"/>
      <c r="AM2745" s="35"/>
      <c r="AN2745" s="35"/>
      <c r="AO2745" s="35"/>
      <c r="AP2745" s="35"/>
    </row>
    <row r="2746" spans="1:42" ht="17.25" customHeight="1" x14ac:dyDescent="0.25">
      <c r="A2746" s="55">
        <v>2027</v>
      </c>
      <c r="B2746" s="56" t="s">
        <v>66</v>
      </c>
      <c r="C2746" s="56" t="s">
        <v>17</v>
      </c>
      <c r="D2746" s="56" t="s">
        <v>22</v>
      </c>
      <c r="E2746" s="56" t="s">
        <v>67</v>
      </c>
      <c r="F2746" s="56" t="s">
        <v>67</v>
      </c>
      <c r="G2746" s="57">
        <v>1131499225</v>
      </c>
      <c r="H2746" s="56" t="s">
        <v>68</v>
      </c>
      <c r="I2746" s="58" t="str">
        <f t="shared" si="138"/>
        <v>Rest of Eastern Europe-Offline</v>
      </c>
      <c r="J2746" s="40"/>
      <c r="K2746" s="59"/>
      <c r="L2746" s="35"/>
      <c r="M2746" s="35"/>
      <c r="N2746" s="35"/>
      <c r="O2746" s="35"/>
      <c r="P2746" s="35"/>
      <c r="Q2746" s="35"/>
      <c r="R2746" s="35"/>
      <c r="S2746" s="35"/>
      <c r="T2746" s="35"/>
      <c r="U2746" s="35"/>
      <c r="V2746" s="35"/>
      <c r="W2746" s="35"/>
      <c r="X2746" s="35"/>
      <c r="Y2746" s="35"/>
      <c r="Z2746" s="35"/>
      <c r="AA2746" s="35"/>
      <c r="AB2746" s="35"/>
      <c r="AC2746" s="35"/>
      <c r="AD2746" s="35"/>
      <c r="AE2746" s="35"/>
      <c r="AF2746" s="35"/>
      <c r="AG2746" s="35"/>
      <c r="AH2746" s="35"/>
      <c r="AI2746" s="35"/>
      <c r="AJ2746" s="35"/>
      <c r="AK2746" s="35"/>
      <c r="AL2746" s="35"/>
      <c r="AM2746" s="35"/>
      <c r="AN2746" s="35"/>
      <c r="AO2746" s="35"/>
      <c r="AP2746" s="35"/>
    </row>
    <row r="2747" spans="1:42" ht="17.25" customHeight="1" x14ac:dyDescent="0.25">
      <c r="A2747" s="60">
        <v>2027</v>
      </c>
      <c r="B2747" s="61" t="s">
        <v>66</v>
      </c>
      <c r="C2747" s="61" t="s">
        <v>17</v>
      </c>
      <c r="D2747" s="61" t="s">
        <v>22</v>
      </c>
      <c r="E2747" s="61" t="s">
        <v>69</v>
      </c>
      <c r="F2747" s="61" t="s">
        <v>70</v>
      </c>
      <c r="G2747" s="62">
        <v>1454506406</v>
      </c>
      <c r="H2747" s="61" t="s">
        <v>68</v>
      </c>
      <c r="I2747" s="63" t="str">
        <f t="shared" si="138"/>
        <v>Rest of Eastern Europe-Online Supplier-Direct</v>
      </c>
      <c r="J2747" s="47"/>
      <c r="K2747" s="54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  <c r="AG2747" s="35"/>
      <c r="AH2747" s="35"/>
      <c r="AI2747" s="35"/>
      <c r="AJ2747" s="35"/>
      <c r="AK2747" s="35"/>
      <c r="AL2747" s="35"/>
      <c r="AM2747" s="35"/>
      <c r="AN2747" s="35"/>
      <c r="AO2747" s="35"/>
      <c r="AP2747" s="35"/>
    </row>
    <row r="2748" spans="1:42" ht="17.25" customHeight="1" x14ac:dyDescent="0.25">
      <c r="A2748" s="55">
        <v>2027</v>
      </c>
      <c r="B2748" s="56" t="s">
        <v>66</v>
      </c>
      <c r="C2748" s="56" t="s">
        <v>17</v>
      </c>
      <c r="D2748" s="56" t="s">
        <v>22</v>
      </c>
      <c r="E2748" s="56" t="s">
        <v>69</v>
      </c>
      <c r="F2748" s="56" t="s">
        <v>71</v>
      </c>
      <c r="G2748" s="57">
        <v>1069379493</v>
      </c>
      <c r="H2748" s="56" t="s">
        <v>68</v>
      </c>
      <c r="I2748" s="58" t="str">
        <f t="shared" si="138"/>
        <v>Rest of Eastern Europe-OTA</v>
      </c>
      <c r="J2748" s="40"/>
      <c r="K2748" s="59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  <c r="AG2748" s="35"/>
      <c r="AH2748" s="35"/>
      <c r="AI2748" s="35"/>
      <c r="AJ2748" s="35"/>
      <c r="AK2748" s="35"/>
      <c r="AL2748" s="35"/>
      <c r="AM2748" s="35"/>
      <c r="AN2748" s="35"/>
      <c r="AO2748" s="35"/>
      <c r="AP2748" s="35"/>
    </row>
    <row r="2749" spans="1:42" ht="17.25" customHeight="1" x14ac:dyDescent="0.25">
      <c r="A2749" s="60">
        <v>2027</v>
      </c>
      <c r="B2749" s="61" t="s">
        <v>66</v>
      </c>
      <c r="C2749" s="61" t="s">
        <v>27</v>
      </c>
      <c r="D2749" s="61" t="s">
        <v>30</v>
      </c>
      <c r="E2749" s="61" t="s">
        <v>67</v>
      </c>
      <c r="F2749" s="61" t="s">
        <v>67</v>
      </c>
      <c r="G2749" s="62">
        <v>27647312567</v>
      </c>
      <c r="H2749" s="61" t="s">
        <v>68</v>
      </c>
      <c r="I2749" s="63" t="str">
        <f t="shared" si="138"/>
        <v>Rest of Europe-Offline</v>
      </c>
      <c r="J2749" s="47"/>
      <c r="K2749" s="54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  <c r="AG2749" s="35"/>
      <c r="AH2749" s="35"/>
      <c r="AI2749" s="35"/>
      <c r="AJ2749" s="35"/>
      <c r="AK2749" s="35"/>
      <c r="AL2749" s="35"/>
      <c r="AM2749" s="35"/>
      <c r="AN2749" s="35"/>
      <c r="AO2749" s="35"/>
      <c r="AP2749" s="35"/>
    </row>
    <row r="2750" spans="1:42" ht="17.25" customHeight="1" x14ac:dyDescent="0.25">
      <c r="A2750" s="55">
        <v>2027</v>
      </c>
      <c r="B2750" s="56" t="s">
        <v>66</v>
      </c>
      <c r="C2750" s="56" t="s">
        <v>27</v>
      </c>
      <c r="D2750" s="56" t="s">
        <v>30</v>
      </c>
      <c r="E2750" s="56" t="s">
        <v>69</v>
      </c>
      <c r="F2750" s="56" t="s">
        <v>70</v>
      </c>
      <c r="G2750" s="57">
        <v>49843384960</v>
      </c>
      <c r="H2750" s="56" t="s">
        <v>68</v>
      </c>
      <c r="I2750" s="58" t="str">
        <f t="shared" si="138"/>
        <v>Rest of Europe-Online Supplier-Direct</v>
      </c>
      <c r="J2750" s="40"/>
      <c r="K2750" s="59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  <c r="AG2750" s="35"/>
      <c r="AH2750" s="35"/>
      <c r="AI2750" s="35"/>
      <c r="AJ2750" s="35"/>
      <c r="AK2750" s="35"/>
      <c r="AL2750" s="35"/>
      <c r="AM2750" s="35"/>
      <c r="AN2750" s="35"/>
      <c r="AO2750" s="35"/>
      <c r="AP2750" s="35"/>
    </row>
    <row r="2751" spans="1:42" ht="17.25" customHeight="1" x14ac:dyDescent="0.25">
      <c r="A2751" s="60">
        <v>2027</v>
      </c>
      <c r="B2751" s="61" t="s">
        <v>66</v>
      </c>
      <c r="C2751" s="61" t="s">
        <v>27</v>
      </c>
      <c r="D2751" s="61" t="s">
        <v>30</v>
      </c>
      <c r="E2751" s="61" t="s">
        <v>69</v>
      </c>
      <c r="F2751" s="61" t="s">
        <v>71</v>
      </c>
      <c r="G2751" s="62">
        <v>15938394819</v>
      </c>
      <c r="H2751" s="61" t="s">
        <v>68</v>
      </c>
      <c r="I2751" s="63" t="str">
        <f t="shared" si="138"/>
        <v>Rest of Europe-OTA</v>
      </c>
      <c r="J2751" s="47"/>
      <c r="K2751" s="54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  <c r="AG2751" s="35"/>
      <c r="AH2751" s="35"/>
      <c r="AI2751" s="35"/>
      <c r="AJ2751" s="35"/>
      <c r="AK2751" s="35"/>
      <c r="AL2751" s="35"/>
      <c r="AM2751" s="35"/>
      <c r="AN2751" s="35"/>
      <c r="AO2751" s="35"/>
      <c r="AP2751" s="35"/>
    </row>
    <row r="2752" spans="1:42" ht="17.25" customHeight="1" x14ac:dyDescent="0.25">
      <c r="A2752" s="55">
        <v>2027</v>
      </c>
      <c r="B2752" s="56" t="s">
        <v>66</v>
      </c>
      <c r="C2752" s="56" t="s">
        <v>41</v>
      </c>
      <c r="D2752" s="56" t="s">
        <v>43</v>
      </c>
      <c r="E2752" s="56" t="s">
        <v>67</v>
      </c>
      <c r="F2752" s="56" t="s">
        <v>67</v>
      </c>
      <c r="G2752" s="57">
        <v>7614718101</v>
      </c>
      <c r="H2752" s="56" t="s">
        <v>68</v>
      </c>
      <c r="I2752" s="58" t="str">
        <f t="shared" si="138"/>
        <v>Rest of Middle East-Offline</v>
      </c>
      <c r="J2752" s="40"/>
      <c r="K2752" s="59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  <c r="AG2752" s="35"/>
      <c r="AH2752" s="35"/>
      <c r="AI2752" s="35"/>
      <c r="AJ2752" s="35"/>
      <c r="AK2752" s="35"/>
      <c r="AL2752" s="35"/>
      <c r="AM2752" s="35"/>
      <c r="AN2752" s="35"/>
      <c r="AO2752" s="35"/>
      <c r="AP2752" s="35"/>
    </row>
    <row r="2753" spans="1:42" ht="17.25" customHeight="1" x14ac:dyDescent="0.25">
      <c r="A2753" s="60">
        <v>2027</v>
      </c>
      <c r="B2753" s="61" t="s">
        <v>66</v>
      </c>
      <c r="C2753" s="61" t="s">
        <v>41</v>
      </c>
      <c r="D2753" s="61" t="s">
        <v>43</v>
      </c>
      <c r="E2753" s="61" t="s">
        <v>69</v>
      </c>
      <c r="F2753" s="61" t="s">
        <v>70</v>
      </c>
      <c r="G2753" s="62">
        <v>4035409736</v>
      </c>
      <c r="H2753" s="61" t="s">
        <v>68</v>
      </c>
      <c r="I2753" s="63" t="str">
        <f t="shared" si="138"/>
        <v>Rest of Middle East-Online Supplier-Direct</v>
      </c>
      <c r="J2753" s="47"/>
      <c r="K2753" s="54"/>
      <c r="L2753" s="35"/>
      <c r="M2753" s="35"/>
      <c r="N2753" s="35"/>
      <c r="O2753" s="35"/>
      <c r="P2753" s="35"/>
      <c r="Q2753" s="35"/>
      <c r="R2753" s="35"/>
      <c r="S2753" s="35"/>
      <c r="T2753" s="35"/>
      <c r="U2753" s="35"/>
      <c r="V2753" s="35"/>
      <c r="W2753" s="35"/>
      <c r="X2753" s="35"/>
      <c r="Y2753" s="35"/>
      <c r="Z2753" s="35"/>
      <c r="AA2753" s="35"/>
      <c r="AB2753" s="35"/>
      <c r="AC2753" s="35"/>
      <c r="AD2753" s="35"/>
      <c r="AE2753" s="35"/>
      <c r="AF2753" s="35"/>
      <c r="AG2753" s="35"/>
      <c r="AH2753" s="35"/>
      <c r="AI2753" s="35"/>
      <c r="AJ2753" s="35"/>
      <c r="AK2753" s="35"/>
      <c r="AL2753" s="35"/>
      <c r="AM2753" s="35"/>
      <c r="AN2753" s="35"/>
      <c r="AO2753" s="35"/>
      <c r="AP2753" s="35"/>
    </row>
    <row r="2754" spans="1:42" ht="17.25" customHeight="1" x14ac:dyDescent="0.25">
      <c r="A2754" s="55">
        <v>2027</v>
      </c>
      <c r="B2754" s="56" t="s">
        <v>66</v>
      </c>
      <c r="C2754" s="56" t="s">
        <v>41</v>
      </c>
      <c r="D2754" s="56" t="s">
        <v>43</v>
      </c>
      <c r="E2754" s="56" t="s">
        <v>69</v>
      </c>
      <c r="F2754" s="56" t="s">
        <v>71</v>
      </c>
      <c r="G2754" s="57">
        <v>3271305311</v>
      </c>
      <c r="H2754" s="56" t="s">
        <v>68</v>
      </c>
      <c r="I2754" s="58" t="str">
        <f t="shared" si="138"/>
        <v>Rest of Middle East-OTA</v>
      </c>
      <c r="J2754" s="40"/>
      <c r="K2754" s="59"/>
      <c r="L2754" s="35"/>
      <c r="M2754" s="35"/>
      <c r="N2754" s="35"/>
      <c r="O2754" s="35"/>
      <c r="P2754" s="35"/>
      <c r="Q2754" s="35"/>
      <c r="R2754" s="35"/>
      <c r="S2754" s="35"/>
      <c r="T2754" s="35"/>
      <c r="U2754" s="35"/>
      <c r="V2754" s="35"/>
      <c r="W2754" s="35"/>
      <c r="X2754" s="35"/>
      <c r="Y2754" s="35"/>
      <c r="Z2754" s="35"/>
      <c r="AA2754" s="35"/>
      <c r="AB2754" s="35"/>
      <c r="AC2754" s="35"/>
      <c r="AD2754" s="35"/>
      <c r="AE2754" s="35"/>
      <c r="AF2754" s="35"/>
      <c r="AG2754" s="35"/>
      <c r="AH2754" s="35"/>
      <c r="AI2754" s="35"/>
      <c r="AJ2754" s="35"/>
      <c r="AK2754" s="35"/>
      <c r="AL2754" s="35"/>
      <c r="AM2754" s="35"/>
      <c r="AN2754" s="35"/>
      <c r="AO2754" s="35"/>
      <c r="AP2754" s="35"/>
    </row>
    <row r="2755" spans="1:42" ht="17.25" customHeight="1" x14ac:dyDescent="0.25">
      <c r="A2755" s="60">
        <v>2027</v>
      </c>
      <c r="B2755" s="61" t="s">
        <v>66</v>
      </c>
      <c r="C2755" s="61" t="s">
        <v>17</v>
      </c>
      <c r="D2755" s="61" t="s">
        <v>23</v>
      </c>
      <c r="E2755" s="61" t="s">
        <v>67</v>
      </c>
      <c r="F2755" s="61" t="s">
        <v>67</v>
      </c>
      <c r="G2755" s="62">
        <v>1202015829</v>
      </c>
      <c r="H2755" s="61" t="s">
        <v>68</v>
      </c>
      <c r="I2755" s="63" t="str">
        <f t="shared" si="138"/>
        <v>Romania-Offline</v>
      </c>
      <c r="J2755" s="47"/>
      <c r="K2755" s="54"/>
      <c r="L2755" s="35"/>
      <c r="M2755" s="35"/>
      <c r="N2755" s="35"/>
      <c r="O2755" s="35"/>
      <c r="P2755" s="35"/>
      <c r="Q2755" s="35"/>
      <c r="R2755" s="35"/>
      <c r="S2755" s="35"/>
      <c r="T2755" s="35"/>
      <c r="U2755" s="35"/>
      <c r="V2755" s="35"/>
      <c r="W2755" s="35"/>
      <c r="X2755" s="35"/>
      <c r="Y2755" s="35"/>
      <c r="Z2755" s="35"/>
      <c r="AA2755" s="35"/>
      <c r="AB2755" s="35"/>
      <c r="AC2755" s="35"/>
      <c r="AD2755" s="35"/>
      <c r="AE2755" s="35"/>
      <c r="AF2755" s="35"/>
      <c r="AG2755" s="35"/>
      <c r="AH2755" s="35"/>
      <c r="AI2755" s="35"/>
      <c r="AJ2755" s="35"/>
      <c r="AK2755" s="35"/>
      <c r="AL2755" s="35"/>
      <c r="AM2755" s="35"/>
      <c r="AN2755" s="35"/>
      <c r="AO2755" s="35"/>
      <c r="AP2755" s="35"/>
    </row>
    <row r="2756" spans="1:42" ht="17.25" customHeight="1" x14ac:dyDescent="0.25">
      <c r="A2756" s="55">
        <v>2027</v>
      </c>
      <c r="B2756" s="56" t="s">
        <v>66</v>
      </c>
      <c r="C2756" s="56" t="s">
        <v>17</v>
      </c>
      <c r="D2756" s="56" t="s">
        <v>23</v>
      </c>
      <c r="E2756" s="56" t="s">
        <v>69</v>
      </c>
      <c r="F2756" s="56" t="s">
        <v>70</v>
      </c>
      <c r="G2756" s="57">
        <v>639242449</v>
      </c>
      <c r="H2756" s="56" t="s">
        <v>68</v>
      </c>
      <c r="I2756" s="58" t="str">
        <f t="shared" si="138"/>
        <v>Romania-Online Supplier-Direct</v>
      </c>
      <c r="J2756" s="40"/>
      <c r="K2756" s="59"/>
      <c r="L2756" s="35"/>
      <c r="M2756" s="35"/>
      <c r="N2756" s="35"/>
      <c r="O2756" s="35"/>
      <c r="P2756" s="35"/>
      <c r="Q2756" s="35"/>
      <c r="R2756" s="35"/>
      <c r="S2756" s="35"/>
      <c r="T2756" s="35"/>
      <c r="U2756" s="35"/>
      <c r="V2756" s="35"/>
      <c r="W2756" s="35"/>
      <c r="X2756" s="35"/>
      <c r="Y2756" s="35"/>
      <c r="Z2756" s="35"/>
      <c r="AA2756" s="35"/>
      <c r="AB2756" s="35"/>
      <c r="AC2756" s="35"/>
      <c r="AD2756" s="35"/>
      <c r="AE2756" s="35"/>
      <c r="AF2756" s="35"/>
      <c r="AG2756" s="35"/>
      <c r="AH2756" s="35"/>
      <c r="AI2756" s="35"/>
      <c r="AJ2756" s="35"/>
      <c r="AK2756" s="35"/>
      <c r="AL2756" s="35"/>
      <c r="AM2756" s="35"/>
      <c r="AN2756" s="35"/>
      <c r="AO2756" s="35"/>
      <c r="AP2756" s="35"/>
    </row>
    <row r="2757" spans="1:42" ht="17.25" customHeight="1" x14ac:dyDescent="0.25">
      <c r="A2757" s="60">
        <v>2027</v>
      </c>
      <c r="B2757" s="61" t="s">
        <v>66</v>
      </c>
      <c r="C2757" s="61" t="s">
        <v>17</v>
      </c>
      <c r="D2757" s="61" t="s">
        <v>23</v>
      </c>
      <c r="E2757" s="61" t="s">
        <v>69</v>
      </c>
      <c r="F2757" s="61" t="s">
        <v>71</v>
      </c>
      <c r="G2757" s="62">
        <v>1251098419</v>
      </c>
      <c r="H2757" s="61" t="s">
        <v>68</v>
      </c>
      <c r="I2757" s="63" t="str">
        <f t="shared" si="138"/>
        <v>Romania-OTA</v>
      </c>
      <c r="J2757" s="47"/>
      <c r="K2757" s="54"/>
      <c r="L2757" s="35"/>
      <c r="M2757" s="35"/>
      <c r="N2757" s="35"/>
      <c r="O2757" s="35"/>
      <c r="P2757" s="35"/>
      <c r="Q2757" s="35"/>
      <c r="R2757" s="35"/>
      <c r="S2757" s="35"/>
      <c r="T2757" s="35"/>
      <c r="U2757" s="35"/>
      <c r="V2757" s="35"/>
      <c r="W2757" s="35"/>
      <c r="X2757" s="35"/>
      <c r="Y2757" s="35"/>
      <c r="Z2757" s="35"/>
      <c r="AA2757" s="35"/>
      <c r="AB2757" s="35"/>
      <c r="AC2757" s="35"/>
      <c r="AD2757" s="35"/>
      <c r="AE2757" s="35"/>
      <c r="AF2757" s="35"/>
      <c r="AG2757" s="35"/>
      <c r="AH2757" s="35"/>
      <c r="AI2757" s="35"/>
      <c r="AJ2757" s="35"/>
      <c r="AK2757" s="35"/>
      <c r="AL2757" s="35"/>
      <c r="AM2757" s="35"/>
      <c r="AN2757" s="35"/>
      <c r="AO2757" s="35"/>
      <c r="AP2757" s="35"/>
    </row>
    <row r="2758" spans="1:42" ht="17.25" customHeight="1" x14ac:dyDescent="0.25">
      <c r="A2758" s="55">
        <v>2027</v>
      </c>
      <c r="B2758" s="56" t="s">
        <v>66</v>
      </c>
      <c r="C2758" s="56" t="s">
        <v>17</v>
      </c>
      <c r="D2758" s="56" t="s">
        <v>24</v>
      </c>
      <c r="E2758" s="56" t="s">
        <v>67</v>
      </c>
      <c r="F2758" s="56" t="s">
        <v>67</v>
      </c>
      <c r="G2758" s="57">
        <v>19085337363</v>
      </c>
      <c r="H2758" s="56" t="s">
        <v>68</v>
      </c>
      <c r="I2758" s="58" t="str">
        <f t="shared" si="138"/>
        <v>Russia-Offline</v>
      </c>
      <c r="J2758" s="40"/>
      <c r="K2758" s="59"/>
      <c r="L2758" s="35"/>
      <c r="M2758" s="35"/>
      <c r="N2758" s="35"/>
      <c r="O2758" s="35"/>
      <c r="P2758" s="35"/>
      <c r="Q2758" s="35"/>
      <c r="R2758" s="35"/>
      <c r="S2758" s="35"/>
      <c r="T2758" s="35"/>
      <c r="U2758" s="35"/>
      <c r="V2758" s="35"/>
      <c r="W2758" s="35"/>
      <c r="X2758" s="35"/>
      <c r="Y2758" s="35"/>
      <c r="Z2758" s="35"/>
      <c r="AA2758" s="35"/>
      <c r="AB2758" s="35"/>
      <c r="AC2758" s="35"/>
      <c r="AD2758" s="35"/>
      <c r="AE2758" s="35"/>
      <c r="AF2758" s="35"/>
      <c r="AG2758" s="35"/>
      <c r="AH2758" s="35"/>
      <c r="AI2758" s="35"/>
      <c r="AJ2758" s="35"/>
      <c r="AK2758" s="35"/>
      <c r="AL2758" s="35"/>
      <c r="AM2758" s="35"/>
      <c r="AN2758" s="35"/>
      <c r="AO2758" s="35"/>
      <c r="AP2758" s="35"/>
    </row>
    <row r="2759" spans="1:42" ht="17.25" customHeight="1" x14ac:dyDescent="0.25">
      <c r="A2759" s="60">
        <v>2027</v>
      </c>
      <c r="B2759" s="61" t="s">
        <v>66</v>
      </c>
      <c r="C2759" s="61" t="s">
        <v>17</v>
      </c>
      <c r="D2759" s="61" t="s">
        <v>24</v>
      </c>
      <c r="E2759" s="61" t="s">
        <v>69</v>
      </c>
      <c r="F2759" s="61" t="s">
        <v>70</v>
      </c>
      <c r="G2759" s="62">
        <v>13872259840</v>
      </c>
      <c r="H2759" s="61" t="s">
        <v>68</v>
      </c>
      <c r="I2759" s="63" t="str">
        <f t="shared" si="138"/>
        <v>Russia-Online Supplier-Direct</v>
      </c>
      <c r="J2759" s="47"/>
      <c r="K2759" s="54"/>
      <c r="L2759" s="35"/>
      <c r="M2759" s="35"/>
      <c r="N2759" s="35"/>
      <c r="O2759" s="35"/>
      <c r="P2759" s="35"/>
      <c r="Q2759" s="35"/>
      <c r="R2759" s="35"/>
      <c r="S2759" s="35"/>
      <c r="T2759" s="35"/>
      <c r="U2759" s="35"/>
      <c r="V2759" s="35"/>
      <c r="W2759" s="35"/>
      <c r="X2759" s="35"/>
      <c r="Y2759" s="35"/>
      <c r="Z2759" s="35"/>
      <c r="AA2759" s="35"/>
      <c r="AB2759" s="35"/>
      <c r="AC2759" s="35"/>
      <c r="AD2759" s="35"/>
      <c r="AE2759" s="35"/>
      <c r="AF2759" s="35"/>
      <c r="AG2759" s="35"/>
      <c r="AH2759" s="35"/>
      <c r="AI2759" s="35"/>
      <c r="AJ2759" s="35"/>
      <c r="AK2759" s="35"/>
      <c r="AL2759" s="35"/>
      <c r="AM2759" s="35"/>
      <c r="AN2759" s="35"/>
      <c r="AO2759" s="35"/>
      <c r="AP2759" s="35"/>
    </row>
    <row r="2760" spans="1:42" ht="17.25" customHeight="1" x14ac:dyDescent="0.25">
      <c r="A2760" s="55">
        <v>2027</v>
      </c>
      <c r="B2760" s="56" t="s">
        <v>66</v>
      </c>
      <c r="C2760" s="56" t="s">
        <v>17</v>
      </c>
      <c r="D2760" s="56" t="s">
        <v>24</v>
      </c>
      <c r="E2760" s="56" t="s">
        <v>69</v>
      </c>
      <c r="F2760" s="56" t="s">
        <v>71</v>
      </c>
      <c r="G2760" s="57">
        <v>12211234706</v>
      </c>
      <c r="H2760" s="56" t="s">
        <v>68</v>
      </c>
      <c r="I2760" s="58" t="str">
        <f t="shared" si="138"/>
        <v>Russia-OTA</v>
      </c>
      <c r="J2760" s="40"/>
      <c r="K2760" s="59"/>
      <c r="L2760" s="35"/>
      <c r="M2760" s="35"/>
      <c r="N2760" s="35"/>
      <c r="O2760" s="35"/>
      <c r="P2760" s="35"/>
      <c r="Q2760" s="35"/>
      <c r="R2760" s="35"/>
      <c r="S2760" s="35"/>
      <c r="T2760" s="35"/>
      <c r="U2760" s="35"/>
      <c r="V2760" s="35"/>
      <c r="W2760" s="35"/>
      <c r="X2760" s="35"/>
      <c r="Y2760" s="35"/>
      <c r="Z2760" s="35"/>
      <c r="AA2760" s="35"/>
      <c r="AB2760" s="35"/>
      <c r="AC2760" s="35"/>
      <c r="AD2760" s="35"/>
      <c r="AE2760" s="35"/>
      <c r="AF2760" s="35"/>
      <c r="AG2760" s="35"/>
      <c r="AH2760" s="35"/>
      <c r="AI2760" s="35"/>
      <c r="AJ2760" s="35"/>
      <c r="AK2760" s="35"/>
      <c r="AL2760" s="35"/>
      <c r="AM2760" s="35"/>
      <c r="AN2760" s="35"/>
      <c r="AO2760" s="35"/>
      <c r="AP2760" s="35"/>
    </row>
    <row r="2761" spans="1:42" ht="17.25" customHeight="1" x14ac:dyDescent="0.25">
      <c r="A2761" s="60">
        <v>2027</v>
      </c>
      <c r="B2761" s="61" t="s">
        <v>66</v>
      </c>
      <c r="C2761" s="61" t="s">
        <v>41</v>
      </c>
      <c r="D2761" s="61" t="s">
        <v>44</v>
      </c>
      <c r="E2761" s="61" t="s">
        <v>67</v>
      </c>
      <c r="F2761" s="61" t="s">
        <v>67</v>
      </c>
      <c r="G2761" s="62">
        <v>11358960396</v>
      </c>
      <c r="H2761" s="61" t="s">
        <v>68</v>
      </c>
      <c r="I2761" s="63" t="str">
        <f t="shared" si="138"/>
        <v>Saudi Arabia-Offline</v>
      </c>
      <c r="J2761" s="47"/>
      <c r="K2761" s="54"/>
      <c r="L2761" s="35"/>
      <c r="M2761" s="35"/>
      <c r="N2761" s="35"/>
      <c r="O2761" s="35"/>
      <c r="P2761" s="35"/>
      <c r="Q2761" s="35"/>
      <c r="R2761" s="35"/>
      <c r="S2761" s="35"/>
      <c r="T2761" s="35"/>
      <c r="U2761" s="35"/>
      <c r="V2761" s="35"/>
      <c r="W2761" s="35"/>
      <c r="X2761" s="35"/>
      <c r="Y2761" s="35"/>
      <c r="Z2761" s="35"/>
      <c r="AA2761" s="35"/>
      <c r="AB2761" s="35"/>
      <c r="AC2761" s="35"/>
      <c r="AD2761" s="35"/>
      <c r="AE2761" s="35"/>
      <c r="AF2761" s="35"/>
      <c r="AG2761" s="35"/>
      <c r="AH2761" s="35"/>
      <c r="AI2761" s="35"/>
      <c r="AJ2761" s="35"/>
      <c r="AK2761" s="35"/>
      <c r="AL2761" s="35"/>
      <c r="AM2761" s="35"/>
      <c r="AN2761" s="35"/>
      <c r="AO2761" s="35"/>
      <c r="AP2761" s="35"/>
    </row>
    <row r="2762" spans="1:42" ht="17.25" customHeight="1" x14ac:dyDescent="0.25">
      <c r="A2762" s="55">
        <v>2027</v>
      </c>
      <c r="B2762" s="56" t="s">
        <v>66</v>
      </c>
      <c r="C2762" s="56" t="s">
        <v>41</v>
      </c>
      <c r="D2762" s="56" t="s">
        <v>44</v>
      </c>
      <c r="E2762" s="56" t="s">
        <v>69</v>
      </c>
      <c r="F2762" s="56" t="s">
        <v>70</v>
      </c>
      <c r="G2762" s="57">
        <v>10446628417</v>
      </c>
      <c r="H2762" s="56" t="s">
        <v>68</v>
      </c>
      <c r="I2762" s="58" t="str">
        <f t="shared" si="138"/>
        <v>Saudi Arabia-Online Supplier-Direct</v>
      </c>
      <c r="J2762" s="40"/>
      <c r="K2762" s="59"/>
      <c r="L2762" s="35"/>
      <c r="M2762" s="35"/>
      <c r="N2762" s="35"/>
      <c r="O2762" s="35"/>
      <c r="P2762" s="35"/>
      <c r="Q2762" s="35"/>
      <c r="R2762" s="35"/>
      <c r="S2762" s="35"/>
      <c r="T2762" s="35"/>
      <c r="U2762" s="35"/>
      <c r="V2762" s="35"/>
      <c r="W2762" s="35"/>
      <c r="X2762" s="35"/>
      <c r="Y2762" s="35"/>
      <c r="Z2762" s="35"/>
      <c r="AA2762" s="35"/>
      <c r="AB2762" s="35"/>
      <c r="AC2762" s="35"/>
      <c r="AD2762" s="35"/>
      <c r="AE2762" s="35"/>
      <c r="AF2762" s="35"/>
      <c r="AG2762" s="35"/>
      <c r="AH2762" s="35"/>
      <c r="AI2762" s="35"/>
      <c r="AJ2762" s="35"/>
      <c r="AK2762" s="35"/>
      <c r="AL2762" s="35"/>
      <c r="AM2762" s="35"/>
      <c r="AN2762" s="35"/>
      <c r="AO2762" s="35"/>
      <c r="AP2762" s="35"/>
    </row>
    <row r="2763" spans="1:42" ht="17.25" customHeight="1" x14ac:dyDescent="0.25">
      <c r="A2763" s="60">
        <v>2027</v>
      </c>
      <c r="B2763" s="61" t="s">
        <v>66</v>
      </c>
      <c r="C2763" s="61" t="s">
        <v>41</v>
      </c>
      <c r="D2763" s="61" t="s">
        <v>44</v>
      </c>
      <c r="E2763" s="61" t="s">
        <v>69</v>
      </c>
      <c r="F2763" s="61" t="s">
        <v>71</v>
      </c>
      <c r="G2763" s="62">
        <v>6207792363</v>
      </c>
      <c r="H2763" s="61" t="s">
        <v>68</v>
      </c>
      <c r="I2763" s="63" t="str">
        <f t="shared" si="138"/>
        <v>Saudi Arabia-OTA</v>
      </c>
      <c r="J2763" s="47"/>
      <c r="K2763" s="54"/>
      <c r="L2763" s="35"/>
      <c r="M2763" s="35"/>
      <c r="N2763" s="35"/>
      <c r="O2763" s="35"/>
      <c r="P2763" s="35"/>
      <c r="Q2763" s="35"/>
      <c r="R2763" s="35"/>
      <c r="S2763" s="35"/>
      <c r="T2763" s="35"/>
      <c r="U2763" s="35"/>
      <c r="V2763" s="35"/>
      <c r="W2763" s="35"/>
      <c r="X2763" s="35"/>
      <c r="Y2763" s="35"/>
      <c r="Z2763" s="35"/>
      <c r="AA2763" s="35"/>
      <c r="AB2763" s="35"/>
      <c r="AC2763" s="35"/>
      <c r="AD2763" s="35"/>
      <c r="AE2763" s="35"/>
      <c r="AF2763" s="35"/>
      <c r="AG2763" s="35"/>
      <c r="AH2763" s="35"/>
      <c r="AI2763" s="35"/>
      <c r="AJ2763" s="35"/>
      <c r="AK2763" s="35"/>
      <c r="AL2763" s="35"/>
      <c r="AM2763" s="35"/>
      <c r="AN2763" s="35"/>
      <c r="AO2763" s="35"/>
      <c r="AP2763" s="35"/>
    </row>
    <row r="2764" spans="1:42" ht="17.25" customHeight="1" x14ac:dyDescent="0.25">
      <c r="A2764" s="55">
        <v>2027</v>
      </c>
      <c r="B2764" s="56" t="s">
        <v>66</v>
      </c>
      <c r="C2764" s="56" t="s">
        <v>27</v>
      </c>
      <c r="D2764" s="56" t="s">
        <v>31</v>
      </c>
      <c r="E2764" s="56" t="s">
        <v>67</v>
      </c>
      <c r="F2764" s="56" t="s">
        <v>67</v>
      </c>
      <c r="G2764" s="57">
        <v>4879692982</v>
      </c>
      <c r="H2764" s="56" t="s">
        <v>68</v>
      </c>
      <c r="I2764" s="58" t="str">
        <f t="shared" si="138"/>
        <v>Scandinavia-Offline</v>
      </c>
      <c r="J2764" s="40"/>
      <c r="K2764" s="59"/>
      <c r="L2764" s="35"/>
      <c r="M2764" s="35"/>
      <c r="N2764" s="35"/>
      <c r="O2764" s="35"/>
      <c r="P2764" s="35"/>
      <c r="Q2764" s="35"/>
      <c r="R2764" s="35"/>
      <c r="S2764" s="35"/>
      <c r="T2764" s="35"/>
      <c r="U2764" s="35"/>
      <c r="V2764" s="35"/>
      <c r="W2764" s="35"/>
      <c r="X2764" s="35"/>
      <c r="Y2764" s="35"/>
      <c r="Z2764" s="35"/>
      <c r="AA2764" s="35"/>
      <c r="AB2764" s="35"/>
      <c r="AC2764" s="35"/>
      <c r="AD2764" s="35"/>
      <c r="AE2764" s="35"/>
      <c r="AF2764" s="35"/>
      <c r="AG2764" s="35"/>
      <c r="AH2764" s="35"/>
      <c r="AI2764" s="35"/>
      <c r="AJ2764" s="35"/>
      <c r="AK2764" s="35"/>
      <c r="AL2764" s="35"/>
      <c r="AM2764" s="35"/>
      <c r="AN2764" s="35"/>
      <c r="AO2764" s="35"/>
      <c r="AP2764" s="35"/>
    </row>
    <row r="2765" spans="1:42" ht="17.25" customHeight="1" x14ac:dyDescent="0.25">
      <c r="A2765" s="60">
        <v>2027</v>
      </c>
      <c r="B2765" s="61" t="s">
        <v>66</v>
      </c>
      <c r="C2765" s="61" t="s">
        <v>27</v>
      </c>
      <c r="D2765" s="61" t="s">
        <v>31</v>
      </c>
      <c r="E2765" s="61" t="s">
        <v>69</v>
      </c>
      <c r="F2765" s="61" t="s">
        <v>70</v>
      </c>
      <c r="G2765" s="62">
        <v>15328275406</v>
      </c>
      <c r="H2765" s="61" t="s">
        <v>68</v>
      </c>
      <c r="I2765" s="63" t="str">
        <f t="shared" si="138"/>
        <v>Scandinavia-Online Supplier-Direct</v>
      </c>
      <c r="J2765" s="47"/>
      <c r="K2765" s="54"/>
      <c r="L2765" s="35"/>
      <c r="M2765" s="35"/>
      <c r="N2765" s="35"/>
      <c r="O2765" s="35"/>
      <c r="P2765" s="35"/>
      <c r="Q2765" s="35"/>
      <c r="R2765" s="35"/>
      <c r="S2765" s="35"/>
      <c r="T2765" s="35"/>
      <c r="U2765" s="35"/>
      <c r="V2765" s="35"/>
      <c r="W2765" s="35"/>
      <c r="X2765" s="35"/>
      <c r="Y2765" s="35"/>
      <c r="Z2765" s="35"/>
      <c r="AA2765" s="35"/>
      <c r="AB2765" s="35"/>
      <c r="AC2765" s="35"/>
      <c r="AD2765" s="35"/>
      <c r="AE2765" s="35"/>
      <c r="AF2765" s="35"/>
      <c r="AG2765" s="35"/>
      <c r="AH2765" s="35"/>
      <c r="AI2765" s="35"/>
      <c r="AJ2765" s="35"/>
      <c r="AK2765" s="35"/>
      <c r="AL2765" s="35"/>
      <c r="AM2765" s="35"/>
      <c r="AN2765" s="35"/>
      <c r="AO2765" s="35"/>
      <c r="AP2765" s="35"/>
    </row>
    <row r="2766" spans="1:42" ht="17.25" customHeight="1" x14ac:dyDescent="0.25">
      <c r="A2766" s="55">
        <v>2027</v>
      </c>
      <c r="B2766" s="56" t="s">
        <v>66</v>
      </c>
      <c r="C2766" s="56" t="s">
        <v>27</v>
      </c>
      <c r="D2766" s="56" t="s">
        <v>31</v>
      </c>
      <c r="E2766" s="56" t="s">
        <v>69</v>
      </c>
      <c r="F2766" s="56" t="s">
        <v>71</v>
      </c>
      <c r="G2766" s="57">
        <v>5911171229</v>
      </c>
      <c r="H2766" s="56" t="s">
        <v>68</v>
      </c>
      <c r="I2766" s="58" t="str">
        <f t="shared" si="138"/>
        <v>Scandinavia-OTA</v>
      </c>
      <c r="J2766" s="40"/>
      <c r="K2766" s="59"/>
      <c r="L2766" s="35"/>
      <c r="M2766" s="35"/>
      <c r="N2766" s="35"/>
      <c r="O2766" s="35"/>
      <c r="P2766" s="35"/>
      <c r="Q2766" s="35"/>
      <c r="R2766" s="35"/>
      <c r="S2766" s="35"/>
      <c r="T2766" s="35"/>
      <c r="U2766" s="35"/>
      <c r="V2766" s="35"/>
      <c r="W2766" s="35"/>
      <c r="X2766" s="35"/>
      <c r="Y2766" s="35"/>
      <c r="Z2766" s="35"/>
      <c r="AA2766" s="35"/>
      <c r="AB2766" s="35"/>
      <c r="AC2766" s="35"/>
      <c r="AD2766" s="35"/>
      <c r="AE2766" s="35"/>
      <c r="AF2766" s="35"/>
      <c r="AG2766" s="35"/>
      <c r="AH2766" s="35"/>
      <c r="AI2766" s="35"/>
      <c r="AJ2766" s="35"/>
      <c r="AK2766" s="35"/>
      <c r="AL2766" s="35"/>
      <c r="AM2766" s="35"/>
      <c r="AN2766" s="35"/>
      <c r="AO2766" s="35"/>
      <c r="AP2766" s="35"/>
    </row>
    <row r="2767" spans="1:42" ht="17.25" customHeight="1" x14ac:dyDescent="0.25">
      <c r="A2767" s="60">
        <v>2027</v>
      </c>
      <c r="B2767" s="61" t="s">
        <v>66</v>
      </c>
      <c r="C2767" s="61" t="s">
        <v>4</v>
      </c>
      <c r="D2767" s="61" t="s">
        <v>12</v>
      </c>
      <c r="E2767" s="61" t="s">
        <v>67</v>
      </c>
      <c r="F2767" s="61" t="s">
        <v>67</v>
      </c>
      <c r="G2767" s="62">
        <v>4715595558</v>
      </c>
      <c r="H2767" s="61" t="s">
        <v>68</v>
      </c>
      <c r="I2767" s="63" t="str">
        <f t="shared" si="138"/>
        <v>Singapore-Offline</v>
      </c>
      <c r="J2767" s="47"/>
      <c r="K2767" s="54"/>
      <c r="L2767" s="35"/>
      <c r="M2767" s="35"/>
      <c r="N2767" s="35"/>
      <c r="O2767" s="35"/>
      <c r="P2767" s="35"/>
      <c r="Q2767" s="35"/>
      <c r="R2767" s="35"/>
      <c r="S2767" s="35"/>
      <c r="T2767" s="35"/>
      <c r="U2767" s="35"/>
      <c r="V2767" s="35"/>
      <c r="W2767" s="35"/>
      <c r="X2767" s="35"/>
      <c r="Y2767" s="35"/>
      <c r="Z2767" s="35"/>
      <c r="AA2767" s="35"/>
      <c r="AB2767" s="35"/>
      <c r="AC2767" s="35"/>
      <c r="AD2767" s="35"/>
      <c r="AE2767" s="35"/>
      <c r="AF2767" s="35"/>
      <c r="AG2767" s="35"/>
      <c r="AH2767" s="35"/>
      <c r="AI2767" s="35"/>
      <c r="AJ2767" s="35"/>
      <c r="AK2767" s="35"/>
      <c r="AL2767" s="35"/>
      <c r="AM2767" s="35"/>
      <c r="AN2767" s="35"/>
      <c r="AO2767" s="35"/>
      <c r="AP2767" s="35"/>
    </row>
    <row r="2768" spans="1:42" ht="17.25" customHeight="1" x14ac:dyDescent="0.25">
      <c r="A2768" s="55">
        <v>2027</v>
      </c>
      <c r="B2768" s="56" t="s">
        <v>66</v>
      </c>
      <c r="C2768" s="56" t="s">
        <v>4</v>
      </c>
      <c r="D2768" s="56" t="s">
        <v>12</v>
      </c>
      <c r="E2768" s="56" t="s">
        <v>69</v>
      </c>
      <c r="F2768" s="56" t="s">
        <v>70</v>
      </c>
      <c r="G2768" s="57">
        <v>6207152404</v>
      </c>
      <c r="H2768" s="56" t="s">
        <v>68</v>
      </c>
      <c r="I2768" s="58" t="str">
        <f t="shared" si="138"/>
        <v>Singapore-Online Supplier-Direct</v>
      </c>
      <c r="J2768" s="40"/>
      <c r="K2768" s="59"/>
      <c r="L2768" s="35"/>
      <c r="M2768" s="35"/>
      <c r="N2768" s="35"/>
      <c r="O2768" s="35"/>
      <c r="P2768" s="35"/>
      <c r="Q2768" s="35"/>
      <c r="R2768" s="35"/>
      <c r="S2768" s="35"/>
      <c r="T2768" s="35"/>
      <c r="U2768" s="35"/>
      <c r="V2768" s="35"/>
      <c r="W2768" s="35"/>
      <c r="X2768" s="35"/>
      <c r="Y2768" s="35"/>
      <c r="Z2768" s="35"/>
      <c r="AA2768" s="35"/>
      <c r="AB2768" s="35"/>
      <c r="AC2768" s="35"/>
      <c r="AD2768" s="35"/>
      <c r="AE2768" s="35"/>
      <c r="AF2768" s="35"/>
      <c r="AG2768" s="35"/>
      <c r="AH2768" s="35"/>
      <c r="AI2768" s="35"/>
      <c r="AJ2768" s="35"/>
      <c r="AK2768" s="35"/>
      <c r="AL2768" s="35"/>
      <c r="AM2768" s="35"/>
      <c r="AN2768" s="35"/>
      <c r="AO2768" s="35"/>
      <c r="AP2768" s="35"/>
    </row>
    <row r="2769" spans="1:42" ht="17.25" customHeight="1" x14ac:dyDescent="0.25">
      <c r="A2769" s="60">
        <v>2027</v>
      </c>
      <c r="B2769" s="61" t="s">
        <v>66</v>
      </c>
      <c r="C2769" s="61" t="s">
        <v>4</v>
      </c>
      <c r="D2769" s="61" t="s">
        <v>12</v>
      </c>
      <c r="E2769" s="61" t="s">
        <v>69</v>
      </c>
      <c r="F2769" s="61" t="s">
        <v>71</v>
      </c>
      <c r="G2769" s="62">
        <v>6464224801</v>
      </c>
      <c r="H2769" s="61" t="s">
        <v>68</v>
      </c>
      <c r="I2769" s="63" t="str">
        <f t="shared" si="138"/>
        <v>Singapore-OTA</v>
      </c>
      <c r="J2769" s="47"/>
      <c r="K2769" s="54"/>
      <c r="L2769" s="35"/>
      <c r="M2769" s="35"/>
      <c r="N2769" s="35"/>
      <c r="O2769" s="35"/>
      <c r="P2769" s="35"/>
      <c r="Q2769" s="35"/>
      <c r="R2769" s="35"/>
      <c r="S2769" s="35"/>
      <c r="T2769" s="35"/>
      <c r="U2769" s="35"/>
      <c r="V2769" s="35"/>
      <c r="W2769" s="35"/>
      <c r="X2769" s="35"/>
      <c r="Y2769" s="35"/>
      <c r="Z2769" s="35"/>
      <c r="AA2769" s="35"/>
      <c r="AB2769" s="35"/>
      <c r="AC2769" s="35"/>
      <c r="AD2769" s="35"/>
      <c r="AE2769" s="35"/>
      <c r="AF2769" s="35"/>
      <c r="AG2769" s="35"/>
      <c r="AH2769" s="35"/>
      <c r="AI2769" s="35"/>
      <c r="AJ2769" s="35"/>
      <c r="AK2769" s="35"/>
      <c r="AL2769" s="35"/>
      <c r="AM2769" s="35"/>
      <c r="AN2769" s="35"/>
      <c r="AO2769" s="35"/>
      <c r="AP2769" s="35"/>
    </row>
    <row r="2770" spans="1:42" ht="17.25" customHeight="1" x14ac:dyDescent="0.25">
      <c r="A2770" s="55">
        <v>2027</v>
      </c>
      <c r="B2770" s="56" t="s">
        <v>66</v>
      </c>
      <c r="C2770" s="56" t="s">
        <v>4</v>
      </c>
      <c r="D2770" s="56" t="s">
        <v>13</v>
      </c>
      <c r="E2770" s="56" t="s">
        <v>67</v>
      </c>
      <c r="F2770" s="56" t="s">
        <v>67</v>
      </c>
      <c r="G2770" s="57">
        <v>9979698015</v>
      </c>
      <c r="H2770" s="56" t="s">
        <v>68</v>
      </c>
      <c r="I2770" s="58" t="str">
        <f t="shared" si="138"/>
        <v>South Korea-Offline</v>
      </c>
      <c r="J2770" s="40"/>
      <c r="K2770" s="59"/>
      <c r="L2770" s="35"/>
      <c r="M2770" s="35"/>
      <c r="N2770" s="35"/>
      <c r="O2770" s="35"/>
      <c r="P2770" s="35"/>
      <c r="Q2770" s="35"/>
      <c r="R2770" s="35"/>
      <c r="S2770" s="35"/>
      <c r="T2770" s="35"/>
      <c r="U2770" s="35"/>
      <c r="V2770" s="35"/>
      <c r="W2770" s="35"/>
      <c r="X2770" s="35"/>
      <c r="Y2770" s="35"/>
      <c r="Z2770" s="35"/>
      <c r="AA2770" s="35"/>
      <c r="AB2770" s="35"/>
      <c r="AC2770" s="35"/>
      <c r="AD2770" s="35"/>
      <c r="AE2770" s="35"/>
      <c r="AF2770" s="35"/>
      <c r="AG2770" s="35"/>
      <c r="AH2770" s="35"/>
      <c r="AI2770" s="35"/>
      <c r="AJ2770" s="35"/>
      <c r="AK2770" s="35"/>
      <c r="AL2770" s="35"/>
      <c r="AM2770" s="35"/>
      <c r="AN2770" s="35"/>
      <c r="AO2770" s="35"/>
      <c r="AP2770" s="35"/>
    </row>
    <row r="2771" spans="1:42" ht="17.25" customHeight="1" x14ac:dyDescent="0.25">
      <c r="A2771" s="60">
        <v>2027</v>
      </c>
      <c r="B2771" s="61" t="s">
        <v>66</v>
      </c>
      <c r="C2771" s="61" t="s">
        <v>4</v>
      </c>
      <c r="D2771" s="61" t="s">
        <v>13</v>
      </c>
      <c r="E2771" s="61" t="s">
        <v>69</v>
      </c>
      <c r="F2771" s="61" t="s">
        <v>70</v>
      </c>
      <c r="G2771" s="62">
        <v>9404784045</v>
      </c>
      <c r="H2771" s="61" t="s">
        <v>68</v>
      </c>
      <c r="I2771" s="63" t="str">
        <f t="shared" si="138"/>
        <v>South Korea-Online Supplier-Direct</v>
      </c>
      <c r="J2771" s="47"/>
      <c r="K2771" s="54"/>
      <c r="L2771" s="35"/>
      <c r="M2771" s="35"/>
      <c r="N2771" s="35"/>
      <c r="O2771" s="35"/>
      <c r="P2771" s="35"/>
      <c r="Q2771" s="35"/>
      <c r="R2771" s="35"/>
      <c r="S2771" s="35"/>
      <c r="T2771" s="35"/>
      <c r="U2771" s="35"/>
      <c r="V2771" s="35"/>
      <c r="W2771" s="35"/>
      <c r="X2771" s="35"/>
      <c r="Y2771" s="35"/>
      <c r="Z2771" s="35"/>
      <c r="AA2771" s="35"/>
      <c r="AB2771" s="35"/>
      <c r="AC2771" s="35"/>
      <c r="AD2771" s="35"/>
      <c r="AE2771" s="35"/>
      <c r="AF2771" s="35"/>
      <c r="AG2771" s="35"/>
      <c r="AH2771" s="35"/>
      <c r="AI2771" s="35"/>
      <c r="AJ2771" s="35"/>
      <c r="AK2771" s="35"/>
      <c r="AL2771" s="35"/>
      <c r="AM2771" s="35"/>
      <c r="AN2771" s="35"/>
      <c r="AO2771" s="35"/>
      <c r="AP2771" s="35"/>
    </row>
    <row r="2772" spans="1:42" ht="17.25" customHeight="1" x14ac:dyDescent="0.25">
      <c r="A2772" s="55">
        <v>2027</v>
      </c>
      <c r="B2772" s="56" t="s">
        <v>66</v>
      </c>
      <c r="C2772" s="56" t="s">
        <v>4</v>
      </c>
      <c r="D2772" s="56" t="s">
        <v>13</v>
      </c>
      <c r="E2772" s="56" t="s">
        <v>69</v>
      </c>
      <c r="F2772" s="56" t="s">
        <v>71</v>
      </c>
      <c r="G2772" s="57">
        <v>8382493054</v>
      </c>
      <c r="H2772" s="56" t="s">
        <v>68</v>
      </c>
      <c r="I2772" s="58" t="str">
        <f t="shared" si="138"/>
        <v>South Korea-OTA</v>
      </c>
      <c r="J2772" s="40"/>
      <c r="K2772" s="59"/>
      <c r="L2772" s="35"/>
      <c r="M2772" s="35"/>
      <c r="N2772" s="35"/>
      <c r="O2772" s="35"/>
      <c r="P2772" s="35"/>
      <c r="Q2772" s="35"/>
      <c r="R2772" s="35"/>
      <c r="S2772" s="35"/>
      <c r="T2772" s="35"/>
      <c r="U2772" s="35"/>
      <c r="V2772" s="35"/>
      <c r="W2772" s="35"/>
      <c r="X2772" s="35"/>
      <c r="Y2772" s="35"/>
      <c r="Z2772" s="35"/>
      <c r="AA2772" s="35"/>
      <c r="AB2772" s="35"/>
      <c r="AC2772" s="35"/>
      <c r="AD2772" s="35"/>
      <c r="AE2772" s="35"/>
      <c r="AF2772" s="35"/>
      <c r="AG2772" s="35"/>
      <c r="AH2772" s="35"/>
      <c r="AI2772" s="35"/>
      <c r="AJ2772" s="35"/>
      <c r="AK2772" s="35"/>
      <c r="AL2772" s="35"/>
      <c r="AM2772" s="35"/>
      <c r="AN2772" s="35"/>
      <c r="AO2772" s="35"/>
      <c r="AP2772" s="35"/>
    </row>
    <row r="2773" spans="1:42" ht="17.25" customHeight="1" x14ac:dyDescent="0.25">
      <c r="A2773" s="60">
        <v>2027</v>
      </c>
      <c r="B2773" s="61" t="s">
        <v>66</v>
      </c>
      <c r="C2773" s="61" t="s">
        <v>27</v>
      </c>
      <c r="D2773" s="61" t="s">
        <v>32</v>
      </c>
      <c r="E2773" s="61" t="s">
        <v>67</v>
      </c>
      <c r="F2773" s="61" t="s">
        <v>67</v>
      </c>
      <c r="G2773" s="62">
        <v>16239281969</v>
      </c>
      <c r="H2773" s="61" t="s">
        <v>68</v>
      </c>
      <c r="I2773" s="63" t="str">
        <f t="shared" si="138"/>
        <v>Spain-Offline</v>
      </c>
      <c r="J2773" s="47"/>
      <c r="K2773" s="54"/>
      <c r="L2773" s="35"/>
      <c r="M2773" s="35"/>
      <c r="N2773" s="35"/>
      <c r="O2773" s="35"/>
      <c r="P2773" s="35"/>
      <c r="Q2773" s="35"/>
      <c r="R2773" s="35"/>
      <c r="S2773" s="35"/>
      <c r="T2773" s="35"/>
      <c r="U2773" s="35"/>
      <c r="V2773" s="35"/>
      <c r="W2773" s="35"/>
      <c r="X2773" s="35"/>
      <c r="Y2773" s="35"/>
      <c r="Z2773" s="35"/>
      <c r="AA2773" s="35"/>
      <c r="AB2773" s="35"/>
      <c r="AC2773" s="35"/>
      <c r="AD2773" s="35"/>
      <c r="AE2773" s="35"/>
      <c r="AF2773" s="35"/>
      <c r="AG2773" s="35"/>
      <c r="AH2773" s="35"/>
      <c r="AI2773" s="35"/>
      <c r="AJ2773" s="35"/>
      <c r="AK2773" s="35"/>
      <c r="AL2773" s="35"/>
      <c r="AM2773" s="35"/>
      <c r="AN2773" s="35"/>
      <c r="AO2773" s="35"/>
      <c r="AP2773" s="35"/>
    </row>
    <row r="2774" spans="1:42" ht="17.25" customHeight="1" x14ac:dyDescent="0.25">
      <c r="A2774" s="55">
        <v>2027</v>
      </c>
      <c r="B2774" s="56" t="s">
        <v>66</v>
      </c>
      <c r="C2774" s="56" t="s">
        <v>27</v>
      </c>
      <c r="D2774" s="56" t="s">
        <v>32</v>
      </c>
      <c r="E2774" s="56" t="s">
        <v>69</v>
      </c>
      <c r="F2774" s="56" t="s">
        <v>70</v>
      </c>
      <c r="G2774" s="57">
        <v>16462260336</v>
      </c>
      <c r="H2774" s="56" t="s">
        <v>68</v>
      </c>
      <c r="I2774" s="58" t="str">
        <f t="shared" si="138"/>
        <v>Spain-Online Supplier-Direct</v>
      </c>
      <c r="J2774" s="40"/>
      <c r="K2774" s="59"/>
      <c r="L2774" s="35"/>
      <c r="M2774" s="35"/>
      <c r="N2774" s="35"/>
      <c r="O2774" s="35"/>
      <c r="P2774" s="35"/>
      <c r="Q2774" s="35"/>
      <c r="R2774" s="35"/>
      <c r="S2774" s="35"/>
      <c r="T2774" s="35"/>
      <c r="U2774" s="35"/>
      <c r="V2774" s="35"/>
      <c r="W2774" s="35"/>
      <c r="X2774" s="35"/>
      <c r="Y2774" s="35"/>
      <c r="Z2774" s="35"/>
      <c r="AA2774" s="35"/>
      <c r="AB2774" s="35"/>
      <c r="AC2774" s="35"/>
      <c r="AD2774" s="35"/>
      <c r="AE2774" s="35"/>
      <c r="AF2774" s="35"/>
      <c r="AG2774" s="35"/>
      <c r="AH2774" s="35"/>
      <c r="AI2774" s="35"/>
      <c r="AJ2774" s="35"/>
      <c r="AK2774" s="35"/>
      <c r="AL2774" s="35"/>
      <c r="AM2774" s="35"/>
      <c r="AN2774" s="35"/>
      <c r="AO2774" s="35"/>
      <c r="AP2774" s="35"/>
    </row>
    <row r="2775" spans="1:42" ht="17.25" customHeight="1" x14ac:dyDescent="0.25">
      <c r="A2775" s="60">
        <v>2027</v>
      </c>
      <c r="B2775" s="61" t="s">
        <v>66</v>
      </c>
      <c r="C2775" s="61" t="s">
        <v>27</v>
      </c>
      <c r="D2775" s="61" t="s">
        <v>32</v>
      </c>
      <c r="E2775" s="61" t="s">
        <v>69</v>
      </c>
      <c r="F2775" s="61" t="s">
        <v>71</v>
      </c>
      <c r="G2775" s="62">
        <v>14209716460</v>
      </c>
      <c r="H2775" s="61" t="s">
        <v>68</v>
      </c>
      <c r="I2775" s="63" t="str">
        <f t="shared" si="138"/>
        <v>Spain-OTA</v>
      </c>
      <c r="J2775" s="47"/>
      <c r="K2775" s="54"/>
      <c r="L2775" s="35"/>
      <c r="M2775" s="35"/>
      <c r="N2775" s="35"/>
      <c r="O2775" s="35"/>
      <c r="P2775" s="35"/>
      <c r="Q2775" s="35"/>
      <c r="R2775" s="35"/>
      <c r="S2775" s="35"/>
      <c r="T2775" s="35"/>
      <c r="U2775" s="35"/>
      <c r="V2775" s="35"/>
      <c r="W2775" s="35"/>
      <c r="X2775" s="35"/>
      <c r="Y2775" s="35"/>
      <c r="Z2775" s="35"/>
      <c r="AA2775" s="35"/>
      <c r="AB2775" s="35"/>
      <c r="AC2775" s="35"/>
      <c r="AD2775" s="35"/>
      <c r="AE2775" s="35"/>
      <c r="AF2775" s="35"/>
      <c r="AG2775" s="35"/>
      <c r="AH2775" s="35"/>
      <c r="AI2775" s="35"/>
      <c r="AJ2775" s="35"/>
      <c r="AK2775" s="35"/>
      <c r="AL2775" s="35"/>
      <c r="AM2775" s="35"/>
      <c r="AN2775" s="35"/>
      <c r="AO2775" s="35"/>
      <c r="AP2775" s="35"/>
    </row>
    <row r="2776" spans="1:42" ht="17.25" customHeight="1" x14ac:dyDescent="0.25">
      <c r="A2776" s="55">
        <v>2027</v>
      </c>
      <c r="B2776" s="56" t="s">
        <v>66</v>
      </c>
      <c r="C2776" s="56" t="s">
        <v>4</v>
      </c>
      <c r="D2776" s="56" t="s">
        <v>14</v>
      </c>
      <c r="E2776" s="56" t="s">
        <v>67</v>
      </c>
      <c r="F2776" s="56" t="s">
        <v>67</v>
      </c>
      <c r="G2776" s="57">
        <v>6452223543</v>
      </c>
      <c r="H2776" s="56" t="s">
        <v>68</v>
      </c>
      <c r="I2776" s="58" t="str">
        <f t="shared" si="138"/>
        <v>Taiwan-Offline</v>
      </c>
      <c r="J2776" s="40"/>
      <c r="K2776" s="59"/>
      <c r="L2776" s="35"/>
      <c r="M2776" s="35"/>
      <c r="N2776" s="35"/>
      <c r="O2776" s="35"/>
      <c r="P2776" s="35"/>
      <c r="Q2776" s="35"/>
      <c r="R2776" s="35"/>
      <c r="S2776" s="35"/>
      <c r="T2776" s="35"/>
      <c r="U2776" s="35"/>
      <c r="V2776" s="35"/>
      <c r="W2776" s="35"/>
      <c r="X2776" s="35"/>
      <c r="Y2776" s="35"/>
      <c r="Z2776" s="35"/>
      <c r="AA2776" s="35"/>
      <c r="AB2776" s="35"/>
      <c r="AC2776" s="35"/>
      <c r="AD2776" s="35"/>
      <c r="AE2776" s="35"/>
      <c r="AF2776" s="35"/>
      <c r="AG2776" s="35"/>
      <c r="AH2776" s="35"/>
      <c r="AI2776" s="35"/>
      <c r="AJ2776" s="35"/>
      <c r="AK2776" s="35"/>
      <c r="AL2776" s="35"/>
      <c r="AM2776" s="35"/>
      <c r="AN2776" s="35"/>
      <c r="AO2776" s="35"/>
      <c r="AP2776" s="35"/>
    </row>
    <row r="2777" spans="1:42" ht="17.25" customHeight="1" x14ac:dyDescent="0.25">
      <c r="A2777" s="60">
        <v>2027</v>
      </c>
      <c r="B2777" s="61" t="s">
        <v>66</v>
      </c>
      <c r="C2777" s="61" t="s">
        <v>4</v>
      </c>
      <c r="D2777" s="61" t="s">
        <v>14</v>
      </c>
      <c r="E2777" s="61" t="s">
        <v>69</v>
      </c>
      <c r="F2777" s="61" t="s">
        <v>70</v>
      </c>
      <c r="G2777" s="62">
        <v>4655726313</v>
      </c>
      <c r="H2777" s="61" t="s">
        <v>68</v>
      </c>
      <c r="I2777" s="63" t="str">
        <f t="shared" si="138"/>
        <v>Taiwan-Online Supplier-Direct</v>
      </c>
      <c r="J2777" s="47"/>
      <c r="K2777" s="54"/>
      <c r="L2777" s="35"/>
      <c r="M2777" s="35"/>
      <c r="N2777" s="35"/>
      <c r="O2777" s="35"/>
      <c r="P2777" s="35"/>
      <c r="Q2777" s="35"/>
      <c r="R2777" s="35"/>
      <c r="S2777" s="35"/>
      <c r="T2777" s="35"/>
      <c r="U2777" s="35"/>
      <c r="V2777" s="35"/>
      <c r="W2777" s="35"/>
      <c r="X2777" s="35"/>
      <c r="Y2777" s="35"/>
      <c r="Z2777" s="35"/>
      <c r="AA2777" s="35"/>
      <c r="AB2777" s="35"/>
      <c r="AC2777" s="35"/>
      <c r="AD2777" s="35"/>
      <c r="AE2777" s="35"/>
      <c r="AF2777" s="35"/>
      <c r="AG2777" s="35"/>
      <c r="AH2777" s="35"/>
      <c r="AI2777" s="35"/>
      <c r="AJ2777" s="35"/>
      <c r="AK2777" s="35"/>
      <c r="AL2777" s="35"/>
      <c r="AM2777" s="35"/>
      <c r="AN2777" s="35"/>
      <c r="AO2777" s="35"/>
      <c r="AP2777" s="35"/>
    </row>
    <row r="2778" spans="1:42" ht="17.25" customHeight="1" x14ac:dyDescent="0.25">
      <c r="A2778" s="55">
        <v>2027</v>
      </c>
      <c r="B2778" s="56" t="s">
        <v>66</v>
      </c>
      <c r="C2778" s="56" t="s">
        <v>4</v>
      </c>
      <c r="D2778" s="56" t="s">
        <v>14</v>
      </c>
      <c r="E2778" s="56" t="s">
        <v>69</v>
      </c>
      <c r="F2778" s="56" t="s">
        <v>71</v>
      </c>
      <c r="G2778" s="57">
        <v>3604328365</v>
      </c>
      <c r="H2778" s="56" t="s">
        <v>68</v>
      </c>
      <c r="I2778" s="58" t="str">
        <f t="shared" si="138"/>
        <v>Taiwan-OTA</v>
      </c>
      <c r="J2778" s="40"/>
      <c r="K2778" s="59"/>
      <c r="L2778" s="35"/>
      <c r="M2778" s="35"/>
      <c r="N2778" s="35"/>
      <c r="O2778" s="35"/>
      <c r="P2778" s="35"/>
      <c r="Q2778" s="35"/>
      <c r="R2778" s="35"/>
      <c r="S2778" s="35"/>
      <c r="T2778" s="35"/>
      <c r="U2778" s="35"/>
      <c r="V2778" s="35"/>
      <c r="W2778" s="35"/>
      <c r="X2778" s="35"/>
      <c r="Y2778" s="35"/>
      <c r="Z2778" s="35"/>
      <c r="AA2778" s="35"/>
      <c r="AB2778" s="35"/>
      <c r="AC2778" s="35"/>
      <c r="AD2778" s="35"/>
      <c r="AE2778" s="35"/>
      <c r="AF2778" s="35"/>
      <c r="AG2778" s="35"/>
      <c r="AH2778" s="35"/>
      <c r="AI2778" s="35"/>
      <c r="AJ2778" s="35"/>
      <c r="AK2778" s="35"/>
      <c r="AL2778" s="35"/>
      <c r="AM2778" s="35"/>
      <c r="AN2778" s="35"/>
      <c r="AO2778" s="35"/>
      <c r="AP2778" s="35"/>
    </row>
    <row r="2779" spans="1:42" ht="17.25" customHeight="1" x14ac:dyDescent="0.25">
      <c r="A2779" s="60">
        <v>2027</v>
      </c>
      <c r="B2779" s="61" t="s">
        <v>66</v>
      </c>
      <c r="C2779" s="61" t="s">
        <v>4</v>
      </c>
      <c r="D2779" s="61" t="s">
        <v>15</v>
      </c>
      <c r="E2779" s="61" t="s">
        <v>67</v>
      </c>
      <c r="F2779" s="61" t="s">
        <v>67</v>
      </c>
      <c r="G2779" s="62">
        <v>6269194837</v>
      </c>
      <c r="H2779" s="61" t="s">
        <v>68</v>
      </c>
      <c r="I2779" s="63" t="str">
        <f t="shared" si="138"/>
        <v>Thailand-Offline</v>
      </c>
      <c r="J2779" s="47"/>
      <c r="K2779" s="54"/>
      <c r="L2779" s="35"/>
      <c r="M2779" s="35"/>
      <c r="N2779" s="35"/>
      <c r="O2779" s="35"/>
      <c r="P2779" s="35"/>
      <c r="Q2779" s="35"/>
      <c r="R2779" s="35"/>
      <c r="S2779" s="35"/>
      <c r="T2779" s="35"/>
      <c r="U2779" s="35"/>
      <c r="V2779" s="35"/>
      <c r="W2779" s="35"/>
      <c r="X2779" s="35"/>
      <c r="Y2779" s="35"/>
      <c r="Z2779" s="35"/>
      <c r="AA2779" s="35"/>
      <c r="AB2779" s="35"/>
      <c r="AC2779" s="35"/>
      <c r="AD2779" s="35"/>
      <c r="AE2779" s="35"/>
      <c r="AF2779" s="35"/>
      <c r="AG2779" s="35"/>
      <c r="AH2779" s="35"/>
      <c r="AI2779" s="35"/>
      <c r="AJ2779" s="35"/>
      <c r="AK2779" s="35"/>
      <c r="AL2779" s="35"/>
      <c r="AM2779" s="35"/>
      <c r="AN2779" s="35"/>
      <c r="AO2779" s="35"/>
      <c r="AP2779" s="35"/>
    </row>
    <row r="2780" spans="1:42" ht="17.25" customHeight="1" x14ac:dyDescent="0.25">
      <c r="A2780" s="55">
        <v>2027</v>
      </c>
      <c r="B2780" s="56" t="s">
        <v>66</v>
      </c>
      <c r="C2780" s="56" t="s">
        <v>4</v>
      </c>
      <c r="D2780" s="56" t="s">
        <v>15</v>
      </c>
      <c r="E2780" s="56" t="s">
        <v>69</v>
      </c>
      <c r="F2780" s="56" t="s">
        <v>70</v>
      </c>
      <c r="G2780" s="57">
        <v>4458242423</v>
      </c>
      <c r="H2780" s="56" t="s">
        <v>68</v>
      </c>
      <c r="I2780" s="58" t="str">
        <f t="shared" si="138"/>
        <v>Thailand-Online Supplier-Direct</v>
      </c>
      <c r="J2780" s="40"/>
      <c r="K2780" s="59"/>
      <c r="L2780" s="35"/>
      <c r="M2780" s="35"/>
      <c r="N2780" s="35"/>
      <c r="O2780" s="35"/>
      <c r="P2780" s="35"/>
      <c r="Q2780" s="35"/>
      <c r="R2780" s="35"/>
      <c r="S2780" s="35"/>
      <c r="T2780" s="35"/>
      <c r="U2780" s="35"/>
      <c r="V2780" s="35"/>
      <c r="W2780" s="35"/>
      <c r="X2780" s="35"/>
      <c r="Y2780" s="35"/>
      <c r="Z2780" s="35"/>
      <c r="AA2780" s="35"/>
      <c r="AB2780" s="35"/>
      <c r="AC2780" s="35"/>
      <c r="AD2780" s="35"/>
      <c r="AE2780" s="35"/>
      <c r="AF2780" s="35"/>
      <c r="AG2780" s="35"/>
      <c r="AH2780" s="35"/>
      <c r="AI2780" s="35"/>
      <c r="AJ2780" s="35"/>
      <c r="AK2780" s="35"/>
      <c r="AL2780" s="35"/>
      <c r="AM2780" s="35"/>
      <c r="AN2780" s="35"/>
      <c r="AO2780" s="35"/>
      <c r="AP2780" s="35"/>
    </row>
    <row r="2781" spans="1:42" ht="17.25" customHeight="1" x14ac:dyDescent="0.25">
      <c r="A2781" s="60">
        <v>2027</v>
      </c>
      <c r="B2781" s="61" t="s">
        <v>66</v>
      </c>
      <c r="C2781" s="61" t="s">
        <v>4</v>
      </c>
      <c r="D2781" s="61" t="s">
        <v>15</v>
      </c>
      <c r="E2781" s="61" t="s">
        <v>69</v>
      </c>
      <c r="F2781" s="61" t="s">
        <v>71</v>
      </c>
      <c r="G2781" s="62">
        <v>11555888043</v>
      </c>
      <c r="H2781" s="61" t="s">
        <v>68</v>
      </c>
      <c r="I2781" s="63" t="str">
        <f t="shared" si="138"/>
        <v>Thailand-OTA</v>
      </c>
      <c r="J2781" s="47"/>
      <c r="K2781" s="54"/>
      <c r="L2781" s="35"/>
      <c r="M2781" s="35"/>
      <c r="N2781" s="35"/>
      <c r="O2781" s="35"/>
      <c r="P2781" s="35"/>
      <c r="Q2781" s="35"/>
      <c r="R2781" s="35"/>
      <c r="S2781" s="35"/>
      <c r="T2781" s="35"/>
      <c r="U2781" s="35"/>
      <c r="V2781" s="35"/>
      <c r="W2781" s="35"/>
      <c r="X2781" s="35"/>
      <c r="Y2781" s="35"/>
      <c r="Z2781" s="35"/>
      <c r="AA2781" s="35"/>
      <c r="AB2781" s="35"/>
      <c r="AC2781" s="35"/>
      <c r="AD2781" s="35"/>
      <c r="AE2781" s="35"/>
      <c r="AF2781" s="35"/>
      <c r="AG2781" s="35"/>
      <c r="AH2781" s="35"/>
      <c r="AI2781" s="35"/>
      <c r="AJ2781" s="35"/>
      <c r="AK2781" s="35"/>
      <c r="AL2781" s="35"/>
      <c r="AM2781" s="35"/>
      <c r="AN2781" s="35"/>
      <c r="AO2781" s="35"/>
      <c r="AP2781" s="35"/>
    </row>
    <row r="2782" spans="1:42" ht="17.25" customHeight="1" x14ac:dyDescent="0.25">
      <c r="A2782" s="55">
        <v>2027</v>
      </c>
      <c r="B2782" s="56" t="s">
        <v>66</v>
      </c>
      <c r="C2782" s="56" t="s">
        <v>41</v>
      </c>
      <c r="D2782" s="56" t="s">
        <v>45</v>
      </c>
      <c r="E2782" s="56" t="s">
        <v>67</v>
      </c>
      <c r="F2782" s="56" t="s">
        <v>67</v>
      </c>
      <c r="G2782" s="57">
        <v>27258670742</v>
      </c>
      <c r="H2782" s="56" t="s">
        <v>68</v>
      </c>
      <c r="I2782" s="58" t="str">
        <f t="shared" si="138"/>
        <v>U.A.E.-Offline</v>
      </c>
      <c r="J2782" s="40"/>
      <c r="K2782" s="59"/>
      <c r="L2782" s="35"/>
      <c r="M2782" s="35"/>
      <c r="N2782" s="35"/>
      <c r="O2782" s="35"/>
      <c r="P2782" s="35"/>
      <c r="Q2782" s="35"/>
      <c r="R2782" s="35"/>
      <c r="S2782" s="35"/>
      <c r="T2782" s="35"/>
      <c r="U2782" s="35"/>
      <c r="V2782" s="35"/>
      <c r="W2782" s="35"/>
      <c r="X2782" s="35"/>
      <c r="Y2782" s="35"/>
      <c r="Z2782" s="35"/>
      <c r="AA2782" s="35"/>
      <c r="AB2782" s="35"/>
      <c r="AC2782" s="35"/>
      <c r="AD2782" s="35"/>
      <c r="AE2782" s="35"/>
      <c r="AF2782" s="35"/>
      <c r="AG2782" s="35"/>
      <c r="AH2782" s="35"/>
      <c r="AI2782" s="35"/>
      <c r="AJ2782" s="35"/>
      <c r="AK2782" s="35"/>
      <c r="AL2782" s="35"/>
      <c r="AM2782" s="35"/>
      <c r="AN2782" s="35"/>
      <c r="AO2782" s="35"/>
      <c r="AP2782" s="35"/>
    </row>
    <row r="2783" spans="1:42" ht="17.25" customHeight="1" x14ac:dyDescent="0.25">
      <c r="A2783" s="60">
        <v>2027</v>
      </c>
      <c r="B2783" s="61" t="s">
        <v>66</v>
      </c>
      <c r="C2783" s="61" t="s">
        <v>41</v>
      </c>
      <c r="D2783" s="61" t="s">
        <v>45</v>
      </c>
      <c r="E2783" s="61" t="s">
        <v>69</v>
      </c>
      <c r="F2783" s="61" t="s">
        <v>70</v>
      </c>
      <c r="G2783" s="62">
        <v>24185008989</v>
      </c>
      <c r="H2783" s="61" t="s">
        <v>68</v>
      </c>
      <c r="I2783" s="63" t="str">
        <f t="shared" si="138"/>
        <v>U.A.E.-Online Supplier-Direct</v>
      </c>
      <c r="J2783" s="47"/>
      <c r="K2783" s="54"/>
      <c r="L2783" s="35"/>
      <c r="M2783" s="35"/>
      <c r="N2783" s="35"/>
      <c r="O2783" s="35"/>
      <c r="P2783" s="35"/>
      <c r="Q2783" s="35"/>
      <c r="R2783" s="35"/>
      <c r="S2783" s="35"/>
      <c r="T2783" s="35"/>
      <c r="U2783" s="35"/>
      <c r="V2783" s="35"/>
      <c r="W2783" s="35"/>
      <c r="X2783" s="35"/>
      <c r="Y2783" s="35"/>
      <c r="Z2783" s="35"/>
      <c r="AA2783" s="35"/>
      <c r="AB2783" s="35"/>
      <c r="AC2783" s="35"/>
      <c r="AD2783" s="35"/>
      <c r="AE2783" s="35"/>
      <c r="AF2783" s="35"/>
      <c r="AG2783" s="35"/>
      <c r="AH2783" s="35"/>
      <c r="AI2783" s="35"/>
      <c r="AJ2783" s="35"/>
      <c r="AK2783" s="35"/>
      <c r="AL2783" s="35"/>
      <c r="AM2783" s="35"/>
      <c r="AN2783" s="35"/>
      <c r="AO2783" s="35"/>
      <c r="AP2783" s="35"/>
    </row>
    <row r="2784" spans="1:42" ht="17.25" customHeight="1" x14ac:dyDescent="0.25">
      <c r="A2784" s="55">
        <v>2027</v>
      </c>
      <c r="B2784" s="56" t="s">
        <v>66</v>
      </c>
      <c r="C2784" s="56" t="s">
        <v>41</v>
      </c>
      <c r="D2784" s="56" t="s">
        <v>45</v>
      </c>
      <c r="E2784" s="56" t="s">
        <v>69</v>
      </c>
      <c r="F2784" s="56" t="s">
        <v>71</v>
      </c>
      <c r="G2784" s="57">
        <v>9085416717</v>
      </c>
      <c r="H2784" s="56" t="s">
        <v>68</v>
      </c>
      <c r="I2784" s="58" t="str">
        <f t="shared" si="138"/>
        <v>U.A.E.-OTA</v>
      </c>
      <c r="J2784" s="40"/>
      <c r="K2784" s="59"/>
      <c r="L2784" s="35"/>
      <c r="M2784" s="35"/>
      <c r="N2784" s="35"/>
      <c r="O2784" s="35"/>
      <c r="P2784" s="35"/>
      <c r="Q2784" s="35"/>
      <c r="R2784" s="35"/>
      <c r="S2784" s="35"/>
      <c r="T2784" s="35"/>
      <c r="U2784" s="35"/>
      <c r="V2784" s="35"/>
      <c r="W2784" s="35"/>
      <c r="X2784" s="35"/>
      <c r="Y2784" s="35"/>
      <c r="Z2784" s="35"/>
      <c r="AA2784" s="35"/>
      <c r="AB2784" s="35"/>
      <c r="AC2784" s="35"/>
      <c r="AD2784" s="35"/>
      <c r="AE2784" s="35"/>
      <c r="AF2784" s="35"/>
      <c r="AG2784" s="35"/>
      <c r="AH2784" s="35"/>
      <c r="AI2784" s="35"/>
      <c r="AJ2784" s="35"/>
      <c r="AK2784" s="35"/>
      <c r="AL2784" s="35"/>
      <c r="AM2784" s="35"/>
      <c r="AN2784" s="35"/>
      <c r="AO2784" s="35"/>
      <c r="AP2784" s="35"/>
    </row>
    <row r="2785" spans="1:42" ht="17.25" customHeight="1" x14ac:dyDescent="0.25">
      <c r="A2785" s="60">
        <v>2027</v>
      </c>
      <c r="B2785" s="61" t="s">
        <v>66</v>
      </c>
      <c r="C2785" s="61" t="s">
        <v>27</v>
      </c>
      <c r="D2785" s="61" t="s">
        <v>33</v>
      </c>
      <c r="E2785" s="61" t="s">
        <v>67</v>
      </c>
      <c r="F2785" s="61" t="s">
        <v>67</v>
      </c>
      <c r="G2785" s="62">
        <v>12622234694</v>
      </c>
      <c r="H2785" s="61" t="s">
        <v>68</v>
      </c>
      <c r="I2785" s="63" t="str">
        <f t="shared" si="138"/>
        <v>U.K.-Offline</v>
      </c>
      <c r="J2785" s="47"/>
      <c r="K2785" s="54"/>
      <c r="L2785" s="35"/>
      <c r="M2785" s="35"/>
      <c r="N2785" s="35"/>
      <c r="O2785" s="35"/>
      <c r="P2785" s="35"/>
      <c r="Q2785" s="35"/>
      <c r="R2785" s="35"/>
      <c r="S2785" s="35"/>
      <c r="T2785" s="35"/>
      <c r="U2785" s="35"/>
      <c r="V2785" s="35"/>
      <c r="W2785" s="35"/>
      <c r="X2785" s="35"/>
      <c r="Y2785" s="35"/>
      <c r="Z2785" s="35"/>
      <c r="AA2785" s="35"/>
      <c r="AB2785" s="35"/>
      <c r="AC2785" s="35"/>
      <c r="AD2785" s="35"/>
      <c r="AE2785" s="35"/>
      <c r="AF2785" s="35"/>
      <c r="AG2785" s="35"/>
      <c r="AH2785" s="35"/>
      <c r="AI2785" s="35"/>
      <c r="AJ2785" s="35"/>
      <c r="AK2785" s="35"/>
      <c r="AL2785" s="35"/>
      <c r="AM2785" s="35"/>
      <c r="AN2785" s="35"/>
      <c r="AO2785" s="35"/>
      <c r="AP2785" s="35"/>
    </row>
    <row r="2786" spans="1:42" ht="17.25" customHeight="1" x14ac:dyDescent="0.25">
      <c r="A2786" s="55">
        <v>2027</v>
      </c>
      <c r="B2786" s="56" t="s">
        <v>66</v>
      </c>
      <c r="C2786" s="56" t="s">
        <v>27</v>
      </c>
      <c r="D2786" s="56" t="s">
        <v>33</v>
      </c>
      <c r="E2786" s="56" t="s">
        <v>69</v>
      </c>
      <c r="F2786" s="56" t="s">
        <v>70</v>
      </c>
      <c r="G2786" s="57">
        <v>52438052106</v>
      </c>
      <c r="H2786" s="56" t="s">
        <v>68</v>
      </c>
      <c r="I2786" s="58" t="str">
        <f t="shared" si="138"/>
        <v>U.K.-Online Supplier-Direct</v>
      </c>
      <c r="J2786" s="40"/>
      <c r="K2786" s="59"/>
      <c r="L2786" s="35"/>
      <c r="M2786" s="35"/>
      <c r="N2786" s="35"/>
      <c r="O2786" s="35"/>
      <c r="P2786" s="35"/>
      <c r="Q2786" s="35"/>
      <c r="R2786" s="35"/>
      <c r="S2786" s="35"/>
      <c r="T2786" s="35"/>
      <c r="U2786" s="35"/>
      <c r="V2786" s="35"/>
      <c r="W2786" s="35"/>
      <c r="X2786" s="35"/>
      <c r="Y2786" s="35"/>
      <c r="Z2786" s="35"/>
      <c r="AA2786" s="35"/>
      <c r="AB2786" s="35"/>
      <c r="AC2786" s="35"/>
      <c r="AD2786" s="35"/>
      <c r="AE2786" s="35"/>
      <c r="AF2786" s="35"/>
      <c r="AG2786" s="35"/>
      <c r="AH2786" s="35"/>
      <c r="AI2786" s="35"/>
      <c r="AJ2786" s="35"/>
      <c r="AK2786" s="35"/>
      <c r="AL2786" s="35"/>
      <c r="AM2786" s="35"/>
      <c r="AN2786" s="35"/>
      <c r="AO2786" s="35"/>
      <c r="AP2786" s="35"/>
    </row>
    <row r="2787" spans="1:42" ht="17.25" customHeight="1" x14ac:dyDescent="0.25">
      <c r="A2787" s="60">
        <v>2027</v>
      </c>
      <c r="B2787" s="61" t="s">
        <v>66</v>
      </c>
      <c r="C2787" s="61" t="s">
        <v>27</v>
      </c>
      <c r="D2787" s="61" t="s">
        <v>33</v>
      </c>
      <c r="E2787" s="61" t="s">
        <v>69</v>
      </c>
      <c r="F2787" s="61" t="s">
        <v>71</v>
      </c>
      <c r="G2787" s="62">
        <v>14187194242</v>
      </c>
      <c r="H2787" s="61" t="s">
        <v>68</v>
      </c>
      <c r="I2787" s="63" t="str">
        <f t="shared" si="138"/>
        <v>U.K.-OTA</v>
      </c>
      <c r="J2787" s="47"/>
      <c r="K2787" s="54"/>
      <c r="L2787" s="35"/>
      <c r="M2787" s="35"/>
      <c r="N2787" s="35"/>
      <c r="O2787" s="35"/>
      <c r="P2787" s="35"/>
      <c r="Q2787" s="35"/>
      <c r="R2787" s="35"/>
      <c r="S2787" s="35"/>
      <c r="T2787" s="35"/>
      <c r="U2787" s="35"/>
      <c r="V2787" s="35"/>
      <c r="W2787" s="35"/>
      <c r="X2787" s="35"/>
      <c r="Y2787" s="35"/>
      <c r="Z2787" s="35"/>
      <c r="AA2787" s="35"/>
      <c r="AB2787" s="35"/>
      <c r="AC2787" s="35"/>
      <c r="AD2787" s="35"/>
      <c r="AE2787" s="35"/>
      <c r="AF2787" s="35"/>
      <c r="AG2787" s="35"/>
      <c r="AH2787" s="35"/>
      <c r="AI2787" s="35"/>
      <c r="AJ2787" s="35"/>
      <c r="AK2787" s="35"/>
      <c r="AL2787" s="35"/>
      <c r="AM2787" s="35"/>
      <c r="AN2787" s="35"/>
      <c r="AO2787" s="35"/>
      <c r="AP2787" s="35"/>
    </row>
    <row r="2788" spans="1:42" ht="17.25" customHeight="1" x14ac:dyDescent="0.25">
      <c r="A2788" s="55">
        <v>2027</v>
      </c>
      <c r="B2788" s="56" t="s">
        <v>66</v>
      </c>
      <c r="C2788" s="56" t="s">
        <v>47</v>
      </c>
      <c r="D2788" s="56" t="s">
        <v>48</v>
      </c>
      <c r="E2788" s="56" t="s">
        <v>72</v>
      </c>
      <c r="F2788" s="56" t="s">
        <v>73</v>
      </c>
      <c r="G2788" s="57">
        <v>87741743601</v>
      </c>
      <c r="H2788" s="56" t="s">
        <v>68</v>
      </c>
      <c r="I2788" s="58" t="str">
        <f t="shared" si="138"/>
        <v>U.S.-Central Reservation</v>
      </c>
      <c r="J2788" s="40"/>
      <c r="K2788" s="59"/>
      <c r="L2788" s="35"/>
      <c r="M2788" s="35"/>
      <c r="N2788" s="35"/>
      <c r="O2788" s="35"/>
      <c r="P2788" s="35"/>
      <c r="Q2788" s="35"/>
      <c r="R2788" s="35"/>
      <c r="S2788" s="35"/>
      <c r="T2788" s="35"/>
      <c r="U2788" s="35"/>
      <c r="V2788" s="35"/>
      <c r="W2788" s="35"/>
      <c r="X2788" s="35"/>
      <c r="Y2788" s="35"/>
      <c r="Z2788" s="35"/>
      <c r="AA2788" s="35"/>
      <c r="AB2788" s="35"/>
      <c r="AC2788" s="35"/>
      <c r="AD2788" s="35"/>
      <c r="AE2788" s="35"/>
      <c r="AF2788" s="35"/>
      <c r="AG2788" s="35"/>
      <c r="AH2788" s="35"/>
      <c r="AI2788" s="35"/>
      <c r="AJ2788" s="35"/>
      <c r="AK2788" s="35"/>
      <c r="AL2788" s="35"/>
      <c r="AM2788" s="35"/>
      <c r="AN2788" s="35"/>
      <c r="AO2788" s="35"/>
      <c r="AP2788" s="35"/>
    </row>
    <row r="2789" spans="1:42" ht="17.25" customHeight="1" x14ac:dyDescent="0.25">
      <c r="A2789" s="60">
        <v>2027</v>
      </c>
      <c r="B2789" s="61" t="s">
        <v>66</v>
      </c>
      <c r="C2789" s="61" t="s">
        <v>47</v>
      </c>
      <c r="D2789" s="61" t="s">
        <v>48</v>
      </c>
      <c r="E2789" s="61" t="s">
        <v>67</v>
      </c>
      <c r="F2789" s="61" t="s">
        <v>74</v>
      </c>
      <c r="G2789" s="62">
        <v>116388953255</v>
      </c>
      <c r="H2789" s="61" t="s">
        <v>68</v>
      </c>
      <c r="I2789" s="63" t="str">
        <f t="shared" si="138"/>
        <v>U.S.-Travel Agency/TMC</v>
      </c>
      <c r="J2789" s="47"/>
      <c r="K2789" s="54"/>
      <c r="L2789" s="35"/>
      <c r="M2789" s="35"/>
      <c r="N2789" s="35"/>
      <c r="O2789" s="35"/>
      <c r="P2789" s="35"/>
      <c r="Q2789" s="35"/>
      <c r="R2789" s="35"/>
      <c r="S2789" s="35"/>
      <c r="T2789" s="35"/>
      <c r="U2789" s="35"/>
      <c r="V2789" s="35"/>
      <c r="W2789" s="35"/>
      <c r="X2789" s="35"/>
      <c r="Y2789" s="35"/>
      <c r="Z2789" s="35"/>
      <c r="AA2789" s="35"/>
      <c r="AB2789" s="35"/>
      <c r="AC2789" s="35"/>
      <c r="AD2789" s="35"/>
      <c r="AE2789" s="35"/>
      <c r="AF2789" s="35"/>
      <c r="AG2789" s="35"/>
      <c r="AH2789" s="35"/>
      <c r="AI2789" s="35"/>
      <c r="AJ2789" s="35"/>
      <c r="AK2789" s="35"/>
      <c r="AL2789" s="35"/>
      <c r="AM2789" s="35"/>
      <c r="AN2789" s="35"/>
      <c r="AO2789" s="35"/>
      <c r="AP2789" s="35"/>
    </row>
    <row r="2790" spans="1:42" ht="17.25" customHeight="1" x14ac:dyDescent="0.25">
      <c r="A2790" s="55">
        <v>2027</v>
      </c>
      <c r="B2790" s="56" t="s">
        <v>66</v>
      </c>
      <c r="C2790" s="56" t="s">
        <v>47</v>
      </c>
      <c r="D2790" s="56" t="s">
        <v>48</v>
      </c>
      <c r="E2790" s="56" t="s">
        <v>69</v>
      </c>
      <c r="F2790" s="56" t="s">
        <v>70</v>
      </c>
      <c r="G2790" s="57">
        <v>245027904788</v>
      </c>
      <c r="H2790" s="56" t="s">
        <v>68</v>
      </c>
      <c r="I2790" s="58" t="str">
        <f t="shared" si="138"/>
        <v>U.S.-Online Supplier-Direct</v>
      </c>
      <c r="J2790" s="40"/>
      <c r="K2790" s="59"/>
      <c r="L2790" s="35"/>
      <c r="M2790" s="35"/>
      <c r="N2790" s="35"/>
      <c r="O2790" s="35"/>
      <c r="P2790" s="35"/>
      <c r="Q2790" s="35"/>
      <c r="R2790" s="35"/>
      <c r="S2790" s="35"/>
      <c r="T2790" s="35"/>
      <c r="U2790" s="35"/>
      <c r="V2790" s="35"/>
      <c r="W2790" s="35"/>
      <c r="X2790" s="35"/>
      <c r="Y2790" s="35"/>
      <c r="Z2790" s="35"/>
      <c r="AA2790" s="35"/>
      <c r="AB2790" s="35"/>
      <c r="AC2790" s="35"/>
      <c r="AD2790" s="35"/>
      <c r="AE2790" s="35"/>
      <c r="AF2790" s="35"/>
      <c r="AG2790" s="35"/>
      <c r="AH2790" s="35"/>
      <c r="AI2790" s="35"/>
      <c r="AJ2790" s="35"/>
      <c r="AK2790" s="35"/>
      <c r="AL2790" s="35"/>
      <c r="AM2790" s="35"/>
      <c r="AN2790" s="35"/>
      <c r="AO2790" s="35"/>
      <c r="AP2790" s="35"/>
    </row>
    <row r="2791" spans="1:42" ht="17.25" customHeight="1" x14ac:dyDescent="0.25">
      <c r="A2791" s="60">
        <v>2027</v>
      </c>
      <c r="B2791" s="61" t="s">
        <v>66</v>
      </c>
      <c r="C2791" s="61" t="s">
        <v>47</v>
      </c>
      <c r="D2791" s="61" t="s">
        <v>48</v>
      </c>
      <c r="E2791" s="61" t="s">
        <v>69</v>
      </c>
      <c r="F2791" s="61" t="s">
        <v>71</v>
      </c>
      <c r="G2791" s="62">
        <v>119331486357</v>
      </c>
      <c r="H2791" s="61" t="s">
        <v>68</v>
      </c>
      <c r="I2791" s="63" t="str">
        <f t="shared" si="138"/>
        <v>U.S.-OTA</v>
      </c>
      <c r="J2791" s="47"/>
      <c r="K2791" s="54"/>
      <c r="L2791" s="35"/>
      <c r="M2791" s="35"/>
      <c r="N2791" s="35"/>
      <c r="O2791" s="35"/>
      <c r="P2791" s="35"/>
      <c r="Q2791" s="35"/>
      <c r="R2791" s="35"/>
      <c r="S2791" s="35"/>
      <c r="T2791" s="35"/>
      <c r="U2791" s="35"/>
      <c r="V2791" s="35"/>
      <c r="W2791" s="35"/>
      <c r="X2791" s="35"/>
      <c r="Y2791" s="35"/>
      <c r="Z2791" s="35"/>
      <c r="AA2791" s="35"/>
      <c r="AB2791" s="35"/>
      <c r="AC2791" s="35"/>
      <c r="AD2791" s="35"/>
      <c r="AE2791" s="35"/>
      <c r="AF2791" s="35"/>
      <c r="AG2791" s="35"/>
      <c r="AH2791" s="35"/>
      <c r="AI2791" s="35"/>
      <c r="AJ2791" s="35"/>
      <c r="AK2791" s="35"/>
      <c r="AL2791" s="35"/>
      <c r="AM2791" s="35"/>
      <c r="AN2791" s="35"/>
      <c r="AO2791" s="35"/>
      <c r="AP2791" s="35"/>
    </row>
    <row r="2792" spans="1:42" ht="17.25" customHeight="1" x14ac:dyDescent="0.25">
      <c r="A2792" s="55">
        <v>2027</v>
      </c>
      <c r="B2792" s="56" t="s">
        <v>66</v>
      </c>
      <c r="C2792" s="56" t="s">
        <v>17</v>
      </c>
      <c r="D2792" s="56" t="s">
        <v>25</v>
      </c>
      <c r="E2792" s="56" t="s">
        <v>67</v>
      </c>
      <c r="F2792" s="56" t="s">
        <v>67</v>
      </c>
      <c r="G2792" s="57">
        <v>0</v>
      </c>
      <c r="H2792" s="56" t="s">
        <v>68</v>
      </c>
      <c r="I2792" s="58" t="str">
        <f t="shared" si="138"/>
        <v>Ukraine-Offline</v>
      </c>
      <c r="J2792" s="40"/>
      <c r="K2792" s="59"/>
      <c r="L2792" s="35"/>
      <c r="M2792" s="35"/>
      <c r="N2792" s="35"/>
      <c r="O2792" s="35"/>
      <c r="P2792" s="35"/>
      <c r="Q2792" s="35"/>
      <c r="R2792" s="35"/>
      <c r="S2792" s="35"/>
      <c r="T2792" s="35"/>
      <c r="U2792" s="35"/>
      <c r="V2792" s="35"/>
      <c r="W2792" s="35"/>
      <c r="X2792" s="35"/>
      <c r="Y2792" s="35"/>
      <c r="Z2792" s="35"/>
      <c r="AA2792" s="35"/>
      <c r="AB2792" s="35"/>
      <c r="AC2792" s="35"/>
      <c r="AD2792" s="35"/>
      <c r="AE2792" s="35"/>
      <c r="AF2792" s="35"/>
      <c r="AG2792" s="35"/>
      <c r="AH2792" s="35"/>
      <c r="AI2792" s="35"/>
      <c r="AJ2792" s="35"/>
      <c r="AK2792" s="35"/>
      <c r="AL2792" s="35"/>
      <c r="AM2792" s="35"/>
      <c r="AN2792" s="35"/>
      <c r="AO2792" s="35"/>
      <c r="AP2792" s="35"/>
    </row>
    <row r="2793" spans="1:42" ht="17.25" customHeight="1" x14ac:dyDescent="0.25">
      <c r="A2793" s="60">
        <v>2027</v>
      </c>
      <c r="B2793" s="61" t="s">
        <v>66</v>
      </c>
      <c r="C2793" s="61" t="s">
        <v>17</v>
      </c>
      <c r="D2793" s="61" t="s">
        <v>25</v>
      </c>
      <c r="E2793" s="61" t="s">
        <v>69</v>
      </c>
      <c r="F2793" s="61" t="s">
        <v>70</v>
      </c>
      <c r="G2793" s="62">
        <v>0</v>
      </c>
      <c r="H2793" s="61" t="s">
        <v>68</v>
      </c>
      <c r="I2793" s="63" t="str">
        <f t="shared" si="138"/>
        <v>Ukraine-Online Supplier-Direct</v>
      </c>
      <c r="J2793" s="47"/>
      <c r="K2793" s="54"/>
      <c r="L2793" s="35"/>
      <c r="M2793" s="35"/>
      <c r="N2793" s="35"/>
      <c r="O2793" s="35"/>
      <c r="P2793" s="35"/>
      <c r="Q2793" s="35"/>
      <c r="R2793" s="35"/>
      <c r="S2793" s="35"/>
      <c r="T2793" s="35"/>
      <c r="U2793" s="35"/>
      <c r="V2793" s="35"/>
      <c r="W2793" s="35"/>
      <c r="X2793" s="35"/>
      <c r="Y2793" s="35"/>
      <c r="Z2793" s="35"/>
      <c r="AA2793" s="35"/>
      <c r="AB2793" s="35"/>
      <c r="AC2793" s="35"/>
      <c r="AD2793" s="35"/>
      <c r="AE2793" s="35"/>
      <c r="AF2793" s="35"/>
      <c r="AG2793" s="35"/>
      <c r="AH2793" s="35"/>
      <c r="AI2793" s="35"/>
      <c r="AJ2793" s="35"/>
      <c r="AK2793" s="35"/>
      <c r="AL2793" s="35"/>
      <c r="AM2793" s="35"/>
      <c r="AN2793" s="35"/>
      <c r="AO2793" s="35"/>
      <c r="AP2793" s="35"/>
    </row>
    <row r="2794" spans="1:42" ht="17.25" customHeight="1" x14ac:dyDescent="0.25">
      <c r="A2794" s="55">
        <v>2027</v>
      </c>
      <c r="B2794" s="56" t="s">
        <v>66</v>
      </c>
      <c r="C2794" s="56" t="s">
        <v>17</v>
      </c>
      <c r="D2794" s="56" t="s">
        <v>25</v>
      </c>
      <c r="E2794" s="56" t="s">
        <v>69</v>
      </c>
      <c r="F2794" s="56" t="s">
        <v>71</v>
      </c>
      <c r="G2794" s="57">
        <v>0</v>
      </c>
      <c r="H2794" s="56" t="s">
        <v>68</v>
      </c>
      <c r="I2794" s="58" t="str">
        <f t="shared" si="138"/>
        <v>Ukraine-OTA</v>
      </c>
      <c r="J2794" s="40"/>
      <c r="K2794" s="64"/>
      <c r="L2794" s="65"/>
      <c r="M2794" s="65"/>
      <c r="N2794" s="65"/>
      <c r="O2794" s="65"/>
      <c r="P2794" s="65"/>
      <c r="Q2794" s="65"/>
      <c r="R2794" s="65"/>
      <c r="S2794" s="65"/>
      <c r="T2794" s="65"/>
      <c r="U2794" s="65"/>
      <c r="V2794" s="65"/>
      <c r="W2794" s="65"/>
      <c r="X2794" s="65"/>
      <c r="Y2794" s="65"/>
      <c r="Z2794" s="65"/>
      <c r="AA2794" s="65"/>
      <c r="AB2794" s="65"/>
      <c r="AC2794" s="65"/>
      <c r="AD2794" s="65"/>
      <c r="AE2794" s="65"/>
      <c r="AF2794" s="65"/>
      <c r="AG2794" s="65"/>
      <c r="AH2794" s="65"/>
      <c r="AI2794" s="65"/>
      <c r="AJ2794" s="65"/>
      <c r="AK2794" s="65"/>
      <c r="AL2794" s="65"/>
      <c r="AM2794" s="65"/>
      <c r="AN2794" s="65"/>
      <c r="AO2794" s="65"/>
      <c r="AP2794" s="65"/>
    </row>
  </sheetData>
  <autoFilter ref="A1:H2794" xr:uid="{00000000-0009-0000-0000-000003000000}"/>
  <conditionalFormatting sqref="P45:AP84">
    <cfRule type="colorScale" priority="1">
      <colorScale>
        <cfvo type="formula" val="-0.25"/>
        <cfvo type="formula" val="0"/>
        <cfvo type="formula" val="0.5"/>
        <color rgb="FFE67C73"/>
        <color rgb="FFFFFFFF"/>
        <color rgb="FF57BB8A"/>
      </colorScale>
    </cfRule>
  </conditionalFormatting>
  <dataValidations count="1">
    <dataValidation type="list" allowBlank="1" showErrorMessage="1" sqref="M8" xr:uid="{00000000-0002-0000-0300-000000000000}">
      <formula1>$M$2:$M$6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I2310"/>
  <sheetViews>
    <sheetView workbookViewId="0"/>
  </sheetViews>
  <sheetFormatPr baseColWidth="10" defaultColWidth="14.5" defaultRowHeight="15" customHeight="1" x14ac:dyDescent="0.2"/>
  <cols>
    <col min="1" max="5" width="12.5" customWidth="1"/>
    <col min="6" max="6" width="16.83203125" customWidth="1"/>
    <col min="7" max="7" width="19" customWidth="1"/>
    <col min="8" max="8" width="24.83203125" customWidth="1"/>
    <col min="9" max="26" width="8.6640625" customWidth="1"/>
  </cols>
  <sheetData>
    <row r="1" spans="1:8" ht="20.25" customHeight="1" x14ac:dyDescent="0.2">
      <c r="A1" s="66" t="s">
        <v>0</v>
      </c>
      <c r="B1" s="67" t="s">
        <v>57</v>
      </c>
      <c r="C1" s="67" t="s">
        <v>2</v>
      </c>
      <c r="D1" s="67" t="s">
        <v>1</v>
      </c>
      <c r="E1" s="67" t="s">
        <v>58</v>
      </c>
      <c r="F1" s="67" t="s">
        <v>59</v>
      </c>
      <c r="G1" s="68" t="s">
        <v>60</v>
      </c>
      <c r="H1" s="67" t="s">
        <v>61</v>
      </c>
    </row>
    <row r="2" spans="1:8" ht="17.25" customHeight="1" x14ac:dyDescent="0.2">
      <c r="A2" s="69">
        <v>2009</v>
      </c>
      <c r="B2" s="70" t="s">
        <v>66</v>
      </c>
      <c r="C2" s="70" t="s">
        <v>4</v>
      </c>
      <c r="D2" s="70" t="s">
        <v>3</v>
      </c>
      <c r="E2" s="70" t="s">
        <v>67</v>
      </c>
      <c r="F2" s="70" t="s">
        <v>67</v>
      </c>
      <c r="G2" s="71">
        <v>15523531464</v>
      </c>
      <c r="H2" s="70" t="s">
        <v>68</v>
      </c>
    </row>
    <row r="3" spans="1:8" ht="17.25" customHeight="1" x14ac:dyDescent="0.2">
      <c r="A3" s="69">
        <v>2009</v>
      </c>
      <c r="B3" s="70" t="s">
        <v>66</v>
      </c>
      <c r="C3" s="70" t="s">
        <v>4</v>
      </c>
      <c r="D3" s="70" t="s">
        <v>3</v>
      </c>
      <c r="E3" s="70" t="s">
        <v>69</v>
      </c>
      <c r="F3" s="70" t="s">
        <v>71</v>
      </c>
      <c r="G3" s="71">
        <v>1271681938</v>
      </c>
      <c r="H3" s="70" t="s">
        <v>68</v>
      </c>
    </row>
    <row r="4" spans="1:8" ht="17.25" customHeight="1" x14ac:dyDescent="0.2">
      <c r="A4" s="69">
        <v>2009</v>
      </c>
      <c r="B4" s="70" t="s">
        <v>66</v>
      </c>
      <c r="C4" s="70" t="s">
        <v>4</v>
      </c>
      <c r="D4" s="70" t="s">
        <v>3</v>
      </c>
      <c r="E4" s="70" t="s">
        <v>69</v>
      </c>
      <c r="F4" s="70" t="s">
        <v>70</v>
      </c>
      <c r="G4" s="71">
        <v>6040014782</v>
      </c>
      <c r="H4" s="70" t="s">
        <v>68</v>
      </c>
    </row>
    <row r="5" spans="1:8" ht="17.25" customHeight="1" x14ac:dyDescent="0.2">
      <c r="A5" s="69">
        <v>2009</v>
      </c>
      <c r="B5" s="70" t="s">
        <v>66</v>
      </c>
      <c r="C5" s="70" t="s">
        <v>4</v>
      </c>
      <c r="D5" s="70" t="s">
        <v>5</v>
      </c>
      <c r="E5" s="70" t="s">
        <v>67</v>
      </c>
      <c r="F5" s="70" t="s">
        <v>67</v>
      </c>
      <c r="G5" s="71">
        <v>57900895821</v>
      </c>
      <c r="H5" s="70" t="s">
        <v>68</v>
      </c>
    </row>
    <row r="6" spans="1:8" ht="17.25" customHeight="1" x14ac:dyDescent="0.2">
      <c r="A6" s="69">
        <v>2009</v>
      </c>
      <c r="B6" s="70" t="s">
        <v>66</v>
      </c>
      <c r="C6" s="70" t="s">
        <v>4</v>
      </c>
      <c r="D6" s="70" t="s">
        <v>5</v>
      </c>
      <c r="E6" s="70" t="s">
        <v>69</v>
      </c>
      <c r="F6" s="70" t="s">
        <v>71</v>
      </c>
      <c r="G6" s="71">
        <v>1880368349</v>
      </c>
      <c r="H6" s="70" t="s">
        <v>68</v>
      </c>
    </row>
    <row r="7" spans="1:8" ht="17.25" customHeight="1" x14ac:dyDescent="0.2">
      <c r="A7" s="69">
        <v>2009</v>
      </c>
      <c r="B7" s="70" t="s">
        <v>66</v>
      </c>
      <c r="C7" s="70" t="s">
        <v>4</v>
      </c>
      <c r="D7" s="70" t="s">
        <v>5</v>
      </c>
      <c r="E7" s="70" t="s">
        <v>69</v>
      </c>
      <c r="F7" s="70" t="s">
        <v>70</v>
      </c>
      <c r="G7" s="71">
        <v>2020688248</v>
      </c>
      <c r="H7" s="70" t="s">
        <v>68</v>
      </c>
    </row>
    <row r="8" spans="1:8" ht="17.25" customHeight="1" x14ac:dyDescent="0.2">
      <c r="A8" s="69">
        <v>2009</v>
      </c>
      <c r="B8" s="70" t="s">
        <v>66</v>
      </c>
      <c r="C8" s="70" t="s">
        <v>4</v>
      </c>
      <c r="D8" s="70" t="s">
        <v>6</v>
      </c>
      <c r="E8" s="70" t="s">
        <v>67</v>
      </c>
      <c r="F8" s="70" t="s">
        <v>67</v>
      </c>
      <c r="G8" s="71">
        <v>8587607904</v>
      </c>
      <c r="H8" s="70" t="s">
        <v>68</v>
      </c>
    </row>
    <row r="9" spans="1:8" ht="17.25" customHeight="1" x14ac:dyDescent="0.2">
      <c r="A9" s="69">
        <v>2009</v>
      </c>
      <c r="B9" s="70" t="s">
        <v>66</v>
      </c>
      <c r="C9" s="70" t="s">
        <v>4</v>
      </c>
      <c r="D9" s="70" t="s">
        <v>6</v>
      </c>
      <c r="E9" s="70" t="s">
        <v>69</v>
      </c>
      <c r="F9" s="70" t="s">
        <v>71</v>
      </c>
      <c r="G9" s="71">
        <v>144080723</v>
      </c>
      <c r="H9" s="70" t="s">
        <v>68</v>
      </c>
    </row>
    <row r="10" spans="1:8" ht="17.25" customHeight="1" x14ac:dyDescent="0.2">
      <c r="A10" s="69">
        <v>2009</v>
      </c>
      <c r="B10" s="70" t="s">
        <v>66</v>
      </c>
      <c r="C10" s="70" t="s">
        <v>4</v>
      </c>
      <c r="D10" s="70" t="s">
        <v>6</v>
      </c>
      <c r="E10" s="70" t="s">
        <v>69</v>
      </c>
      <c r="F10" s="70" t="s">
        <v>70</v>
      </c>
      <c r="G10" s="71">
        <v>388480252</v>
      </c>
      <c r="H10" s="70" t="s">
        <v>68</v>
      </c>
    </row>
    <row r="11" spans="1:8" ht="17.25" customHeight="1" x14ac:dyDescent="0.2">
      <c r="A11" s="69">
        <v>2009</v>
      </c>
      <c r="B11" s="70" t="s">
        <v>66</v>
      </c>
      <c r="C11" s="70" t="s">
        <v>4</v>
      </c>
      <c r="D11" s="70" t="s">
        <v>7</v>
      </c>
      <c r="E11" s="70" t="s">
        <v>67</v>
      </c>
      <c r="F11" s="70" t="s">
        <v>67</v>
      </c>
      <c r="G11" s="71">
        <v>13723773716</v>
      </c>
      <c r="H11" s="70" t="s">
        <v>68</v>
      </c>
    </row>
    <row r="12" spans="1:8" ht="17.25" customHeight="1" x14ac:dyDescent="0.2">
      <c r="A12" s="69">
        <v>2009</v>
      </c>
      <c r="B12" s="70" t="s">
        <v>66</v>
      </c>
      <c r="C12" s="70" t="s">
        <v>4</v>
      </c>
      <c r="D12" s="70" t="s">
        <v>7</v>
      </c>
      <c r="E12" s="70" t="s">
        <v>69</v>
      </c>
      <c r="F12" s="70" t="s">
        <v>71</v>
      </c>
      <c r="G12" s="71">
        <v>1139031923</v>
      </c>
      <c r="H12" s="70" t="s">
        <v>68</v>
      </c>
    </row>
    <row r="13" spans="1:8" ht="17.25" customHeight="1" x14ac:dyDescent="0.2">
      <c r="A13" s="69">
        <v>2009</v>
      </c>
      <c r="B13" s="70" t="s">
        <v>66</v>
      </c>
      <c r="C13" s="70" t="s">
        <v>4</v>
      </c>
      <c r="D13" s="70" t="s">
        <v>7</v>
      </c>
      <c r="E13" s="70" t="s">
        <v>69</v>
      </c>
      <c r="F13" s="70" t="s">
        <v>70</v>
      </c>
      <c r="G13" s="71">
        <v>2354023606</v>
      </c>
      <c r="H13" s="70" t="s">
        <v>68</v>
      </c>
    </row>
    <row r="14" spans="1:8" ht="17.25" customHeight="1" x14ac:dyDescent="0.2">
      <c r="A14" s="69">
        <v>2009</v>
      </c>
      <c r="B14" s="70" t="s">
        <v>66</v>
      </c>
      <c r="C14" s="70" t="s">
        <v>4</v>
      </c>
      <c r="D14" s="70" t="s">
        <v>8</v>
      </c>
      <c r="E14" s="70" t="s">
        <v>67</v>
      </c>
      <c r="F14" s="70" t="s">
        <v>67</v>
      </c>
      <c r="G14" s="71">
        <v>4823372874</v>
      </c>
      <c r="H14" s="70" t="s">
        <v>68</v>
      </c>
    </row>
    <row r="15" spans="1:8" ht="17.25" customHeight="1" x14ac:dyDescent="0.2">
      <c r="A15" s="69">
        <v>2009</v>
      </c>
      <c r="B15" s="70" t="s">
        <v>66</v>
      </c>
      <c r="C15" s="70" t="s">
        <v>4</v>
      </c>
      <c r="D15" s="70" t="s">
        <v>8</v>
      </c>
      <c r="E15" s="70" t="s">
        <v>69</v>
      </c>
      <c r="F15" s="70" t="s">
        <v>71</v>
      </c>
      <c r="G15" s="71">
        <v>29593562</v>
      </c>
      <c r="H15" s="70" t="s">
        <v>68</v>
      </c>
    </row>
    <row r="16" spans="1:8" ht="17.25" customHeight="1" x14ac:dyDescent="0.2">
      <c r="A16" s="69">
        <v>2009</v>
      </c>
      <c r="B16" s="70" t="s">
        <v>66</v>
      </c>
      <c r="C16" s="70" t="s">
        <v>4</v>
      </c>
      <c r="D16" s="70" t="s">
        <v>8</v>
      </c>
      <c r="E16" s="70" t="s">
        <v>69</v>
      </c>
      <c r="F16" s="70" t="s">
        <v>70</v>
      </c>
      <c r="G16" s="71">
        <v>120618054</v>
      </c>
      <c r="H16" s="70" t="s">
        <v>68</v>
      </c>
    </row>
    <row r="17" spans="1:8" ht="17.25" customHeight="1" x14ac:dyDescent="0.2">
      <c r="A17" s="69">
        <v>2009</v>
      </c>
      <c r="B17" s="70" t="s">
        <v>66</v>
      </c>
      <c r="C17" s="70" t="s">
        <v>4</v>
      </c>
      <c r="D17" s="70" t="s">
        <v>9</v>
      </c>
      <c r="E17" s="70" t="s">
        <v>67</v>
      </c>
      <c r="F17" s="70" t="s">
        <v>67</v>
      </c>
      <c r="G17" s="71">
        <v>66451204207</v>
      </c>
      <c r="H17" s="70" t="s">
        <v>68</v>
      </c>
    </row>
    <row r="18" spans="1:8" ht="17.25" customHeight="1" x14ac:dyDescent="0.2">
      <c r="A18" s="69">
        <v>2009</v>
      </c>
      <c r="B18" s="70" t="s">
        <v>66</v>
      </c>
      <c r="C18" s="70" t="s">
        <v>4</v>
      </c>
      <c r="D18" s="70" t="s">
        <v>9</v>
      </c>
      <c r="E18" s="70" t="s">
        <v>69</v>
      </c>
      <c r="F18" s="70" t="s">
        <v>71</v>
      </c>
      <c r="G18" s="71">
        <v>6842752515</v>
      </c>
      <c r="H18" s="70" t="s">
        <v>68</v>
      </c>
    </row>
    <row r="19" spans="1:8" ht="17.25" customHeight="1" x14ac:dyDescent="0.2">
      <c r="A19" s="69">
        <v>2009</v>
      </c>
      <c r="B19" s="70" t="s">
        <v>66</v>
      </c>
      <c r="C19" s="70" t="s">
        <v>4</v>
      </c>
      <c r="D19" s="70" t="s">
        <v>9</v>
      </c>
      <c r="E19" s="70" t="s">
        <v>69</v>
      </c>
      <c r="F19" s="70" t="s">
        <v>70</v>
      </c>
      <c r="G19" s="71">
        <v>13630457013</v>
      </c>
      <c r="H19" s="70" t="s">
        <v>68</v>
      </c>
    </row>
    <row r="20" spans="1:8" ht="17.25" customHeight="1" x14ac:dyDescent="0.2">
      <c r="A20" s="69">
        <v>2009</v>
      </c>
      <c r="B20" s="70" t="s">
        <v>66</v>
      </c>
      <c r="C20" s="70" t="s">
        <v>4</v>
      </c>
      <c r="D20" s="70" t="s">
        <v>10</v>
      </c>
      <c r="E20" s="70" t="s">
        <v>67</v>
      </c>
      <c r="F20" s="70" t="s">
        <v>67</v>
      </c>
      <c r="G20" s="71">
        <v>551150065</v>
      </c>
      <c r="H20" s="70" t="s">
        <v>68</v>
      </c>
    </row>
    <row r="21" spans="1:8" ht="17.25" customHeight="1" x14ac:dyDescent="0.2">
      <c r="A21" s="69">
        <v>2009</v>
      </c>
      <c r="B21" s="70" t="s">
        <v>66</v>
      </c>
      <c r="C21" s="70" t="s">
        <v>4</v>
      </c>
      <c r="D21" s="70" t="s">
        <v>10</v>
      </c>
      <c r="E21" s="70" t="s">
        <v>69</v>
      </c>
      <c r="F21" s="70" t="s">
        <v>71</v>
      </c>
      <c r="G21" s="71">
        <v>7132863</v>
      </c>
      <c r="H21" s="70" t="s">
        <v>68</v>
      </c>
    </row>
    <row r="22" spans="1:8" ht="17.25" customHeight="1" x14ac:dyDescent="0.2">
      <c r="A22" s="69">
        <v>2009</v>
      </c>
      <c r="B22" s="70" t="s">
        <v>66</v>
      </c>
      <c r="C22" s="70" t="s">
        <v>4</v>
      </c>
      <c r="D22" s="70" t="s">
        <v>10</v>
      </c>
      <c r="E22" s="70" t="s">
        <v>69</v>
      </c>
      <c r="F22" s="70" t="s">
        <v>70</v>
      </c>
      <c r="G22" s="71">
        <v>5835979</v>
      </c>
      <c r="H22" s="70" t="s">
        <v>68</v>
      </c>
    </row>
    <row r="23" spans="1:8" ht="17.25" customHeight="1" x14ac:dyDescent="0.2">
      <c r="A23" s="69">
        <v>2009</v>
      </c>
      <c r="B23" s="70" t="s">
        <v>66</v>
      </c>
      <c r="C23" s="70" t="s">
        <v>4</v>
      </c>
      <c r="D23" s="70" t="s">
        <v>11</v>
      </c>
      <c r="E23" s="70" t="s">
        <v>67</v>
      </c>
      <c r="F23" s="70" t="s">
        <v>67</v>
      </c>
      <c r="G23" s="71">
        <v>4043255582</v>
      </c>
      <c r="H23" s="70" t="s">
        <v>68</v>
      </c>
    </row>
    <row r="24" spans="1:8" ht="17.25" customHeight="1" x14ac:dyDescent="0.2">
      <c r="A24" s="69">
        <v>2009</v>
      </c>
      <c r="B24" s="70" t="s">
        <v>66</v>
      </c>
      <c r="C24" s="70" t="s">
        <v>4</v>
      </c>
      <c r="D24" s="70" t="s">
        <v>11</v>
      </c>
      <c r="E24" s="70" t="s">
        <v>69</v>
      </c>
      <c r="F24" s="70" t="s">
        <v>71</v>
      </c>
      <c r="G24" s="71">
        <v>78708676</v>
      </c>
      <c r="H24" s="70" t="s">
        <v>68</v>
      </c>
    </row>
    <row r="25" spans="1:8" ht="17.25" customHeight="1" x14ac:dyDescent="0.2">
      <c r="A25" s="69">
        <v>2009</v>
      </c>
      <c r="B25" s="70" t="s">
        <v>66</v>
      </c>
      <c r="C25" s="70" t="s">
        <v>4</v>
      </c>
      <c r="D25" s="70" t="s">
        <v>11</v>
      </c>
      <c r="E25" s="70" t="s">
        <v>69</v>
      </c>
      <c r="F25" s="70" t="s">
        <v>70</v>
      </c>
      <c r="G25" s="71">
        <v>1256243379</v>
      </c>
      <c r="H25" s="70" t="s">
        <v>68</v>
      </c>
    </row>
    <row r="26" spans="1:8" ht="17.25" customHeight="1" x14ac:dyDescent="0.2">
      <c r="A26" s="69">
        <v>2009</v>
      </c>
      <c r="B26" s="70" t="s">
        <v>66</v>
      </c>
      <c r="C26" s="70" t="s">
        <v>4</v>
      </c>
      <c r="D26" s="70" t="s">
        <v>12</v>
      </c>
      <c r="E26" s="70" t="s">
        <v>67</v>
      </c>
      <c r="F26" s="70" t="s">
        <v>67</v>
      </c>
      <c r="G26" s="71">
        <v>5183334817</v>
      </c>
      <c r="H26" s="70" t="s">
        <v>68</v>
      </c>
    </row>
    <row r="27" spans="1:8" ht="17.25" customHeight="1" x14ac:dyDescent="0.2">
      <c r="A27" s="69">
        <v>2009</v>
      </c>
      <c r="B27" s="70" t="s">
        <v>66</v>
      </c>
      <c r="C27" s="70" t="s">
        <v>4</v>
      </c>
      <c r="D27" s="70" t="s">
        <v>12</v>
      </c>
      <c r="E27" s="70" t="s">
        <v>69</v>
      </c>
      <c r="F27" s="70" t="s">
        <v>71</v>
      </c>
      <c r="G27" s="71">
        <v>231785047</v>
      </c>
      <c r="H27" s="70" t="s">
        <v>68</v>
      </c>
    </row>
    <row r="28" spans="1:8" ht="17.25" customHeight="1" x14ac:dyDescent="0.2">
      <c r="A28" s="69">
        <v>2009</v>
      </c>
      <c r="B28" s="70" t="s">
        <v>66</v>
      </c>
      <c r="C28" s="70" t="s">
        <v>4</v>
      </c>
      <c r="D28" s="70" t="s">
        <v>12</v>
      </c>
      <c r="E28" s="70" t="s">
        <v>69</v>
      </c>
      <c r="F28" s="70" t="s">
        <v>70</v>
      </c>
      <c r="G28" s="71">
        <v>1329120007</v>
      </c>
      <c r="H28" s="70" t="s">
        <v>68</v>
      </c>
    </row>
    <row r="29" spans="1:8" ht="17.25" customHeight="1" x14ac:dyDescent="0.2">
      <c r="A29" s="69">
        <v>2009</v>
      </c>
      <c r="B29" s="70" t="s">
        <v>66</v>
      </c>
      <c r="C29" s="70" t="s">
        <v>4</v>
      </c>
      <c r="D29" s="70" t="s">
        <v>13</v>
      </c>
      <c r="E29" s="70" t="s">
        <v>67</v>
      </c>
      <c r="F29" s="70" t="s">
        <v>67</v>
      </c>
      <c r="G29" s="71">
        <v>8827228902</v>
      </c>
      <c r="H29" s="70" t="s">
        <v>68</v>
      </c>
    </row>
    <row r="30" spans="1:8" ht="17.25" customHeight="1" x14ac:dyDescent="0.2">
      <c r="A30" s="69">
        <v>2009</v>
      </c>
      <c r="B30" s="70" t="s">
        <v>66</v>
      </c>
      <c r="C30" s="70" t="s">
        <v>4</v>
      </c>
      <c r="D30" s="70" t="s">
        <v>13</v>
      </c>
      <c r="E30" s="70" t="s">
        <v>69</v>
      </c>
      <c r="F30" s="70" t="s">
        <v>71</v>
      </c>
      <c r="G30" s="71">
        <v>81632740</v>
      </c>
      <c r="H30" s="70" t="s">
        <v>68</v>
      </c>
    </row>
    <row r="31" spans="1:8" ht="17.25" customHeight="1" x14ac:dyDescent="0.2">
      <c r="A31" s="69">
        <v>2009</v>
      </c>
      <c r="B31" s="70" t="s">
        <v>66</v>
      </c>
      <c r="C31" s="70" t="s">
        <v>4</v>
      </c>
      <c r="D31" s="70" t="s">
        <v>13</v>
      </c>
      <c r="E31" s="70" t="s">
        <v>69</v>
      </c>
      <c r="F31" s="70" t="s">
        <v>70</v>
      </c>
      <c r="G31" s="71">
        <v>1108985340</v>
      </c>
      <c r="H31" s="70" t="s">
        <v>68</v>
      </c>
    </row>
    <row r="32" spans="1:8" ht="17.25" customHeight="1" x14ac:dyDescent="0.2">
      <c r="A32" s="69">
        <v>2009</v>
      </c>
      <c r="B32" s="70" t="s">
        <v>66</v>
      </c>
      <c r="C32" s="70" t="s">
        <v>4</v>
      </c>
      <c r="D32" s="70" t="s">
        <v>14</v>
      </c>
      <c r="E32" s="70" t="s">
        <v>67</v>
      </c>
      <c r="F32" s="70" t="s">
        <v>67</v>
      </c>
      <c r="G32" s="71">
        <v>4251468513</v>
      </c>
      <c r="H32" s="70" t="s">
        <v>68</v>
      </c>
    </row>
    <row r="33" spans="1:8" ht="17.25" customHeight="1" x14ac:dyDescent="0.2">
      <c r="A33" s="69">
        <v>2009</v>
      </c>
      <c r="B33" s="70" t="s">
        <v>66</v>
      </c>
      <c r="C33" s="70" t="s">
        <v>4</v>
      </c>
      <c r="D33" s="70" t="s">
        <v>14</v>
      </c>
      <c r="E33" s="70" t="s">
        <v>69</v>
      </c>
      <c r="F33" s="70" t="s">
        <v>71</v>
      </c>
      <c r="G33" s="71">
        <v>87442155</v>
      </c>
      <c r="H33" s="70" t="s">
        <v>68</v>
      </c>
    </row>
    <row r="34" spans="1:8" ht="17.25" customHeight="1" x14ac:dyDescent="0.2">
      <c r="A34" s="69">
        <v>2009</v>
      </c>
      <c r="B34" s="70" t="s">
        <v>66</v>
      </c>
      <c r="C34" s="70" t="s">
        <v>4</v>
      </c>
      <c r="D34" s="70" t="s">
        <v>14</v>
      </c>
      <c r="E34" s="70" t="s">
        <v>69</v>
      </c>
      <c r="F34" s="70" t="s">
        <v>70</v>
      </c>
      <c r="G34" s="71">
        <v>352036615</v>
      </c>
      <c r="H34" s="70" t="s">
        <v>68</v>
      </c>
    </row>
    <row r="35" spans="1:8" ht="17.25" customHeight="1" x14ac:dyDescent="0.2">
      <c r="A35" s="69">
        <v>2009</v>
      </c>
      <c r="B35" s="70" t="s">
        <v>66</v>
      </c>
      <c r="C35" s="70" t="s">
        <v>4</v>
      </c>
      <c r="D35" s="70" t="s">
        <v>15</v>
      </c>
      <c r="E35" s="70" t="s">
        <v>67</v>
      </c>
      <c r="F35" s="70" t="s">
        <v>67</v>
      </c>
      <c r="G35" s="71">
        <v>8214837771</v>
      </c>
      <c r="H35" s="70" t="s">
        <v>68</v>
      </c>
    </row>
    <row r="36" spans="1:8" ht="17.25" customHeight="1" x14ac:dyDescent="0.2">
      <c r="A36" s="69">
        <v>2009</v>
      </c>
      <c r="B36" s="70" t="s">
        <v>66</v>
      </c>
      <c r="C36" s="70" t="s">
        <v>4</v>
      </c>
      <c r="D36" s="70" t="s">
        <v>15</v>
      </c>
      <c r="E36" s="70" t="s">
        <v>69</v>
      </c>
      <c r="F36" s="70" t="s">
        <v>71</v>
      </c>
      <c r="G36" s="71">
        <v>499440837</v>
      </c>
      <c r="H36" s="70" t="s">
        <v>68</v>
      </c>
    </row>
    <row r="37" spans="1:8" ht="17.25" customHeight="1" x14ac:dyDescent="0.2">
      <c r="A37" s="69">
        <v>2009</v>
      </c>
      <c r="B37" s="70" t="s">
        <v>66</v>
      </c>
      <c r="C37" s="70" t="s">
        <v>4</v>
      </c>
      <c r="D37" s="70" t="s">
        <v>15</v>
      </c>
      <c r="E37" s="70" t="s">
        <v>69</v>
      </c>
      <c r="F37" s="70" t="s">
        <v>70</v>
      </c>
      <c r="G37" s="71">
        <v>740830751</v>
      </c>
      <c r="H37" s="70" t="s">
        <v>68</v>
      </c>
    </row>
    <row r="38" spans="1:8" ht="17.25" customHeight="1" x14ac:dyDescent="0.2">
      <c r="A38" s="69">
        <v>2009</v>
      </c>
      <c r="B38" s="70" t="s">
        <v>66</v>
      </c>
      <c r="C38" s="70" t="s">
        <v>17</v>
      </c>
      <c r="D38" s="70" t="s">
        <v>16</v>
      </c>
      <c r="E38" s="70" t="s">
        <v>67</v>
      </c>
      <c r="F38" s="70" t="s">
        <v>67</v>
      </c>
      <c r="G38" s="71">
        <v>1318340039</v>
      </c>
      <c r="H38" s="70" t="s">
        <v>68</v>
      </c>
    </row>
    <row r="39" spans="1:8" ht="17.25" customHeight="1" x14ac:dyDescent="0.2">
      <c r="A39" s="69">
        <v>2009</v>
      </c>
      <c r="B39" s="70" t="s">
        <v>66</v>
      </c>
      <c r="C39" s="70" t="s">
        <v>17</v>
      </c>
      <c r="D39" s="70" t="s">
        <v>16</v>
      </c>
      <c r="E39" s="70" t="s">
        <v>69</v>
      </c>
      <c r="F39" s="70" t="s">
        <v>71</v>
      </c>
      <c r="G39" s="71">
        <v>16479153</v>
      </c>
      <c r="H39" s="70" t="s">
        <v>68</v>
      </c>
    </row>
    <row r="40" spans="1:8" ht="17.25" customHeight="1" x14ac:dyDescent="0.2">
      <c r="A40" s="69">
        <v>2009</v>
      </c>
      <c r="B40" s="70" t="s">
        <v>66</v>
      </c>
      <c r="C40" s="70" t="s">
        <v>17</v>
      </c>
      <c r="D40" s="70" t="s">
        <v>16</v>
      </c>
      <c r="E40" s="70" t="s">
        <v>69</v>
      </c>
      <c r="F40" s="70" t="s">
        <v>70</v>
      </c>
      <c r="G40" s="71">
        <v>83036315</v>
      </c>
      <c r="H40" s="70" t="s">
        <v>68</v>
      </c>
    </row>
    <row r="41" spans="1:8" ht="17.25" customHeight="1" x14ac:dyDescent="0.2">
      <c r="A41" s="69">
        <v>2009</v>
      </c>
      <c r="B41" s="70" t="s">
        <v>66</v>
      </c>
      <c r="C41" s="70" t="s">
        <v>17</v>
      </c>
      <c r="D41" s="70" t="s">
        <v>18</v>
      </c>
      <c r="E41" s="70" t="s">
        <v>67</v>
      </c>
      <c r="F41" s="70" t="s">
        <v>67</v>
      </c>
      <c r="G41" s="71">
        <v>2673363667</v>
      </c>
      <c r="H41" s="70" t="s">
        <v>68</v>
      </c>
    </row>
    <row r="42" spans="1:8" ht="17.25" customHeight="1" x14ac:dyDescent="0.2">
      <c r="A42" s="69">
        <v>2009</v>
      </c>
      <c r="B42" s="70" t="s">
        <v>66</v>
      </c>
      <c r="C42" s="70" t="s">
        <v>17</v>
      </c>
      <c r="D42" s="70" t="s">
        <v>18</v>
      </c>
      <c r="E42" s="70" t="s">
        <v>69</v>
      </c>
      <c r="F42" s="70" t="s">
        <v>71</v>
      </c>
      <c r="G42" s="71">
        <v>255177175</v>
      </c>
      <c r="H42" s="70" t="s">
        <v>68</v>
      </c>
    </row>
    <row r="43" spans="1:8" ht="17.25" customHeight="1" x14ac:dyDescent="0.2">
      <c r="A43" s="69">
        <v>2009</v>
      </c>
      <c r="B43" s="70" t="s">
        <v>66</v>
      </c>
      <c r="C43" s="70" t="s">
        <v>17</v>
      </c>
      <c r="D43" s="70" t="s">
        <v>18</v>
      </c>
      <c r="E43" s="70" t="s">
        <v>69</v>
      </c>
      <c r="F43" s="70" t="s">
        <v>70</v>
      </c>
      <c r="G43" s="71">
        <v>230152966</v>
      </c>
      <c r="H43" s="70" t="s">
        <v>68</v>
      </c>
    </row>
    <row r="44" spans="1:8" ht="17.25" customHeight="1" x14ac:dyDescent="0.2">
      <c r="A44" s="69">
        <v>2009</v>
      </c>
      <c r="B44" s="70" t="s">
        <v>66</v>
      </c>
      <c r="C44" s="70" t="s">
        <v>17</v>
      </c>
      <c r="D44" s="70" t="s">
        <v>19</v>
      </c>
      <c r="E44" s="70" t="s">
        <v>67</v>
      </c>
      <c r="F44" s="70" t="s">
        <v>67</v>
      </c>
      <c r="G44" s="71">
        <v>8206450097</v>
      </c>
      <c r="H44" s="70" t="s">
        <v>68</v>
      </c>
    </row>
    <row r="45" spans="1:8" ht="17.25" customHeight="1" x14ac:dyDescent="0.2">
      <c r="A45" s="69">
        <v>2009</v>
      </c>
      <c r="B45" s="70" t="s">
        <v>66</v>
      </c>
      <c r="C45" s="70" t="s">
        <v>17</v>
      </c>
      <c r="D45" s="70" t="s">
        <v>19</v>
      </c>
      <c r="E45" s="70" t="s">
        <v>69</v>
      </c>
      <c r="F45" s="70" t="s">
        <v>71</v>
      </c>
      <c r="G45" s="71">
        <v>542673970</v>
      </c>
      <c r="H45" s="70" t="s">
        <v>68</v>
      </c>
    </row>
    <row r="46" spans="1:8" ht="17.25" customHeight="1" x14ac:dyDescent="0.2">
      <c r="A46" s="69">
        <v>2009</v>
      </c>
      <c r="B46" s="70" t="s">
        <v>66</v>
      </c>
      <c r="C46" s="70" t="s">
        <v>17</v>
      </c>
      <c r="D46" s="70" t="s">
        <v>19</v>
      </c>
      <c r="E46" s="70" t="s">
        <v>69</v>
      </c>
      <c r="F46" s="70" t="s">
        <v>70</v>
      </c>
      <c r="G46" s="71">
        <v>1525351218</v>
      </c>
      <c r="H46" s="70" t="s">
        <v>68</v>
      </c>
    </row>
    <row r="47" spans="1:8" ht="17.25" customHeight="1" x14ac:dyDescent="0.2">
      <c r="A47" s="69">
        <v>2009</v>
      </c>
      <c r="B47" s="70" t="s">
        <v>66</v>
      </c>
      <c r="C47" s="70" t="s">
        <v>17</v>
      </c>
      <c r="D47" s="70" t="s">
        <v>20</v>
      </c>
      <c r="E47" s="70" t="s">
        <v>67</v>
      </c>
      <c r="F47" s="70" t="s">
        <v>67</v>
      </c>
      <c r="G47" s="71">
        <v>2074578067</v>
      </c>
      <c r="H47" s="70" t="s">
        <v>68</v>
      </c>
    </row>
    <row r="48" spans="1:8" ht="17.25" customHeight="1" x14ac:dyDescent="0.2">
      <c r="A48" s="69">
        <v>2009</v>
      </c>
      <c r="B48" s="70" t="s">
        <v>66</v>
      </c>
      <c r="C48" s="70" t="s">
        <v>17</v>
      </c>
      <c r="D48" s="70" t="s">
        <v>20</v>
      </c>
      <c r="E48" s="70" t="s">
        <v>69</v>
      </c>
      <c r="F48" s="70" t="s">
        <v>71</v>
      </c>
      <c r="G48" s="71">
        <v>90986868</v>
      </c>
      <c r="H48" s="70" t="s">
        <v>68</v>
      </c>
    </row>
    <row r="49" spans="1:8" ht="17.25" customHeight="1" x14ac:dyDescent="0.2">
      <c r="A49" s="69">
        <v>2009</v>
      </c>
      <c r="B49" s="70" t="s">
        <v>66</v>
      </c>
      <c r="C49" s="70" t="s">
        <v>17</v>
      </c>
      <c r="D49" s="70" t="s">
        <v>20</v>
      </c>
      <c r="E49" s="70" t="s">
        <v>69</v>
      </c>
      <c r="F49" s="70" t="s">
        <v>70</v>
      </c>
      <c r="G49" s="71">
        <v>375889448</v>
      </c>
      <c r="H49" s="70" t="s">
        <v>68</v>
      </c>
    </row>
    <row r="50" spans="1:8" ht="17.25" customHeight="1" x14ac:dyDescent="0.2">
      <c r="A50" s="69">
        <v>2009</v>
      </c>
      <c r="B50" s="70" t="s">
        <v>66</v>
      </c>
      <c r="C50" s="70" t="s">
        <v>17</v>
      </c>
      <c r="D50" s="70" t="s">
        <v>21</v>
      </c>
      <c r="E50" s="70" t="s">
        <v>67</v>
      </c>
      <c r="F50" s="70" t="s">
        <v>67</v>
      </c>
      <c r="G50" s="71">
        <v>3219642997</v>
      </c>
      <c r="H50" s="70" t="s">
        <v>68</v>
      </c>
    </row>
    <row r="51" spans="1:8" ht="17.25" customHeight="1" x14ac:dyDescent="0.2">
      <c r="A51" s="69">
        <v>2009</v>
      </c>
      <c r="B51" s="70" t="s">
        <v>66</v>
      </c>
      <c r="C51" s="70" t="s">
        <v>17</v>
      </c>
      <c r="D51" s="70" t="s">
        <v>21</v>
      </c>
      <c r="E51" s="70" t="s">
        <v>69</v>
      </c>
      <c r="F51" s="70" t="s">
        <v>71</v>
      </c>
      <c r="G51" s="71">
        <v>199532460</v>
      </c>
      <c r="H51" s="70" t="s">
        <v>68</v>
      </c>
    </row>
    <row r="52" spans="1:8" ht="17.25" customHeight="1" x14ac:dyDescent="0.2">
      <c r="A52" s="69">
        <v>2009</v>
      </c>
      <c r="B52" s="70" t="s">
        <v>66</v>
      </c>
      <c r="C52" s="70" t="s">
        <v>17</v>
      </c>
      <c r="D52" s="70" t="s">
        <v>21</v>
      </c>
      <c r="E52" s="70" t="s">
        <v>69</v>
      </c>
      <c r="F52" s="70" t="s">
        <v>70</v>
      </c>
      <c r="G52" s="71">
        <v>417975397</v>
      </c>
      <c r="H52" s="70" t="s">
        <v>68</v>
      </c>
    </row>
    <row r="53" spans="1:8" ht="17.25" customHeight="1" x14ac:dyDescent="0.2">
      <c r="A53" s="69">
        <v>2009</v>
      </c>
      <c r="B53" s="70" t="s">
        <v>66</v>
      </c>
      <c r="C53" s="70" t="s">
        <v>17</v>
      </c>
      <c r="D53" s="70" t="s">
        <v>22</v>
      </c>
      <c r="E53" s="70" t="s">
        <v>67</v>
      </c>
      <c r="F53" s="70" t="s">
        <v>67</v>
      </c>
      <c r="G53" s="71">
        <v>2617742255</v>
      </c>
      <c r="H53" s="70" t="s">
        <v>68</v>
      </c>
    </row>
    <row r="54" spans="1:8" ht="17.25" customHeight="1" x14ac:dyDescent="0.2">
      <c r="A54" s="69">
        <v>2009</v>
      </c>
      <c r="B54" s="70" t="s">
        <v>66</v>
      </c>
      <c r="C54" s="70" t="s">
        <v>17</v>
      </c>
      <c r="D54" s="70" t="s">
        <v>22</v>
      </c>
      <c r="E54" s="70" t="s">
        <v>69</v>
      </c>
      <c r="F54" s="70" t="s">
        <v>71</v>
      </c>
      <c r="G54" s="71">
        <v>106769916</v>
      </c>
      <c r="H54" s="70" t="s">
        <v>68</v>
      </c>
    </row>
    <row r="55" spans="1:8" ht="17.25" customHeight="1" x14ac:dyDescent="0.2">
      <c r="A55" s="69">
        <v>2009</v>
      </c>
      <c r="B55" s="70" t="s">
        <v>66</v>
      </c>
      <c r="C55" s="70" t="s">
        <v>17</v>
      </c>
      <c r="D55" s="70" t="s">
        <v>22</v>
      </c>
      <c r="E55" s="70" t="s">
        <v>69</v>
      </c>
      <c r="F55" s="70" t="s">
        <v>70</v>
      </c>
      <c r="G55" s="71">
        <v>163500529</v>
      </c>
      <c r="H55" s="70" t="s">
        <v>68</v>
      </c>
    </row>
    <row r="56" spans="1:8" ht="17.25" customHeight="1" x14ac:dyDescent="0.2">
      <c r="A56" s="69">
        <v>2009</v>
      </c>
      <c r="B56" s="70" t="s">
        <v>66</v>
      </c>
      <c r="C56" s="70" t="s">
        <v>17</v>
      </c>
      <c r="D56" s="70" t="s">
        <v>23</v>
      </c>
      <c r="E56" s="70" t="s">
        <v>67</v>
      </c>
      <c r="F56" s="70" t="s">
        <v>67</v>
      </c>
      <c r="G56" s="71">
        <v>2892406340</v>
      </c>
      <c r="H56" s="70" t="s">
        <v>68</v>
      </c>
    </row>
    <row r="57" spans="1:8" ht="17.25" customHeight="1" x14ac:dyDescent="0.2">
      <c r="A57" s="69">
        <v>2009</v>
      </c>
      <c r="B57" s="70" t="s">
        <v>66</v>
      </c>
      <c r="C57" s="70" t="s">
        <v>17</v>
      </c>
      <c r="D57" s="70" t="s">
        <v>23</v>
      </c>
      <c r="E57" s="70" t="s">
        <v>69</v>
      </c>
      <c r="F57" s="70" t="s">
        <v>71</v>
      </c>
      <c r="G57" s="71">
        <v>104133968</v>
      </c>
      <c r="H57" s="70" t="s">
        <v>68</v>
      </c>
    </row>
    <row r="58" spans="1:8" ht="17.25" customHeight="1" x14ac:dyDescent="0.2">
      <c r="A58" s="69">
        <v>2009</v>
      </c>
      <c r="B58" s="70" t="s">
        <v>66</v>
      </c>
      <c r="C58" s="70" t="s">
        <v>17</v>
      </c>
      <c r="D58" s="70" t="s">
        <v>23</v>
      </c>
      <c r="E58" s="70" t="s">
        <v>69</v>
      </c>
      <c r="F58" s="70" t="s">
        <v>70</v>
      </c>
      <c r="G58" s="71">
        <v>267769211</v>
      </c>
      <c r="H58" s="70" t="s">
        <v>68</v>
      </c>
    </row>
    <row r="59" spans="1:8" ht="17.25" customHeight="1" x14ac:dyDescent="0.2">
      <c r="A59" s="69">
        <v>2009</v>
      </c>
      <c r="B59" s="70" t="s">
        <v>66</v>
      </c>
      <c r="C59" s="70" t="s">
        <v>17</v>
      </c>
      <c r="D59" s="70" t="s">
        <v>24</v>
      </c>
      <c r="E59" s="70" t="s">
        <v>67</v>
      </c>
      <c r="F59" s="70" t="s">
        <v>67</v>
      </c>
      <c r="G59" s="71">
        <v>33061705266</v>
      </c>
      <c r="H59" s="70" t="s">
        <v>68</v>
      </c>
    </row>
    <row r="60" spans="1:8" ht="17.25" customHeight="1" x14ac:dyDescent="0.2">
      <c r="A60" s="69">
        <v>2009</v>
      </c>
      <c r="B60" s="70" t="s">
        <v>66</v>
      </c>
      <c r="C60" s="70" t="s">
        <v>17</v>
      </c>
      <c r="D60" s="70" t="s">
        <v>24</v>
      </c>
      <c r="E60" s="70" t="s">
        <v>69</v>
      </c>
      <c r="F60" s="70" t="s">
        <v>71</v>
      </c>
      <c r="G60" s="71">
        <v>940718050</v>
      </c>
      <c r="H60" s="70" t="s">
        <v>68</v>
      </c>
    </row>
    <row r="61" spans="1:8" ht="17.25" customHeight="1" x14ac:dyDescent="0.2">
      <c r="A61" s="69">
        <v>2009</v>
      </c>
      <c r="B61" s="70" t="s">
        <v>66</v>
      </c>
      <c r="C61" s="70" t="s">
        <v>17</v>
      </c>
      <c r="D61" s="70" t="s">
        <v>24</v>
      </c>
      <c r="E61" s="70" t="s">
        <v>69</v>
      </c>
      <c r="F61" s="70" t="s">
        <v>70</v>
      </c>
      <c r="G61" s="71">
        <v>1068104044</v>
      </c>
      <c r="H61" s="70" t="s">
        <v>68</v>
      </c>
    </row>
    <row r="62" spans="1:8" ht="17.25" customHeight="1" x14ac:dyDescent="0.2">
      <c r="A62" s="69">
        <v>2009</v>
      </c>
      <c r="B62" s="70" t="s">
        <v>66</v>
      </c>
      <c r="C62" s="70" t="s">
        <v>17</v>
      </c>
      <c r="D62" s="70" t="s">
        <v>25</v>
      </c>
      <c r="E62" s="70" t="s">
        <v>67</v>
      </c>
      <c r="F62" s="70" t="s">
        <v>67</v>
      </c>
      <c r="G62" s="71">
        <v>3032952674</v>
      </c>
      <c r="H62" s="70" t="s">
        <v>68</v>
      </c>
    </row>
    <row r="63" spans="1:8" ht="17.25" customHeight="1" x14ac:dyDescent="0.2">
      <c r="A63" s="69">
        <v>2009</v>
      </c>
      <c r="B63" s="70" t="s">
        <v>66</v>
      </c>
      <c r="C63" s="70" t="s">
        <v>17</v>
      </c>
      <c r="D63" s="70" t="s">
        <v>25</v>
      </c>
      <c r="E63" s="70" t="s">
        <v>69</v>
      </c>
      <c r="F63" s="70" t="s">
        <v>71</v>
      </c>
      <c r="G63" s="71">
        <v>150483939</v>
      </c>
      <c r="H63" s="70" t="s">
        <v>68</v>
      </c>
    </row>
    <row r="64" spans="1:8" ht="17.25" customHeight="1" x14ac:dyDescent="0.2">
      <c r="A64" s="69">
        <v>2009</v>
      </c>
      <c r="B64" s="70" t="s">
        <v>66</v>
      </c>
      <c r="C64" s="70" t="s">
        <v>17</v>
      </c>
      <c r="D64" s="70" t="s">
        <v>25</v>
      </c>
      <c r="E64" s="70" t="s">
        <v>69</v>
      </c>
      <c r="F64" s="70" t="s">
        <v>70</v>
      </c>
      <c r="G64" s="71">
        <v>277598378</v>
      </c>
      <c r="H64" s="70" t="s">
        <v>68</v>
      </c>
    </row>
    <row r="65" spans="1:8" ht="17.25" customHeight="1" x14ac:dyDescent="0.2">
      <c r="A65" s="69">
        <v>2009</v>
      </c>
      <c r="B65" s="70" t="s">
        <v>66</v>
      </c>
      <c r="C65" s="70" t="s">
        <v>27</v>
      </c>
      <c r="D65" s="70" t="s">
        <v>26</v>
      </c>
      <c r="E65" s="70" t="s">
        <v>67</v>
      </c>
      <c r="F65" s="70" t="s">
        <v>67</v>
      </c>
      <c r="G65" s="71">
        <v>37047452784</v>
      </c>
      <c r="H65" s="70" t="s">
        <v>68</v>
      </c>
    </row>
    <row r="66" spans="1:8" ht="17.25" customHeight="1" x14ac:dyDescent="0.2">
      <c r="A66" s="69">
        <v>2009</v>
      </c>
      <c r="B66" s="70" t="s">
        <v>66</v>
      </c>
      <c r="C66" s="70" t="s">
        <v>27</v>
      </c>
      <c r="D66" s="70" t="s">
        <v>26</v>
      </c>
      <c r="E66" s="70" t="s">
        <v>69</v>
      </c>
      <c r="F66" s="70" t="s">
        <v>71</v>
      </c>
      <c r="G66" s="71">
        <v>5950585961</v>
      </c>
      <c r="H66" s="70" t="s">
        <v>68</v>
      </c>
    </row>
    <row r="67" spans="1:8" ht="17.25" customHeight="1" x14ac:dyDescent="0.2">
      <c r="A67" s="69">
        <v>2009</v>
      </c>
      <c r="B67" s="70" t="s">
        <v>66</v>
      </c>
      <c r="C67" s="70" t="s">
        <v>27</v>
      </c>
      <c r="D67" s="70" t="s">
        <v>26</v>
      </c>
      <c r="E67" s="70" t="s">
        <v>69</v>
      </c>
      <c r="F67" s="70" t="s">
        <v>70</v>
      </c>
      <c r="G67" s="71">
        <v>9161747143</v>
      </c>
      <c r="H67" s="70" t="s">
        <v>68</v>
      </c>
    </row>
    <row r="68" spans="1:8" ht="17.25" customHeight="1" x14ac:dyDescent="0.2">
      <c r="A68" s="69">
        <v>2009</v>
      </c>
      <c r="B68" s="70" t="s">
        <v>66</v>
      </c>
      <c r="C68" s="70" t="s">
        <v>27</v>
      </c>
      <c r="D68" s="70" t="s">
        <v>28</v>
      </c>
      <c r="E68" s="70" t="s">
        <v>67</v>
      </c>
      <c r="F68" s="70" t="s">
        <v>67</v>
      </c>
      <c r="G68" s="71">
        <v>47332425946</v>
      </c>
      <c r="H68" s="70" t="s">
        <v>68</v>
      </c>
    </row>
    <row r="69" spans="1:8" ht="17.25" customHeight="1" x14ac:dyDescent="0.2">
      <c r="A69" s="69">
        <v>2009</v>
      </c>
      <c r="B69" s="70" t="s">
        <v>66</v>
      </c>
      <c r="C69" s="70" t="s">
        <v>27</v>
      </c>
      <c r="D69" s="70" t="s">
        <v>28</v>
      </c>
      <c r="E69" s="70" t="s">
        <v>69</v>
      </c>
      <c r="F69" s="70" t="s">
        <v>71</v>
      </c>
      <c r="G69" s="71">
        <v>8788064229</v>
      </c>
      <c r="H69" s="70" t="s">
        <v>68</v>
      </c>
    </row>
    <row r="70" spans="1:8" ht="17.25" customHeight="1" x14ac:dyDescent="0.2">
      <c r="A70" s="69">
        <v>2009</v>
      </c>
      <c r="B70" s="70" t="s">
        <v>66</v>
      </c>
      <c r="C70" s="70" t="s">
        <v>27</v>
      </c>
      <c r="D70" s="70" t="s">
        <v>28</v>
      </c>
      <c r="E70" s="70" t="s">
        <v>69</v>
      </c>
      <c r="F70" s="70" t="s">
        <v>70</v>
      </c>
      <c r="G70" s="71">
        <v>9710275743</v>
      </c>
      <c r="H70" s="70" t="s">
        <v>68</v>
      </c>
    </row>
    <row r="71" spans="1:8" ht="17.25" customHeight="1" x14ac:dyDescent="0.2">
      <c r="A71" s="69">
        <v>2009</v>
      </c>
      <c r="B71" s="70" t="s">
        <v>66</v>
      </c>
      <c r="C71" s="70" t="s">
        <v>27</v>
      </c>
      <c r="D71" s="70" t="s">
        <v>29</v>
      </c>
      <c r="E71" s="70" t="s">
        <v>67</v>
      </c>
      <c r="F71" s="70" t="s">
        <v>67</v>
      </c>
      <c r="G71" s="71">
        <v>20336313177</v>
      </c>
      <c r="H71" s="70" t="s">
        <v>68</v>
      </c>
    </row>
    <row r="72" spans="1:8" ht="17.25" customHeight="1" x14ac:dyDescent="0.2">
      <c r="A72" s="69">
        <v>2009</v>
      </c>
      <c r="B72" s="70" t="s">
        <v>66</v>
      </c>
      <c r="C72" s="70" t="s">
        <v>27</v>
      </c>
      <c r="D72" s="70" t="s">
        <v>29</v>
      </c>
      <c r="E72" s="70" t="s">
        <v>69</v>
      </c>
      <c r="F72" s="70" t="s">
        <v>71</v>
      </c>
      <c r="G72" s="71">
        <v>2840276222</v>
      </c>
      <c r="H72" s="70" t="s">
        <v>68</v>
      </c>
    </row>
    <row r="73" spans="1:8" ht="17.25" customHeight="1" x14ac:dyDescent="0.2">
      <c r="A73" s="69">
        <v>2009</v>
      </c>
      <c r="B73" s="70" t="s">
        <v>66</v>
      </c>
      <c r="C73" s="70" t="s">
        <v>27</v>
      </c>
      <c r="D73" s="70" t="s">
        <v>29</v>
      </c>
      <c r="E73" s="70" t="s">
        <v>69</v>
      </c>
      <c r="F73" s="70" t="s">
        <v>70</v>
      </c>
      <c r="G73" s="71">
        <v>2388825001</v>
      </c>
      <c r="H73" s="70" t="s">
        <v>68</v>
      </c>
    </row>
    <row r="74" spans="1:8" ht="17.25" customHeight="1" x14ac:dyDescent="0.2">
      <c r="A74" s="69">
        <v>2009</v>
      </c>
      <c r="B74" s="70" t="s">
        <v>66</v>
      </c>
      <c r="C74" s="70" t="s">
        <v>27</v>
      </c>
      <c r="D74" s="70" t="s">
        <v>30</v>
      </c>
      <c r="E74" s="70" t="s">
        <v>67</v>
      </c>
      <c r="F74" s="70" t="s">
        <v>67</v>
      </c>
      <c r="G74" s="71">
        <v>42849570680</v>
      </c>
      <c r="H74" s="70" t="s">
        <v>68</v>
      </c>
    </row>
    <row r="75" spans="1:8" ht="17.25" customHeight="1" x14ac:dyDescent="0.2">
      <c r="A75" s="69">
        <v>2009</v>
      </c>
      <c r="B75" s="70" t="s">
        <v>66</v>
      </c>
      <c r="C75" s="70" t="s">
        <v>27</v>
      </c>
      <c r="D75" s="70" t="s">
        <v>30</v>
      </c>
      <c r="E75" s="70" t="s">
        <v>69</v>
      </c>
      <c r="F75" s="70" t="s">
        <v>71</v>
      </c>
      <c r="G75" s="71">
        <v>4928058049</v>
      </c>
      <c r="H75" s="70" t="s">
        <v>68</v>
      </c>
    </row>
    <row r="76" spans="1:8" ht="17.25" customHeight="1" x14ac:dyDescent="0.2">
      <c r="A76" s="69">
        <v>2009</v>
      </c>
      <c r="B76" s="70" t="s">
        <v>66</v>
      </c>
      <c r="C76" s="70" t="s">
        <v>27</v>
      </c>
      <c r="D76" s="70" t="s">
        <v>30</v>
      </c>
      <c r="E76" s="70" t="s">
        <v>69</v>
      </c>
      <c r="F76" s="70" t="s">
        <v>70</v>
      </c>
      <c r="G76" s="71">
        <v>8912073087</v>
      </c>
      <c r="H76" s="70" t="s">
        <v>68</v>
      </c>
    </row>
    <row r="77" spans="1:8" ht="17.25" customHeight="1" x14ac:dyDescent="0.2">
      <c r="A77" s="69">
        <v>2009</v>
      </c>
      <c r="B77" s="70" t="s">
        <v>66</v>
      </c>
      <c r="C77" s="70" t="s">
        <v>27</v>
      </c>
      <c r="D77" s="70" t="s">
        <v>31</v>
      </c>
      <c r="E77" s="70" t="s">
        <v>67</v>
      </c>
      <c r="F77" s="70" t="s">
        <v>67</v>
      </c>
      <c r="G77" s="71">
        <v>11180800986</v>
      </c>
      <c r="H77" s="70" t="s">
        <v>68</v>
      </c>
    </row>
    <row r="78" spans="1:8" ht="17.25" customHeight="1" x14ac:dyDescent="0.2">
      <c r="A78" s="69">
        <v>2009</v>
      </c>
      <c r="B78" s="70" t="s">
        <v>66</v>
      </c>
      <c r="C78" s="70" t="s">
        <v>27</v>
      </c>
      <c r="D78" s="70" t="s">
        <v>31</v>
      </c>
      <c r="E78" s="70" t="s">
        <v>69</v>
      </c>
      <c r="F78" s="70" t="s">
        <v>71</v>
      </c>
      <c r="G78" s="71">
        <v>2033952989</v>
      </c>
      <c r="H78" s="70" t="s">
        <v>68</v>
      </c>
    </row>
    <row r="79" spans="1:8" ht="17.25" customHeight="1" x14ac:dyDescent="0.2">
      <c r="A79" s="69">
        <v>2009</v>
      </c>
      <c r="B79" s="70" t="s">
        <v>66</v>
      </c>
      <c r="C79" s="70" t="s">
        <v>27</v>
      </c>
      <c r="D79" s="70" t="s">
        <v>31</v>
      </c>
      <c r="E79" s="70" t="s">
        <v>69</v>
      </c>
      <c r="F79" s="70" t="s">
        <v>70</v>
      </c>
      <c r="G79" s="71">
        <v>4312834251</v>
      </c>
      <c r="H79" s="70" t="s">
        <v>68</v>
      </c>
    </row>
    <row r="80" spans="1:8" ht="17.25" customHeight="1" x14ac:dyDescent="0.2">
      <c r="A80" s="69">
        <v>2009</v>
      </c>
      <c r="B80" s="70" t="s">
        <v>66</v>
      </c>
      <c r="C80" s="70" t="s">
        <v>27</v>
      </c>
      <c r="D80" s="70" t="s">
        <v>32</v>
      </c>
      <c r="E80" s="70" t="s">
        <v>67</v>
      </c>
      <c r="F80" s="70" t="s">
        <v>67</v>
      </c>
      <c r="G80" s="71">
        <v>20965610600</v>
      </c>
      <c r="H80" s="70" t="s">
        <v>68</v>
      </c>
    </row>
    <row r="81" spans="1:8" ht="17.25" customHeight="1" x14ac:dyDescent="0.2">
      <c r="A81" s="69">
        <v>2009</v>
      </c>
      <c r="B81" s="70" t="s">
        <v>66</v>
      </c>
      <c r="C81" s="70" t="s">
        <v>27</v>
      </c>
      <c r="D81" s="70" t="s">
        <v>32</v>
      </c>
      <c r="E81" s="70" t="s">
        <v>69</v>
      </c>
      <c r="F81" s="70" t="s">
        <v>71</v>
      </c>
      <c r="G81" s="71">
        <v>3037106955</v>
      </c>
      <c r="H81" s="70" t="s">
        <v>68</v>
      </c>
    </row>
    <row r="82" spans="1:8" ht="17.25" customHeight="1" x14ac:dyDescent="0.2">
      <c r="A82" s="69">
        <v>2009</v>
      </c>
      <c r="B82" s="70" t="s">
        <v>66</v>
      </c>
      <c r="C82" s="70" t="s">
        <v>27</v>
      </c>
      <c r="D82" s="70" t="s">
        <v>32</v>
      </c>
      <c r="E82" s="70" t="s">
        <v>69</v>
      </c>
      <c r="F82" s="70" t="s">
        <v>70</v>
      </c>
      <c r="G82" s="71">
        <v>2475379888</v>
      </c>
      <c r="H82" s="70" t="s">
        <v>68</v>
      </c>
    </row>
    <row r="83" spans="1:8" ht="17.25" customHeight="1" x14ac:dyDescent="0.2">
      <c r="A83" s="69">
        <v>2009</v>
      </c>
      <c r="B83" s="70" t="s">
        <v>66</v>
      </c>
      <c r="C83" s="70" t="s">
        <v>27</v>
      </c>
      <c r="D83" s="70" t="s">
        <v>33</v>
      </c>
      <c r="E83" s="70" t="s">
        <v>67</v>
      </c>
      <c r="F83" s="70" t="s">
        <v>67</v>
      </c>
      <c r="G83" s="71">
        <v>36328368743</v>
      </c>
      <c r="H83" s="70" t="s">
        <v>68</v>
      </c>
    </row>
    <row r="84" spans="1:8" ht="17.25" customHeight="1" x14ac:dyDescent="0.2">
      <c r="A84" s="69">
        <v>2009</v>
      </c>
      <c r="B84" s="70" t="s">
        <v>66</v>
      </c>
      <c r="C84" s="70" t="s">
        <v>27</v>
      </c>
      <c r="D84" s="70" t="s">
        <v>33</v>
      </c>
      <c r="E84" s="70" t="s">
        <v>69</v>
      </c>
      <c r="F84" s="70" t="s">
        <v>71</v>
      </c>
      <c r="G84" s="71">
        <v>4724615720</v>
      </c>
      <c r="H84" s="70" t="s">
        <v>68</v>
      </c>
    </row>
    <row r="85" spans="1:8" ht="17.25" customHeight="1" x14ac:dyDescent="0.2">
      <c r="A85" s="69">
        <v>2009</v>
      </c>
      <c r="B85" s="70" t="s">
        <v>66</v>
      </c>
      <c r="C85" s="70" t="s">
        <v>27</v>
      </c>
      <c r="D85" s="70" t="s">
        <v>33</v>
      </c>
      <c r="E85" s="70" t="s">
        <v>69</v>
      </c>
      <c r="F85" s="70" t="s">
        <v>70</v>
      </c>
      <c r="G85" s="71">
        <v>13347828573</v>
      </c>
      <c r="H85" s="70" t="s">
        <v>68</v>
      </c>
    </row>
    <row r="86" spans="1:8" ht="17.25" customHeight="1" x14ac:dyDescent="0.2">
      <c r="A86" s="69">
        <v>2009</v>
      </c>
      <c r="B86" s="70" t="s">
        <v>66</v>
      </c>
      <c r="C86" s="70" t="s">
        <v>35</v>
      </c>
      <c r="D86" s="70" t="s">
        <v>34</v>
      </c>
      <c r="E86" s="70" t="s">
        <v>67</v>
      </c>
      <c r="F86" s="70" t="s">
        <v>67</v>
      </c>
      <c r="G86" s="71">
        <v>8722804665</v>
      </c>
      <c r="H86" s="70" t="s">
        <v>68</v>
      </c>
    </row>
    <row r="87" spans="1:8" ht="17.25" customHeight="1" x14ac:dyDescent="0.2">
      <c r="A87" s="69">
        <v>2009</v>
      </c>
      <c r="B87" s="70" t="s">
        <v>66</v>
      </c>
      <c r="C87" s="70" t="s">
        <v>35</v>
      </c>
      <c r="D87" s="70" t="s">
        <v>34</v>
      </c>
      <c r="E87" s="70" t="s">
        <v>69</v>
      </c>
      <c r="F87" s="70" t="s">
        <v>71</v>
      </c>
      <c r="G87" s="71">
        <v>222158033</v>
      </c>
      <c r="H87" s="70" t="s">
        <v>68</v>
      </c>
    </row>
    <row r="88" spans="1:8" ht="17.25" customHeight="1" x14ac:dyDescent="0.2">
      <c r="A88" s="69">
        <v>2009</v>
      </c>
      <c r="B88" s="70" t="s">
        <v>66</v>
      </c>
      <c r="C88" s="70" t="s">
        <v>35</v>
      </c>
      <c r="D88" s="70" t="s">
        <v>34</v>
      </c>
      <c r="E88" s="70" t="s">
        <v>69</v>
      </c>
      <c r="F88" s="70" t="s">
        <v>70</v>
      </c>
      <c r="G88" s="71">
        <v>189793912</v>
      </c>
      <c r="H88" s="70" t="s">
        <v>68</v>
      </c>
    </row>
    <row r="89" spans="1:8" ht="17.25" customHeight="1" x14ac:dyDescent="0.2">
      <c r="A89" s="69">
        <v>2009</v>
      </c>
      <c r="B89" s="70" t="s">
        <v>66</v>
      </c>
      <c r="C89" s="70" t="s">
        <v>35</v>
      </c>
      <c r="D89" s="70" t="s">
        <v>36</v>
      </c>
      <c r="E89" s="70" t="s">
        <v>67</v>
      </c>
      <c r="F89" s="70" t="s">
        <v>67</v>
      </c>
      <c r="G89" s="71">
        <v>36370375145</v>
      </c>
      <c r="H89" s="70" t="s">
        <v>68</v>
      </c>
    </row>
    <row r="90" spans="1:8" ht="17.25" customHeight="1" x14ac:dyDescent="0.2">
      <c r="A90" s="69">
        <v>2009</v>
      </c>
      <c r="B90" s="70" t="s">
        <v>66</v>
      </c>
      <c r="C90" s="70" t="s">
        <v>35</v>
      </c>
      <c r="D90" s="70" t="s">
        <v>36</v>
      </c>
      <c r="E90" s="70" t="s">
        <v>69</v>
      </c>
      <c r="F90" s="70" t="s">
        <v>71</v>
      </c>
      <c r="G90" s="71">
        <v>2672182149</v>
      </c>
      <c r="H90" s="70" t="s">
        <v>68</v>
      </c>
    </row>
    <row r="91" spans="1:8" ht="17.25" customHeight="1" x14ac:dyDescent="0.2">
      <c r="A91" s="69">
        <v>2009</v>
      </c>
      <c r="B91" s="70" t="s">
        <v>66</v>
      </c>
      <c r="C91" s="70" t="s">
        <v>35</v>
      </c>
      <c r="D91" s="70" t="s">
        <v>36</v>
      </c>
      <c r="E91" s="70" t="s">
        <v>69</v>
      </c>
      <c r="F91" s="70" t="s">
        <v>70</v>
      </c>
      <c r="G91" s="71">
        <v>1453038547</v>
      </c>
      <c r="H91" s="70" t="s">
        <v>68</v>
      </c>
    </row>
    <row r="92" spans="1:8" ht="17.25" customHeight="1" x14ac:dyDescent="0.2">
      <c r="A92" s="69">
        <v>2009</v>
      </c>
      <c r="B92" s="70" t="s">
        <v>66</v>
      </c>
      <c r="C92" s="70" t="s">
        <v>35</v>
      </c>
      <c r="D92" s="70" t="s">
        <v>37</v>
      </c>
      <c r="E92" s="70" t="s">
        <v>67</v>
      </c>
      <c r="F92" s="70" t="s">
        <v>67</v>
      </c>
      <c r="G92" s="71">
        <v>3799612189</v>
      </c>
      <c r="H92" s="70" t="s">
        <v>68</v>
      </c>
    </row>
    <row r="93" spans="1:8" ht="17.25" customHeight="1" x14ac:dyDescent="0.2">
      <c r="A93" s="69">
        <v>2009</v>
      </c>
      <c r="B93" s="70" t="s">
        <v>66</v>
      </c>
      <c r="C93" s="70" t="s">
        <v>35</v>
      </c>
      <c r="D93" s="70" t="s">
        <v>37</v>
      </c>
      <c r="E93" s="70" t="s">
        <v>69</v>
      </c>
      <c r="F93" s="70" t="s">
        <v>71</v>
      </c>
      <c r="G93" s="71">
        <v>170962110</v>
      </c>
      <c r="H93" s="70" t="s">
        <v>68</v>
      </c>
    </row>
    <row r="94" spans="1:8" ht="17.25" customHeight="1" x14ac:dyDescent="0.2">
      <c r="A94" s="69">
        <v>2009</v>
      </c>
      <c r="B94" s="70" t="s">
        <v>66</v>
      </c>
      <c r="C94" s="70" t="s">
        <v>35</v>
      </c>
      <c r="D94" s="70" t="s">
        <v>37</v>
      </c>
      <c r="E94" s="70" t="s">
        <v>69</v>
      </c>
      <c r="F94" s="70" t="s">
        <v>70</v>
      </c>
      <c r="G94" s="71">
        <v>605279954</v>
      </c>
      <c r="H94" s="70" t="s">
        <v>68</v>
      </c>
    </row>
    <row r="95" spans="1:8" ht="17.25" customHeight="1" x14ac:dyDescent="0.2">
      <c r="A95" s="69">
        <v>2009</v>
      </c>
      <c r="B95" s="70" t="s">
        <v>66</v>
      </c>
      <c r="C95" s="70" t="s">
        <v>35</v>
      </c>
      <c r="D95" s="70" t="s">
        <v>38</v>
      </c>
      <c r="E95" s="70" t="s">
        <v>67</v>
      </c>
      <c r="F95" s="70" t="s">
        <v>67</v>
      </c>
      <c r="G95" s="71">
        <v>7771717172</v>
      </c>
      <c r="H95" s="70" t="s">
        <v>68</v>
      </c>
    </row>
    <row r="96" spans="1:8" ht="17.25" customHeight="1" x14ac:dyDescent="0.2">
      <c r="A96" s="69">
        <v>2009</v>
      </c>
      <c r="B96" s="70" t="s">
        <v>66</v>
      </c>
      <c r="C96" s="70" t="s">
        <v>35</v>
      </c>
      <c r="D96" s="70" t="s">
        <v>38</v>
      </c>
      <c r="E96" s="70" t="s">
        <v>69</v>
      </c>
      <c r="F96" s="70" t="s">
        <v>71</v>
      </c>
      <c r="G96" s="71">
        <v>318925850</v>
      </c>
      <c r="H96" s="70" t="s">
        <v>68</v>
      </c>
    </row>
    <row r="97" spans="1:8" ht="17.25" customHeight="1" x14ac:dyDescent="0.2">
      <c r="A97" s="69">
        <v>2009</v>
      </c>
      <c r="B97" s="70" t="s">
        <v>66</v>
      </c>
      <c r="C97" s="70" t="s">
        <v>35</v>
      </c>
      <c r="D97" s="70" t="s">
        <v>38</v>
      </c>
      <c r="E97" s="70" t="s">
        <v>69</v>
      </c>
      <c r="F97" s="70" t="s">
        <v>70</v>
      </c>
      <c r="G97" s="71">
        <v>235747266</v>
      </c>
      <c r="H97" s="70" t="s">
        <v>68</v>
      </c>
    </row>
    <row r="98" spans="1:8" ht="17.25" customHeight="1" x14ac:dyDescent="0.2">
      <c r="A98" s="69">
        <v>2009</v>
      </c>
      <c r="B98" s="70" t="s">
        <v>66</v>
      </c>
      <c r="C98" s="70" t="s">
        <v>35</v>
      </c>
      <c r="D98" s="70" t="s">
        <v>39</v>
      </c>
      <c r="E98" s="70" t="s">
        <v>67</v>
      </c>
      <c r="F98" s="70" t="s">
        <v>67</v>
      </c>
      <c r="G98" s="71">
        <v>16166245047</v>
      </c>
      <c r="H98" s="70" t="s">
        <v>68</v>
      </c>
    </row>
    <row r="99" spans="1:8" ht="17.25" customHeight="1" x14ac:dyDescent="0.2">
      <c r="A99" s="69">
        <v>2009</v>
      </c>
      <c r="B99" s="70" t="s">
        <v>66</v>
      </c>
      <c r="C99" s="70" t="s">
        <v>35</v>
      </c>
      <c r="D99" s="70" t="s">
        <v>39</v>
      </c>
      <c r="E99" s="70" t="s">
        <v>69</v>
      </c>
      <c r="F99" s="70" t="s">
        <v>71</v>
      </c>
      <c r="G99" s="71">
        <v>1807976480</v>
      </c>
      <c r="H99" s="70" t="s">
        <v>68</v>
      </c>
    </row>
    <row r="100" spans="1:8" ht="17.25" customHeight="1" x14ac:dyDescent="0.2">
      <c r="A100" s="69">
        <v>2009</v>
      </c>
      <c r="B100" s="70" t="s">
        <v>66</v>
      </c>
      <c r="C100" s="70" t="s">
        <v>35</v>
      </c>
      <c r="D100" s="70" t="s">
        <v>39</v>
      </c>
      <c r="E100" s="70" t="s">
        <v>69</v>
      </c>
      <c r="F100" s="70" t="s">
        <v>70</v>
      </c>
      <c r="G100" s="71">
        <v>875788096</v>
      </c>
      <c r="H100" s="70" t="s">
        <v>68</v>
      </c>
    </row>
    <row r="101" spans="1:8" ht="17.25" customHeight="1" x14ac:dyDescent="0.2">
      <c r="A101" s="69">
        <v>2009</v>
      </c>
      <c r="B101" s="70" t="s">
        <v>66</v>
      </c>
      <c r="C101" s="70" t="s">
        <v>41</v>
      </c>
      <c r="D101" s="70" t="s">
        <v>40</v>
      </c>
      <c r="E101" s="70" t="s">
        <v>67</v>
      </c>
      <c r="F101" s="70" t="s">
        <v>67</v>
      </c>
      <c r="G101" s="71">
        <v>7642316996</v>
      </c>
      <c r="H101" s="70" t="s">
        <v>68</v>
      </c>
    </row>
    <row r="102" spans="1:8" ht="17.25" customHeight="1" x14ac:dyDescent="0.2">
      <c r="A102" s="69">
        <v>2009</v>
      </c>
      <c r="B102" s="70" t="s">
        <v>66</v>
      </c>
      <c r="C102" s="70" t="s">
        <v>41</v>
      </c>
      <c r="D102" s="70" t="s">
        <v>40</v>
      </c>
      <c r="E102" s="70" t="s">
        <v>69</v>
      </c>
      <c r="F102" s="70" t="s">
        <v>71</v>
      </c>
      <c r="G102" s="71">
        <v>270192799</v>
      </c>
      <c r="H102" s="70" t="s">
        <v>68</v>
      </c>
    </row>
    <row r="103" spans="1:8" ht="17.25" customHeight="1" x14ac:dyDescent="0.2">
      <c r="A103" s="69">
        <v>2009</v>
      </c>
      <c r="B103" s="70" t="s">
        <v>66</v>
      </c>
      <c r="C103" s="70" t="s">
        <v>41</v>
      </c>
      <c r="D103" s="70" t="s">
        <v>40</v>
      </c>
      <c r="E103" s="70" t="s">
        <v>69</v>
      </c>
      <c r="F103" s="70" t="s">
        <v>70</v>
      </c>
      <c r="G103" s="71">
        <v>179908877</v>
      </c>
      <c r="H103" s="70" t="s">
        <v>68</v>
      </c>
    </row>
    <row r="104" spans="1:8" ht="17.25" customHeight="1" x14ac:dyDescent="0.2">
      <c r="A104" s="69">
        <v>2009</v>
      </c>
      <c r="B104" s="70" t="s">
        <v>66</v>
      </c>
      <c r="C104" s="70" t="s">
        <v>41</v>
      </c>
      <c r="D104" s="70" t="s">
        <v>42</v>
      </c>
      <c r="E104" s="70" t="s">
        <v>67</v>
      </c>
      <c r="F104" s="70" t="s">
        <v>67</v>
      </c>
      <c r="G104" s="71">
        <v>4351585468</v>
      </c>
      <c r="H104" s="70" t="s">
        <v>68</v>
      </c>
    </row>
    <row r="105" spans="1:8" ht="17.25" customHeight="1" x14ac:dyDescent="0.2">
      <c r="A105" s="69">
        <v>2009</v>
      </c>
      <c r="B105" s="70" t="s">
        <v>66</v>
      </c>
      <c r="C105" s="70" t="s">
        <v>41</v>
      </c>
      <c r="D105" s="70" t="s">
        <v>42</v>
      </c>
      <c r="E105" s="70" t="s">
        <v>69</v>
      </c>
      <c r="F105" s="70" t="s">
        <v>71</v>
      </c>
      <c r="G105" s="71">
        <v>377865407</v>
      </c>
      <c r="H105" s="70" t="s">
        <v>68</v>
      </c>
    </row>
    <row r="106" spans="1:8" ht="17.25" customHeight="1" x14ac:dyDescent="0.2">
      <c r="A106" s="69">
        <v>2009</v>
      </c>
      <c r="B106" s="70" t="s">
        <v>66</v>
      </c>
      <c r="C106" s="70" t="s">
        <v>41</v>
      </c>
      <c r="D106" s="70" t="s">
        <v>42</v>
      </c>
      <c r="E106" s="70" t="s">
        <v>69</v>
      </c>
      <c r="F106" s="70" t="s">
        <v>70</v>
      </c>
      <c r="G106" s="71">
        <v>419363036</v>
      </c>
      <c r="H106" s="70" t="s">
        <v>68</v>
      </c>
    </row>
    <row r="107" spans="1:8" ht="17.25" customHeight="1" x14ac:dyDescent="0.2">
      <c r="A107" s="69">
        <v>2009</v>
      </c>
      <c r="B107" s="70" t="s">
        <v>66</v>
      </c>
      <c r="C107" s="70" t="s">
        <v>41</v>
      </c>
      <c r="D107" s="70" t="s">
        <v>43</v>
      </c>
      <c r="E107" s="70" t="s">
        <v>67</v>
      </c>
      <c r="F107" s="70" t="s">
        <v>67</v>
      </c>
      <c r="G107" s="71">
        <v>7053814042</v>
      </c>
      <c r="H107" s="70" t="s">
        <v>68</v>
      </c>
    </row>
    <row r="108" spans="1:8" ht="17.25" customHeight="1" x14ac:dyDescent="0.2">
      <c r="A108" s="69">
        <v>2009</v>
      </c>
      <c r="B108" s="70" t="s">
        <v>66</v>
      </c>
      <c r="C108" s="70" t="s">
        <v>41</v>
      </c>
      <c r="D108" s="70" t="s">
        <v>43</v>
      </c>
      <c r="E108" s="70" t="s">
        <v>69</v>
      </c>
      <c r="F108" s="70" t="s">
        <v>71</v>
      </c>
      <c r="G108" s="71">
        <v>272777661</v>
      </c>
      <c r="H108" s="70" t="s">
        <v>68</v>
      </c>
    </row>
    <row r="109" spans="1:8" ht="17.25" customHeight="1" x14ac:dyDescent="0.2">
      <c r="A109" s="69">
        <v>2009</v>
      </c>
      <c r="B109" s="70" t="s">
        <v>66</v>
      </c>
      <c r="C109" s="70" t="s">
        <v>41</v>
      </c>
      <c r="D109" s="70" t="s">
        <v>43</v>
      </c>
      <c r="E109" s="70" t="s">
        <v>69</v>
      </c>
      <c r="F109" s="70" t="s">
        <v>70</v>
      </c>
      <c r="G109" s="71">
        <v>303049083</v>
      </c>
      <c r="H109" s="70" t="s">
        <v>68</v>
      </c>
    </row>
    <row r="110" spans="1:8" ht="17.25" customHeight="1" x14ac:dyDescent="0.2">
      <c r="A110" s="69">
        <v>2009</v>
      </c>
      <c r="B110" s="70" t="s">
        <v>66</v>
      </c>
      <c r="C110" s="70" t="s">
        <v>41</v>
      </c>
      <c r="D110" s="70" t="s">
        <v>44</v>
      </c>
      <c r="E110" s="70" t="s">
        <v>67</v>
      </c>
      <c r="F110" s="70" t="s">
        <v>67</v>
      </c>
      <c r="G110" s="71">
        <v>8209436344</v>
      </c>
      <c r="H110" s="70" t="s">
        <v>68</v>
      </c>
    </row>
    <row r="111" spans="1:8" ht="17.25" customHeight="1" x14ac:dyDescent="0.2">
      <c r="A111" s="69">
        <v>2009</v>
      </c>
      <c r="B111" s="70" t="s">
        <v>66</v>
      </c>
      <c r="C111" s="70" t="s">
        <v>41</v>
      </c>
      <c r="D111" s="70" t="s">
        <v>44</v>
      </c>
      <c r="E111" s="70" t="s">
        <v>69</v>
      </c>
      <c r="F111" s="70" t="s">
        <v>71</v>
      </c>
      <c r="G111" s="71">
        <v>641659396</v>
      </c>
      <c r="H111" s="70" t="s">
        <v>68</v>
      </c>
    </row>
    <row r="112" spans="1:8" ht="17.25" customHeight="1" x14ac:dyDescent="0.2">
      <c r="A112" s="69">
        <v>2009</v>
      </c>
      <c r="B112" s="70" t="s">
        <v>66</v>
      </c>
      <c r="C112" s="70" t="s">
        <v>41</v>
      </c>
      <c r="D112" s="70" t="s">
        <v>44</v>
      </c>
      <c r="E112" s="70" t="s">
        <v>69</v>
      </c>
      <c r="F112" s="70" t="s">
        <v>70</v>
      </c>
      <c r="G112" s="71">
        <v>355223529</v>
      </c>
      <c r="H112" s="70" t="s">
        <v>68</v>
      </c>
    </row>
    <row r="113" spans="1:8" ht="17.25" customHeight="1" x14ac:dyDescent="0.2">
      <c r="A113" s="69">
        <v>2009</v>
      </c>
      <c r="B113" s="70" t="s">
        <v>66</v>
      </c>
      <c r="C113" s="70" t="s">
        <v>41</v>
      </c>
      <c r="D113" s="70" t="s">
        <v>45</v>
      </c>
      <c r="E113" s="70" t="s">
        <v>67</v>
      </c>
      <c r="F113" s="70" t="s">
        <v>67</v>
      </c>
      <c r="G113" s="71">
        <v>17979546687</v>
      </c>
      <c r="H113" s="70" t="s">
        <v>68</v>
      </c>
    </row>
    <row r="114" spans="1:8" ht="17.25" customHeight="1" x14ac:dyDescent="0.2">
      <c r="A114" s="69">
        <v>2009</v>
      </c>
      <c r="B114" s="70" t="s">
        <v>66</v>
      </c>
      <c r="C114" s="70" t="s">
        <v>41</v>
      </c>
      <c r="D114" s="70" t="s">
        <v>45</v>
      </c>
      <c r="E114" s="70" t="s">
        <v>69</v>
      </c>
      <c r="F114" s="70" t="s">
        <v>71</v>
      </c>
      <c r="G114" s="71">
        <v>1561065892</v>
      </c>
      <c r="H114" s="70" t="s">
        <v>68</v>
      </c>
    </row>
    <row r="115" spans="1:8" ht="17.25" customHeight="1" x14ac:dyDescent="0.2">
      <c r="A115" s="69">
        <v>2009</v>
      </c>
      <c r="B115" s="70" t="s">
        <v>66</v>
      </c>
      <c r="C115" s="70" t="s">
        <v>41</v>
      </c>
      <c r="D115" s="70" t="s">
        <v>45</v>
      </c>
      <c r="E115" s="70" t="s">
        <v>69</v>
      </c>
      <c r="F115" s="70" t="s">
        <v>70</v>
      </c>
      <c r="G115" s="71">
        <v>1483070491</v>
      </c>
      <c r="H115" s="70" t="s">
        <v>68</v>
      </c>
    </row>
    <row r="116" spans="1:8" ht="17.25" customHeight="1" x14ac:dyDescent="0.2">
      <c r="A116" s="69">
        <v>2009</v>
      </c>
      <c r="B116" s="70" t="s">
        <v>66</v>
      </c>
      <c r="C116" s="70" t="s">
        <v>47</v>
      </c>
      <c r="D116" s="70" t="s">
        <v>46</v>
      </c>
      <c r="E116" s="70" t="s">
        <v>67</v>
      </c>
      <c r="F116" s="70" t="s">
        <v>67</v>
      </c>
      <c r="G116" s="71">
        <v>14890662743</v>
      </c>
      <c r="H116" s="70" t="s">
        <v>68</v>
      </c>
    </row>
    <row r="117" spans="1:8" ht="17.25" customHeight="1" x14ac:dyDescent="0.2">
      <c r="A117" s="69">
        <v>2009</v>
      </c>
      <c r="B117" s="70" t="s">
        <v>66</v>
      </c>
      <c r="C117" s="70" t="s">
        <v>47</v>
      </c>
      <c r="D117" s="70" t="s">
        <v>46</v>
      </c>
      <c r="E117" s="70" t="s">
        <v>69</v>
      </c>
      <c r="F117" s="70" t="s">
        <v>71</v>
      </c>
      <c r="G117" s="71">
        <v>2363526657</v>
      </c>
      <c r="H117" s="70" t="s">
        <v>68</v>
      </c>
    </row>
    <row r="118" spans="1:8" ht="17.25" customHeight="1" x14ac:dyDescent="0.2">
      <c r="A118" s="69">
        <v>2009</v>
      </c>
      <c r="B118" s="70" t="s">
        <v>66</v>
      </c>
      <c r="C118" s="70" t="s">
        <v>47</v>
      </c>
      <c r="D118" s="70" t="s">
        <v>46</v>
      </c>
      <c r="E118" s="70" t="s">
        <v>69</v>
      </c>
      <c r="F118" s="70" t="s">
        <v>70</v>
      </c>
      <c r="G118" s="71">
        <v>6024044595</v>
      </c>
      <c r="H118" s="70" t="s">
        <v>68</v>
      </c>
    </row>
    <row r="119" spans="1:8" ht="17.25" customHeight="1" x14ac:dyDescent="0.2">
      <c r="A119" s="69">
        <v>2009</v>
      </c>
      <c r="B119" s="70" t="s">
        <v>66</v>
      </c>
      <c r="C119" s="70" t="s">
        <v>47</v>
      </c>
      <c r="D119" s="70" t="s">
        <v>48</v>
      </c>
      <c r="E119" s="70" t="s">
        <v>72</v>
      </c>
      <c r="F119" s="70" t="s">
        <v>73</v>
      </c>
      <c r="G119" s="71">
        <v>71508614324</v>
      </c>
      <c r="H119" s="70" t="s">
        <v>68</v>
      </c>
    </row>
    <row r="120" spans="1:8" ht="17.25" customHeight="1" x14ac:dyDescent="0.2">
      <c r="A120" s="69">
        <v>2009</v>
      </c>
      <c r="B120" s="70" t="s">
        <v>66</v>
      </c>
      <c r="C120" s="70" t="s">
        <v>47</v>
      </c>
      <c r="D120" s="70" t="s">
        <v>48</v>
      </c>
      <c r="E120" s="70" t="s">
        <v>67</v>
      </c>
      <c r="F120" s="70" t="s">
        <v>74</v>
      </c>
      <c r="G120" s="71">
        <v>70691252594</v>
      </c>
      <c r="H120" s="70" t="s">
        <v>68</v>
      </c>
    </row>
    <row r="121" spans="1:8" ht="17.25" customHeight="1" x14ac:dyDescent="0.2">
      <c r="A121" s="69">
        <v>2009</v>
      </c>
      <c r="B121" s="70" t="s">
        <v>66</v>
      </c>
      <c r="C121" s="70" t="s">
        <v>47</v>
      </c>
      <c r="D121" s="70" t="s">
        <v>48</v>
      </c>
      <c r="E121" s="70" t="s">
        <v>69</v>
      </c>
      <c r="F121" s="70" t="s">
        <v>71</v>
      </c>
      <c r="G121" s="71">
        <v>35569224768</v>
      </c>
      <c r="H121" s="70" t="s">
        <v>68</v>
      </c>
    </row>
    <row r="122" spans="1:8" ht="17.25" customHeight="1" x14ac:dyDescent="0.2">
      <c r="A122" s="69">
        <v>2009</v>
      </c>
      <c r="B122" s="70" t="s">
        <v>66</v>
      </c>
      <c r="C122" s="70" t="s">
        <v>47</v>
      </c>
      <c r="D122" s="70" t="s">
        <v>48</v>
      </c>
      <c r="E122" s="70" t="s">
        <v>69</v>
      </c>
      <c r="F122" s="70" t="s">
        <v>70</v>
      </c>
      <c r="G122" s="71">
        <v>54210351788</v>
      </c>
      <c r="H122" s="70" t="s">
        <v>68</v>
      </c>
    </row>
    <row r="123" spans="1:8" ht="17.25" customHeight="1" x14ac:dyDescent="0.2">
      <c r="A123" s="69">
        <v>2010</v>
      </c>
      <c r="B123" s="70" t="s">
        <v>66</v>
      </c>
      <c r="C123" s="70" t="s">
        <v>4</v>
      </c>
      <c r="D123" s="70" t="s">
        <v>3</v>
      </c>
      <c r="E123" s="70" t="s">
        <v>67</v>
      </c>
      <c r="F123" s="70" t="s">
        <v>67</v>
      </c>
      <c r="G123" s="71">
        <v>18737447258</v>
      </c>
      <c r="H123" s="70" t="s">
        <v>68</v>
      </c>
    </row>
    <row r="124" spans="1:8" ht="17.25" customHeight="1" x14ac:dyDescent="0.2">
      <c r="A124" s="69">
        <v>2010</v>
      </c>
      <c r="B124" s="70" t="s">
        <v>66</v>
      </c>
      <c r="C124" s="70" t="s">
        <v>4</v>
      </c>
      <c r="D124" s="70" t="s">
        <v>3</v>
      </c>
      <c r="E124" s="70" t="s">
        <v>69</v>
      </c>
      <c r="F124" s="70" t="s">
        <v>71</v>
      </c>
      <c r="G124" s="71">
        <v>1667698213</v>
      </c>
      <c r="H124" s="70" t="s">
        <v>68</v>
      </c>
    </row>
    <row r="125" spans="1:8" ht="17.25" customHeight="1" x14ac:dyDescent="0.2">
      <c r="A125" s="69">
        <v>2010</v>
      </c>
      <c r="B125" s="70" t="s">
        <v>66</v>
      </c>
      <c r="C125" s="70" t="s">
        <v>4</v>
      </c>
      <c r="D125" s="70" t="s">
        <v>3</v>
      </c>
      <c r="E125" s="70" t="s">
        <v>69</v>
      </c>
      <c r="F125" s="70" t="s">
        <v>70</v>
      </c>
      <c r="G125" s="71">
        <v>7417407614</v>
      </c>
      <c r="H125" s="70" t="s">
        <v>68</v>
      </c>
    </row>
    <row r="126" spans="1:8" ht="17.25" customHeight="1" x14ac:dyDescent="0.2">
      <c r="A126" s="69">
        <v>2010</v>
      </c>
      <c r="B126" s="70" t="s">
        <v>66</v>
      </c>
      <c r="C126" s="70" t="s">
        <v>4</v>
      </c>
      <c r="D126" s="70" t="s">
        <v>5</v>
      </c>
      <c r="E126" s="70" t="s">
        <v>67</v>
      </c>
      <c r="F126" s="70" t="s">
        <v>67</v>
      </c>
      <c r="G126" s="71">
        <v>69695817334</v>
      </c>
      <c r="H126" s="70" t="s">
        <v>68</v>
      </c>
    </row>
    <row r="127" spans="1:8" ht="17.25" customHeight="1" x14ac:dyDescent="0.2">
      <c r="A127" s="69">
        <v>2010</v>
      </c>
      <c r="B127" s="70" t="s">
        <v>66</v>
      </c>
      <c r="C127" s="70" t="s">
        <v>4</v>
      </c>
      <c r="D127" s="70" t="s">
        <v>5</v>
      </c>
      <c r="E127" s="70" t="s">
        <v>69</v>
      </c>
      <c r="F127" s="70" t="s">
        <v>71</v>
      </c>
      <c r="G127" s="71">
        <v>3407773909</v>
      </c>
      <c r="H127" s="70" t="s">
        <v>68</v>
      </c>
    </row>
    <row r="128" spans="1:8" ht="17.25" customHeight="1" x14ac:dyDescent="0.2">
      <c r="A128" s="69">
        <v>2010</v>
      </c>
      <c r="B128" s="70" t="s">
        <v>66</v>
      </c>
      <c r="C128" s="70" t="s">
        <v>4</v>
      </c>
      <c r="D128" s="70" t="s">
        <v>5</v>
      </c>
      <c r="E128" s="70" t="s">
        <v>69</v>
      </c>
      <c r="F128" s="70" t="s">
        <v>70</v>
      </c>
      <c r="G128" s="71">
        <v>3365560518</v>
      </c>
      <c r="H128" s="70" t="s">
        <v>68</v>
      </c>
    </row>
    <row r="129" spans="1:8" ht="17.25" customHeight="1" x14ac:dyDescent="0.2">
      <c r="A129" s="69">
        <v>2010</v>
      </c>
      <c r="B129" s="70" t="s">
        <v>66</v>
      </c>
      <c r="C129" s="70" t="s">
        <v>4</v>
      </c>
      <c r="D129" s="70" t="s">
        <v>6</v>
      </c>
      <c r="E129" s="70" t="s">
        <v>67</v>
      </c>
      <c r="F129" s="70" t="s">
        <v>67</v>
      </c>
      <c r="G129" s="71">
        <v>10527783022</v>
      </c>
      <c r="H129" s="70" t="s">
        <v>68</v>
      </c>
    </row>
    <row r="130" spans="1:8" ht="17.25" customHeight="1" x14ac:dyDescent="0.2">
      <c r="A130" s="69">
        <v>2010</v>
      </c>
      <c r="B130" s="70" t="s">
        <v>66</v>
      </c>
      <c r="C130" s="70" t="s">
        <v>4</v>
      </c>
      <c r="D130" s="70" t="s">
        <v>6</v>
      </c>
      <c r="E130" s="70" t="s">
        <v>69</v>
      </c>
      <c r="F130" s="70" t="s">
        <v>71</v>
      </c>
      <c r="G130" s="71">
        <v>175131028</v>
      </c>
      <c r="H130" s="70" t="s">
        <v>68</v>
      </c>
    </row>
    <row r="131" spans="1:8" ht="17.25" customHeight="1" x14ac:dyDescent="0.2">
      <c r="A131" s="69">
        <v>2010</v>
      </c>
      <c r="B131" s="70" t="s">
        <v>66</v>
      </c>
      <c r="C131" s="70" t="s">
        <v>4</v>
      </c>
      <c r="D131" s="70" t="s">
        <v>6</v>
      </c>
      <c r="E131" s="70" t="s">
        <v>69</v>
      </c>
      <c r="F131" s="70" t="s">
        <v>70</v>
      </c>
      <c r="G131" s="71">
        <v>536951215</v>
      </c>
      <c r="H131" s="70" t="s">
        <v>68</v>
      </c>
    </row>
    <row r="132" spans="1:8" ht="17.25" customHeight="1" x14ac:dyDescent="0.2">
      <c r="A132" s="69">
        <v>2010</v>
      </c>
      <c r="B132" s="70" t="s">
        <v>66</v>
      </c>
      <c r="C132" s="70" t="s">
        <v>4</v>
      </c>
      <c r="D132" s="70" t="s">
        <v>7</v>
      </c>
      <c r="E132" s="70" t="s">
        <v>67</v>
      </c>
      <c r="F132" s="70" t="s">
        <v>67</v>
      </c>
      <c r="G132" s="71">
        <v>15596271079</v>
      </c>
      <c r="H132" s="70" t="s">
        <v>68</v>
      </c>
    </row>
    <row r="133" spans="1:8" ht="17.25" customHeight="1" x14ac:dyDescent="0.2">
      <c r="A133" s="69">
        <v>2010</v>
      </c>
      <c r="B133" s="70" t="s">
        <v>66</v>
      </c>
      <c r="C133" s="70" t="s">
        <v>4</v>
      </c>
      <c r="D133" s="70" t="s">
        <v>7</v>
      </c>
      <c r="E133" s="70" t="s">
        <v>69</v>
      </c>
      <c r="F133" s="70" t="s">
        <v>71</v>
      </c>
      <c r="G133" s="71">
        <v>1699023105</v>
      </c>
      <c r="H133" s="70" t="s">
        <v>68</v>
      </c>
    </row>
    <row r="134" spans="1:8" ht="17.25" customHeight="1" x14ac:dyDescent="0.2">
      <c r="A134" s="69">
        <v>2010</v>
      </c>
      <c r="B134" s="70" t="s">
        <v>66</v>
      </c>
      <c r="C134" s="70" t="s">
        <v>4</v>
      </c>
      <c r="D134" s="70" t="s">
        <v>7</v>
      </c>
      <c r="E134" s="70" t="s">
        <v>69</v>
      </c>
      <c r="F134" s="70" t="s">
        <v>70</v>
      </c>
      <c r="G134" s="71">
        <v>3269612753</v>
      </c>
      <c r="H134" s="70" t="s">
        <v>68</v>
      </c>
    </row>
    <row r="135" spans="1:8" ht="17.25" customHeight="1" x14ac:dyDescent="0.2">
      <c r="A135" s="69">
        <v>2010</v>
      </c>
      <c r="B135" s="70" t="s">
        <v>66</v>
      </c>
      <c r="C135" s="70" t="s">
        <v>4</v>
      </c>
      <c r="D135" s="70" t="s">
        <v>8</v>
      </c>
      <c r="E135" s="70" t="s">
        <v>67</v>
      </c>
      <c r="F135" s="70" t="s">
        <v>67</v>
      </c>
      <c r="G135" s="71">
        <v>7083527198</v>
      </c>
      <c r="H135" s="70" t="s">
        <v>68</v>
      </c>
    </row>
    <row r="136" spans="1:8" ht="17.25" customHeight="1" x14ac:dyDescent="0.2">
      <c r="A136" s="69">
        <v>2010</v>
      </c>
      <c r="B136" s="70" t="s">
        <v>66</v>
      </c>
      <c r="C136" s="70" t="s">
        <v>4</v>
      </c>
      <c r="D136" s="70" t="s">
        <v>8</v>
      </c>
      <c r="E136" s="70" t="s">
        <v>69</v>
      </c>
      <c r="F136" s="70" t="s">
        <v>71</v>
      </c>
      <c r="G136" s="71">
        <v>56985078</v>
      </c>
      <c r="H136" s="70" t="s">
        <v>68</v>
      </c>
    </row>
    <row r="137" spans="1:8" ht="17.25" customHeight="1" x14ac:dyDescent="0.2">
      <c r="A137" s="69">
        <v>2010</v>
      </c>
      <c r="B137" s="70" t="s">
        <v>66</v>
      </c>
      <c r="C137" s="70" t="s">
        <v>4</v>
      </c>
      <c r="D137" s="70" t="s">
        <v>8</v>
      </c>
      <c r="E137" s="70" t="s">
        <v>69</v>
      </c>
      <c r="F137" s="70" t="s">
        <v>70</v>
      </c>
      <c r="G137" s="71">
        <v>217806904</v>
      </c>
      <c r="H137" s="70" t="s">
        <v>68</v>
      </c>
    </row>
    <row r="138" spans="1:8" ht="17.25" customHeight="1" x14ac:dyDescent="0.2">
      <c r="A138" s="69">
        <v>2010</v>
      </c>
      <c r="B138" s="70" t="s">
        <v>66</v>
      </c>
      <c r="C138" s="70" t="s">
        <v>4</v>
      </c>
      <c r="D138" s="70" t="s">
        <v>9</v>
      </c>
      <c r="E138" s="70" t="s">
        <v>67</v>
      </c>
      <c r="F138" s="70" t="s">
        <v>67</v>
      </c>
      <c r="G138" s="71">
        <v>73869676139</v>
      </c>
      <c r="H138" s="70" t="s">
        <v>68</v>
      </c>
    </row>
    <row r="139" spans="1:8" ht="17.25" customHeight="1" x14ac:dyDescent="0.2">
      <c r="A139" s="69">
        <v>2010</v>
      </c>
      <c r="B139" s="70" t="s">
        <v>66</v>
      </c>
      <c r="C139" s="70" t="s">
        <v>4</v>
      </c>
      <c r="D139" s="70" t="s">
        <v>9</v>
      </c>
      <c r="E139" s="70" t="s">
        <v>69</v>
      </c>
      <c r="F139" s="70" t="s">
        <v>71</v>
      </c>
      <c r="G139" s="71">
        <v>8572683879</v>
      </c>
      <c r="H139" s="70" t="s">
        <v>68</v>
      </c>
    </row>
    <row r="140" spans="1:8" ht="17.25" customHeight="1" x14ac:dyDescent="0.2">
      <c r="A140" s="69">
        <v>2010</v>
      </c>
      <c r="B140" s="70" t="s">
        <v>66</v>
      </c>
      <c r="C140" s="70" t="s">
        <v>4</v>
      </c>
      <c r="D140" s="70" t="s">
        <v>9</v>
      </c>
      <c r="E140" s="70" t="s">
        <v>69</v>
      </c>
      <c r="F140" s="70" t="s">
        <v>70</v>
      </c>
      <c r="G140" s="71">
        <v>16059068492</v>
      </c>
      <c r="H140" s="70" t="s">
        <v>68</v>
      </c>
    </row>
    <row r="141" spans="1:8" ht="17.25" customHeight="1" x14ac:dyDescent="0.2">
      <c r="A141" s="69">
        <v>2010</v>
      </c>
      <c r="B141" s="70" t="s">
        <v>66</v>
      </c>
      <c r="C141" s="70" t="s">
        <v>4</v>
      </c>
      <c r="D141" s="70" t="s">
        <v>10</v>
      </c>
      <c r="E141" s="70" t="s">
        <v>67</v>
      </c>
      <c r="F141" s="70" t="s">
        <v>67</v>
      </c>
      <c r="G141" s="71">
        <v>617475868</v>
      </c>
      <c r="H141" s="70" t="s">
        <v>68</v>
      </c>
    </row>
    <row r="142" spans="1:8" ht="17.25" customHeight="1" x14ac:dyDescent="0.2">
      <c r="A142" s="69">
        <v>2010</v>
      </c>
      <c r="B142" s="70" t="s">
        <v>66</v>
      </c>
      <c r="C142" s="70" t="s">
        <v>4</v>
      </c>
      <c r="D142" s="70" t="s">
        <v>10</v>
      </c>
      <c r="E142" s="70" t="s">
        <v>69</v>
      </c>
      <c r="F142" s="70" t="s">
        <v>71</v>
      </c>
      <c r="G142" s="71">
        <v>10682081</v>
      </c>
      <c r="H142" s="70" t="s">
        <v>68</v>
      </c>
    </row>
    <row r="143" spans="1:8" ht="17.25" customHeight="1" x14ac:dyDescent="0.2">
      <c r="A143" s="69">
        <v>2010</v>
      </c>
      <c r="B143" s="70" t="s">
        <v>66</v>
      </c>
      <c r="C143" s="70" t="s">
        <v>4</v>
      </c>
      <c r="D143" s="70" t="s">
        <v>10</v>
      </c>
      <c r="E143" s="70" t="s">
        <v>69</v>
      </c>
      <c r="F143" s="70" t="s">
        <v>70</v>
      </c>
      <c r="G143" s="71">
        <v>7121387</v>
      </c>
      <c r="H143" s="70" t="s">
        <v>68</v>
      </c>
    </row>
    <row r="144" spans="1:8" ht="17.25" customHeight="1" x14ac:dyDescent="0.2">
      <c r="A144" s="69">
        <v>2010</v>
      </c>
      <c r="B144" s="70" t="s">
        <v>66</v>
      </c>
      <c r="C144" s="70" t="s">
        <v>4</v>
      </c>
      <c r="D144" s="70" t="s">
        <v>11</v>
      </c>
      <c r="E144" s="70" t="s">
        <v>67</v>
      </c>
      <c r="F144" s="70" t="s">
        <v>67</v>
      </c>
      <c r="G144" s="71">
        <v>5023264499</v>
      </c>
      <c r="H144" s="70" t="s">
        <v>68</v>
      </c>
    </row>
    <row r="145" spans="1:8" ht="17.25" customHeight="1" x14ac:dyDescent="0.2">
      <c r="A145" s="69">
        <v>2010</v>
      </c>
      <c r="B145" s="70" t="s">
        <v>66</v>
      </c>
      <c r="C145" s="70" t="s">
        <v>4</v>
      </c>
      <c r="D145" s="70" t="s">
        <v>11</v>
      </c>
      <c r="E145" s="70" t="s">
        <v>69</v>
      </c>
      <c r="F145" s="70" t="s">
        <v>71</v>
      </c>
      <c r="G145" s="71">
        <v>166823580</v>
      </c>
      <c r="H145" s="70" t="s">
        <v>68</v>
      </c>
    </row>
    <row r="146" spans="1:8" ht="17.25" customHeight="1" x14ac:dyDescent="0.2">
      <c r="A146" s="69">
        <v>2010</v>
      </c>
      <c r="B146" s="70" t="s">
        <v>66</v>
      </c>
      <c r="C146" s="70" t="s">
        <v>4</v>
      </c>
      <c r="D146" s="70" t="s">
        <v>11</v>
      </c>
      <c r="E146" s="70" t="s">
        <v>69</v>
      </c>
      <c r="F146" s="70" t="s">
        <v>70</v>
      </c>
      <c r="G146" s="71">
        <v>1823757346</v>
      </c>
      <c r="H146" s="70" t="s">
        <v>68</v>
      </c>
    </row>
    <row r="147" spans="1:8" ht="17.25" customHeight="1" x14ac:dyDescent="0.2">
      <c r="A147" s="69">
        <v>2010</v>
      </c>
      <c r="B147" s="70" t="s">
        <v>66</v>
      </c>
      <c r="C147" s="70" t="s">
        <v>4</v>
      </c>
      <c r="D147" s="70" t="s">
        <v>12</v>
      </c>
      <c r="E147" s="70" t="s">
        <v>67</v>
      </c>
      <c r="F147" s="70" t="s">
        <v>67</v>
      </c>
      <c r="G147" s="71">
        <v>6689543699</v>
      </c>
      <c r="H147" s="70" t="s">
        <v>68</v>
      </c>
    </row>
    <row r="148" spans="1:8" ht="17.25" customHeight="1" x14ac:dyDescent="0.2">
      <c r="A148" s="69">
        <v>2010</v>
      </c>
      <c r="B148" s="70" t="s">
        <v>66</v>
      </c>
      <c r="C148" s="70" t="s">
        <v>4</v>
      </c>
      <c r="D148" s="70" t="s">
        <v>12</v>
      </c>
      <c r="E148" s="70" t="s">
        <v>69</v>
      </c>
      <c r="F148" s="70" t="s">
        <v>71</v>
      </c>
      <c r="G148" s="71">
        <v>364559008</v>
      </c>
      <c r="H148" s="70" t="s">
        <v>68</v>
      </c>
    </row>
    <row r="149" spans="1:8" ht="17.25" customHeight="1" x14ac:dyDescent="0.2">
      <c r="A149" s="69">
        <v>2010</v>
      </c>
      <c r="B149" s="70" t="s">
        <v>66</v>
      </c>
      <c r="C149" s="70" t="s">
        <v>4</v>
      </c>
      <c r="D149" s="70" t="s">
        <v>12</v>
      </c>
      <c r="E149" s="70" t="s">
        <v>69</v>
      </c>
      <c r="F149" s="70" t="s">
        <v>70</v>
      </c>
      <c r="G149" s="71">
        <v>1860866366</v>
      </c>
      <c r="H149" s="70" t="s">
        <v>68</v>
      </c>
    </row>
    <row r="150" spans="1:8" ht="17.25" customHeight="1" x14ac:dyDescent="0.2">
      <c r="A150" s="69">
        <v>2010</v>
      </c>
      <c r="B150" s="70" t="s">
        <v>66</v>
      </c>
      <c r="C150" s="70" t="s">
        <v>4</v>
      </c>
      <c r="D150" s="70" t="s">
        <v>13</v>
      </c>
      <c r="E150" s="70" t="s">
        <v>67</v>
      </c>
      <c r="F150" s="70" t="s">
        <v>67</v>
      </c>
      <c r="G150" s="71">
        <v>11086683907</v>
      </c>
      <c r="H150" s="70" t="s">
        <v>68</v>
      </c>
    </row>
    <row r="151" spans="1:8" ht="17.25" customHeight="1" x14ac:dyDescent="0.2">
      <c r="A151" s="69">
        <v>2010</v>
      </c>
      <c r="B151" s="70" t="s">
        <v>66</v>
      </c>
      <c r="C151" s="70" t="s">
        <v>4</v>
      </c>
      <c r="D151" s="70" t="s">
        <v>13</v>
      </c>
      <c r="E151" s="70" t="s">
        <v>69</v>
      </c>
      <c r="F151" s="70" t="s">
        <v>71</v>
      </c>
      <c r="G151" s="71">
        <v>162793700</v>
      </c>
      <c r="H151" s="70" t="s">
        <v>68</v>
      </c>
    </row>
    <row r="152" spans="1:8" ht="17.25" customHeight="1" x14ac:dyDescent="0.2">
      <c r="A152" s="69">
        <v>2010</v>
      </c>
      <c r="B152" s="70" t="s">
        <v>66</v>
      </c>
      <c r="C152" s="70" t="s">
        <v>4</v>
      </c>
      <c r="D152" s="70" t="s">
        <v>13</v>
      </c>
      <c r="E152" s="70" t="s">
        <v>69</v>
      </c>
      <c r="F152" s="70" t="s">
        <v>70</v>
      </c>
      <c r="G152" s="71">
        <v>1504382509</v>
      </c>
      <c r="H152" s="70" t="s">
        <v>68</v>
      </c>
    </row>
    <row r="153" spans="1:8" ht="17.25" customHeight="1" x14ac:dyDescent="0.2">
      <c r="A153" s="69">
        <v>2010</v>
      </c>
      <c r="B153" s="70" t="s">
        <v>66</v>
      </c>
      <c r="C153" s="70" t="s">
        <v>4</v>
      </c>
      <c r="D153" s="70" t="s">
        <v>14</v>
      </c>
      <c r="E153" s="70" t="s">
        <v>67</v>
      </c>
      <c r="F153" s="70" t="s">
        <v>67</v>
      </c>
      <c r="G153" s="71">
        <v>5436968346</v>
      </c>
      <c r="H153" s="70" t="s">
        <v>68</v>
      </c>
    </row>
    <row r="154" spans="1:8" ht="17.25" customHeight="1" x14ac:dyDescent="0.2">
      <c r="A154" s="69">
        <v>2010</v>
      </c>
      <c r="B154" s="70" t="s">
        <v>66</v>
      </c>
      <c r="C154" s="70" t="s">
        <v>4</v>
      </c>
      <c r="D154" s="70" t="s">
        <v>14</v>
      </c>
      <c r="E154" s="70" t="s">
        <v>69</v>
      </c>
      <c r="F154" s="70" t="s">
        <v>71</v>
      </c>
      <c r="G154" s="71">
        <v>139610352</v>
      </c>
      <c r="H154" s="70" t="s">
        <v>68</v>
      </c>
    </row>
    <row r="155" spans="1:8" ht="17.25" customHeight="1" x14ac:dyDescent="0.2">
      <c r="A155" s="69">
        <v>2010</v>
      </c>
      <c r="B155" s="70" t="s">
        <v>66</v>
      </c>
      <c r="C155" s="70" t="s">
        <v>4</v>
      </c>
      <c r="D155" s="70" t="s">
        <v>14</v>
      </c>
      <c r="E155" s="70" t="s">
        <v>69</v>
      </c>
      <c r="F155" s="70" t="s">
        <v>70</v>
      </c>
      <c r="G155" s="71">
        <v>502693209</v>
      </c>
      <c r="H155" s="70" t="s">
        <v>68</v>
      </c>
    </row>
    <row r="156" spans="1:8" ht="17.25" customHeight="1" x14ac:dyDescent="0.2">
      <c r="A156" s="69">
        <v>2010</v>
      </c>
      <c r="B156" s="70" t="s">
        <v>66</v>
      </c>
      <c r="C156" s="70" t="s">
        <v>4</v>
      </c>
      <c r="D156" s="70" t="s">
        <v>15</v>
      </c>
      <c r="E156" s="70" t="s">
        <v>67</v>
      </c>
      <c r="F156" s="70" t="s">
        <v>67</v>
      </c>
      <c r="G156" s="71">
        <v>8480522588</v>
      </c>
      <c r="H156" s="70" t="s">
        <v>68</v>
      </c>
    </row>
    <row r="157" spans="1:8" ht="17.25" customHeight="1" x14ac:dyDescent="0.2">
      <c r="A157" s="69">
        <v>2010</v>
      </c>
      <c r="B157" s="70" t="s">
        <v>66</v>
      </c>
      <c r="C157" s="70" t="s">
        <v>4</v>
      </c>
      <c r="D157" s="70" t="s">
        <v>15</v>
      </c>
      <c r="E157" s="70" t="s">
        <v>69</v>
      </c>
      <c r="F157" s="70" t="s">
        <v>71</v>
      </c>
      <c r="G157" s="71">
        <v>691485466</v>
      </c>
      <c r="H157" s="70" t="s">
        <v>68</v>
      </c>
    </row>
    <row r="158" spans="1:8" ht="17.25" customHeight="1" x14ac:dyDescent="0.2">
      <c r="A158" s="69">
        <v>2010</v>
      </c>
      <c r="B158" s="70" t="s">
        <v>66</v>
      </c>
      <c r="C158" s="70" t="s">
        <v>4</v>
      </c>
      <c r="D158" s="70" t="s">
        <v>15</v>
      </c>
      <c r="E158" s="70" t="s">
        <v>69</v>
      </c>
      <c r="F158" s="70" t="s">
        <v>70</v>
      </c>
      <c r="G158" s="71">
        <v>939270477</v>
      </c>
      <c r="H158" s="70" t="s">
        <v>68</v>
      </c>
    </row>
    <row r="159" spans="1:8" ht="17.25" customHeight="1" x14ac:dyDescent="0.2">
      <c r="A159" s="69">
        <v>2010</v>
      </c>
      <c r="B159" s="70" t="s">
        <v>66</v>
      </c>
      <c r="C159" s="70" t="s">
        <v>17</v>
      </c>
      <c r="D159" s="70" t="s">
        <v>16</v>
      </c>
      <c r="E159" s="70" t="s">
        <v>67</v>
      </c>
      <c r="F159" s="70" t="s">
        <v>67</v>
      </c>
      <c r="G159" s="71">
        <v>1227998788</v>
      </c>
      <c r="H159" s="70" t="s">
        <v>68</v>
      </c>
    </row>
    <row r="160" spans="1:8" ht="17.25" customHeight="1" x14ac:dyDescent="0.2">
      <c r="A160" s="69">
        <v>2010</v>
      </c>
      <c r="B160" s="70" t="s">
        <v>66</v>
      </c>
      <c r="C160" s="70" t="s">
        <v>17</v>
      </c>
      <c r="D160" s="70" t="s">
        <v>16</v>
      </c>
      <c r="E160" s="70" t="s">
        <v>69</v>
      </c>
      <c r="F160" s="70" t="s">
        <v>71</v>
      </c>
      <c r="G160" s="71">
        <v>31620237</v>
      </c>
      <c r="H160" s="70" t="s">
        <v>68</v>
      </c>
    </row>
    <row r="161" spans="1:8" ht="17.25" customHeight="1" x14ac:dyDescent="0.2">
      <c r="A161" s="69">
        <v>2010</v>
      </c>
      <c r="B161" s="70" t="s">
        <v>66</v>
      </c>
      <c r="C161" s="70" t="s">
        <v>17</v>
      </c>
      <c r="D161" s="70" t="s">
        <v>16</v>
      </c>
      <c r="E161" s="70" t="s">
        <v>69</v>
      </c>
      <c r="F161" s="70" t="s">
        <v>70</v>
      </c>
      <c r="G161" s="71">
        <v>119173464</v>
      </c>
      <c r="H161" s="70" t="s">
        <v>68</v>
      </c>
    </row>
    <row r="162" spans="1:8" ht="17.25" customHeight="1" x14ac:dyDescent="0.2">
      <c r="A162" s="69">
        <v>2010</v>
      </c>
      <c r="B162" s="70" t="s">
        <v>66</v>
      </c>
      <c r="C162" s="70" t="s">
        <v>17</v>
      </c>
      <c r="D162" s="70" t="s">
        <v>18</v>
      </c>
      <c r="E162" s="70" t="s">
        <v>67</v>
      </c>
      <c r="F162" s="70" t="s">
        <v>67</v>
      </c>
      <c r="G162" s="71">
        <v>2460444226</v>
      </c>
      <c r="H162" s="70" t="s">
        <v>68</v>
      </c>
    </row>
    <row r="163" spans="1:8" ht="17.25" customHeight="1" x14ac:dyDescent="0.2">
      <c r="A163" s="69">
        <v>2010</v>
      </c>
      <c r="B163" s="70" t="s">
        <v>66</v>
      </c>
      <c r="C163" s="70" t="s">
        <v>17</v>
      </c>
      <c r="D163" s="70" t="s">
        <v>18</v>
      </c>
      <c r="E163" s="70" t="s">
        <v>69</v>
      </c>
      <c r="F163" s="70" t="s">
        <v>71</v>
      </c>
      <c r="G163" s="71">
        <v>324042071</v>
      </c>
      <c r="H163" s="70" t="s">
        <v>68</v>
      </c>
    </row>
    <row r="164" spans="1:8" ht="17.25" customHeight="1" x14ac:dyDescent="0.2">
      <c r="A164" s="69">
        <v>2010</v>
      </c>
      <c r="B164" s="70" t="s">
        <v>66</v>
      </c>
      <c r="C164" s="70" t="s">
        <v>17</v>
      </c>
      <c r="D164" s="70" t="s">
        <v>18</v>
      </c>
      <c r="E164" s="70" t="s">
        <v>69</v>
      </c>
      <c r="F164" s="70" t="s">
        <v>70</v>
      </c>
      <c r="G164" s="71">
        <v>293314828</v>
      </c>
      <c r="H164" s="70" t="s">
        <v>68</v>
      </c>
    </row>
    <row r="165" spans="1:8" ht="17.25" customHeight="1" x14ac:dyDescent="0.2">
      <c r="A165" s="69">
        <v>2010</v>
      </c>
      <c r="B165" s="70" t="s">
        <v>66</v>
      </c>
      <c r="C165" s="70" t="s">
        <v>17</v>
      </c>
      <c r="D165" s="70" t="s">
        <v>19</v>
      </c>
      <c r="E165" s="70" t="s">
        <v>67</v>
      </c>
      <c r="F165" s="70" t="s">
        <v>67</v>
      </c>
      <c r="G165" s="71">
        <v>7856930286</v>
      </c>
      <c r="H165" s="70" t="s">
        <v>68</v>
      </c>
    </row>
    <row r="166" spans="1:8" ht="17.25" customHeight="1" x14ac:dyDescent="0.2">
      <c r="A166" s="69">
        <v>2010</v>
      </c>
      <c r="B166" s="70" t="s">
        <v>66</v>
      </c>
      <c r="C166" s="70" t="s">
        <v>17</v>
      </c>
      <c r="D166" s="70" t="s">
        <v>19</v>
      </c>
      <c r="E166" s="70" t="s">
        <v>69</v>
      </c>
      <c r="F166" s="70" t="s">
        <v>71</v>
      </c>
      <c r="G166" s="71">
        <v>610517373</v>
      </c>
      <c r="H166" s="70" t="s">
        <v>68</v>
      </c>
    </row>
    <row r="167" spans="1:8" ht="17.25" customHeight="1" x14ac:dyDescent="0.2">
      <c r="A167" s="69">
        <v>2010</v>
      </c>
      <c r="B167" s="70" t="s">
        <v>66</v>
      </c>
      <c r="C167" s="70" t="s">
        <v>17</v>
      </c>
      <c r="D167" s="70" t="s">
        <v>19</v>
      </c>
      <c r="E167" s="70" t="s">
        <v>69</v>
      </c>
      <c r="F167" s="70" t="s">
        <v>70</v>
      </c>
      <c r="G167" s="71">
        <v>1537555628</v>
      </c>
      <c r="H167" s="70" t="s">
        <v>68</v>
      </c>
    </row>
    <row r="168" spans="1:8" ht="17.25" customHeight="1" x14ac:dyDescent="0.2">
      <c r="A168" s="69">
        <v>2010</v>
      </c>
      <c r="B168" s="70" t="s">
        <v>66</v>
      </c>
      <c r="C168" s="70" t="s">
        <v>17</v>
      </c>
      <c r="D168" s="70" t="s">
        <v>20</v>
      </c>
      <c r="E168" s="70" t="s">
        <v>67</v>
      </c>
      <c r="F168" s="70" t="s">
        <v>67</v>
      </c>
      <c r="G168" s="71">
        <v>2047706721</v>
      </c>
      <c r="H168" s="70" t="s">
        <v>68</v>
      </c>
    </row>
    <row r="169" spans="1:8" ht="17.25" customHeight="1" x14ac:dyDescent="0.2">
      <c r="A169" s="69">
        <v>2010</v>
      </c>
      <c r="B169" s="70" t="s">
        <v>66</v>
      </c>
      <c r="C169" s="70" t="s">
        <v>17</v>
      </c>
      <c r="D169" s="70" t="s">
        <v>20</v>
      </c>
      <c r="E169" s="70" t="s">
        <v>69</v>
      </c>
      <c r="F169" s="70" t="s">
        <v>71</v>
      </c>
      <c r="G169" s="71">
        <v>124636931</v>
      </c>
      <c r="H169" s="70" t="s">
        <v>68</v>
      </c>
    </row>
    <row r="170" spans="1:8" ht="17.25" customHeight="1" x14ac:dyDescent="0.2">
      <c r="A170" s="69">
        <v>2010</v>
      </c>
      <c r="B170" s="70" t="s">
        <v>66</v>
      </c>
      <c r="C170" s="70" t="s">
        <v>17</v>
      </c>
      <c r="D170" s="70" t="s">
        <v>20</v>
      </c>
      <c r="E170" s="70" t="s">
        <v>69</v>
      </c>
      <c r="F170" s="70" t="s">
        <v>70</v>
      </c>
      <c r="G170" s="71">
        <v>453824158</v>
      </c>
      <c r="H170" s="70" t="s">
        <v>68</v>
      </c>
    </row>
    <row r="171" spans="1:8" ht="17.25" customHeight="1" x14ac:dyDescent="0.2">
      <c r="A171" s="69">
        <v>2010</v>
      </c>
      <c r="B171" s="70" t="s">
        <v>66</v>
      </c>
      <c r="C171" s="70" t="s">
        <v>17</v>
      </c>
      <c r="D171" s="70" t="s">
        <v>21</v>
      </c>
      <c r="E171" s="70" t="s">
        <v>67</v>
      </c>
      <c r="F171" s="70" t="s">
        <v>67</v>
      </c>
      <c r="G171" s="71">
        <v>3563694822</v>
      </c>
      <c r="H171" s="70" t="s">
        <v>68</v>
      </c>
    </row>
    <row r="172" spans="1:8" ht="17.25" customHeight="1" x14ac:dyDescent="0.2">
      <c r="A172" s="69">
        <v>2010</v>
      </c>
      <c r="B172" s="70" t="s">
        <v>66</v>
      </c>
      <c r="C172" s="70" t="s">
        <v>17</v>
      </c>
      <c r="D172" s="70" t="s">
        <v>21</v>
      </c>
      <c r="E172" s="70" t="s">
        <v>69</v>
      </c>
      <c r="F172" s="70" t="s">
        <v>71</v>
      </c>
      <c r="G172" s="71">
        <v>257363770</v>
      </c>
      <c r="H172" s="70" t="s">
        <v>68</v>
      </c>
    </row>
    <row r="173" spans="1:8" ht="17.25" customHeight="1" x14ac:dyDescent="0.2">
      <c r="A173" s="69">
        <v>2010</v>
      </c>
      <c r="B173" s="70" t="s">
        <v>66</v>
      </c>
      <c r="C173" s="70" t="s">
        <v>17</v>
      </c>
      <c r="D173" s="70" t="s">
        <v>21</v>
      </c>
      <c r="E173" s="70" t="s">
        <v>69</v>
      </c>
      <c r="F173" s="70" t="s">
        <v>70</v>
      </c>
      <c r="G173" s="71">
        <v>562542374</v>
      </c>
      <c r="H173" s="70" t="s">
        <v>68</v>
      </c>
    </row>
    <row r="174" spans="1:8" ht="17.25" customHeight="1" x14ac:dyDescent="0.2">
      <c r="A174" s="69">
        <v>2010</v>
      </c>
      <c r="B174" s="70" t="s">
        <v>66</v>
      </c>
      <c r="C174" s="70" t="s">
        <v>17</v>
      </c>
      <c r="D174" s="70" t="s">
        <v>22</v>
      </c>
      <c r="E174" s="70" t="s">
        <v>67</v>
      </c>
      <c r="F174" s="70" t="s">
        <v>67</v>
      </c>
      <c r="G174" s="71">
        <v>2557622593</v>
      </c>
      <c r="H174" s="70" t="s">
        <v>68</v>
      </c>
    </row>
    <row r="175" spans="1:8" ht="17.25" customHeight="1" x14ac:dyDescent="0.2">
      <c r="A175" s="69">
        <v>2010</v>
      </c>
      <c r="B175" s="70" t="s">
        <v>66</v>
      </c>
      <c r="C175" s="70" t="s">
        <v>17</v>
      </c>
      <c r="D175" s="70" t="s">
        <v>22</v>
      </c>
      <c r="E175" s="70" t="s">
        <v>69</v>
      </c>
      <c r="F175" s="70" t="s">
        <v>71</v>
      </c>
      <c r="G175" s="71">
        <v>165637527</v>
      </c>
      <c r="H175" s="70" t="s">
        <v>68</v>
      </c>
    </row>
    <row r="176" spans="1:8" ht="17.25" customHeight="1" x14ac:dyDescent="0.2">
      <c r="A176" s="69">
        <v>2010</v>
      </c>
      <c r="B176" s="70" t="s">
        <v>66</v>
      </c>
      <c r="C176" s="70" t="s">
        <v>17</v>
      </c>
      <c r="D176" s="70" t="s">
        <v>22</v>
      </c>
      <c r="E176" s="70" t="s">
        <v>69</v>
      </c>
      <c r="F176" s="70" t="s">
        <v>70</v>
      </c>
      <c r="G176" s="71">
        <v>211425645</v>
      </c>
      <c r="H176" s="70" t="s">
        <v>68</v>
      </c>
    </row>
    <row r="177" spans="1:8" ht="17.25" customHeight="1" x14ac:dyDescent="0.2">
      <c r="A177" s="69">
        <v>2010</v>
      </c>
      <c r="B177" s="70" t="s">
        <v>66</v>
      </c>
      <c r="C177" s="70" t="s">
        <v>17</v>
      </c>
      <c r="D177" s="70" t="s">
        <v>23</v>
      </c>
      <c r="E177" s="70" t="s">
        <v>67</v>
      </c>
      <c r="F177" s="70" t="s">
        <v>67</v>
      </c>
      <c r="G177" s="71">
        <v>2923169734</v>
      </c>
      <c r="H177" s="70" t="s">
        <v>68</v>
      </c>
    </row>
    <row r="178" spans="1:8" ht="17.25" customHeight="1" x14ac:dyDescent="0.2">
      <c r="A178" s="69">
        <v>2010</v>
      </c>
      <c r="B178" s="70" t="s">
        <v>66</v>
      </c>
      <c r="C178" s="70" t="s">
        <v>17</v>
      </c>
      <c r="D178" s="70" t="s">
        <v>23</v>
      </c>
      <c r="E178" s="70" t="s">
        <v>69</v>
      </c>
      <c r="F178" s="70" t="s">
        <v>71</v>
      </c>
      <c r="G178" s="71">
        <v>147715536</v>
      </c>
      <c r="H178" s="70" t="s">
        <v>68</v>
      </c>
    </row>
    <row r="179" spans="1:8" ht="17.25" customHeight="1" x14ac:dyDescent="0.2">
      <c r="A179" s="69">
        <v>2010</v>
      </c>
      <c r="B179" s="70" t="s">
        <v>66</v>
      </c>
      <c r="C179" s="70" t="s">
        <v>17</v>
      </c>
      <c r="D179" s="70" t="s">
        <v>23</v>
      </c>
      <c r="E179" s="70" t="s">
        <v>69</v>
      </c>
      <c r="F179" s="70" t="s">
        <v>70</v>
      </c>
      <c r="G179" s="71">
        <v>341911857</v>
      </c>
      <c r="H179" s="70" t="s">
        <v>68</v>
      </c>
    </row>
    <row r="180" spans="1:8" ht="17.25" customHeight="1" x14ac:dyDescent="0.2">
      <c r="A180" s="69">
        <v>2010</v>
      </c>
      <c r="B180" s="70" t="s">
        <v>66</v>
      </c>
      <c r="C180" s="70" t="s">
        <v>17</v>
      </c>
      <c r="D180" s="70" t="s">
        <v>24</v>
      </c>
      <c r="E180" s="70" t="s">
        <v>67</v>
      </c>
      <c r="F180" s="70" t="s">
        <v>67</v>
      </c>
      <c r="G180" s="71">
        <v>36946881806</v>
      </c>
      <c r="H180" s="70" t="s">
        <v>68</v>
      </c>
    </row>
    <row r="181" spans="1:8" ht="17.25" customHeight="1" x14ac:dyDescent="0.2">
      <c r="A181" s="69">
        <v>2010</v>
      </c>
      <c r="B181" s="70" t="s">
        <v>66</v>
      </c>
      <c r="C181" s="70" t="s">
        <v>17</v>
      </c>
      <c r="D181" s="70" t="s">
        <v>24</v>
      </c>
      <c r="E181" s="70" t="s">
        <v>69</v>
      </c>
      <c r="F181" s="70" t="s">
        <v>71</v>
      </c>
      <c r="G181" s="71">
        <v>1543939532</v>
      </c>
      <c r="H181" s="70" t="s">
        <v>68</v>
      </c>
    </row>
    <row r="182" spans="1:8" ht="17.25" customHeight="1" x14ac:dyDescent="0.2">
      <c r="A182" s="69">
        <v>2010</v>
      </c>
      <c r="B182" s="70" t="s">
        <v>66</v>
      </c>
      <c r="C182" s="70" t="s">
        <v>17</v>
      </c>
      <c r="D182" s="70" t="s">
        <v>24</v>
      </c>
      <c r="E182" s="70" t="s">
        <v>69</v>
      </c>
      <c r="F182" s="70" t="s">
        <v>70</v>
      </c>
      <c r="G182" s="71">
        <v>1883048606</v>
      </c>
      <c r="H182" s="70" t="s">
        <v>68</v>
      </c>
    </row>
    <row r="183" spans="1:8" ht="17.25" customHeight="1" x14ac:dyDescent="0.2">
      <c r="A183" s="69">
        <v>2010</v>
      </c>
      <c r="B183" s="70" t="s">
        <v>66</v>
      </c>
      <c r="C183" s="70" t="s">
        <v>17</v>
      </c>
      <c r="D183" s="70" t="s">
        <v>25</v>
      </c>
      <c r="E183" s="70" t="s">
        <v>67</v>
      </c>
      <c r="F183" s="70" t="s">
        <v>67</v>
      </c>
      <c r="G183" s="71">
        <v>3188267735</v>
      </c>
      <c r="H183" s="70" t="s">
        <v>68</v>
      </c>
    </row>
    <row r="184" spans="1:8" ht="17.25" customHeight="1" x14ac:dyDescent="0.2">
      <c r="A184" s="69">
        <v>2010</v>
      </c>
      <c r="B184" s="70" t="s">
        <v>66</v>
      </c>
      <c r="C184" s="70" t="s">
        <v>17</v>
      </c>
      <c r="D184" s="70" t="s">
        <v>25</v>
      </c>
      <c r="E184" s="70" t="s">
        <v>69</v>
      </c>
      <c r="F184" s="70" t="s">
        <v>71</v>
      </c>
      <c r="G184" s="71">
        <v>220605094</v>
      </c>
      <c r="H184" s="70" t="s">
        <v>68</v>
      </c>
    </row>
    <row r="185" spans="1:8" ht="17.25" customHeight="1" x14ac:dyDescent="0.2">
      <c r="A185" s="69">
        <v>2010</v>
      </c>
      <c r="B185" s="70" t="s">
        <v>66</v>
      </c>
      <c r="C185" s="70" t="s">
        <v>17</v>
      </c>
      <c r="D185" s="70" t="s">
        <v>25</v>
      </c>
      <c r="E185" s="70" t="s">
        <v>69</v>
      </c>
      <c r="F185" s="70" t="s">
        <v>70</v>
      </c>
      <c r="G185" s="71">
        <v>334949925</v>
      </c>
      <c r="H185" s="70" t="s">
        <v>68</v>
      </c>
    </row>
    <row r="186" spans="1:8" ht="17.25" customHeight="1" x14ac:dyDescent="0.2">
      <c r="A186" s="69">
        <v>2010</v>
      </c>
      <c r="B186" s="70" t="s">
        <v>66</v>
      </c>
      <c r="C186" s="70" t="s">
        <v>27</v>
      </c>
      <c r="D186" s="70" t="s">
        <v>26</v>
      </c>
      <c r="E186" s="70" t="s">
        <v>67</v>
      </c>
      <c r="F186" s="70" t="s">
        <v>67</v>
      </c>
      <c r="G186" s="71">
        <v>35412326588</v>
      </c>
      <c r="H186" s="70" t="s">
        <v>68</v>
      </c>
    </row>
    <row r="187" spans="1:8" ht="17.25" customHeight="1" x14ac:dyDescent="0.2">
      <c r="A187" s="69">
        <v>2010</v>
      </c>
      <c r="B187" s="70" t="s">
        <v>66</v>
      </c>
      <c r="C187" s="70" t="s">
        <v>27</v>
      </c>
      <c r="D187" s="70" t="s">
        <v>26</v>
      </c>
      <c r="E187" s="70" t="s">
        <v>69</v>
      </c>
      <c r="F187" s="70" t="s">
        <v>71</v>
      </c>
      <c r="G187" s="71">
        <v>6135502759</v>
      </c>
      <c r="H187" s="70" t="s">
        <v>68</v>
      </c>
    </row>
    <row r="188" spans="1:8" ht="17.25" customHeight="1" x14ac:dyDescent="0.2">
      <c r="A188" s="69">
        <v>2010</v>
      </c>
      <c r="B188" s="70" t="s">
        <v>66</v>
      </c>
      <c r="C188" s="70" t="s">
        <v>27</v>
      </c>
      <c r="D188" s="70" t="s">
        <v>26</v>
      </c>
      <c r="E188" s="70" t="s">
        <v>69</v>
      </c>
      <c r="F188" s="70" t="s">
        <v>70</v>
      </c>
      <c r="G188" s="71">
        <v>10339979375</v>
      </c>
      <c r="H188" s="70" t="s">
        <v>68</v>
      </c>
    </row>
    <row r="189" spans="1:8" ht="17.25" customHeight="1" x14ac:dyDescent="0.2">
      <c r="A189" s="69">
        <v>2010</v>
      </c>
      <c r="B189" s="70" t="s">
        <v>66</v>
      </c>
      <c r="C189" s="70" t="s">
        <v>27</v>
      </c>
      <c r="D189" s="70" t="s">
        <v>28</v>
      </c>
      <c r="E189" s="70" t="s">
        <v>67</v>
      </c>
      <c r="F189" s="70" t="s">
        <v>67</v>
      </c>
      <c r="G189" s="71">
        <v>46374265997</v>
      </c>
      <c r="H189" s="70" t="s">
        <v>68</v>
      </c>
    </row>
    <row r="190" spans="1:8" ht="17.25" customHeight="1" x14ac:dyDescent="0.2">
      <c r="A190" s="69">
        <v>2010</v>
      </c>
      <c r="B190" s="70" t="s">
        <v>66</v>
      </c>
      <c r="C190" s="70" t="s">
        <v>27</v>
      </c>
      <c r="D190" s="70" t="s">
        <v>28</v>
      </c>
      <c r="E190" s="70" t="s">
        <v>69</v>
      </c>
      <c r="F190" s="70" t="s">
        <v>71</v>
      </c>
      <c r="G190" s="71">
        <v>9212441144</v>
      </c>
      <c r="H190" s="70" t="s">
        <v>68</v>
      </c>
    </row>
    <row r="191" spans="1:8" ht="17.25" customHeight="1" x14ac:dyDescent="0.2">
      <c r="A191" s="69">
        <v>2010</v>
      </c>
      <c r="B191" s="70" t="s">
        <v>66</v>
      </c>
      <c r="C191" s="70" t="s">
        <v>27</v>
      </c>
      <c r="D191" s="70" t="s">
        <v>28</v>
      </c>
      <c r="E191" s="70" t="s">
        <v>69</v>
      </c>
      <c r="F191" s="70" t="s">
        <v>70</v>
      </c>
      <c r="G191" s="71">
        <v>10708608717</v>
      </c>
      <c r="H191" s="70" t="s">
        <v>68</v>
      </c>
    </row>
    <row r="192" spans="1:8" ht="17.25" customHeight="1" x14ac:dyDescent="0.2">
      <c r="A192" s="69">
        <v>2010</v>
      </c>
      <c r="B192" s="70" t="s">
        <v>66</v>
      </c>
      <c r="C192" s="70" t="s">
        <v>27</v>
      </c>
      <c r="D192" s="70" t="s">
        <v>29</v>
      </c>
      <c r="E192" s="70" t="s">
        <v>67</v>
      </c>
      <c r="F192" s="70" t="s">
        <v>67</v>
      </c>
      <c r="G192" s="71">
        <v>19447573551</v>
      </c>
      <c r="H192" s="70" t="s">
        <v>68</v>
      </c>
    </row>
    <row r="193" spans="1:8" ht="17.25" customHeight="1" x14ac:dyDescent="0.2">
      <c r="A193" s="69">
        <v>2010</v>
      </c>
      <c r="B193" s="70" t="s">
        <v>66</v>
      </c>
      <c r="C193" s="70" t="s">
        <v>27</v>
      </c>
      <c r="D193" s="70" t="s">
        <v>29</v>
      </c>
      <c r="E193" s="70" t="s">
        <v>69</v>
      </c>
      <c r="F193" s="70" t="s">
        <v>71</v>
      </c>
      <c r="G193" s="71">
        <v>3181491005</v>
      </c>
      <c r="H193" s="70" t="s">
        <v>68</v>
      </c>
    </row>
    <row r="194" spans="1:8" ht="17.25" customHeight="1" x14ac:dyDescent="0.2">
      <c r="A194" s="69">
        <v>2010</v>
      </c>
      <c r="B194" s="70" t="s">
        <v>66</v>
      </c>
      <c r="C194" s="70" t="s">
        <v>27</v>
      </c>
      <c r="D194" s="70" t="s">
        <v>29</v>
      </c>
      <c r="E194" s="70" t="s">
        <v>69</v>
      </c>
      <c r="F194" s="70" t="s">
        <v>70</v>
      </c>
      <c r="G194" s="71">
        <v>2739381555</v>
      </c>
      <c r="H194" s="70" t="s">
        <v>68</v>
      </c>
    </row>
    <row r="195" spans="1:8" ht="17.25" customHeight="1" x14ac:dyDescent="0.2">
      <c r="A195" s="69">
        <v>2010</v>
      </c>
      <c r="B195" s="70" t="s">
        <v>66</v>
      </c>
      <c r="C195" s="70" t="s">
        <v>27</v>
      </c>
      <c r="D195" s="70" t="s">
        <v>30</v>
      </c>
      <c r="E195" s="70" t="s">
        <v>67</v>
      </c>
      <c r="F195" s="70" t="s">
        <v>67</v>
      </c>
      <c r="G195" s="71">
        <v>40026341293</v>
      </c>
      <c r="H195" s="70" t="s">
        <v>68</v>
      </c>
    </row>
    <row r="196" spans="1:8" ht="17.25" customHeight="1" x14ac:dyDescent="0.2">
      <c r="A196" s="69">
        <v>2010</v>
      </c>
      <c r="B196" s="70" t="s">
        <v>66</v>
      </c>
      <c r="C196" s="70" t="s">
        <v>27</v>
      </c>
      <c r="D196" s="70" t="s">
        <v>30</v>
      </c>
      <c r="E196" s="70" t="s">
        <v>69</v>
      </c>
      <c r="F196" s="70" t="s">
        <v>71</v>
      </c>
      <c r="G196" s="71">
        <v>5134768729</v>
      </c>
      <c r="H196" s="70" t="s">
        <v>68</v>
      </c>
    </row>
    <row r="197" spans="1:8" ht="17.25" customHeight="1" x14ac:dyDescent="0.2">
      <c r="A197" s="69">
        <v>2010</v>
      </c>
      <c r="B197" s="70" t="s">
        <v>66</v>
      </c>
      <c r="C197" s="70" t="s">
        <v>27</v>
      </c>
      <c r="D197" s="70" t="s">
        <v>30</v>
      </c>
      <c r="E197" s="70" t="s">
        <v>69</v>
      </c>
      <c r="F197" s="70" t="s">
        <v>70</v>
      </c>
      <c r="G197" s="71">
        <v>9167428019</v>
      </c>
      <c r="H197" s="70" t="s">
        <v>68</v>
      </c>
    </row>
    <row r="198" spans="1:8" ht="17.25" customHeight="1" x14ac:dyDescent="0.2">
      <c r="A198" s="69">
        <v>2010</v>
      </c>
      <c r="B198" s="70" t="s">
        <v>66</v>
      </c>
      <c r="C198" s="70" t="s">
        <v>27</v>
      </c>
      <c r="D198" s="70" t="s">
        <v>31</v>
      </c>
      <c r="E198" s="70" t="s">
        <v>67</v>
      </c>
      <c r="F198" s="70" t="s">
        <v>67</v>
      </c>
      <c r="G198" s="71">
        <v>10691865773</v>
      </c>
      <c r="H198" s="70" t="s">
        <v>68</v>
      </c>
    </row>
    <row r="199" spans="1:8" ht="17.25" customHeight="1" x14ac:dyDescent="0.2">
      <c r="A199" s="69">
        <v>2010</v>
      </c>
      <c r="B199" s="70" t="s">
        <v>66</v>
      </c>
      <c r="C199" s="70" t="s">
        <v>27</v>
      </c>
      <c r="D199" s="70" t="s">
        <v>31</v>
      </c>
      <c r="E199" s="70" t="s">
        <v>69</v>
      </c>
      <c r="F199" s="70" t="s">
        <v>71</v>
      </c>
      <c r="G199" s="71">
        <v>2186054383</v>
      </c>
      <c r="H199" s="70" t="s">
        <v>68</v>
      </c>
    </row>
    <row r="200" spans="1:8" ht="17.25" customHeight="1" x14ac:dyDescent="0.2">
      <c r="A200" s="69">
        <v>2010</v>
      </c>
      <c r="B200" s="70" t="s">
        <v>66</v>
      </c>
      <c r="C200" s="70" t="s">
        <v>27</v>
      </c>
      <c r="D200" s="70" t="s">
        <v>31</v>
      </c>
      <c r="E200" s="70" t="s">
        <v>69</v>
      </c>
      <c r="F200" s="70" t="s">
        <v>70</v>
      </c>
      <c r="G200" s="71">
        <v>4762986136</v>
      </c>
      <c r="H200" s="70" t="s">
        <v>68</v>
      </c>
    </row>
    <row r="201" spans="1:8" ht="17.25" customHeight="1" x14ac:dyDescent="0.2">
      <c r="A201" s="69">
        <v>2010</v>
      </c>
      <c r="B201" s="70" t="s">
        <v>66</v>
      </c>
      <c r="C201" s="70" t="s">
        <v>27</v>
      </c>
      <c r="D201" s="70" t="s">
        <v>32</v>
      </c>
      <c r="E201" s="70" t="s">
        <v>67</v>
      </c>
      <c r="F201" s="70" t="s">
        <v>67</v>
      </c>
      <c r="G201" s="71">
        <v>19779559586</v>
      </c>
      <c r="H201" s="70" t="s">
        <v>68</v>
      </c>
    </row>
    <row r="202" spans="1:8" ht="17.25" customHeight="1" x14ac:dyDescent="0.2">
      <c r="A202" s="69">
        <v>2010</v>
      </c>
      <c r="B202" s="70" t="s">
        <v>66</v>
      </c>
      <c r="C202" s="70" t="s">
        <v>27</v>
      </c>
      <c r="D202" s="70" t="s">
        <v>32</v>
      </c>
      <c r="E202" s="70" t="s">
        <v>69</v>
      </c>
      <c r="F202" s="70" t="s">
        <v>71</v>
      </c>
      <c r="G202" s="71">
        <v>3754768293</v>
      </c>
      <c r="H202" s="70" t="s">
        <v>68</v>
      </c>
    </row>
    <row r="203" spans="1:8" ht="17.25" customHeight="1" x14ac:dyDescent="0.2">
      <c r="A203" s="69">
        <v>2010</v>
      </c>
      <c r="B203" s="70" t="s">
        <v>66</v>
      </c>
      <c r="C203" s="70" t="s">
        <v>27</v>
      </c>
      <c r="D203" s="70" t="s">
        <v>32</v>
      </c>
      <c r="E203" s="70" t="s">
        <v>69</v>
      </c>
      <c r="F203" s="70" t="s">
        <v>70</v>
      </c>
      <c r="G203" s="71">
        <v>2774385566</v>
      </c>
      <c r="H203" s="70" t="s">
        <v>68</v>
      </c>
    </row>
    <row r="204" spans="1:8" ht="17.25" customHeight="1" x14ac:dyDescent="0.2">
      <c r="A204" s="69">
        <v>2010</v>
      </c>
      <c r="B204" s="70" t="s">
        <v>66</v>
      </c>
      <c r="C204" s="70" t="s">
        <v>27</v>
      </c>
      <c r="D204" s="70" t="s">
        <v>33</v>
      </c>
      <c r="E204" s="70" t="s">
        <v>67</v>
      </c>
      <c r="F204" s="70" t="s">
        <v>67</v>
      </c>
      <c r="G204" s="71">
        <v>36128371211</v>
      </c>
      <c r="H204" s="70" t="s">
        <v>68</v>
      </c>
    </row>
    <row r="205" spans="1:8" ht="17.25" customHeight="1" x14ac:dyDescent="0.2">
      <c r="A205" s="69">
        <v>2010</v>
      </c>
      <c r="B205" s="70" t="s">
        <v>66</v>
      </c>
      <c r="C205" s="70" t="s">
        <v>27</v>
      </c>
      <c r="D205" s="70" t="s">
        <v>33</v>
      </c>
      <c r="E205" s="70" t="s">
        <v>69</v>
      </c>
      <c r="F205" s="70" t="s">
        <v>71</v>
      </c>
      <c r="G205" s="71">
        <v>5538920736</v>
      </c>
      <c r="H205" s="70" t="s">
        <v>68</v>
      </c>
    </row>
    <row r="206" spans="1:8" ht="17.25" customHeight="1" x14ac:dyDescent="0.2">
      <c r="A206" s="69">
        <v>2010</v>
      </c>
      <c r="B206" s="70" t="s">
        <v>66</v>
      </c>
      <c r="C206" s="70" t="s">
        <v>27</v>
      </c>
      <c r="D206" s="70" t="s">
        <v>33</v>
      </c>
      <c r="E206" s="70" t="s">
        <v>69</v>
      </c>
      <c r="F206" s="70" t="s">
        <v>70</v>
      </c>
      <c r="G206" s="71">
        <v>14580896780</v>
      </c>
      <c r="H206" s="70" t="s">
        <v>68</v>
      </c>
    </row>
    <row r="207" spans="1:8" ht="17.25" customHeight="1" x14ac:dyDescent="0.2">
      <c r="A207" s="69">
        <v>2010</v>
      </c>
      <c r="B207" s="70" t="s">
        <v>66</v>
      </c>
      <c r="C207" s="70" t="s">
        <v>35</v>
      </c>
      <c r="D207" s="70" t="s">
        <v>34</v>
      </c>
      <c r="E207" s="70" t="s">
        <v>67</v>
      </c>
      <c r="F207" s="70" t="s">
        <v>67</v>
      </c>
      <c r="G207" s="71">
        <v>8902994517</v>
      </c>
      <c r="H207" s="70" t="s">
        <v>68</v>
      </c>
    </row>
    <row r="208" spans="1:8" ht="17.25" customHeight="1" x14ac:dyDescent="0.2">
      <c r="A208" s="69">
        <v>2010</v>
      </c>
      <c r="B208" s="70" t="s">
        <v>66</v>
      </c>
      <c r="C208" s="70" t="s">
        <v>35</v>
      </c>
      <c r="D208" s="70" t="s">
        <v>34</v>
      </c>
      <c r="E208" s="70" t="s">
        <v>69</v>
      </c>
      <c r="F208" s="70" t="s">
        <v>71</v>
      </c>
      <c r="G208" s="71">
        <v>343290774</v>
      </c>
      <c r="H208" s="70" t="s">
        <v>68</v>
      </c>
    </row>
    <row r="209" spans="1:8" ht="17.25" customHeight="1" x14ac:dyDescent="0.2">
      <c r="A209" s="69">
        <v>2010</v>
      </c>
      <c r="B209" s="70" t="s">
        <v>66</v>
      </c>
      <c r="C209" s="70" t="s">
        <v>35</v>
      </c>
      <c r="D209" s="70" t="s">
        <v>34</v>
      </c>
      <c r="E209" s="70" t="s">
        <v>69</v>
      </c>
      <c r="F209" s="70" t="s">
        <v>70</v>
      </c>
      <c r="G209" s="71">
        <v>283161776</v>
      </c>
      <c r="H209" s="70" t="s">
        <v>68</v>
      </c>
    </row>
    <row r="210" spans="1:8" ht="17.25" customHeight="1" x14ac:dyDescent="0.2">
      <c r="A210" s="69">
        <v>2010</v>
      </c>
      <c r="B210" s="70" t="s">
        <v>66</v>
      </c>
      <c r="C210" s="70" t="s">
        <v>35</v>
      </c>
      <c r="D210" s="70" t="s">
        <v>36</v>
      </c>
      <c r="E210" s="70" t="s">
        <v>67</v>
      </c>
      <c r="F210" s="70" t="s">
        <v>67</v>
      </c>
      <c r="G210" s="71">
        <v>36381376893</v>
      </c>
      <c r="H210" s="70" t="s">
        <v>68</v>
      </c>
    </row>
    <row r="211" spans="1:8" ht="17.25" customHeight="1" x14ac:dyDescent="0.2">
      <c r="A211" s="69">
        <v>2010</v>
      </c>
      <c r="B211" s="70" t="s">
        <v>66</v>
      </c>
      <c r="C211" s="70" t="s">
        <v>35</v>
      </c>
      <c r="D211" s="70" t="s">
        <v>36</v>
      </c>
      <c r="E211" s="70" t="s">
        <v>69</v>
      </c>
      <c r="F211" s="70" t="s">
        <v>71</v>
      </c>
      <c r="G211" s="71">
        <v>3551632264</v>
      </c>
      <c r="H211" s="70" t="s">
        <v>68</v>
      </c>
    </row>
    <row r="212" spans="1:8" ht="17.25" customHeight="1" x14ac:dyDescent="0.2">
      <c r="A212" s="69">
        <v>2010</v>
      </c>
      <c r="B212" s="70" t="s">
        <v>66</v>
      </c>
      <c r="C212" s="70" t="s">
        <v>35</v>
      </c>
      <c r="D212" s="70" t="s">
        <v>36</v>
      </c>
      <c r="E212" s="70" t="s">
        <v>69</v>
      </c>
      <c r="F212" s="70" t="s">
        <v>70</v>
      </c>
      <c r="G212" s="71">
        <v>1698245736</v>
      </c>
      <c r="H212" s="70" t="s">
        <v>68</v>
      </c>
    </row>
    <row r="213" spans="1:8" ht="17.25" customHeight="1" x14ac:dyDescent="0.2">
      <c r="A213" s="69">
        <v>2010</v>
      </c>
      <c r="B213" s="70" t="s">
        <v>66</v>
      </c>
      <c r="C213" s="70" t="s">
        <v>35</v>
      </c>
      <c r="D213" s="70" t="s">
        <v>37</v>
      </c>
      <c r="E213" s="70" t="s">
        <v>67</v>
      </c>
      <c r="F213" s="70" t="s">
        <v>67</v>
      </c>
      <c r="G213" s="71">
        <v>3885552614</v>
      </c>
      <c r="H213" s="70" t="s">
        <v>68</v>
      </c>
    </row>
    <row r="214" spans="1:8" ht="17.25" customHeight="1" x14ac:dyDescent="0.2">
      <c r="A214" s="69">
        <v>2010</v>
      </c>
      <c r="B214" s="70" t="s">
        <v>66</v>
      </c>
      <c r="C214" s="70" t="s">
        <v>35</v>
      </c>
      <c r="D214" s="70" t="s">
        <v>37</v>
      </c>
      <c r="E214" s="70" t="s">
        <v>69</v>
      </c>
      <c r="F214" s="70" t="s">
        <v>71</v>
      </c>
      <c r="G214" s="71">
        <v>276741957</v>
      </c>
      <c r="H214" s="70" t="s">
        <v>68</v>
      </c>
    </row>
    <row r="215" spans="1:8" ht="17.25" customHeight="1" x14ac:dyDescent="0.2">
      <c r="A215" s="69">
        <v>2010</v>
      </c>
      <c r="B215" s="70" t="s">
        <v>66</v>
      </c>
      <c r="C215" s="70" t="s">
        <v>35</v>
      </c>
      <c r="D215" s="70" t="s">
        <v>37</v>
      </c>
      <c r="E215" s="70" t="s">
        <v>69</v>
      </c>
      <c r="F215" s="70" t="s">
        <v>70</v>
      </c>
      <c r="G215" s="71">
        <v>669491411</v>
      </c>
      <c r="H215" s="70" t="s">
        <v>68</v>
      </c>
    </row>
    <row r="216" spans="1:8" ht="17.25" customHeight="1" x14ac:dyDescent="0.2">
      <c r="A216" s="69">
        <v>2010</v>
      </c>
      <c r="B216" s="70" t="s">
        <v>66</v>
      </c>
      <c r="C216" s="70" t="s">
        <v>35</v>
      </c>
      <c r="D216" s="70" t="s">
        <v>38</v>
      </c>
      <c r="E216" s="70" t="s">
        <v>67</v>
      </c>
      <c r="F216" s="70" t="s">
        <v>67</v>
      </c>
      <c r="G216" s="71">
        <v>8251034761</v>
      </c>
      <c r="H216" s="70" t="s">
        <v>68</v>
      </c>
    </row>
    <row r="217" spans="1:8" ht="17.25" customHeight="1" x14ac:dyDescent="0.2">
      <c r="A217" s="69">
        <v>2010</v>
      </c>
      <c r="B217" s="70" t="s">
        <v>66</v>
      </c>
      <c r="C217" s="70" t="s">
        <v>35</v>
      </c>
      <c r="D217" s="70" t="s">
        <v>38</v>
      </c>
      <c r="E217" s="70" t="s">
        <v>69</v>
      </c>
      <c r="F217" s="70" t="s">
        <v>71</v>
      </c>
      <c r="G217" s="71">
        <v>545397506</v>
      </c>
      <c r="H217" s="70" t="s">
        <v>68</v>
      </c>
    </row>
    <row r="218" spans="1:8" ht="17.25" customHeight="1" x14ac:dyDescent="0.2">
      <c r="A218" s="69">
        <v>2010</v>
      </c>
      <c r="B218" s="70" t="s">
        <v>66</v>
      </c>
      <c r="C218" s="70" t="s">
        <v>35</v>
      </c>
      <c r="D218" s="70" t="s">
        <v>38</v>
      </c>
      <c r="E218" s="70" t="s">
        <v>69</v>
      </c>
      <c r="F218" s="70" t="s">
        <v>70</v>
      </c>
      <c r="G218" s="71">
        <v>437251035</v>
      </c>
      <c r="H218" s="70" t="s">
        <v>68</v>
      </c>
    </row>
    <row r="219" spans="1:8" ht="17.25" customHeight="1" x14ac:dyDescent="0.2">
      <c r="A219" s="69">
        <v>2010</v>
      </c>
      <c r="B219" s="70" t="s">
        <v>66</v>
      </c>
      <c r="C219" s="70" t="s">
        <v>35</v>
      </c>
      <c r="D219" s="70" t="s">
        <v>39</v>
      </c>
      <c r="E219" s="70" t="s">
        <v>67</v>
      </c>
      <c r="F219" s="70" t="s">
        <v>67</v>
      </c>
      <c r="G219" s="71">
        <v>18178414303</v>
      </c>
      <c r="H219" s="70" t="s">
        <v>68</v>
      </c>
    </row>
    <row r="220" spans="1:8" ht="17.25" customHeight="1" x14ac:dyDescent="0.2">
      <c r="A220" s="69">
        <v>2010</v>
      </c>
      <c r="B220" s="70" t="s">
        <v>66</v>
      </c>
      <c r="C220" s="70" t="s">
        <v>35</v>
      </c>
      <c r="D220" s="70" t="s">
        <v>39</v>
      </c>
      <c r="E220" s="70" t="s">
        <v>69</v>
      </c>
      <c r="F220" s="70" t="s">
        <v>71</v>
      </c>
      <c r="G220" s="71">
        <v>2249232805</v>
      </c>
      <c r="H220" s="70" t="s">
        <v>68</v>
      </c>
    </row>
    <row r="221" spans="1:8" ht="17.25" customHeight="1" x14ac:dyDescent="0.2">
      <c r="A221" s="69">
        <v>2010</v>
      </c>
      <c r="B221" s="70" t="s">
        <v>66</v>
      </c>
      <c r="C221" s="70" t="s">
        <v>35</v>
      </c>
      <c r="D221" s="70" t="s">
        <v>39</v>
      </c>
      <c r="E221" s="70" t="s">
        <v>69</v>
      </c>
      <c r="F221" s="70" t="s">
        <v>70</v>
      </c>
      <c r="G221" s="71">
        <v>1267043873</v>
      </c>
      <c r="H221" s="70" t="s">
        <v>68</v>
      </c>
    </row>
    <row r="222" spans="1:8" ht="17.25" customHeight="1" x14ac:dyDescent="0.2">
      <c r="A222" s="69">
        <v>2010</v>
      </c>
      <c r="B222" s="70" t="s">
        <v>66</v>
      </c>
      <c r="C222" s="70" t="s">
        <v>41</v>
      </c>
      <c r="D222" s="70" t="s">
        <v>40</v>
      </c>
      <c r="E222" s="70" t="s">
        <v>67</v>
      </c>
      <c r="F222" s="70" t="s">
        <v>67</v>
      </c>
      <c r="G222" s="71">
        <v>7808305519</v>
      </c>
      <c r="H222" s="70" t="s">
        <v>68</v>
      </c>
    </row>
    <row r="223" spans="1:8" ht="17.25" customHeight="1" x14ac:dyDescent="0.2">
      <c r="A223" s="69">
        <v>2010</v>
      </c>
      <c r="B223" s="70" t="s">
        <v>66</v>
      </c>
      <c r="C223" s="70" t="s">
        <v>41</v>
      </c>
      <c r="D223" s="70" t="s">
        <v>40</v>
      </c>
      <c r="E223" s="70" t="s">
        <v>69</v>
      </c>
      <c r="F223" s="70" t="s">
        <v>71</v>
      </c>
      <c r="G223" s="71">
        <v>333825164</v>
      </c>
      <c r="H223" s="70" t="s">
        <v>68</v>
      </c>
    </row>
    <row r="224" spans="1:8" ht="17.25" customHeight="1" x14ac:dyDescent="0.2">
      <c r="A224" s="69">
        <v>2010</v>
      </c>
      <c r="B224" s="70" t="s">
        <v>66</v>
      </c>
      <c r="C224" s="70" t="s">
        <v>41</v>
      </c>
      <c r="D224" s="70" t="s">
        <v>40</v>
      </c>
      <c r="E224" s="70" t="s">
        <v>69</v>
      </c>
      <c r="F224" s="70" t="s">
        <v>70</v>
      </c>
      <c r="G224" s="71">
        <v>256551398</v>
      </c>
      <c r="H224" s="70" t="s">
        <v>68</v>
      </c>
    </row>
    <row r="225" spans="1:9" ht="17.25" customHeight="1" x14ac:dyDescent="0.2">
      <c r="A225" s="69">
        <v>2010</v>
      </c>
      <c r="B225" s="70" t="s">
        <v>66</v>
      </c>
      <c r="C225" s="70" t="s">
        <v>41</v>
      </c>
      <c r="D225" s="70" t="s">
        <v>42</v>
      </c>
      <c r="E225" s="70" t="s">
        <v>67</v>
      </c>
      <c r="F225" s="70" t="s">
        <v>67</v>
      </c>
      <c r="G225" s="71">
        <v>4519936718</v>
      </c>
      <c r="H225" s="70" t="s">
        <v>68</v>
      </c>
    </row>
    <row r="226" spans="1:9" ht="17.25" customHeight="1" x14ac:dyDescent="0.2">
      <c r="A226" s="69">
        <v>2010</v>
      </c>
      <c r="B226" s="70" t="s">
        <v>66</v>
      </c>
      <c r="C226" s="70" t="s">
        <v>41</v>
      </c>
      <c r="D226" s="70" t="s">
        <v>42</v>
      </c>
      <c r="E226" s="70" t="s">
        <v>69</v>
      </c>
      <c r="F226" s="70" t="s">
        <v>71</v>
      </c>
      <c r="G226" s="71">
        <v>379931276</v>
      </c>
      <c r="H226" s="70" t="s">
        <v>68</v>
      </c>
    </row>
    <row r="227" spans="1:9" ht="17.25" customHeight="1" x14ac:dyDescent="0.2">
      <c r="A227" s="69">
        <v>2010</v>
      </c>
      <c r="B227" s="70" t="s">
        <v>66</v>
      </c>
      <c r="C227" s="70" t="s">
        <v>41</v>
      </c>
      <c r="D227" s="70" t="s">
        <v>42</v>
      </c>
      <c r="E227" s="70" t="s">
        <v>69</v>
      </c>
      <c r="F227" s="70" t="s">
        <v>70</v>
      </c>
      <c r="G227" s="71">
        <v>500010078</v>
      </c>
      <c r="H227" s="70" t="s">
        <v>68</v>
      </c>
    </row>
    <row r="228" spans="1:9" ht="17.25" customHeight="1" x14ac:dyDescent="0.2">
      <c r="A228" s="69">
        <v>2010</v>
      </c>
      <c r="B228" s="70" t="s">
        <v>66</v>
      </c>
      <c r="C228" s="70" t="s">
        <v>41</v>
      </c>
      <c r="D228" s="70" t="s">
        <v>43</v>
      </c>
      <c r="E228" s="70" t="s">
        <v>67</v>
      </c>
      <c r="F228" s="70" t="s">
        <v>67</v>
      </c>
      <c r="G228" s="71">
        <v>7092207949</v>
      </c>
      <c r="H228" s="70" t="s">
        <v>68</v>
      </c>
    </row>
    <row r="229" spans="1:9" ht="17.25" customHeight="1" x14ac:dyDescent="0.2">
      <c r="A229" s="69">
        <v>2010</v>
      </c>
      <c r="B229" s="70" t="s">
        <v>66</v>
      </c>
      <c r="C229" s="70" t="s">
        <v>41</v>
      </c>
      <c r="D229" s="70" t="s">
        <v>43</v>
      </c>
      <c r="E229" s="70" t="s">
        <v>69</v>
      </c>
      <c r="F229" s="70" t="s">
        <v>71</v>
      </c>
      <c r="G229" s="71">
        <v>394181842</v>
      </c>
      <c r="H229" s="70" t="s">
        <v>68</v>
      </c>
    </row>
    <row r="230" spans="1:9" ht="17.25" customHeight="1" x14ac:dyDescent="0.2">
      <c r="A230" s="69">
        <v>2010</v>
      </c>
      <c r="B230" s="70" t="s">
        <v>66</v>
      </c>
      <c r="C230" s="70" t="s">
        <v>41</v>
      </c>
      <c r="D230" s="70" t="s">
        <v>43</v>
      </c>
      <c r="E230" s="70" t="s">
        <v>69</v>
      </c>
      <c r="F230" s="70" t="s">
        <v>70</v>
      </c>
      <c r="G230" s="71">
        <v>376106394</v>
      </c>
      <c r="H230" s="70" t="s">
        <v>68</v>
      </c>
    </row>
    <row r="231" spans="1:9" ht="17.25" customHeight="1" x14ac:dyDescent="0.2">
      <c r="A231" s="69">
        <v>2010</v>
      </c>
      <c r="B231" s="70" t="s">
        <v>66</v>
      </c>
      <c r="C231" s="70" t="s">
        <v>41</v>
      </c>
      <c r="D231" s="70" t="s">
        <v>44</v>
      </c>
      <c r="E231" s="70" t="s">
        <v>67</v>
      </c>
      <c r="F231" s="70" t="s">
        <v>67</v>
      </c>
      <c r="G231" s="71">
        <v>8400272164</v>
      </c>
      <c r="H231" s="70" t="s">
        <v>68</v>
      </c>
    </row>
    <row r="232" spans="1:9" ht="17.25" customHeight="1" x14ac:dyDescent="0.2">
      <c r="A232" s="69">
        <v>2010</v>
      </c>
      <c r="B232" s="70" t="s">
        <v>66</v>
      </c>
      <c r="C232" s="70" t="s">
        <v>41</v>
      </c>
      <c r="D232" s="70" t="s">
        <v>44</v>
      </c>
      <c r="E232" s="70" t="s">
        <v>69</v>
      </c>
      <c r="F232" s="70" t="s">
        <v>71</v>
      </c>
      <c r="G232" s="71">
        <v>690684189</v>
      </c>
      <c r="H232" s="70" t="s">
        <v>68</v>
      </c>
    </row>
    <row r="233" spans="1:9" ht="17.25" customHeight="1" x14ac:dyDescent="0.2">
      <c r="A233" s="69">
        <v>2010</v>
      </c>
      <c r="B233" s="70" t="s">
        <v>66</v>
      </c>
      <c r="C233" s="70" t="s">
        <v>41</v>
      </c>
      <c r="D233" s="70" t="s">
        <v>44</v>
      </c>
      <c r="E233" s="70" t="s">
        <v>69</v>
      </c>
      <c r="F233" s="70" t="s">
        <v>70</v>
      </c>
      <c r="G233" s="71">
        <v>488095794</v>
      </c>
      <c r="H233" s="70" t="s">
        <v>68</v>
      </c>
    </row>
    <row r="234" spans="1:9" ht="17.25" customHeight="1" x14ac:dyDescent="0.2">
      <c r="A234" s="69">
        <v>2010</v>
      </c>
      <c r="B234" s="70" t="s">
        <v>66</v>
      </c>
      <c r="C234" s="70" t="s">
        <v>41</v>
      </c>
      <c r="D234" s="70" t="s">
        <v>45</v>
      </c>
      <c r="E234" s="70" t="s">
        <v>67</v>
      </c>
      <c r="F234" s="70" t="s">
        <v>67</v>
      </c>
      <c r="G234" s="71">
        <v>18982464995</v>
      </c>
      <c r="H234" s="70" t="s">
        <v>68</v>
      </c>
    </row>
    <row r="235" spans="1:9" ht="17.25" customHeight="1" x14ac:dyDescent="0.2">
      <c r="A235" s="69">
        <v>2010</v>
      </c>
      <c r="B235" s="70" t="s">
        <v>66</v>
      </c>
      <c r="C235" s="70" t="s">
        <v>41</v>
      </c>
      <c r="D235" s="70" t="s">
        <v>45</v>
      </c>
      <c r="E235" s="70" t="s">
        <v>69</v>
      </c>
      <c r="F235" s="70" t="s">
        <v>71</v>
      </c>
      <c r="G235" s="71">
        <v>1873603193</v>
      </c>
      <c r="H235" s="70" t="s">
        <v>68</v>
      </c>
    </row>
    <row r="236" spans="1:9" ht="17.25" customHeight="1" x14ac:dyDescent="0.2">
      <c r="A236" s="69">
        <v>2010</v>
      </c>
      <c r="B236" s="70" t="s">
        <v>66</v>
      </c>
      <c r="C236" s="70" t="s">
        <v>41</v>
      </c>
      <c r="D236" s="70" t="s">
        <v>45</v>
      </c>
      <c r="E236" s="70" t="s">
        <v>69</v>
      </c>
      <c r="F236" s="70" t="s">
        <v>70</v>
      </c>
      <c r="G236" s="71">
        <v>2191097795</v>
      </c>
      <c r="H236" s="70" t="s">
        <v>68</v>
      </c>
    </row>
    <row r="237" spans="1:9" ht="17.25" customHeight="1" x14ac:dyDescent="0.2">
      <c r="A237" s="69">
        <v>2010</v>
      </c>
      <c r="B237" s="70" t="s">
        <v>66</v>
      </c>
      <c r="C237" s="70" t="s">
        <v>47</v>
      </c>
      <c r="D237" s="70" t="s">
        <v>46</v>
      </c>
      <c r="E237" s="70" t="s">
        <v>67</v>
      </c>
      <c r="F237" s="70" t="s">
        <v>67</v>
      </c>
      <c r="G237" s="71">
        <v>18007820739</v>
      </c>
      <c r="H237" s="70" t="s">
        <v>68</v>
      </c>
    </row>
    <row r="238" spans="1:9" ht="17.25" customHeight="1" x14ac:dyDescent="0.2">
      <c r="A238" s="69">
        <v>2010</v>
      </c>
      <c r="B238" s="70" t="s">
        <v>66</v>
      </c>
      <c r="C238" s="70" t="s">
        <v>47</v>
      </c>
      <c r="D238" s="70" t="s">
        <v>46</v>
      </c>
      <c r="E238" s="70" t="s">
        <v>69</v>
      </c>
      <c r="F238" s="70" t="s">
        <v>71</v>
      </c>
      <c r="G238" s="71">
        <v>2959193996</v>
      </c>
      <c r="H238" s="70" t="s">
        <v>68</v>
      </c>
    </row>
    <row r="239" spans="1:9" ht="17.25" customHeight="1" x14ac:dyDescent="0.2">
      <c r="A239" s="69">
        <v>2010</v>
      </c>
      <c r="B239" s="70" t="s">
        <v>66</v>
      </c>
      <c r="C239" s="70" t="s">
        <v>47</v>
      </c>
      <c r="D239" s="70" t="s">
        <v>46</v>
      </c>
      <c r="E239" s="70" t="s">
        <v>69</v>
      </c>
      <c r="F239" s="70" t="s">
        <v>70</v>
      </c>
      <c r="G239" s="71">
        <v>7249438832</v>
      </c>
      <c r="H239" s="70" t="s">
        <v>68</v>
      </c>
    </row>
    <row r="240" spans="1:9" ht="17.25" customHeight="1" x14ac:dyDescent="0.2">
      <c r="A240" s="69">
        <v>2010</v>
      </c>
      <c r="B240" s="70" t="s">
        <v>66</v>
      </c>
      <c r="C240" s="70" t="s">
        <v>47</v>
      </c>
      <c r="D240" s="70" t="s">
        <v>48</v>
      </c>
      <c r="E240" s="70" t="s">
        <v>72</v>
      </c>
      <c r="F240" s="70" t="s">
        <v>73</v>
      </c>
      <c r="G240" s="71">
        <v>75134356391</v>
      </c>
      <c r="H240" s="70" t="s">
        <v>68</v>
      </c>
      <c r="I240" s="72">
        <f t="shared" ref="I240:I243" si="0">G240/G119-1</f>
        <v>5.0703570489732064E-2</v>
      </c>
    </row>
    <row r="241" spans="1:9" ht="17.25" customHeight="1" x14ac:dyDescent="0.2">
      <c r="A241" s="69">
        <v>2010</v>
      </c>
      <c r="B241" s="70" t="s">
        <v>66</v>
      </c>
      <c r="C241" s="70" t="s">
        <v>47</v>
      </c>
      <c r="D241" s="70" t="s">
        <v>48</v>
      </c>
      <c r="E241" s="70" t="s">
        <v>67</v>
      </c>
      <c r="F241" s="70" t="s">
        <v>74</v>
      </c>
      <c r="G241" s="71">
        <v>79571855811</v>
      </c>
      <c r="H241" s="70" t="s">
        <v>68</v>
      </c>
      <c r="I241" s="72">
        <f t="shared" si="0"/>
        <v>0.12562520667166321</v>
      </c>
    </row>
    <row r="242" spans="1:9" ht="17.25" customHeight="1" x14ac:dyDescent="0.2">
      <c r="A242" s="69">
        <v>2010</v>
      </c>
      <c r="B242" s="70" t="s">
        <v>66</v>
      </c>
      <c r="C242" s="70" t="s">
        <v>47</v>
      </c>
      <c r="D242" s="70" t="s">
        <v>48</v>
      </c>
      <c r="E242" s="70" t="s">
        <v>69</v>
      </c>
      <c r="F242" s="70" t="s">
        <v>71</v>
      </c>
      <c r="G242" s="71">
        <v>39475235412</v>
      </c>
      <c r="H242" s="70" t="s">
        <v>68</v>
      </c>
      <c r="I242" s="72">
        <f t="shared" si="0"/>
        <v>0.1098143316160789</v>
      </c>
    </row>
    <row r="243" spans="1:9" ht="17.25" customHeight="1" x14ac:dyDescent="0.2">
      <c r="A243" s="69">
        <v>2010</v>
      </c>
      <c r="B243" s="70" t="s">
        <v>66</v>
      </c>
      <c r="C243" s="70" t="s">
        <v>47</v>
      </c>
      <c r="D243" s="70" t="s">
        <v>48</v>
      </c>
      <c r="E243" s="70" t="s">
        <v>69</v>
      </c>
      <c r="F243" s="70" t="s">
        <v>70</v>
      </c>
      <c r="G243" s="71">
        <v>60524135029</v>
      </c>
      <c r="H243" s="70" t="s">
        <v>68</v>
      </c>
      <c r="I243" s="72">
        <f t="shared" si="0"/>
        <v>0.11646822115619648</v>
      </c>
    </row>
    <row r="244" spans="1:9" ht="17.25" customHeight="1" x14ac:dyDescent="0.2">
      <c r="A244" s="69">
        <v>2011</v>
      </c>
      <c r="B244" s="70" t="s">
        <v>66</v>
      </c>
      <c r="C244" s="70" t="s">
        <v>4</v>
      </c>
      <c r="D244" s="70" t="s">
        <v>3</v>
      </c>
      <c r="E244" s="70" t="s">
        <v>67</v>
      </c>
      <c r="F244" s="70" t="s">
        <v>67</v>
      </c>
      <c r="G244" s="71">
        <v>22366346924</v>
      </c>
      <c r="H244" s="70" t="s">
        <v>68</v>
      </c>
    </row>
    <row r="245" spans="1:9" ht="17.25" customHeight="1" x14ac:dyDescent="0.2">
      <c r="A245" s="69">
        <v>2011</v>
      </c>
      <c r="B245" s="70" t="s">
        <v>66</v>
      </c>
      <c r="C245" s="70" t="s">
        <v>4</v>
      </c>
      <c r="D245" s="70" t="s">
        <v>3</v>
      </c>
      <c r="E245" s="70" t="s">
        <v>69</v>
      </c>
      <c r="F245" s="70" t="s">
        <v>71</v>
      </c>
      <c r="G245" s="71">
        <v>2277478998</v>
      </c>
      <c r="H245" s="70" t="s">
        <v>68</v>
      </c>
    </row>
    <row r="246" spans="1:9" ht="17.25" customHeight="1" x14ac:dyDescent="0.2">
      <c r="A246" s="69">
        <v>2011</v>
      </c>
      <c r="B246" s="70" t="s">
        <v>66</v>
      </c>
      <c r="C246" s="70" t="s">
        <v>4</v>
      </c>
      <c r="D246" s="70" t="s">
        <v>3</v>
      </c>
      <c r="E246" s="70" t="s">
        <v>69</v>
      </c>
      <c r="F246" s="70" t="s">
        <v>70</v>
      </c>
      <c r="G246" s="71">
        <v>9063946259</v>
      </c>
      <c r="H246" s="70" t="s">
        <v>68</v>
      </c>
    </row>
    <row r="247" spans="1:9" ht="17.25" customHeight="1" x14ac:dyDescent="0.2">
      <c r="A247" s="69">
        <v>2011</v>
      </c>
      <c r="B247" s="70" t="s">
        <v>66</v>
      </c>
      <c r="C247" s="70" t="s">
        <v>4</v>
      </c>
      <c r="D247" s="70" t="s">
        <v>5</v>
      </c>
      <c r="E247" s="70" t="s">
        <v>67</v>
      </c>
      <c r="F247" s="70" t="s">
        <v>67</v>
      </c>
      <c r="G247" s="71">
        <v>81210000567</v>
      </c>
      <c r="H247" s="70" t="s">
        <v>68</v>
      </c>
    </row>
    <row r="248" spans="1:9" ht="17.25" customHeight="1" x14ac:dyDescent="0.2">
      <c r="A248" s="69">
        <v>2011</v>
      </c>
      <c r="B248" s="70" t="s">
        <v>66</v>
      </c>
      <c r="C248" s="70" t="s">
        <v>4</v>
      </c>
      <c r="D248" s="70" t="s">
        <v>5</v>
      </c>
      <c r="E248" s="70" t="s">
        <v>69</v>
      </c>
      <c r="F248" s="70" t="s">
        <v>71</v>
      </c>
      <c r="G248" s="71">
        <v>5222680650</v>
      </c>
      <c r="H248" s="70" t="s">
        <v>68</v>
      </c>
    </row>
    <row r="249" spans="1:9" ht="17.25" customHeight="1" x14ac:dyDescent="0.2">
      <c r="A249" s="69">
        <v>2011</v>
      </c>
      <c r="B249" s="70" t="s">
        <v>66</v>
      </c>
      <c r="C249" s="70" t="s">
        <v>4</v>
      </c>
      <c r="D249" s="70" t="s">
        <v>5</v>
      </c>
      <c r="E249" s="70" t="s">
        <v>69</v>
      </c>
      <c r="F249" s="70" t="s">
        <v>70</v>
      </c>
      <c r="G249" s="71">
        <v>4906485454</v>
      </c>
      <c r="H249" s="70" t="s">
        <v>68</v>
      </c>
    </row>
    <row r="250" spans="1:9" ht="17.25" customHeight="1" x14ac:dyDescent="0.2">
      <c r="A250" s="69">
        <v>2011</v>
      </c>
      <c r="B250" s="70" t="s">
        <v>66</v>
      </c>
      <c r="C250" s="70" t="s">
        <v>4</v>
      </c>
      <c r="D250" s="70" t="s">
        <v>6</v>
      </c>
      <c r="E250" s="70" t="s">
        <v>67</v>
      </c>
      <c r="F250" s="70" t="s">
        <v>67</v>
      </c>
      <c r="G250" s="71">
        <v>12180633013</v>
      </c>
      <c r="H250" s="70" t="s">
        <v>68</v>
      </c>
    </row>
    <row r="251" spans="1:9" ht="17.25" customHeight="1" x14ac:dyDescent="0.2">
      <c r="A251" s="69">
        <v>2011</v>
      </c>
      <c r="B251" s="70" t="s">
        <v>66</v>
      </c>
      <c r="C251" s="70" t="s">
        <v>4</v>
      </c>
      <c r="D251" s="70" t="s">
        <v>6</v>
      </c>
      <c r="E251" s="70" t="s">
        <v>69</v>
      </c>
      <c r="F251" s="70" t="s">
        <v>71</v>
      </c>
      <c r="G251" s="71">
        <v>221705046</v>
      </c>
      <c r="H251" s="70" t="s">
        <v>68</v>
      </c>
    </row>
    <row r="252" spans="1:9" ht="17.25" customHeight="1" x14ac:dyDescent="0.2">
      <c r="A252" s="69">
        <v>2011</v>
      </c>
      <c r="B252" s="70" t="s">
        <v>66</v>
      </c>
      <c r="C252" s="70" t="s">
        <v>4</v>
      </c>
      <c r="D252" s="70" t="s">
        <v>6</v>
      </c>
      <c r="E252" s="70" t="s">
        <v>69</v>
      </c>
      <c r="F252" s="70" t="s">
        <v>70</v>
      </c>
      <c r="G252" s="71">
        <v>702064759</v>
      </c>
      <c r="H252" s="70" t="s">
        <v>68</v>
      </c>
    </row>
    <row r="253" spans="1:9" ht="17.25" customHeight="1" x14ac:dyDescent="0.2">
      <c r="A253" s="69">
        <v>2011</v>
      </c>
      <c r="B253" s="70" t="s">
        <v>66</v>
      </c>
      <c r="C253" s="70" t="s">
        <v>4</v>
      </c>
      <c r="D253" s="70" t="s">
        <v>7</v>
      </c>
      <c r="E253" s="70" t="s">
        <v>67</v>
      </c>
      <c r="F253" s="70" t="s">
        <v>67</v>
      </c>
      <c r="G253" s="71">
        <v>16304676226</v>
      </c>
      <c r="H253" s="70" t="s">
        <v>68</v>
      </c>
    </row>
    <row r="254" spans="1:9" ht="17.25" customHeight="1" x14ac:dyDescent="0.2">
      <c r="A254" s="69">
        <v>2011</v>
      </c>
      <c r="B254" s="70" t="s">
        <v>66</v>
      </c>
      <c r="C254" s="70" t="s">
        <v>4</v>
      </c>
      <c r="D254" s="70" t="s">
        <v>7</v>
      </c>
      <c r="E254" s="70" t="s">
        <v>69</v>
      </c>
      <c r="F254" s="70" t="s">
        <v>71</v>
      </c>
      <c r="G254" s="71">
        <v>2348195969</v>
      </c>
      <c r="H254" s="70" t="s">
        <v>68</v>
      </c>
    </row>
    <row r="255" spans="1:9" ht="17.25" customHeight="1" x14ac:dyDescent="0.2">
      <c r="A255" s="69">
        <v>2011</v>
      </c>
      <c r="B255" s="70" t="s">
        <v>66</v>
      </c>
      <c r="C255" s="70" t="s">
        <v>4</v>
      </c>
      <c r="D255" s="70" t="s">
        <v>7</v>
      </c>
      <c r="E255" s="70" t="s">
        <v>69</v>
      </c>
      <c r="F255" s="70" t="s">
        <v>70</v>
      </c>
      <c r="G255" s="71">
        <v>3784515991</v>
      </c>
      <c r="H255" s="70" t="s">
        <v>68</v>
      </c>
    </row>
    <row r="256" spans="1:9" ht="17.25" customHeight="1" x14ac:dyDescent="0.2">
      <c r="A256" s="69">
        <v>2011</v>
      </c>
      <c r="B256" s="70" t="s">
        <v>66</v>
      </c>
      <c r="C256" s="70" t="s">
        <v>4</v>
      </c>
      <c r="D256" s="70" t="s">
        <v>8</v>
      </c>
      <c r="E256" s="70" t="s">
        <v>67</v>
      </c>
      <c r="F256" s="70" t="s">
        <v>67</v>
      </c>
      <c r="G256" s="71">
        <v>9374836917</v>
      </c>
      <c r="H256" s="70" t="s">
        <v>68</v>
      </c>
    </row>
    <row r="257" spans="1:8" ht="17.25" customHeight="1" x14ac:dyDescent="0.2">
      <c r="A257" s="69">
        <v>2011</v>
      </c>
      <c r="B257" s="70" t="s">
        <v>66</v>
      </c>
      <c r="C257" s="70" t="s">
        <v>4</v>
      </c>
      <c r="D257" s="70" t="s">
        <v>8</v>
      </c>
      <c r="E257" s="70" t="s">
        <v>69</v>
      </c>
      <c r="F257" s="70" t="s">
        <v>71</v>
      </c>
      <c r="G257" s="71">
        <v>101716833</v>
      </c>
      <c r="H257" s="70" t="s">
        <v>68</v>
      </c>
    </row>
    <row r="258" spans="1:8" ht="17.25" customHeight="1" x14ac:dyDescent="0.2">
      <c r="A258" s="69">
        <v>2011</v>
      </c>
      <c r="B258" s="70" t="s">
        <v>66</v>
      </c>
      <c r="C258" s="70" t="s">
        <v>4</v>
      </c>
      <c r="D258" s="70" t="s">
        <v>8</v>
      </c>
      <c r="E258" s="70" t="s">
        <v>69</v>
      </c>
      <c r="F258" s="70" t="s">
        <v>70</v>
      </c>
      <c r="G258" s="71">
        <v>368242887</v>
      </c>
      <c r="H258" s="70" t="s">
        <v>68</v>
      </c>
    </row>
    <row r="259" spans="1:8" ht="17.25" customHeight="1" x14ac:dyDescent="0.2">
      <c r="A259" s="69">
        <v>2011</v>
      </c>
      <c r="B259" s="70" t="s">
        <v>66</v>
      </c>
      <c r="C259" s="70" t="s">
        <v>4</v>
      </c>
      <c r="D259" s="70" t="s">
        <v>9</v>
      </c>
      <c r="E259" s="70" t="s">
        <v>67</v>
      </c>
      <c r="F259" s="70" t="s">
        <v>67</v>
      </c>
      <c r="G259" s="71">
        <v>76177898925</v>
      </c>
      <c r="H259" s="70" t="s">
        <v>68</v>
      </c>
    </row>
    <row r="260" spans="1:8" ht="17.25" customHeight="1" x14ac:dyDescent="0.2">
      <c r="A260" s="69">
        <v>2011</v>
      </c>
      <c r="B260" s="70" t="s">
        <v>66</v>
      </c>
      <c r="C260" s="70" t="s">
        <v>4</v>
      </c>
      <c r="D260" s="70" t="s">
        <v>9</v>
      </c>
      <c r="E260" s="70" t="s">
        <v>69</v>
      </c>
      <c r="F260" s="70" t="s">
        <v>71</v>
      </c>
      <c r="G260" s="71">
        <v>9994370519</v>
      </c>
      <c r="H260" s="70" t="s">
        <v>68</v>
      </c>
    </row>
    <row r="261" spans="1:8" ht="17.25" customHeight="1" x14ac:dyDescent="0.2">
      <c r="A261" s="69">
        <v>2011</v>
      </c>
      <c r="B261" s="70" t="s">
        <v>66</v>
      </c>
      <c r="C261" s="70" t="s">
        <v>4</v>
      </c>
      <c r="D261" s="70" t="s">
        <v>9</v>
      </c>
      <c r="E261" s="70" t="s">
        <v>69</v>
      </c>
      <c r="F261" s="70" t="s">
        <v>70</v>
      </c>
      <c r="G261" s="71">
        <v>18628014255</v>
      </c>
      <c r="H261" s="70" t="s">
        <v>68</v>
      </c>
    </row>
    <row r="262" spans="1:8" ht="17.25" customHeight="1" x14ac:dyDescent="0.2">
      <c r="A262" s="69">
        <v>2011</v>
      </c>
      <c r="B262" s="70" t="s">
        <v>66</v>
      </c>
      <c r="C262" s="70" t="s">
        <v>4</v>
      </c>
      <c r="D262" s="70" t="s">
        <v>10</v>
      </c>
      <c r="E262" s="70" t="s">
        <v>67</v>
      </c>
      <c r="F262" s="70" t="s">
        <v>67</v>
      </c>
      <c r="G262" s="71">
        <v>751315571</v>
      </c>
      <c r="H262" s="70" t="s">
        <v>68</v>
      </c>
    </row>
    <row r="263" spans="1:8" ht="17.25" customHeight="1" x14ac:dyDescent="0.2">
      <c r="A263" s="69">
        <v>2011</v>
      </c>
      <c r="B263" s="70" t="s">
        <v>66</v>
      </c>
      <c r="C263" s="70" t="s">
        <v>4</v>
      </c>
      <c r="D263" s="70" t="s">
        <v>10</v>
      </c>
      <c r="E263" s="70" t="s">
        <v>69</v>
      </c>
      <c r="F263" s="70" t="s">
        <v>71</v>
      </c>
      <c r="G263" s="71">
        <v>16077037</v>
      </c>
      <c r="H263" s="70" t="s">
        <v>68</v>
      </c>
    </row>
    <row r="264" spans="1:8" ht="17.25" customHeight="1" x14ac:dyDescent="0.2">
      <c r="A264" s="69">
        <v>2011</v>
      </c>
      <c r="B264" s="70" t="s">
        <v>66</v>
      </c>
      <c r="C264" s="70" t="s">
        <v>4</v>
      </c>
      <c r="D264" s="70" t="s">
        <v>10</v>
      </c>
      <c r="E264" s="70" t="s">
        <v>69</v>
      </c>
      <c r="F264" s="70" t="s">
        <v>70</v>
      </c>
      <c r="G264" s="71">
        <v>8656866</v>
      </c>
      <c r="H264" s="70" t="s">
        <v>68</v>
      </c>
    </row>
    <row r="265" spans="1:8" ht="17.25" customHeight="1" x14ac:dyDescent="0.2">
      <c r="A265" s="69">
        <v>2011</v>
      </c>
      <c r="B265" s="70" t="s">
        <v>66</v>
      </c>
      <c r="C265" s="70" t="s">
        <v>4</v>
      </c>
      <c r="D265" s="70" t="s">
        <v>11</v>
      </c>
      <c r="E265" s="70" t="s">
        <v>67</v>
      </c>
      <c r="F265" s="70" t="s">
        <v>67</v>
      </c>
      <c r="G265" s="71">
        <v>6002049351</v>
      </c>
      <c r="H265" s="70" t="s">
        <v>68</v>
      </c>
    </row>
    <row r="266" spans="1:8" ht="17.25" customHeight="1" x14ac:dyDescent="0.2">
      <c r="A266" s="69">
        <v>2011</v>
      </c>
      <c r="B266" s="70" t="s">
        <v>66</v>
      </c>
      <c r="C266" s="70" t="s">
        <v>4</v>
      </c>
      <c r="D266" s="70" t="s">
        <v>11</v>
      </c>
      <c r="E266" s="70" t="s">
        <v>69</v>
      </c>
      <c r="F266" s="70" t="s">
        <v>71</v>
      </c>
      <c r="G266" s="71">
        <v>314493585</v>
      </c>
      <c r="H266" s="70" t="s">
        <v>68</v>
      </c>
    </row>
    <row r="267" spans="1:8" ht="17.25" customHeight="1" x14ac:dyDescent="0.2">
      <c r="A267" s="69">
        <v>2011</v>
      </c>
      <c r="B267" s="70" t="s">
        <v>66</v>
      </c>
      <c r="C267" s="70" t="s">
        <v>4</v>
      </c>
      <c r="D267" s="70" t="s">
        <v>11</v>
      </c>
      <c r="E267" s="70" t="s">
        <v>69</v>
      </c>
      <c r="F267" s="70" t="s">
        <v>70</v>
      </c>
      <c r="G267" s="71">
        <v>2160808120</v>
      </c>
      <c r="H267" s="70" t="s">
        <v>68</v>
      </c>
    </row>
    <row r="268" spans="1:8" ht="17.25" customHeight="1" x14ac:dyDescent="0.2">
      <c r="A268" s="69">
        <v>2011</v>
      </c>
      <c r="B268" s="70" t="s">
        <v>66</v>
      </c>
      <c r="C268" s="70" t="s">
        <v>4</v>
      </c>
      <c r="D268" s="70" t="s">
        <v>12</v>
      </c>
      <c r="E268" s="70" t="s">
        <v>67</v>
      </c>
      <c r="F268" s="70" t="s">
        <v>67</v>
      </c>
      <c r="G268" s="71">
        <v>7219185203</v>
      </c>
      <c r="H268" s="70" t="s">
        <v>68</v>
      </c>
    </row>
    <row r="269" spans="1:8" ht="17.25" customHeight="1" x14ac:dyDescent="0.2">
      <c r="A269" s="69">
        <v>2011</v>
      </c>
      <c r="B269" s="70" t="s">
        <v>66</v>
      </c>
      <c r="C269" s="70" t="s">
        <v>4</v>
      </c>
      <c r="D269" s="70" t="s">
        <v>12</v>
      </c>
      <c r="E269" s="70" t="s">
        <v>69</v>
      </c>
      <c r="F269" s="70" t="s">
        <v>71</v>
      </c>
      <c r="G269" s="71">
        <v>498631836</v>
      </c>
      <c r="H269" s="70" t="s">
        <v>68</v>
      </c>
    </row>
    <row r="270" spans="1:8" ht="17.25" customHeight="1" x14ac:dyDescent="0.2">
      <c r="A270" s="69">
        <v>2011</v>
      </c>
      <c r="B270" s="70" t="s">
        <v>66</v>
      </c>
      <c r="C270" s="70" t="s">
        <v>4</v>
      </c>
      <c r="D270" s="70" t="s">
        <v>12</v>
      </c>
      <c r="E270" s="70" t="s">
        <v>69</v>
      </c>
      <c r="F270" s="70" t="s">
        <v>70</v>
      </c>
      <c r="G270" s="71">
        <v>2042973865</v>
      </c>
      <c r="H270" s="70" t="s">
        <v>68</v>
      </c>
    </row>
    <row r="271" spans="1:8" ht="17.25" customHeight="1" x14ac:dyDescent="0.2">
      <c r="A271" s="69">
        <v>2011</v>
      </c>
      <c r="B271" s="70" t="s">
        <v>66</v>
      </c>
      <c r="C271" s="70" t="s">
        <v>4</v>
      </c>
      <c r="D271" s="70" t="s">
        <v>13</v>
      </c>
      <c r="E271" s="70" t="s">
        <v>67</v>
      </c>
      <c r="F271" s="70" t="s">
        <v>67</v>
      </c>
      <c r="G271" s="71">
        <v>12022895752</v>
      </c>
      <c r="H271" s="70" t="s">
        <v>68</v>
      </c>
    </row>
    <row r="272" spans="1:8" ht="17.25" customHeight="1" x14ac:dyDescent="0.2">
      <c r="A272" s="69">
        <v>2011</v>
      </c>
      <c r="B272" s="70" t="s">
        <v>66</v>
      </c>
      <c r="C272" s="70" t="s">
        <v>4</v>
      </c>
      <c r="D272" s="70" t="s">
        <v>13</v>
      </c>
      <c r="E272" s="70" t="s">
        <v>69</v>
      </c>
      <c r="F272" s="70" t="s">
        <v>71</v>
      </c>
      <c r="G272" s="71">
        <v>312731325</v>
      </c>
      <c r="H272" s="70" t="s">
        <v>68</v>
      </c>
    </row>
    <row r="273" spans="1:8" ht="17.25" customHeight="1" x14ac:dyDescent="0.2">
      <c r="A273" s="69">
        <v>2011</v>
      </c>
      <c r="B273" s="70" t="s">
        <v>66</v>
      </c>
      <c r="C273" s="70" t="s">
        <v>4</v>
      </c>
      <c r="D273" s="70" t="s">
        <v>13</v>
      </c>
      <c r="E273" s="70" t="s">
        <v>69</v>
      </c>
      <c r="F273" s="70" t="s">
        <v>70</v>
      </c>
      <c r="G273" s="71">
        <v>2078398653</v>
      </c>
      <c r="H273" s="70" t="s">
        <v>68</v>
      </c>
    </row>
    <row r="274" spans="1:8" ht="17.25" customHeight="1" x14ac:dyDescent="0.2">
      <c r="A274" s="69">
        <v>2011</v>
      </c>
      <c r="B274" s="70" t="s">
        <v>66</v>
      </c>
      <c r="C274" s="70" t="s">
        <v>4</v>
      </c>
      <c r="D274" s="70" t="s">
        <v>14</v>
      </c>
      <c r="E274" s="70" t="s">
        <v>67</v>
      </c>
      <c r="F274" s="70" t="s">
        <v>67</v>
      </c>
      <c r="G274" s="71">
        <v>6244067530</v>
      </c>
      <c r="H274" s="70" t="s">
        <v>68</v>
      </c>
    </row>
    <row r="275" spans="1:8" ht="17.25" customHeight="1" x14ac:dyDescent="0.2">
      <c r="A275" s="69">
        <v>2011</v>
      </c>
      <c r="B275" s="70" t="s">
        <v>66</v>
      </c>
      <c r="C275" s="70" t="s">
        <v>4</v>
      </c>
      <c r="D275" s="70" t="s">
        <v>14</v>
      </c>
      <c r="E275" s="70" t="s">
        <v>69</v>
      </c>
      <c r="F275" s="70" t="s">
        <v>71</v>
      </c>
      <c r="G275" s="71">
        <v>186793512</v>
      </c>
      <c r="H275" s="70" t="s">
        <v>68</v>
      </c>
    </row>
    <row r="276" spans="1:8" ht="17.25" customHeight="1" x14ac:dyDescent="0.2">
      <c r="A276" s="69">
        <v>2011</v>
      </c>
      <c r="B276" s="70" t="s">
        <v>66</v>
      </c>
      <c r="C276" s="70" t="s">
        <v>4</v>
      </c>
      <c r="D276" s="70" t="s">
        <v>14</v>
      </c>
      <c r="E276" s="70" t="s">
        <v>69</v>
      </c>
      <c r="F276" s="70" t="s">
        <v>70</v>
      </c>
      <c r="G276" s="71">
        <v>633438747</v>
      </c>
      <c r="H276" s="70" t="s">
        <v>68</v>
      </c>
    </row>
    <row r="277" spans="1:8" ht="17.25" customHeight="1" x14ac:dyDescent="0.2">
      <c r="A277" s="69">
        <v>2011</v>
      </c>
      <c r="B277" s="70" t="s">
        <v>66</v>
      </c>
      <c r="C277" s="70" t="s">
        <v>4</v>
      </c>
      <c r="D277" s="70" t="s">
        <v>15</v>
      </c>
      <c r="E277" s="70" t="s">
        <v>67</v>
      </c>
      <c r="F277" s="70" t="s">
        <v>67</v>
      </c>
      <c r="G277" s="71">
        <v>9242916750</v>
      </c>
      <c r="H277" s="70" t="s">
        <v>68</v>
      </c>
    </row>
    <row r="278" spans="1:8" ht="17.25" customHeight="1" x14ac:dyDescent="0.2">
      <c r="A278" s="69">
        <v>2011</v>
      </c>
      <c r="B278" s="70" t="s">
        <v>66</v>
      </c>
      <c r="C278" s="70" t="s">
        <v>4</v>
      </c>
      <c r="D278" s="70" t="s">
        <v>15</v>
      </c>
      <c r="E278" s="70" t="s">
        <v>69</v>
      </c>
      <c r="F278" s="70" t="s">
        <v>71</v>
      </c>
      <c r="G278" s="71">
        <v>1007437445</v>
      </c>
      <c r="H278" s="70" t="s">
        <v>68</v>
      </c>
    </row>
    <row r="279" spans="1:8" ht="17.25" customHeight="1" x14ac:dyDescent="0.2">
      <c r="A279" s="69">
        <v>2011</v>
      </c>
      <c r="B279" s="70" t="s">
        <v>66</v>
      </c>
      <c r="C279" s="70" t="s">
        <v>4</v>
      </c>
      <c r="D279" s="70" t="s">
        <v>15</v>
      </c>
      <c r="E279" s="70" t="s">
        <v>69</v>
      </c>
      <c r="F279" s="70" t="s">
        <v>70</v>
      </c>
      <c r="G279" s="71">
        <v>1160096471</v>
      </c>
      <c r="H279" s="70" t="s">
        <v>68</v>
      </c>
    </row>
    <row r="280" spans="1:8" ht="17.25" customHeight="1" x14ac:dyDescent="0.2">
      <c r="A280" s="69">
        <v>2011</v>
      </c>
      <c r="B280" s="70" t="s">
        <v>66</v>
      </c>
      <c r="C280" s="70" t="s">
        <v>17</v>
      </c>
      <c r="D280" s="70" t="s">
        <v>16</v>
      </c>
      <c r="E280" s="70" t="s">
        <v>67</v>
      </c>
      <c r="F280" s="70" t="s">
        <v>67</v>
      </c>
      <c r="G280" s="71">
        <v>1231256707</v>
      </c>
      <c r="H280" s="70" t="s">
        <v>68</v>
      </c>
    </row>
    <row r="281" spans="1:8" ht="17.25" customHeight="1" x14ac:dyDescent="0.2">
      <c r="A281" s="69">
        <v>2011</v>
      </c>
      <c r="B281" s="70" t="s">
        <v>66</v>
      </c>
      <c r="C281" s="70" t="s">
        <v>17</v>
      </c>
      <c r="D281" s="70" t="s">
        <v>16</v>
      </c>
      <c r="E281" s="70" t="s">
        <v>69</v>
      </c>
      <c r="F281" s="70" t="s">
        <v>71</v>
      </c>
      <c r="G281" s="71">
        <v>42290736</v>
      </c>
      <c r="H281" s="70" t="s">
        <v>68</v>
      </c>
    </row>
    <row r="282" spans="1:8" ht="17.25" customHeight="1" x14ac:dyDescent="0.2">
      <c r="A282" s="69">
        <v>2011</v>
      </c>
      <c r="B282" s="70" t="s">
        <v>66</v>
      </c>
      <c r="C282" s="70" t="s">
        <v>17</v>
      </c>
      <c r="D282" s="70" t="s">
        <v>16</v>
      </c>
      <c r="E282" s="70" t="s">
        <v>69</v>
      </c>
      <c r="F282" s="70" t="s">
        <v>70</v>
      </c>
      <c r="G282" s="71">
        <v>153708839</v>
      </c>
      <c r="H282" s="70" t="s">
        <v>68</v>
      </c>
    </row>
    <row r="283" spans="1:8" ht="17.25" customHeight="1" x14ac:dyDescent="0.2">
      <c r="A283" s="69">
        <v>2011</v>
      </c>
      <c r="B283" s="70" t="s">
        <v>66</v>
      </c>
      <c r="C283" s="70" t="s">
        <v>17</v>
      </c>
      <c r="D283" s="70" t="s">
        <v>18</v>
      </c>
      <c r="E283" s="70" t="s">
        <v>67</v>
      </c>
      <c r="F283" s="70" t="s">
        <v>67</v>
      </c>
      <c r="G283" s="71">
        <v>2588306272</v>
      </c>
      <c r="H283" s="70" t="s">
        <v>68</v>
      </c>
    </row>
    <row r="284" spans="1:8" ht="17.25" customHeight="1" x14ac:dyDescent="0.2">
      <c r="A284" s="69">
        <v>2011</v>
      </c>
      <c r="B284" s="70" t="s">
        <v>66</v>
      </c>
      <c r="C284" s="70" t="s">
        <v>17</v>
      </c>
      <c r="D284" s="70" t="s">
        <v>18</v>
      </c>
      <c r="E284" s="70" t="s">
        <v>69</v>
      </c>
      <c r="F284" s="70" t="s">
        <v>71</v>
      </c>
      <c r="G284" s="71">
        <v>392496806</v>
      </c>
      <c r="H284" s="70" t="s">
        <v>68</v>
      </c>
    </row>
    <row r="285" spans="1:8" ht="17.25" customHeight="1" x14ac:dyDescent="0.2">
      <c r="A285" s="69">
        <v>2011</v>
      </c>
      <c r="B285" s="70" t="s">
        <v>66</v>
      </c>
      <c r="C285" s="70" t="s">
        <v>17</v>
      </c>
      <c r="D285" s="70" t="s">
        <v>18</v>
      </c>
      <c r="E285" s="70" t="s">
        <v>69</v>
      </c>
      <c r="F285" s="70" t="s">
        <v>70</v>
      </c>
      <c r="G285" s="71">
        <v>376617310</v>
      </c>
      <c r="H285" s="70" t="s">
        <v>68</v>
      </c>
    </row>
    <row r="286" spans="1:8" ht="17.25" customHeight="1" x14ac:dyDescent="0.2">
      <c r="A286" s="69">
        <v>2011</v>
      </c>
      <c r="B286" s="70" t="s">
        <v>66</v>
      </c>
      <c r="C286" s="70" t="s">
        <v>17</v>
      </c>
      <c r="D286" s="70" t="s">
        <v>19</v>
      </c>
      <c r="E286" s="70" t="s">
        <v>67</v>
      </c>
      <c r="F286" s="70" t="s">
        <v>67</v>
      </c>
      <c r="G286" s="71">
        <v>7969200929</v>
      </c>
      <c r="H286" s="70" t="s">
        <v>68</v>
      </c>
    </row>
    <row r="287" spans="1:8" ht="17.25" customHeight="1" x14ac:dyDescent="0.2">
      <c r="A287" s="69">
        <v>2011</v>
      </c>
      <c r="B287" s="70" t="s">
        <v>66</v>
      </c>
      <c r="C287" s="70" t="s">
        <v>17</v>
      </c>
      <c r="D287" s="70" t="s">
        <v>19</v>
      </c>
      <c r="E287" s="70" t="s">
        <v>69</v>
      </c>
      <c r="F287" s="70" t="s">
        <v>71</v>
      </c>
      <c r="G287" s="71">
        <v>685234482</v>
      </c>
      <c r="H287" s="70" t="s">
        <v>68</v>
      </c>
    </row>
    <row r="288" spans="1:8" ht="17.25" customHeight="1" x14ac:dyDescent="0.2">
      <c r="A288" s="69">
        <v>2011</v>
      </c>
      <c r="B288" s="70" t="s">
        <v>66</v>
      </c>
      <c r="C288" s="70" t="s">
        <v>17</v>
      </c>
      <c r="D288" s="70" t="s">
        <v>19</v>
      </c>
      <c r="E288" s="70" t="s">
        <v>69</v>
      </c>
      <c r="F288" s="70" t="s">
        <v>70</v>
      </c>
      <c r="G288" s="71">
        <v>1595792301</v>
      </c>
      <c r="H288" s="70" t="s">
        <v>68</v>
      </c>
    </row>
    <row r="289" spans="1:8" ht="17.25" customHeight="1" x14ac:dyDescent="0.2">
      <c r="A289" s="69">
        <v>2011</v>
      </c>
      <c r="B289" s="70" t="s">
        <v>66</v>
      </c>
      <c r="C289" s="70" t="s">
        <v>17</v>
      </c>
      <c r="D289" s="70" t="s">
        <v>20</v>
      </c>
      <c r="E289" s="70" t="s">
        <v>67</v>
      </c>
      <c r="F289" s="70" t="s">
        <v>67</v>
      </c>
      <c r="G289" s="71">
        <v>2151796775</v>
      </c>
      <c r="H289" s="70" t="s">
        <v>68</v>
      </c>
    </row>
    <row r="290" spans="1:8" ht="17.25" customHeight="1" x14ac:dyDescent="0.2">
      <c r="A290" s="69">
        <v>2011</v>
      </c>
      <c r="B290" s="70" t="s">
        <v>66</v>
      </c>
      <c r="C290" s="70" t="s">
        <v>17</v>
      </c>
      <c r="D290" s="70" t="s">
        <v>20</v>
      </c>
      <c r="E290" s="70" t="s">
        <v>69</v>
      </c>
      <c r="F290" s="70" t="s">
        <v>71</v>
      </c>
      <c r="G290" s="71">
        <v>155120360</v>
      </c>
      <c r="H290" s="70" t="s">
        <v>68</v>
      </c>
    </row>
    <row r="291" spans="1:8" ht="17.25" customHeight="1" x14ac:dyDescent="0.2">
      <c r="A291" s="69">
        <v>2011</v>
      </c>
      <c r="B291" s="70" t="s">
        <v>66</v>
      </c>
      <c r="C291" s="70" t="s">
        <v>17</v>
      </c>
      <c r="D291" s="70" t="s">
        <v>20</v>
      </c>
      <c r="E291" s="70" t="s">
        <v>69</v>
      </c>
      <c r="F291" s="70" t="s">
        <v>70</v>
      </c>
      <c r="G291" s="71">
        <v>491274815</v>
      </c>
      <c r="H291" s="70" t="s">
        <v>68</v>
      </c>
    </row>
    <row r="292" spans="1:8" ht="17.25" customHeight="1" x14ac:dyDescent="0.2">
      <c r="A292" s="69">
        <v>2011</v>
      </c>
      <c r="B292" s="70" t="s">
        <v>66</v>
      </c>
      <c r="C292" s="70" t="s">
        <v>17</v>
      </c>
      <c r="D292" s="70" t="s">
        <v>21</v>
      </c>
      <c r="E292" s="70" t="s">
        <v>67</v>
      </c>
      <c r="F292" s="70" t="s">
        <v>67</v>
      </c>
      <c r="G292" s="71">
        <v>3771496837</v>
      </c>
      <c r="H292" s="70" t="s">
        <v>68</v>
      </c>
    </row>
    <row r="293" spans="1:8" ht="17.25" customHeight="1" x14ac:dyDescent="0.2">
      <c r="A293" s="69">
        <v>2011</v>
      </c>
      <c r="B293" s="70" t="s">
        <v>66</v>
      </c>
      <c r="C293" s="70" t="s">
        <v>17</v>
      </c>
      <c r="D293" s="70" t="s">
        <v>21</v>
      </c>
      <c r="E293" s="70" t="s">
        <v>69</v>
      </c>
      <c r="F293" s="70" t="s">
        <v>71</v>
      </c>
      <c r="G293" s="71">
        <v>337308461</v>
      </c>
      <c r="H293" s="70" t="s">
        <v>68</v>
      </c>
    </row>
    <row r="294" spans="1:8" ht="17.25" customHeight="1" x14ac:dyDescent="0.2">
      <c r="A294" s="69">
        <v>2011</v>
      </c>
      <c r="B294" s="70" t="s">
        <v>66</v>
      </c>
      <c r="C294" s="70" t="s">
        <v>17</v>
      </c>
      <c r="D294" s="70" t="s">
        <v>21</v>
      </c>
      <c r="E294" s="70" t="s">
        <v>69</v>
      </c>
      <c r="F294" s="70" t="s">
        <v>70</v>
      </c>
      <c r="G294" s="71">
        <v>690362402</v>
      </c>
      <c r="H294" s="70" t="s">
        <v>68</v>
      </c>
    </row>
    <row r="295" spans="1:8" ht="17.25" customHeight="1" x14ac:dyDescent="0.2">
      <c r="A295" s="69">
        <v>2011</v>
      </c>
      <c r="B295" s="70" t="s">
        <v>66</v>
      </c>
      <c r="C295" s="70" t="s">
        <v>17</v>
      </c>
      <c r="D295" s="70" t="s">
        <v>22</v>
      </c>
      <c r="E295" s="70" t="s">
        <v>67</v>
      </c>
      <c r="F295" s="70" t="s">
        <v>67</v>
      </c>
      <c r="G295" s="71">
        <v>3743175626</v>
      </c>
      <c r="H295" s="70" t="s">
        <v>68</v>
      </c>
    </row>
    <row r="296" spans="1:8" ht="17.25" customHeight="1" x14ac:dyDescent="0.2">
      <c r="A296" s="69">
        <v>2011</v>
      </c>
      <c r="B296" s="70" t="s">
        <v>66</v>
      </c>
      <c r="C296" s="70" t="s">
        <v>17</v>
      </c>
      <c r="D296" s="70" t="s">
        <v>22</v>
      </c>
      <c r="E296" s="70" t="s">
        <v>69</v>
      </c>
      <c r="F296" s="70" t="s">
        <v>71</v>
      </c>
      <c r="G296" s="71">
        <v>266272004</v>
      </c>
      <c r="H296" s="70" t="s">
        <v>68</v>
      </c>
    </row>
    <row r="297" spans="1:8" ht="17.25" customHeight="1" x14ac:dyDescent="0.2">
      <c r="A297" s="69">
        <v>2011</v>
      </c>
      <c r="B297" s="70" t="s">
        <v>66</v>
      </c>
      <c r="C297" s="70" t="s">
        <v>17</v>
      </c>
      <c r="D297" s="70" t="s">
        <v>22</v>
      </c>
      <c r="E297" s="70" t="s">
        <v>69</v>
      </c>
      <c r="F297" s="70" t="s">
        <v>70</v>
      </c>
      <c r="G297" s="71">
        <v>241511771</v>
      </c>
      <c r="H297" s="70" t="s">
        <v>68</v>
      </c>
    </row>
    <row r="298" spans="1:8" ht="17.25" customHeight="1" x14ac:dyDescent="0.2">
      <c r="A298" s="69">
        <v>2011</v>
      </c>
      <c r="B298" s="70" t="s">
        <v>66</v>
      </c>
      <c r="C298" s="70" t="s">
        <v>17</v>
      </c>
      <c r="D298" s="70" t="s">
        <v>23</v>
      </c>
      <c r="E298" s="70" t="s">
        <v>67</v>
      </c>
      <c r="F298" s="70" t="s">
        <v>67</v>
      </c>
      <c r="G298" s="71">
        <v>2918318367</v>
      </c>
      <c r="H298" s="70" t="s">
        <v>68</v>
      </c>
    </row>
    <row r="299" spans="1:8" ht="17.25" customHeight="1" x14ac:dyDescent="0.2">
      <c r="A299" s="69">
        <v>2011</v>
      </c>
      <c r="B299" s="70" t="s">
        <v>66</v>
      </c>
      <c r="C299" s="70" t="s">
        <v>17</v>
      </c>
      <c r="D299" s="70" t="s">
        <v>23</v>
      </c>
      <c r="E299" s="70" t="s">
        <v>69</v>
      </c>
      <c r="F299" s="70" t="s">
        <v>71</v>
      </c>
      <c r="G299" s="71">
        <v>180672667</v>
      </c>
      <c r="H299" s="70" t="s">
        <v>68</v>
      </c>
    </row>
    <row r="300" spans="1:8" ht="17.25" customHeight="1" x14ac:dyDescent="0.2">
      <c r="A300" s="69">
        <v>2011</v>
      </c>
      <c r="B300" s="70" t="s">
        <v>66</v>
      </c>
      <c r="C300" s="70" t="s">
        <v>17</v>
      </c>
      <c r="D300" s="70" t="s">
        <v>23</v>
      </c>
      <c r="E300" s="70" t="s">
        <v>69</v>
      </c>
      <c r="F300" s="70" t="s">
        <v>70</v>
      </c>
      <c r="G300" s="71">
        <v>387293736</v>
      </c>
      <c r="H300" s="70" t="s">
        <v>68</v>
      </c>
    </row>
    <row r="301" spans="1:8" ht="17.25" customHeight="1" x14ac:dyDescent="0.2">
      <c r="A301" s="69">
        <v>2011</v>
      </c>
      <c r="B301" s="70" t="s">
        <v>66</v>
      </c>
      <c r="C301" s="70" t="s">
        <v>17</v>
      </c>
      <c r="D301" s="70" t="s">
        <v>24</v>
      </c>
      <c r="E301" s="70" t="s">
        <v>67</v>
      </c>
      <c r="F301" s="70" t="s">
        <v>67</v>
      </c>
      <c r="G301" s="71">
        <v>37221698924</v>
      </c>
      <c r="H301" s="70" t="s">
        <v>68</v>
      </c>
    </row>
    <row r="302" spans="1:8" ht="17.25" customHeight="1" x14ac:dyDescent="0.2">
      <c r="A302" s="69">
        <v>2011</v>
      </c>
      <c r="B302" s="70" t="s">
        <v>66</v>
      </c>
      <c r="C302" s="70" t="s">
        <v>17</v>
      </c>
      <c r="D302" s="70" t="s">
        <v>24</v>
      </c>
      <c r="E302" s="70" t="s">
        <v>69</v>
      </c>
      <c r="F302" s="70" t="s">
        <v>71</v>
      </c>
      <c r="G302" s="71">
        <v>2478489221</v>
      </c>
      <c r="H302" s="70" t="s">
        <v>68</v>
      </c>
    </row>
    <row r="303" spans="1:8" ht="17.25" customHeight="1" x14ac:dyDescent="0.2">
      <c r="A303" s="69">
        <v>2011</v>
      </c>
      <c r="B303" s="70" t="s">
        <v>66</v>
      </c>
      <c r="C303" s="70" t="s">
        <v>17</v>
      </c>
      <c r="D303" s="70" t="s">
        <v>24</v>
      </c>
      <c r="E303" s="70" t="s">
        <v>69</v>
      </c>
      <c r="F303" s="70" t="s">
        <v>70</v>
      </c>
      <c r="G303" s="71">
        <v>2716178874</v>
      </c>
      <c r="H303" s="70" t="s">
        <v>68</v>
      </c>
    </row>
    <row r="304" spans="1:8" ht="17.25" customHeight="1" x14ac:dyDescent="0.2">
      <c r="A304" s="69">
        <v>2011</v>
      </c>
      <c r="B304" s="70" t="s">
        <v>66</v>
      </c>
      <c r="C304" s="70" t="s">
        <v>17</v>
      </c>
      <c r="D304" s="70" t="s">
        <v>25</v>
      </c>
      <c r="E304" s="70" t="s">
        <v>67</v>
      </c>
      <c r="F304" s="70" t="s">
        <v>67</v>
      </c>
      <c r="G304" s="71">
        <v>3674508223</v>
      </c>
      <c r="H304" s="70" t="s">
        <v>68</v>
      </c>
    </row>
    <row r="305" spans="1:8" ht="17.25" customHeight="1" x14ac:dyDescent="0.2">
      <c r="A305" s="69">
        <v>2011</v>
      </c>
      <c r="B305" s="70" t="s">
        <v>66</v>
      </c>
      <c r="C305" s="70" t="s">
        <v>17</v>
      </c>
      <c r="D305" s="70" t="s">
        <v>25</v>
      </c>
      <c r="E305" s="70" t="s">
        <v>69</v>
      </c>
      <c r="F305" s="70" t="s">
        <v>71</v>
      </c>
      <c r="G305" s="71">
        <v>303076038</v>
      </c>
      <c r="H305" s="70" t="s">
        <v>68</v>
      </c>
    </row>
    <row r="306" spans="1:8" ht="17.25" customHeight="1" x14ac:dyDescent="0.2">
      <c r="A306" s="69">
        <v>2011</v>
      </c>
      <c r="B306" s="70" t="s">
        <v>66</v>
      </c>
      <c r="C306" s="70" t="s">
        <v>17</v>
      </c>
      <c r="D306" s="70" t="s">
        <v>25</v>
      </c>
      <c r="E306" s="70" t="s">
        <v>69</v>
      </c>
      <c r="F306" s="70" t="s">
        <v>70</v>
      </c>
      <c r="G306" s="71">
        <v>455777414</v>
      </c>
      <c r="H306" s="70" t="s">
        <v>68</v>
      </c>
    </row>
    <row r="307" spans="1:8" ht="17.25" customHeight="1" x14ac:dyDescent="0.2">
      <c r="A307" s="69">
        <v>2011</v>
      </c>
      <c r="B307" s="70" t="s">
        <v>66</v>
      </c>
      <c r="C307" s="70" t="s">
        <v>27</v>
      </c>
      <c r="D307" s="70" t="s">
        <v>26</v>
      </c>
      <c r="E307" s="70" t="s">
        <v>67</v>
      </c>
      <c r="F307" s="70" t="s">
        <v>67</v>
      </c>
      <c r="G307" s="71">
        <v>35964377812</v>
      </c>
      <c r="H307" s="70" t="s">
        <v>68</v>
      </c>
    </row>
    <row r="308" spans="1:8" ht="17.25" customHeight="1" x14ac:dyDescent="0.2">
      <c r="A308" s="69">
        <v>2011</v>
      </c>
      <c r="B308" s="70" t="s">
        <v>66</v>
      </c>
      <c r="C308" s="70" t="s">
        <v>27</v>
      </c>
      <c r="D308" s="70" t="s">
        <v>26</v>
      </c>
      <c r="E308" s="70" t="s">
        <v>69</v>
      </c>
      <c r="F308" s="70" t="s">
        <v>71</v>
      </c>
      <c r="G308" s="71">
        <v>6423961304</v>
      </c>
      <c r="H308" s="70" t="s">
        <v>68</v>
      </c>
    </row>
    <row r="309" spans="1:8" ht="17.25" customHeight="1" x14ac:dyDescent="0.2">
      <c r="A309" s="69">
        <v>2011</v>
      </c>
      <c r="B309" s="70" t="s">
        <v>66</v>
      </c>
      <c r="C309" s="70" t="s">
        <v>27</v>
      </c>
      <c r="D309" s="70" t="s">
        <v>26</v>
      </c>
      <c r="E309" s="70" t="s">
        <v>69</v>
      </c>
      <c r="F309" s="70" t="s">
        <v>70</v>
      </c>
      <c r="G309" s="71">
        <v>12135340866</v>
      </c>
      <c r="H309" s="70" t="s">
        <v>68</v>
      </c>
    </row>
    <row r="310" spans="1:8" ht="17.25" customHeight="1" x14ac:dyDescent="0.2">
      <c r="A310" s="69">
        <v>2011</v>
      </c>
      <c r="B310" s="70" t="s">
        <v>66</v>
      </c>
      <c r="C310" s="70" t="s">
        <v>27</v>
      </c>
      <c r="D310" s="70" t="s">
        <v>28</v>
      </c>
      <c r="E310" s="70" t="s">
        <v>67</v>
      </c>
      <c r="F310" s="70" t="s">
        <v>67</v>
      </c>
      <c r="G310" s="71">
        <v>50536379834</v>
      </c>
      <c r="H310" s="70" t="s">
        <v>68</v>
      </c>
    </row>
    <row r="311" spans="1:8" ht="17.25" customHeight="1" x14ac:dyDescent="0.2">
      <c r="A311" s="69">
        <v>2011</v>
      </c>
      <c r="B311" s="70" t="s">
        <v>66</v>
      </c>
      <c r="C311" s="70" t="s">
        <v>27</v>
      </c>
      <c r="D311" s="70" t="s">
        <v>28</v>
      </c>
      <c r="E311" s="70" t="s">
        <v>69</v>
      </c>
      <c r="F311" s="70" t="s">
        <v>71</v>
      </c>
      <c r="G311" s="71">
        <v>11008510305</v>
      </c>
      <c r="H311" s="70" t="s">
        <v>68</v>
      </c>
    </row>
    <row r="312" spans="1:8" ht="17.25" customHeight="1" x14ac:dyDescent="0.2">
      <c r="A312" s="69">
        <v>2011</v>
      </c>
      <c r="B312" s="70" t="s">
        <v>66</v>
      </c>
      <c r="C312" s="70" t="s">
        <v>27</v>
      </c>
      <c r="D312" s="70" t="s">
        <v>28</v>
      </c>
      <c r="E312" s="70" t="s">
        <v>69</v>
      </c>
      <c r="F312" s="70" t="s">
        <v>70</v>
      </c>
      <c r="G312" s="71">
        <v>14309644382</v>
      </c>
      <c r="H312" s="70" t="s">
        <v>68</v>
      </c>
    </row>
    <row r="313" spans="1:8" ht="17.25" customHeight="1" x14ac:dyDescent="0.2">
      <c r="A313" s="69">
        <v>2011</v>
      </c>
      <c r="B313" s="70" t="s">
        <v>66</v>
      </c>
      <c r="C313" s="70" t="s">
        <v>27</v>
      </c>
      <c r="D313" s="70" t="s">
        <v>29</v>
      </c>
      <c r="E313" s="70" t="s">
        <v>67</v>
      </c>
      <c r="F313" s="70" t="s">
        <v>67</v>
      </c>
      <c r="G313" s="71">
        <v>21007915738</v>
      </c>
      <c r="H313" s="70" t="s">
        <v>68</v>
      </c>
    </row>
    <row r="314" spans="1:8" ht="17.25" customHeight="1" x14ac:dyDescent="0.2">
      <c r="A314" s="69">
        <v>2011</v>
      </c>
      <c r="B314" s="70" t="s">
        <v>66</v>
      </c>
      <c r="C314" s="70" t="s">
        <v>27</v>
      </c>
      <c r="D314" s="70" t="s">
        <v>29</v>
      </c>
      <c r="E314" s="70" t="s">
        <v>69</v>
      </c>
      <c r="F314" s="70" t="s">
        <v>71</v>
      </c>
      <c r="G314" s="71">
        <v>4024709589</v>
      </c>
      <c r="H314" s="70" t="s">
        <v>68</v>
      </c>
    </row>
    <row r="315" spans="1:8" ht="17.25" customHeight="1" x14ac:dyDescent="0.2">
      <c r="A315" s="69">
        <v>2011</v>
      </c>
      <c r="B315" s="70" t="s">
        <v>66</v>
      </c>
      <c r="C315" s="70" t="s">
        <v>27</v>
      </c>
      <c r="D315" s="70" t="s">
        <v>29</v>
      </c>
      <c r="E315" s="70" t="s">
        <v>69</v>
      </c>
      <c r="F315" s="70" t="s">
        <v>70</v>
      </c>
      <c r="G315" s="71">
        <v>3515415632</v>
      </c>
      <c r="H315" s="70" t="s">
        <v>68</v>
      </c>
    </row>
    <row r="316" spans="1:8" ht="17.25" customHeight="1" x14ac:dyDescent="0.2">
      <c r="A316" s="69">
        <v>2011</v>
      </c>
      <c r="B316" s="70" t="s">
        <v>66</v>
      </c>
      <c r="C316" s="70" t="s">
        <v>27</v>
      </c>
      <c r="D316" s="70" t="s">
        <v>30</v>
      </c>
      <c r="E316" s="70" t="s">
        <v>67</v>
      </c>
      <c r="F316" s="70" t="s">
        <v>67</v>
      </c>
      <c r="G316" s="71">
        <v>41191428037</v>
      </c>
      <c r="H316" s="70" t="s">
        <v>68</v>
      </c>
    </row>
    <row r="317" spans="1:8" ht="17.25" customHeight="1" x14ac:dyDescent="0.2">
      <c r="A317" s="69">
        <v>2011</v>
      </c>
      <c r="B317" s="70" t="s">
        <v>66</v>
      </c>
      <c r="C317" s="70" t="s">
        <v>27</v>
      </c>
      <c r="D317" s="70" t="s">
        <v>30</v>
      </c>
      <c r="E317" s="70" t="s">
        <v>69</v>
      </c>
      <c r="F317" s="70" t="s">
        <v>71</v>
      </c>
      <c r="G317" s="71">
        <v>6137481642</v>
      </c>
      <c r="H317" s="70" t="s">
        <v>68</v>
      </c>
    </row>
    <row r="318" spans="1:8" ht="17.25" customHeight="1" x14ac:dyDescent="0.2">
      <c r="A318" s="69">
        <v>2011</v>
      </c>
      <c r="B318" s="70" t="s">
        <v>66</v>
      </c>
      <c r="C318" s="70" t="s">
        <v>27</v>
      </c>
      <c r="D318" s="70" t="s">
        <v>30</v>
      </c>
      <c r="E318" s="70" t="s">
        <v>69</v>
      </c>
      <c r="F318" s="70" t="s">
        <v>70</v>
      </c>
      <c r="G318" s="71">
        <v>11468457106</v>
      </c>
      <c r="H318" s="70" t="s">
        <v>68</v>
      </c>
    </row>
    <row r="319" spans="1:8" ht="17.25" customHeight="1" x14ac:dyDescent="0.2">
      <c r="A319" s="69">
        <v>2011</v>
      </c>
      <c r="B319" s="70" t="s">
        <v>66</v>
      </c>
      <c r="C319" s="70" t="s">
        <v>27</v>
      </c>
      <c r="D319" s="70" t="s">
        <v>31</v>
      </c>
      <c r="E319" s="70" t="s">
        <v>67</v>
      </c>
      <c r="F319" s="70" t="s">
        <v>67</v>
      </c>
      <c r="G319" s="71">
        <v>10144771623</v>
      </c>
      <c r="H319" s="70" t="s">
        <v>68</v>
      </c>
    </row>
    <row r="320" spans="1:8" ht="17.25" customHeight="1" x14ac:dyDescent="0.2">
      <c r="A320" s="69">
        <v>2011</v>
      </c>
      <c r="B320" s="70" t="s">
        <v>66</v>
      </c>
      <c r="C320" s="70" t="s">
        <v>27</v>
      </c>
      <c r="D320" s="70" t="s">
        <v>31</v>
      </c>
      <c r="E320" s="70" t="s">
        <v>69</v>
      </c>
      <c r="F320" s="70" t="s">
        <v>71</v>
      </c>
      <c r="G320" s="71">
        <v>2703183491</v>
      </c>
      <c r="H320" s="70" t="s">
        <v>68</v>
      </c>
    </row>
    <row r="321" spans="1:8" ht="17.25" customHeight="1" x14ac:dyDescent="0.2">
      <c r="A321" s="69">
        <v>2011</v>
      </c>
      <c r="B321" s="70" t="s">
        <v>66</v>
      </c>
      <c r="C321" s="70" t="s">
        <v>27</v>
      </c>
      <c r="D321" s="70" t="s">
        <v>31</v>
      </c>
      <c r="E321" s="70" t="s">
        <v>69</v>
      </c>
      <c r="F321" s="70" t="s">
        <v>70</v>
      </c>
      <c r="G321" s="71">
        <v>6804535434</v>
      </c>
      <c r="H321" s="70" t="s">
        <v>68</v>
      </c>
    </row>
    <row r="322" spans="1:8" ht="17.25" customHeight="1" x14ac:dyDescent="0.2">
      <c r="A322" s="69">
        <v>2011</v>
      </c>
      <c r="B322" s="70" t="s">
        <v>66</v>
      </c>
      <c r="C322" s="70" t="s">
        <v>27</v>
      </c>
      <c r="D322" s="70" t="s">
        <v>32</v>
      </c>
      <c r="E322" s="70" t="s">
        <v>67</v>
      </c>
      <c r="F322" s="70" t="s">
        <v>67</v>
      </c>
      <c r="G322" s="71">
        <v>19933474057</v>
      </c>
      <c r="H322" s="70" t="s">
        <v>68</v>
      </c>
    </row>
    <row r="323" spans="1:8" ht="17.25" customHeight="1" x14ac:dyDescent="0.2">
      <c r="A323" s="69">
        <v>2011</v>
      </c>
      <c r="B323" s="70" t="s">
        <v>66</v>
      </c>
      <c r="C323" s="70" t="s">
        <v>27</v>
      </c>
      <c r="D323" s="70" t="s">
        <v>32</v>
      </c>
      <c r="E323" s="70" t="s">
        <v>69</v>
      </c>
      <c r="F323" s="70" t="s">
        <v>71</v>
      </c>
      <c r="G323" s="71">
        <v>4768328181</v>
      </c>
      <c r="H323" s="70" t="s">
        <v>68</v>
      </c>
    </row>
    <row r="324" spans="1:8" ht="17.25" customHeight="1" x14ac:dyDescent="0.2">
      <c r="A324" s="69">
        <v>2011</v>
      </c>
      <c r="B324" s="70" t="s">
        <v>66</v>
      </c>
      <c r="C324" s="70" t="s">
        <v>27</v>
      </c>
      <c r="D324" s="70" t="s">
        <v>32</v>
      </c>
      <c r="E324" s="70" t="s">
        <v>69</v>
      </c>
      <c r="F324" s="70" t="s">
        <v>70</v>
      </c>
      <c r="G324" s="71">
        <v>3321353028</v>
      </c>
      <c r="H324" s="70" t="s">
        <v>68</v>
      </c>
    </row>
    <row r="325" spans="1:8" ht="17.25" customHeight="1" x14ac:dyDescent="0.2">
      <c r="A325" s="69">
        <v>2011</v>
      </c>
      <c r="B325" s="70" t="s">
        <v>66</v>
      </c>
      <c r="C325" s="70" t="s">
        <v>27</v>
      </c>
      <c r="D325" s="70" t="s">
        <v>33</v>
      </c>
      <c r="E325" s="70" t="s">
        <v>67</v>
      </c>
      <c r="F325" s="70" t="s">
        <v>67</v>
      </c>
      <c r="G325" s="71">
        <v>27752167029</v>
      </c>
      <c r="H325" s="70" t="s">
        <v>68</v>
      </c>
    </row>
    <row r="326" spans="1:8" ht="17.25" customHeight="1" x14ac:dyDescent="0.2">
      <c r="A326" s="69">
        <v>2011</v>
      </c>
      <c r="B326" s="70" t="s">
        <v>66</v>
      </c>
      <c r="C326" s="70" t="s">
        <v>27</v>
      </c>
      <c r="D326" s="70" t="s">
        <v>33</v>
      </c>
      <c r="E326" s="70" t="s">
        <v>69</v>
      </c>
      <c r="F326" s="70" t="s">
        <v>71</v>
      </c>
      <c r="G326" s="71">
        <v>6862077974</v>
      </c>
      <c r="H326" s="70" t="s">
        <v>68</v>
      </c>
    </row>
    <row r="327" spans="1:8" ht="17.25" customHeight="1" x14ac:dyDescent="0.2">
      <c r="A327" s="69">
        <v>2011</v>
      </c>
      <c r="B327" s="70" t="s">
        <v>66</v>
      </c>
      <c r="C327" s="70" t="s">
        <v>27</v>
      </c>
      <c r="D327" s="70" t="s">
        <v>33</v>
      </c>
      <c r="E327" s="70" t="s">
        <v>69</v>
      </c>
      <c r="F327" s="70" t="s">
        <v>70</v>
      </c>
      <c r="G327" s="71">
        <v>20661212513</v>
      </c>
      <c r="H327" s="70" t="s">
        <v>68</v>
      </c>
    </row>
    <row r="328" spans="1:8" ht="17.25" customHeight="1" x14ac:dyDescent="0.2">
      <c r="A328" s="69">
        <v>2011</v>
      </c>
      <c r="B328" s="70" t="s">
        <v>66</v>
      </c>
      <c r="C328" s="70" t="s">
        <v>35</v>
      </c>
      <c r="D328" s="70" t="s">
        <v>34</v>
      </c>
      <c r="E328" s="70" t="s">
        <v>67</v>
      </c>
      <c r="F328" s="70" t="s">
        <v>67</v>
      </c>
      <c r="G328" s="71">
        <v>8904912568</v>
      </c>
      <c r="H328" s="70" t="s">
        <v>68</v>
      </c>
    </row>
    <row r="329" spans="1:8" ht="17.25" customHeight="1" x14ac:dyDescent="0.2">
      <c r="A329" s="69">
        <v>2011</v>
      </c>
      <c r="B329" s="70" t="s">
        <v>66</v>
      </c>
      <c r="C329" s="70" t="s">
        <v>35</v>
      </c>
      <c r="D329" s="70" t="s">
        <v>34</v>
      </c>
      <c r="E329" s="70" t="s">
        <v>69</v>
      </c>
      <c r="F329" s="70" t="s">
        <v>71</v>
      </c>
      <c r="G329" s="71">
        <v>499185960</v>
      </c>
      <c r="H329" s="70" t="s">
        <v>68</v>
      </c>
    </row>
    <row r="330" spans="1:8" ht="17.25" customHeight="1" x14ac:dyDescent="0.2">
      <c r="A330" s="69">
        <v>2011</v>
      </c>
      <c r="B330" s="70" t="s">
        <v>66</v>
      </c>
      <c r="C330" s="70" t="s">
        <v>35</v>
      </c>
      <c r="D330" s="70" t="s">
        <v>34</v>
      </c>
      <c r="E330" s="70" t="s">
        <v>69</v>
      </c>
      <c r="F330" s="70" t="s">
        <v>70</v>
      </c>
      <c r="G330" s="71">
        <v>393684937</v>
      </c>
      <c r="H330" s="70" t="s">
        <v>68</v>
      </c>
    </row>
    <row r="331" spans="1:8" ht="17.25" customHeight="1" x14ac:dyDescent="0.2">
      <c r="A331" s="69">
        <v>2011</v>
      </c>
      <c r="B331" s="70" t="s">
        <v>66</v>
      </c>
      <c r="C331" s="70" t="s">
        <v>35</v>
      </c>
      <c r="D331" s="70" t="s">
        <v>36</v>
      </c>
      <c r="E331" s="70" t="s">
        <v>67</v>
      </c>
      <c r="F331" s="70" t="s">
        <v>67</v>
      </c>
      <c r="G331" s="71">
        <v>35617875698</v>
      </c>
      <c r="H331" s="70" t="s">
        <v>68</v>
      </c>
    </row>
    <row r="332" spans="1:8" ht="17.25" customHeight="1" x14ac:dyDescent="0.2">
      <c r="A332" s="69">
        <v>2011</v>
      </c>
      <c r="B332" s="70" t="s">
        <v>66</v>
      </c>
      <c r="C332" s="70" t="s">
        <v>35</v>
      </c>
      <c r="D332" s="70" t="s">
        <v>36</v>
      </c>
      <c r="E332" s="70" t="s">
        <v>69</v>
      </c>
      <c r="F332" s="70" t="s">
        <v>71</v>
      </c>
      <c r="G332" s="71">
        <v>4636790379</v>
      </c>
      <c r="H332" s="70" t="s">
        <v>68</v>
      </c>
    </row>
    <row r="333" spans="1:8" ht="17.25" customHeight="1" x14ac:dyDescent="0.2">
      <c r="A333" s="69">
        <v>2011</v>
      </c>
      <c r="B333" s="70" t="s">
        <v>66</v>
      </c>
      <c r="C333" s="70" t="s">
        <v>35</v>
      </c>
      <c r="D333" s="70" t="s">
        <v>36</v>
      </c>
      <c r="E333" s="70" t="s">
        <v>69</v>
      </c>
      <c r="F333" s="70" t="s">
        <v>70</v>
      </c>
      <c r="G333" s="71">
        <v>1977130802</v>
      </c>
      <c r="H333" s="70" t="s">
        <v>68</v>
      </c>
    </row>
    <row r="334" spans="1:8" ht="17.25" customHeight="1" x14ac:dyDescent="0.2">
      <c r="A334" s="69">
        <v>2011</v>
      </c>
      <c r="B334" s="70" t="s">
        <v>66</v>
      </c>
      <c r="C334" s="70" t="s">
        <v>35</v>
      </c>
      <c r="D334" s="70" t="s">
        <v>37</v>
      </c>
      <c r="E334" s="70" t="s">
        <v>67</v>
      </c>
      <c r="F334" s="70" t="s">
        <v>67</v>
      </c>
      <c r="G334" s="71">
        <v>3932225749</v>
      </c>
      <c r="H334" s="70" t="s">
        <v>68</v>
      </c>
    </row>
    <row r="335" spans="1:8" ht="17.25" customHeight="1" x14ac:dyDescent="0.2">
      <c r="A335" s="69">
        <v>2011</v>
      </c>
      <c r="B335" s="70" t="s">
        <v>66</v>
      </c>
      <c r="C335" s="70" t="s">
        <v>35</v>
      </c>
      <c r="D335" s="70" t="s">
        <v>37</v>
      </c>
      <c r="E335" s="70" t="s">
        <v>69</v>
      </c>
      <c r="F335" s="70" t="s">
        <v>71</v>
      </c>
      <c r="G335" s="71">
        <v>396453918</v>
      </c>
      <c r="H335" s="70" t="s">
        <v>68</v>
      </c>
    </row>
    <row r="336" spans="1:8" ht="17.25" customHeight="1" x14ac:dyDescent="0.2">
      <c r="A336" s="69">
        <v>2011</v>
      </c>
      <c r="B336" s="70" t="s">
        <v>66</v>
      </c>
      <c r="C336" s="70" t="s">
        <v>35</v>
      </c>
      <c r="D336" s="70" t="s">
        <v>37</v>
      </c>
      <c r="E336" s="70" t="s">
        <v>69</v>
      </c>
      <c r="F336" s="70" t="s">
        <v>70</v>
      </c>
      <c r="G336" s="71">
        <v>739024752</v>
      </c>
      <c r="H336" s="70" t="s">
        <v>68</v>
      </c>
    </row>
    <row r="337" spans="1:8" ht="17.25" customHeight="1" x14ac:dyDescent="0.2">
      <c r="A337" s="69">
        <v>2011</v>
      </c>
      <c r="B337" s="70" t="s">
        <v>66</v>
      </c>
      <c r="C337" s="70" t="s">
        <v>35</v>
      </c>
      <c r="D337" s="70" t="s">
        <v>38</v>
      </c>
      <c r="E337" s="70" t="s">
        <v>67</v>
      </c>
      <c r="F337" s="70" t="s">
        <v>67</v>
      </c>
      <c r="G337" s="71">
        <v>8373958686</v>
      </c>
      <c r="H337" s="70" t="s">
        <v>68</v>
      </c>
    </row>
    <row r="338" spans="1:8" ht="17.25" customHeight="1" x14ac:dyDescent="0.2">
      <c r="A338" s="69">
        <v>2011</v>
      </c>
      <c r="B338" s="70" t="s">
        <v>66</v>
      </c>
      <c r="C338" s="70" t="s">
        <v>35</v>
      </c>
      <c r="D338" s="70" t="s">
        <v>38</v>
      </c>
      <c r="E338" s="70" t="s">
        <v>69</v>
      </c>
      <c r="F338" s="70" t="s">
        <v>71</v>
      </c>
      <c r="G338" s="71">
        <v>783783896</v>
      </c>
      <c r="H338" s="70" t="s">
        <v>68</v>
      </c>
    </row>
    <row r="339" spans="1:8" ht="17.25" customHeight="1" x14ac:dyDescent="0.2">
      <c r="A339" s="69">
        <v>2011</v>
      </c>
      <c r="B339" s="70" t="s">
        <v>66</v>
      </c>
      <c r="C339" s="70" t="s">
        <v>35</v>
      </c>
      <c r="D339" s="70" t="s">
        <v>38</v>
      </c>
      <c r="E339" s="70" t="s">
        <v>69</v>
      </c>
      <c r="F339" s="70" t="s">
        <v>70</v>
      </c>
      <c r="G339" s="71">
        <v>651940152</v>
      </c>
      <c r="H339" s="70" t="s">
        <v>68</v>
      </c>
    </row>
    <row r="340" spans="1:8" ht="17.25" customHeight="1" x14ac:dyDescent="0.2">
      <c r="A340" s="69">
        <v>2011</v>
      </c>
      <c r="B340" s="70" t="s">
        <v>66</v>
      </c>
      <c r="C340" s="70" t="s">
        <v>35</v>
      </c>
      <c r="D340" s="70" t="s">
        <v>39</v>
      </c>
      <c r="E340" s="70" t="s">
        <v>67</v>
      </c>
      <c r="F340" s="70" t="s">
        <v>67</v>
      </c>
      <c r="G340" s="71">
        <v>17779907338</v>
      </c>
      <c r="H340" s="70" t="s">
        <v>68</v>
      </c>
    </row>
    <row r="341" spans="1:8" ht="17.25" customHeight="1" x14ac:dyDescent="0.2">
      <c r="A341" s="69">
        <v>2011</v>
      </c>
      <c r="B341" s="70" t="s">
        <v>66</v>
      </c>
      <c r="C341" s="70" t="s">
        <v>35</v>
      </c>
      <c r="D341" s="70" t="s">
        <v>39</v>
      </c>
      <c r="E341" s="70" t="s">
        <v>69</v>
      </c>
      <c r="F341" s="70" t="s">
        <v>71</v>
      </c>
      <c r="G341" s="71">
        <v>2767342480</v>
      </c>
      <c r="H341" s="70" t="s">
        <v>68</v>
      </c>
    </row>
    <row r="342" spans="1:8" ht="17.25" customHeight="1" x14ac:dyDescent="0.2">
      <c r="A342" s="69">
        <v>2011</v>
      </c>
      <c r="B342" s="70" t="s">
        <v>66</v>
      </c>
      <c r="C342" s="70" t="s">
        <v>35</v>
      </c>
      <c r="D342" s="70" t="s">
        <v>39</v>
      </c>
      <c r="E342" s="70" t="s">
        <v>69</v>
      </c>
      <c r="F342" s="70" t="s">
        <v>70</v>
      </c>
      <c r="G342" s="71">
        <v>1472486038</v>
      </c>
      <c r="H342" s="70" t="s">
        <v>68</v>
      </c>
    </row>
    <row r="343" spans="1:8" ht="17.25" customHeight="1" x14ac:dyDescent="0.2">
      <c r="A343" s="69">
        <v>2011</v>
      </c>
      <c r="B343" s="70" t="s">
        <v>66</v>
      </c>
      <c r="C343" s="70" t="s">
        <v>41</v>
      </c>
      <c r="D343" s="70" t="s">
        <v>40</v>
      </c>
      <c r="E343" s="70" t="s">
        <v>67</v>
      </c>
      <c r="F343" s="70" t="s">
        <v>67</v>
      </c>
      <c r="G343" s="71">
        <v>5817666121</v>
      </c>
      <c r="H343" s="70" t="s">
        <v>68</v>
      </c>
    </row>
    <row r="344" spans="1:8" ht="17.25" customHeight="1" x14ac:dyDescent="0.2">
      <c r="A344" s="69">
        <v>2011</v>
      </c>
      <c r="B344" s="70" t="s">
        <v>66</v>
      </c>
      <c r="C344" s="70" t="s">
        <v>41</v>
      </c>
      <c r="D344" s="70" t="s">
        <v>40</v>
      </c>
      <c r="E344" s="70" t="s">
        <v>69</v>
      </c>
      <c r="F344" s="70" t="s">
        <v>71</v>
      </c>
      <c r="G344" s="71">
        <v>262927050</v>
      </c>
      <c r="H344" s="70" t="s">
        <v>68</v>
      </c>
    </row>
    <row r="345" spans="1:8" ht="17.25" customHeight="1" x14ac:dyDescent="0.2">
      <c r="A345" s="69">
        <v>2011</v>
      </c>
      <c r="B345" s="70" t="s">
        <v>66</v>
      </c>
      <c r="C345" s="70" t="s">
        <v>41</v>
      </c>
      <c r="D345" s="70" t="s">
        <v>40</v>
      </c>
      <c r="E345" s="70" t="s">
        <v>69</v>
      </c>
      <c r="F345" s="70" t="s">
        <v>70</v>
      </c>
      <c r="G345" s="71">
        <v>232353495</v>
      </c>
      <c r="H345" s="70" t="s">
        <v>68</v>
      </c>
    </row>
    <row r="346" spans="1:8" ht="17.25" customHeight="1" x14ac:dyDescent="0.2">
      <c r="A346" s="69">
        <v>2011</v>
      </c>
      <c r="B346" s="70" t="s">
        <v>66</v>
      </c>
      <c r="C346" s="70" t="s">
        <v>41</v>
      </c>
      <c r="D346" s="70" t="s">
        <v>42</v>
      </c>
      <c r="E346" s="70" t="s">
        <v>67</v>
      </c>
      <c r="F346" s="70" t="s">
        <v>67</v>
      </c>
      <c r="G346" s="71">
        <v>5492586540</v>
      </c>
      <c r="H346" s="70" t="s">
        <v>68</v>
      </c>
    </row>
    <row r="347" spans="1:8" ht="17.25" customHeight="1" x14ac:dyDescent="0.2">
      <c r="A347" s="69">
        <v>2011</v>
      </c>
      <c r="B347" s="70" t="s">
        <v>66</v>
      </c>
      <c r="C347" s="70" t="s">
        <v>41</v>
      </c>
      <c r="D347" s="70" t="s">
        <v>42</v>
      </c>
      <c r="E347" s="70" t="s">
        <v>69</v>
      </c>
      <c r="F347" s="70" t="s">
        <v>71</v>
      </c>
      <c r="G347" s="71">
        <v>464030722</v>
      </c>
      <c r="H347" s="70" t="s">
        <v>68</v>
      </c>
    </row>
    <row r="348" spans="1:8" ht="17.25" customHeight="1" x14ac:dyDescent="0.2">
      <c r="A348" s="69">
        <v>2011</v>
      </c>
      <c r="B348" s="70" t="s">
        <v>66</v>
      </c>
      <c r="C348" s="70" t="s">
        <v>41</v>
      </c>
      <c r="D348" s="70" t="s">
        <v>42</v>
      </c>
      <c r="E348" s="70" t="s">
        <v>69</v>
      </c>
      <c r="F348" s="70" t="s">
        <v>70</v>
      </c>
      <c r="G348" s="71">
        <v>685959441</v>
      </c>
      <c r="H348" s="70" t="s">
        <v>68</v>
      </c>
    </row>
    <row r="349" spans="1:8" ht="17.25" customHeight="1" x14ac:dyDescent="0.2">
      <c r="A349" s="69">
        <v>2011</v>
      </c>
      <c r="B349" s="70" t="s">
        <v>66</v>
      </c>
      <c r="C349" s="70" t="s">
        <v>41</v>
      </c>
      <c r="D349" s="70" t="s">
        <v>43</v>
      </c>
      <c r="E349" s="70" t="s">
        <v>67</v>
      </c>
      <c r="F349" s="70" t="s">
        <v>67</v>
      </c>
      <c r="G349" s="71">
        <v>6899632532</v>
      </c>
      <c r="H349" s="70" t="s">
        <v>68</v>
      </c>
    </row>
    <row r="350" spans="1:8" ht="17.25" customHeight="1" x14ac:dyDescent="0.2">
      <c r="A350" s="69">
        <v>2011</v>
      </c>
      <c r="B350" s="70" t="s">
        <v>66</v>
      </c>
      <c r="C350" s="70" t="s">
        <v>41</v>
      </c>
      <c r="D350" s="70" t="s">
        <v>43</v>
      </c>
      <c r="E350" s="70" t="s">
        <v>69</v>
      </c>
      <c r="F350" s="70" t="s">
        <v>71</v>
      </c>
      <c r="G350" s="71">
        <v>436190883</v>
      </c>
      <c r="H350" s="70" t="s">
        <v>68</v>
      </c>
    </row>
    <row r="351" spans="1:8" ht="17.25" customHeight="1" x14ac:dyDescent="0.2">
      <c r="A351" s="69">
        <v>2011</v>
      </c>
      <c r="B351" s="70" t="s">
        <v>66</v>
      </c>
      <c r="C351" s="70" t="s">
        <v>41</v>
      </c>
      <c r="D351" s="70" t="s">
        <v>43</v>
      </c>
      <c r="E351" s="70" t="s">
        <v>69</v>
      </c>
      <c r="F351" s="70" t="s">
        <v>70</v>
      </c>
      <c r="G351" s="71">
        <v>488561810</v>
      </c>
      <c r="H351" s="70" t="s">
        <v>68</v>
      </c>
    </row>
    <row r="352" spans="1:8" ht="17.25" customHeight="1" x14ac:dyDescent="0.2">
      <c r="A352" s="69">
        <v>2011</v>
      </c>
      <c r="B352" s="70" t="s">
        <v>66</v>
      </c>
      <c r="C352" s="70" t="s">
        <v>41</v>
      </c>
      <c r="D352" s="70" t="s">
        <v>44</v>
      </c>
      <c r="E352" s="70" t="s">
        <v>67</v>
      </c>
      <c r="F352" s="70" t="s">
        <v>67</v>
      </c>
      <c r="G352" s="71">
        <v>8283814364</v>
      </c>
      <c r="H352" s="70" t="s">
        <v>68</v>
      </c>
    </row>
    <row r="353" spans="1:9" ht="17.25" customHeight="1" x14ac:dyDescent="0.2">
      <c r="A353" s="69">
        <v>2011</v>
      </c>
      <c r="B353" s="70" t="s">
        <v>66</v>
      </c>
      <c r="C353" s="70" t="s">
        <v>41</v>
      </c>
      <c r="D353" s="70" t="s">
        <v>44</v>
      </c>
      <c r="E353" s="70" t="s">
        <v>69</v>
      </c>
      <c r="F353" s="70" t="s">
        <v>71</v>
      </c>
      <c r="G353" s="71">
        <v>792176611</v>
      </c>
      <c r="H353" s="70" t="s">
        <v>68</v>
      </c>
    </row>
    <row r="354" spans="1:9" ht="17.25" customHeight="1" x14ac:dyDescent="0.2">
      <c r="A354" s="69">
        <v>2011</v>
      </c>
      <c r="B354" s="70" t="s">
        <v>66</v>
      </c>
      <c r="C354" s="70" t="s">
        <v>41</v>
      </c>
      <c r="D354" s="70" t="s">
        <v>44</v>
      </c>
      <c r="E354" s="70" t="s">
        <v>69</v>
      </c>
      <c r="F354" s="70" t="s">
        <v>70</v>
      </c>
      <c r="G354" s="71">
        <v>592002270</v>
      </c>
      <c r="H354" s="70" t="s">
        <v>68</v>
      </c>
    </row>
    <row r="355" spans="1:9" ht="17.25" customHeight="1" x14ac:dyDescent="0.2">
      <c r="A355" s="69">
        <v>2011</v>
      </c>
      <c r="B355" s="70" t="s">
        <v>66</v>
      </c>
      <c r="C355" s="70" t="s">
        <v>41</v>
      </c>
      <c r="D355" s="70" t="s">
        <v>45</v>
      </c>
      <c r="E355" s="70" t="s">
        <v>67</v>
      </c>
      <c r="F355" s="70" t="s">
        <v>67</v>
      </c>
      <c r="G355" s="71">
        <v>20855350280</v>
      </c>
      <c r="H355" s="70" t="s">
        <v>68</v>
      </c>
    </row>
    <row r="356" spans="1:9" ht="17.25" customHeight="1" x14ac:dyDescent="0.2">
      <c r="A356" s="69">
        <v>2011</v>
      </c>
      <c r="B356" s="70" t="s">
        <v>66</v>
      </c>
      <c r="C356" s="70" t="s">
        <v>41</v>
      </c>
      <c r="D356" s="70" t="s">
        <v>45</v>
      </c>
      <c r="E356" s="70" t="s">
        <v>69</v>
      </c>
      <c r="F356" s="70" t="s">
        <v>71</v>
      </c>
      <c r="G356" s="71">
        <v>2202828645</v>
      </c>
      <c r="H356" s="70" t="s">
        <v>68</v>
      </c>
    </row>
    <row r="357" spans="1:9" ht="17.25" customHeight="1" x14ac:dyDescent="0.2">
      <c r="A357" s="69">
        <v>2011</v>
      </c>
      <c r="B357" s="70" t="s">
        <v>66</v>
      </c>
      <c r="C357" s="70" t="s">
        <v>41</v>
      </c>
      <c r="D357" s="70" t="s">
        <v>45</v>
      </c>
      <c r="E357" s="70" t="s">
        <v>69</v>
      </c>
      <c r="F357" s="70" t="s">
        <v>70</v>
      </c>
      <c r="G357" s="71">
        <v>2957335569</v>
      </c>
      <c r="H357" s="70" t="s">
        <v>68</v>
      </c>
    </row>
    <row r="358" spans="1:9" ht="17.25" customHeight="1" x14ac:dyDescent="0.2">
      <c r="A358" s="69">
        <v>2011</v>
      </c>
      <c r="B358" s="70" t="s">
        <v>66</v>
      </c>
      <c r="C358" s="70" t="s">
        <v>47</v>
      </c>
      <c r="D358" s="70" t="s">
        <v>46</v>
      </c>
      <c r="E358" s="70" t="s">
        <v>67</v>
      </c>
      <c r="F358" s="70" t="s">
        <v>67</v>
      </c>
      <c r="G358" s="71">
        <v>21276656031</v>
      </c>
      <c r="H358" s="70" t="s">
        <v>68</v>
      </c>
    </row>
    <row r="359" spans="1:9" ht="17.25" customHeight="1" x14ac:dyDescent="0.2">
      <c r="A359" s="69">
        <v>2011</v>
      </c>
      <c r="B359" s="70" t="s">
        <v>66</v>
      </c>
      <c r="C359" s="70" t="s">
        <v>47</v>
      </c>
      <c r="D359" s="70" t="s">
        <v>46</v>
      </c>
      <c r="E359" s="70" t="s">
        <v>69</v>
      </c>
      <c r="F359" s="70" t="s">
        <v>71</v>
      </c>
      <c r="G359" s="71">
        <v>3473627739</v>
      </c>
      <c r="H359" s="70" t="s">
        <v>68</v>
      </c>
    </row>
    <row r="360" spans="1:9" ht="17.25" customHeight="1" x14ac:dyDescent="0.2">
      <c r="A360" s="69">
        <v>2011</v>
      </c>
      <c r="B360" s="70" t="s">
        <v>66</v>
      </c>
      <c r="C360" s="70" t="s">
        <v>47</v>
      </c>
      <c r="D360" s="70" t="s">
        <v>46</v>
      </c>
      <c r="E360" s="70" t="s">
        <v>69</v>
      </c>
      <c r="F360" s="70" t="s">
        <v>70</v>
      </c>
      <c r="G360" s="71">
        <v>8519411566</v>
      </c>
      <c r="H360" s="70" t="s">
        <v>68</v>
      </c>
    </row>
    <row r="361" spans="1:9" ht="17.25" customHeight="1" x14ac:dyDescent="0.2">
      <c r="A361" s="69">
        <v>2011</v>
      </c>
      <c r="B361" s="70" t="s">
        <v>66</v>
      </c>
      <c r="C361" s="70" t="s">
        <v>47</v>
      </c>
      <c r="D361" s="70" t="s">
        <v>48</v>
      </c>
      <c r="E361" s="70" t="s">
        <v>72</v>
      </c>
      <c r="F361" s="70" t="s">
        <v>73</v>
      </c>
      <c r="G361" s="71">
        <v>80354494244</v>
      </c>
      <c r="H361" s="70" t="s">
        <v>68</v>
      </c>
      <c r="I361" s="72">
        <f t="shared" ref="I361:I364" si="1">G361/G240-1</f>
        <v>6.9477374981883777E-2</v>
      </c>
    </row>
    <row r="362" spans="1:9" ht="17.25" customHeight="1" x14ac:dyDescent="0.2">
      <c r="A362" s="69">
        <v>2011</v>
      </c>
      <c r="B362" s="70" t="s">
        <v>66</v>
      </c>
      <c r="C362" s="70" t="s">
        <v>47</v>
      </c>
      <c r="D362" s="70" t="s">
        <v>48</v>
      </c>
      <c r="E362" s="70" t="s">
        <v>67</v>
      </c>
      <c r="F362" s="70" t="s">
        <v>74</v>
      </c>
      <c r="G362" s="71">
        <v>87577196761</v>
      </c>
      <c r="H362" s="70" t="s">
        <v>68</v>
      </c>
      <c r="I362" s="72">
        <f t="shared" si="1"/>
        <v>0.1006051809199271</v>
      </c>
    </row>
    <row r="363" spans="1:9" ht="17.25" customHeight="1" x14ac:dyDescent="0.2">
      <c r="A363" s="69">
        <v>2011</v>
      </c>
      <c r="B363" s="70" t="s">
        <v>66</v>
      </c>
      <c r="C363" s="70" t="s">
        <v>47</v>
      </c>
      <c r="D363" s="70" t="s">
        <v>48</v>
      </c>
      <c r="E363" s="70" t="s">
        <v>69</v>
      </c>
      <c r="F363" s="70" t="s">
        <v>71</v>
      </c>
      <c r="G363" s="71">
        <v>40352794300</v>
      </c>
      <c r="H363" s="70" t="s">
        <v>68</v>
      </c>
      <c r="I363" s="72">
        <f t="shared" si="1"/>
        <v>2.2230618230416832E-2</v>
      </c>
    </row>
    <row r="364" spans="1:9" ht="17.25" customHeight="1" x14ac:dyDescent="0.2">
      <c r="A364" s="69">
        <v>2011</v>
      </c>
      <c r="B364" s="70" t="s">
        <v>66</v>
      </c>
      <c r="C364" s="70" t="s">
        <v>47</v>
      </c>
      <c r="D364" s="70" t="s">
        <v>48</v>
      </c>
      <c r="E364" s="70" t="s">
        <v>69</v>
      </c>
      <c r="F364" s="70" t="s">
        <v>70</v>
      </c>
      <c r="G364" s="71">
        <v>71347634853</v>
      </c>
      <c r="H364" s="70" t="s">
        <v>68</v>
      </c>
      <c r="I364" s="72">
        <f t="shared" si="1"/>
        <v>0.17882948378880492</v>
      </c>
    </row>
    <row r="365" spans="1:9" ht="17.25" customHeight="1" x14ac:dyDescent="0.2">
      <c r="A365" s="69">
        <v>2012</v>
      </c>
      <c r="B365" s="70" t="s">
        <v>66</v>
      </c>
      <c r="C365" s="70" t="s">
        <v>4</v>
      </c>
      <c r="D365" s="70" t="s">
        <v>3</v>
      </c>
      <c r="E365" s="70" t="s">
        <v>67</v>
      </c>
      <c r="F365" s="70" t="s">
        <v>67</v>
      </c>
      <c r="G365" s="71">
        <v>22595873742</v>
      </c>
      <c r="H365" s="70" t="s">
        <v>68</v>
      </c>
    </row>
    <row r="366" spans="1:9" ht="17.25" customHeight="1" x14ac:dyDescent="0.2">
      <c r="A366" s="69">
        <v>2012</v>
      </c>
      <c r="B366" s="70" t="s">
        <v>66</v>
      </c>
      <c r="C366" s="70" t="s">
        <v>4</v>
      </c>
      <c r="D366" s="70" t="s">
        <v>3</v>
      </c>
      <c r="E366" s="70" t="s">
        <v>69</v>
      </c>
      <c r="F366" s="70" t="s">
        <v>71</v>
      </c>
      <c r="G366" s="71">
        <v>2889682468</v>
      </c>
      <c r="H366" s="70" t="s">
        <v>68</v>
      </c>
    </row>
    <row r="367" spans="1:9" ht="17.25" customHeight="1" x14ac:dyDescent="0.2">
      <c r="A367" s="69">
        <v>2012</v>
      </c>
      <c r="B367" s="70" t="s">
        <v>66</v>
      </c>
      <c r="C367" s="70" t="s">
        <v>4</v>
      </c>
      <c r="D367" s="70" t="s">
        <v>3</v>
      </c>
      <c r="E367" s="70" t="s">
        <v>69</v>
      </c>
      <c r="F367" s="70" t="s">
        <v>70</v>
      </c>
      <c r="G367" s="71">
        <v>9412593961</v>
      </c>
      <c r="H367" s="70" t="s">
        <v>68</v>
      </c>
    </row>
    <row r="368" spans="1:9" ht="17.25" customHeight="1" x14ac:dyDescent="0.2">
      <c r="A368" s="69">
        <v>2012</v>
      </c>
      <c r="B368" s="70" t="s">
        <v>66</v>
      </c>
      <c r="C368" s="70" t="s">
        <v>4</v>
      </c>
      <c r="D368" s="70" t="s">
        <v>5</v>
      </c>
      <c r="E368" s="70" t="s">
        <v>67</v>
      </c>
      <c r="F368" s="70" t="s">
        <v>67</v>
      </c>
      <c r="G368" s="71">
        <v>93602618112</v>
      </c>
      <c r="H368" s="70" t="s">
        <v>68</v>
      </c>
    </row>
    <row r="369" spans="1:8" ht="17.25" customHeight="1" x14ac:dyDescent="0.2">
      <c r="A369" s="69">
        <v>2012</v>
      </c>
      <c r="B369" s="70" t="s">
        <v>66</v>
      </c>
      <c r="C369" s="70" t="s">
        <v>4</v>
      </c>
      <c r="D369" s="70" t="s">
        <v>5</v>
      </c>
      <c r="E369" s="70" t="s">
        <v>69</v>
      </c>
      <c r="F369" s="70" t="s">
        <v>71</v>
      </c>
      <c r="G369" s="71">
        <v>7590458432</v>
      </c>
      <c r="H369" s="70" t="s">
        <v>68</v>
      </c>
    </row>
    <row r="370" spans="1:8" ht="17.25" customHeight="1" x14ac:dyDescent="0.2">
      <c r="A370" s="69">
        <v>2012</v>
      </c>
      <c r="B370" s="70" t="s">
        <v>66</v>
      </c>
      <c r="C370" s="70" t="s">
        <v>4</v>
      </c>
      <c r="D370" s="70" t="s">
        <v>5</v>
      </c>
      <c r="E370" s="70" t="s">
        <v>69</v>
      </c>
      <c r="F370" s="70" t="s">
        <v>70</v>
      </c>
      <c r="G370" s="71">
        <v>6731243887</v>
      </c>
      <c r="H370" s="70" t="s">
        <v>68</v>
      </c>
    </row>
    <row r="371" spans="1:8" ht="17.25" customHeight="1" x14ac:dyDescent="0.2">
      <c r="A371" s="69">
        <v>2012</v>
      </c>
      <c r="B371" s="70" t="s">
        <v>66</v>
      </c>
      <c r="C371" s="70" t="s">
        <v>4</v>
      </c>
      <c r="D371" s="70" t="s">
        <v>6</v>
      </c>
      <c r="E371" s="70" t="s">
        <v>67</v>
      </c>
      <c r="F371" s="70" t="s">
        <v>67</v>
      </c>
      <c r="G371" s="71">
        <v>12457882294</v>
      </c>
      <c r="H371" s="70" t="s">
        <v>68</v>
      </c>
    </row>
    <row r="372" spans="1:8" ht="17.25" customHeight="1" x14ac:dyDescent="0.2">
      <c r="A372" s="69">
        <v>2012</v>
      </c>
      <c r="B372" s="70" t="s">
        <v>66</v>
      </c>
      <c r="C372" s="70" t="s">
        <v>4</v>
      </c>
      <c r="D372" s="70" t="s">
        <v>6</v>
      </c>
      <c r="E372" s="70" t="s">
        <v>69</v>
      </c>
      <c r="F372" s="70" t="s">
        <v>71</v>
      </c>
      <c r="G372" s="71">
        <v>362091696</v>
      </c>
      <c r="H372" s="70" t="s">
        <v>68</v>
      </c>
    </row>
    <row r="373" spans="1:8" ht="17.25" customHeight="1" x14ac:dyDescent="0.2">
      <c r="A373" s="69">
        <v>2012</v>
      </c>
      <c r="B373" s="70" t="s">
        <v>66</v>
      </c>
      <c r="C373" s="70" t="s">
        <v>4</v>
      </c>
      <c r="D373" s="70" t="s">
        <v>6</v>
      </c>
      <c r="E373" s="70" t="s">
        <v>69</v>
      </c>
      <c r="F373" s="70" t="s">
        <v>70</v>
      </c>
      <c r="G373" s="71">
        <v>883639439</v>
      </c>
      <c r="H373" s="70" t="s">
        <v>68</v>
      </c>
    </row>
    <row r="374" spans="1:8" ht="17.25" customHeight="1" x14ac:dyDescent="0.2">
      <c r="A374" s="69">
        <v>2012</v>
      </c>
      <c r="B374" s="70" t="s">
        <v>66</v>
      </c>
      <c r="C374" s="70" t="s">
        <v>4</v>
      </c>
      <c r="D374" s="70" t="s">
        <v>7</v>
      </c>
      <c r="E374" s="70" t="s">
        <v>67</v>
      </c>
      <c r="F374" s="70" t="s">
        <v>67</v>
      </c>
      <c r="G374" s="71">
        <v>16445966960</v>
      </c>
      <c r="H374" s="70" t="s">
        <v>68</v>
      </c>
    </row>
    <row r="375" spans="1:8" ht="17.25" customHeight="1" x14ac:dyDescent="0.2">
      <c r="A375" s="69">
        <v>2012</v>
      </c>
      <c r="B375" s="70" t="s">
        <v>66</v>
      </c>
      <c r="C375" s="70" t="s">
        <v>4</v>
      </c>
      <c r="D375" s="70" t="s">
        <v>7</v>
      </c>
      <c r="E375" s="70" t="s">
        <v>69</v>
      </c>
      <c r="F375" s="70" t="s">
        <v>71</v>
      </c>
      <c r="G375" s="71">
        <v>2250564953</v>
      </c>
      <c r="H375" s="70" t="s">
        <v>68</v>
      </c>
    </row>
    <row r="376" spans="1:8" ht="17.25" customHeight="1" x14ac:dyDescent="0.2">
      <c r="A376" s="69">
        <v>2012</v>
      </c>
      <c r="B376" s="70" t="s">
        <v>66</v>
      </c>
      <c r="C376" s="70" t="s">
        <v>4</v>
      </c>
      <c r="D376" s="70" t="s">
        <v>7</v>
      </c>
      <c r="E376" s="70" t="s">
        <v>69</v>
      </c>
      <c r="F376" s="70" t="s">
        <v>70</v>
      </c>
      <c r="G376" s="71">
        <v>3698330746</v>
      </c>
      <c r="H376" s="70" t="s">
        <v>68</v>
      </c>
    </row>
    <row r="377" spans="1:8" ht="17.25" customHeight="1" x14ac:dyDescent="0.2">
      <c r="A377" s="69">
        <v>2012</v>
      </c>
      <c r="B377" s="70" t="s">
        <v>66</v>
      </c>
      <c r="C377" s="70" t="s">
        <v>4</v>
      </c>
      <c r="D377" s="70" t="s">
        <v>8</v>
      </c>
      <c r="E377" s="70" t="s">
        <v>67</v>
      </c>
      <c r="F377" s="70" t="s">
        <v>67</v>
      </c>
      <c r="G377" s="71">
        <v>9925204142</v>
      </c>
      <c r="H377" s="70" t="s">
        <v>68</v>
      </c>
    </row>
    <row r="378" spans="1:8" ht="17.25" customHeight="1" x14ac:dyDescent="0.2">
      <c r="A378" s="69">
        <v>2012</v>
      </c>
      <c r="B378" s="70" t="s">
        <v>66</v>
      </c>
      <c r="C378" s="70" t="s">
        <v>4</v>
      </c>
      <c r="D378" s="70" t="s">
        <v>8</v>
      </c>
      <c r="E378" s="70" t="s">
        <v>69</v>
      </c>
      <c r="F378" s="70" t="s">
        <v>71</v>
      </c>
      <c r="G378" s="71">
        <v>170861491</v>
      </c>
      <c r="H378" s="70" t="s">
        <v>68</v>
      </c>
    </row>
    <row r="379" spans="1:8" ht="17.25" customHeight="1" x14ac:dyDescent="0.2">
      <c r="A379" s="69">
        <v>2012</v>
      </c>
      <c r="B379" s="70" t="s">
        <v>66</v>
      </c>
      <c r="C379" s="70" t="s">
        <v>4</v>
      </c>
      <c r="D379" s="70" t="s">
        <v>8</v>
      </c>
      <c r="E379" s="70" t="s">
        <v>69</v>
      </c>
      <c r="F379" s="70" t="s">
        <v>70</v>
      </c>
      <c r="G379" s="71">
        <v>613603630</v>
      </c>
      <c r="H379" s="70" t="s">
        <v>68</v>
      </c>
    </row>
    <row r="380" spans="1:8" ht="17.25" customHeight="1" x14ac:dyDescent="0.2">
      <c r="A380" s="69">
        <v>2012</v>
      </c>
      <c r="B380" s="70" t="s">
        <v>66</v>
      </c>
      <c r="C380" s="70" t="s">
        <v>4</v>
      </c>
      <c r="D380" s="70" t="s">
        <v>9</v>
      </c>
      <c r="E380" s="70" t="s">
        <v>67</v>
      </c>
      <c r="F380" s="70" t="s">
        <v>67</v>
      </c>
      <c r="G380" s="71">
        <v>73165912352</v>
      </c>
      <c r="H380" s="70" t="s">
        <v>68</v>
      </c>
    </row>
    <row r="381" spans="1:8" ht="17.25" customHeight="1" x14ac:dyDescent="0.2">
      <c r="A381" s="69">
        <v>2012</v>
      </c>
      <c r="B381" s="70" t="s">
        <v>66</v>
      </c>
      <c r="C381" s="70" t="s">
        <v>4</v>
      </c>
      <c r="D381" s="70" t="s">
        <v>9</v>
      </c>
      <c r="E381" s="70" t="s">
        <v>69</v>
      </c>
      <c r="F381" s="70" t="s">
        <v>71</v>
      </c>
      <c r="G381" s="71">
        <v>12383915282</v>
      </c>
      <c r="H381" s="70" t="s">
        <v>68</v>
      </c>
    </row>
    <row r="382" spans="1:8" ht="17.25" customHeight="1" x14ac:dyDescent="0.2">
      <c r="A382" s="69">
        <v>2012</v>
      </c>
      <c r="B382" s="70" t="s">
        <v>66</v>
      </c>
      <c r="C382" s="70" t="s">
        <v>4</v>
      </c>
      <c r="D382" s="70" t="s">
        <v>9</v>
      </c>
      <c r="E382" s="70" t="s">
        <v>69</v>
      </c>
      <c r="F382" s="70" t="s">
        <v>70</v>
      </c>
      <c r="G382" s="71">
        <v>20043997748</v>
      </c>
      <c r="H382" s="70" t="s">
        <v>68</v>
      </c>
    </row>
    <row r="383" spans="1:8" ht="17.25" customHeight="1" x14ac:dyDescent="0.2">
      <c r="A383" s="69">
        <v>2012</v>
      </c>
      <c r="B383" s="70" t="s">
        <v>66</v>
      </c>
      <c r="C383" s="70" t="s">
        <v>4</v>
      </c>
      <c r="D383" s="70" t="s">
        <v>10</v>
      </c>
      <c r="E383" s="70" t="s">
        <v>67</v>
      </c>
      <c r="F383" s="70" t="s">
        <v>67</v>
      </c>
      <c r="G383" s="71">
        <v>781650543</v>
      </c>
      <c r="H383" s="70" t="s">
        <v>68</v>
      </c>
    </row>
    <row r="384" spans="1:8" ht="17.25" customHeight="1" x14ac:dyDescent="0.2">
      <c r="A384" s="69">
        <v>2012</v>
      </c>
      <c r="B384" s="70" t="s">
        <v>66</v>
      </c>
      <c r="C384" s="70" t="s">
        <v>4</v>
      </c>
      <c r="D384" s="70" t="s">
        <v>10</v>
      </c>
      <c r="E384" s="70" t="s">
        <v>69</v>
      </c>
      <c r="F384" s="70" t="s">
        <v>71</v>
      </c>
      <c r="G384" s="71">
        <v>28797652</v>
      </c>
      <c r="H384" s="70" t="s">
        <v>68</v>
      </c>
    </row>
    <row r="385" spans="1:8" ht="17.25" customHeight="1" x14ac:dyDescent="0.2">
      <c r="A385" s="69">
        <v>2012</v>
      </c>
      <c r="B385" s="70" t="s">
        <v>66</v>
      </c>
      <c r="C385" s="70" t="s">
        <v>4</v>
      </c>
      <c r="D385" s="70" t="s">
        <v>10</v>
      </c>
      <c r="E385" s="70" t="s">
        <v>69</v>
      </c>
      <c r="F385" s="70" t="s">
        <v>70</v>
      </c>
      <c r="G385" s="71">
        <v>12341851</v>
      </c>
      <c r="H385" s="70" t="s">
        <v>68</v>
      </c>
    </row>
    <row r="386" spans="1:8" ht="17.25" customHeight="1" x14ac:dyDescent="0.2">
      <c r="A386" s="69">
        <v>2012</v>
      </c>
      <c r="B386" s="70" t="s">
        <v>66</v>
      </c>
      <c r="C386" s="70" t="s">
        <v>4</v>
      </c>
      <c r="D386" s="70" t="s">
        <v>11</v>
      </c>
      <c r="E386" s="70" t="s">
        <v>67</v>
      </c>
      <c r="F386" s="70" t="s">
        <v>67</v>
      </c>
      <c r="G386" s="71">
        <v>6227992734</v>
      </c>
      <c r="H386" s="70" t="s">
        <v>68</v>
      </c>
    </row>
    <row r="387" spans="1:8" ht="17.25" customHeight="1" x14ac:dyDescent="0.2">
      <c r="A387" s="69">
        <v>2012</v>
      </c>
      <c r="B387" s="70" t="s">
        <v>66</v>
      </c>
      <c r="C387" s="70" t="s">
        <v>4</v>
      </c>
      <c r="D387" s="70" t="s">
        <v>11</v>
      </c>
      <c r="E387" s="70" t="s">
        <v>69</v>
      </c>
      <c r="F387" s="70" t="s">
        <v>71</v>
      </c>
      <c r="G387" s="71">
        <v>513218844</v>
      </c>
      <c r="H387" s="70" t="s">
        <v>68</v>
      </c>
    </row>
    <row r="388" spans="1:8" ht="17.25" customHeight="1" x14ac:dyDescent="0.2">
      <c r="A388" s="69">
        <v>2012</v>
      </c>
      <c r="B388" s="70" t="s">
        <v>66</v>
      </c>
      <c r="C388" s="70" t="s">
        <v>4</v>
      </c>
      <c r="D388" s="70" t="s">
        <v>11</v>
      </c>
      <c r="E388" s="70" t="s">
        <v>69</v>
      </c>
      <c r="F388" s="70" t="s">
        <v>70</v>
      </c>
      <c r="G388" s="71">
        <v>2276217599</v>
      </c>
      <c r="H388" s="70" t="s">
        <v>68</v>
      </c>
    </row>
    <row r="389" spans="1:8" ht="17.25" customHeight="1" x14ac:dyDescent="0.2">
      <c r="A389" s="69">
        <v>2012</v>
      </c>
      <c r="B389" s="70" t="s">
        <v>66</v>
      </c>
      <c r="C389" s="70" t="s">
        <v>4</v>
      </c>
      <c r="D389" s="70" t="s">
        <v>12</v>
      </c>
      <c r="E389" s="70" t="s">
        <v>67</v>
      </c>
      <c r="F389" s="70" t="s">
        <v>67</v>
      </c>
      <c r="G389" s="71">
        <v>7620382907</v>
      </c>
      <c r="H389" s="70" t="s">
        <v>68</v>
      </c>
    </row>
    <row r="390" spans="1:8" ht="17.25" customHeight="1" x14ac:dyDescent="0.2">
      <c r="A390" s="69">
        <v>2012</v>
      </c>
      <c r="B390" s="70" t="s">
        <v>66</v>
      </c>
      <c r="C390" s="70" t="s">
        <v>4</v>
      </c>
      <c r="D390" s="70" t="s">
        <v>12</v>
      </c>
      <c r="E390" s="70" t="s">
        <v>69</v>
      </c>
      <c r="F390" s="70" t="s">
        <v>71</v>
      </c>
      <c r="G390" s="71">
        <v>679769575</v>
      </c>
      <c r="H390" s="70" t="s">
        <v>68</v>
      </c>
    </row>
    <row r="391" spans="1:8" ht="17.25" customHeight="1" x14ac:dyDescent="0.2">
      <c r="A391" s="69">
        <v>2012</v>
      </c>
      <c r="B391" s="70" t="s">
        <v>66</v>
      </c>
      <c r="C391" s="70" t="s">
        <v>4</v>
      </c>
      <c r="D391" s="70" t="s">
        <v>12</v>
      </c>
      <c r="E391" s="70" t="s">
        <v>69</v>
      </c>
      <c r="F391" s="70" t="s">
        <v>70</v>
      </c>
      <c r="G391" s="71">
        <v>2281185543</v>
      </c>
      <c r="H391" s="70" t="s">
        <v>68</v>
      </c>
    </row>
    <row r="392" spans="1:8" ht="17.25" customHeight="1" x14ac:dyDescent="0.2">
      <c r="A392" s="69">
        <v>2012</v>
      </c>
      <c r="B392" s="70" t="s">
        <v>66</v>
      </c>
      <c r="C392" s="70" t="s">
        <v>4</v>
      </c>
      <c r="D392" s="70" t="s">
        <v>13</v>
      </c>
      <c r="E392" s="70" t="s">
        <v>67</v>
      </c>
      <c r="F392" s="70" t="s">
        <v>67</v>
      </c>
      <c r="G392" s="71">
        <v>11692094967</v>
      </c>
      <c r="H392" s="70" t="s">
        <v>68</v>
      </c>
    </row>
    <row r="393" spans="1:8" ht="17.25" customHeight="1" x14ac:dyDescent="0.2">
      <c r="A393" s="69">
        <v>2012</v>
      </c>
      <c r="B393" s="70" t="s">
        <v>66</v>
      </c>
      <c r="C393" s="70" t="s">
        <v>4</v>
      </c>
      <c r="D393" s="70" t="s">
        <v>13</v>
      </c>
      <c r="E393" s="70" t="s">
        <v>69</v>
      </c>
      <c r="F393" s="70" t="s">
        <v>71</v>
      </c>
      <c r="G393" s="71">
        <v>644095563</v>
      </c>
      <c r="H393" s="70" t="s">
        <v>68</v>
      </c>
    </row>
    <row r="394" spans="1:8" ht="17.25" customHeight="1" x14ac:dyDescent="0.2">
      <c r="A394" s="69">
        <v>2012</v>
      </c>
      <c r="B394" s="70" t="s">
        <v>66</v>
      </c>
      <c r="C394" s="70" t="s">
        <v>4</v>
      </c>
      <c r="D394" s="70" t="s">
        <v>13</v>
      </c>
      <c r="E394" s="70" t="s">
        <v>69</v>
      </c>
      <c r="F394" s="70" t="s">
        <v>70</v>
      </c>
      <c r="G394" s="71">
        <v>2794701539</v>
      </c>
      <c r="H394" s="70" t="s">
        <v>68</v>
      </c>
    </row>
    <row r="395" spans="1:8" ht="17.25" customHeight="1" x14ac:dyDescent="0.2">
      <c r="A395" s="69">
        <v>2012</v>
      </c>
      <c r="B395" s="70" t="s">
        <v>66</v>
      </c>
      <c r="C395" s="70" t="s">
        <v>4</v>
      </c>
      <c r="D395" s="70" t="s">
        <v>14</v>
      </c>
      <c r="E395" s="70" t="s">
        <v>67</v>
      </c>
      <c r="F395" s="70" t="s">
        <v>67</v>
      </c>
      <c r="G395" s="71">
        <v>7612864586</v>
      </c>
      <c r="H395" s="70" t="s">
        <v>68</v>
      </c>
    </row>
    <row r="396" spans="1:8" ht="17.25" customHeight="1" x14ac:dyDescent="0.2">
      <c r="A396" s="69">
        <v>2012</v>
      </c>
      <c r="B396" s="70" t="s">
        <v>66</v>
      </c>
      <c r="C396" s="70" t="s">
        <v>4</v>
      </c>
      <c r="D396" s="70" t="s">
        <v>14</v>
      </c>
      <c r="E396" s="70" t="s">
        <v>69</v>
      </c>
      <c r="F396" s="70" t="s">
        <v>71</v>
      </c>
      <c r="G396" s="71">
        <v>250236532</v>
      </c>
      <c r="H396" s="70" t="s">
        <v>68</v>
      </c>
    </row>
    <row r="397" spans="1:8" ht="17.25" customHeight="1" x14ac:dyDescent="0.2">
      <c r="A397" s="69">
        <v>2012</v>
      </c>
      <c r="B397" s="70" t="s">
        <v>66</v>
      </c>
      <c r="C397" s="70" t="s">
        <v>4</v>
      </c>
      <c r="D397" s="70" t="s">
        <v>14</v>
      </c>
      <c r="E397" s="70" t="s">
        <v>69</v>
      </c>
      <c r="F397" s="70" t="s">
        <v>70</v>
      </c>
      <c r="G397" s="71">
        <v>894443792</v>
      </c>
      <c r="H397" s="70" t="s">
        <v>68</v>
      </c>
    </row>
    <row r="398" spans="1:8" ht="17.25" customHeight="1" x14ac:dyDescent="0.2">
      <c r="A398" s="69">
        <v>2012</v>
      </c>
      <c r="B398" s="70" t="s">
        <v>66</v>
      </c>
      <c r="C398" s="70" t="s">
        <v>4</v>
      </c>
      <c r="D398" s="70" t="s">
        <v>15</v>
      </c>
      <c r="E398" s="70" t="s">
        <v>67</v>
      </c>
      <c r="F398" s="70" t="s">
        <v>67</v>
      </c>
      <c r="G398" s="71">
        <v>8974570559</v>
      </c>
      <c r="H398" s="70" t="s">
        <v>68</v>
      </c>
    </row>
    <row r="399" spans="1:8" ht="17.25" customHeight="1" x14ac:dyDescent="0.2">
      <c r="A399" s="69">
        <v>2012</v>
      </c>
      <c r="B399" s="70" t="s">
        <v>66</v>
      </c>
      <c r="C399" s="70" t="s">
        <v>4</v>
      </c>
      <c r="D399" s="70" t="s">
        <v>15</v>
      </c>
      <c r="E399" s="70" t="s">
        <v>69</v>
      </c>
      <c r="F399" s="70" t="s">
        <v>71</v>
      </c>
      <c r="G399" s="71">
        <v>1214902644</v>
      </c>
      <c r="H399" s="70" t="s">
        <v>68</v>
      </c>
    </row>
    <row r="400" spans="1:8" ht="17.25" customHeight="1" x14ac:dyDescent="0.2">
      <c r="A400" s="69">
        <v>2012</v>
      </c>
      <c r="B400" s="70" t="s">
        <v>66</v>
      </c>
      <c r="C400" s="70" t="s">
        <v>4</v>
      </c>
      <c r="D400" s="70" t="s">
        <v>15</v>
      </c>
      <c r="E400" s="70" t="s">
        <v>69</v>
      </c>
      <c r="F400" s="70" t="s">
        <v>70</v>
      </c>
      <c r="G400" s="71">
        <v>1245852480</v>
      </c>
      <c r="H400" s="70" t="s">
        <v>68</v>
      </c>
    </row>
    <row r="401" spans="1:8" ht="17.25" customHeight="1" x14ac:dyDescent="0.2">
      <c r="A401" s="69">
        <v>2012</v>
      </c>
      <c r="B401" s="70" t="s">
        <v>66</v>
      </c>
      <c r="C401" s="70" t="s">
        <v>17</v>
      </c>
      <c r="D401" s="70" t="s">
        <v>16</v>
      </c>
      <c r="E401" s="70" t="s">
        <v>67</v>
      </c>
      <c r="F401" s="70" t="s">
        <v>67</v>
      </c>
      <c r="G401" s="71">
        <v>1261518555</v>
      </c>
      <c r="H401" s="70" t="s">
        <v>68</v>
      </c>
    </row>
    <row r="402" spans="1:8" ht="17.25" customHeight="1" x14ac:dyDescent="0.2">
      <c r="A402" s="69">
        <v>2012</v>
      </c>
      <c r="B402" s="70" t="s">
        <v>66</v>
      </c>
      <c r="C402" s="70" t="s">
        <v>17</v>
      </c>
      <c r="D402" s="70" t="s">
        <v>16</v>
      </c>
      <c r="E402" s="70" t="s">
        <v>69</v>
      </c>
      <c r="F402" s="70" t="s">
        <v>71</v>
      </c>
      <c r="G402" s="71">
        <v>54004599</v>
      </c>
      <c r="H402" s="70" t="s">
        <v>68</v>
      </c>
    </row>
    <row r="403" spans="1:8" ht="17.25" customHeight="1" x14ac:dyDescent="0.2">
      <c r="A403" s="69">
        <v>2012</v>
      </c>
      <c r="B403" s="70" t="s">
        <v>66</v>
      </c>
      <c r="C403" s="70" t="s">
        <v>17</v>
      </c>
      <c r="D403" s="70" t="s">
        <v>16</v>
      </c>
      <c r="E403" s="70" t="s">
        <v>69</v>
      </c>
      <c r="F403" s="70" t="s">
        <v>70</v>
      </c>
      <c r="G403" s="71">
        <v>195828481</v>
      </c>
      <c r="H403" s="70" t="s">
        <v>68</v>
      </c>
    </row>
    <row r="404" spans="1:8" ht="17.25" customHeight="1" x14ac:dyDescent="0.2">
      <c r="A404" s="69">
        <v>2012</v>
      </c>
      <c r="B404" s="70" t="s">
        <v>66</v>
      </c>
      <c r="C404" s="70" t="s">
        <v>17</v>
      </c>
      <c r="D404" s="70" t="s">
        <v>18</v>
      </c>
      <c r="E404" s="70" t="s">
        <v>67</v>
      </c>
      <c r="F404" s="70" t="s">
        <v>67</v>
      </c>
      <c r="G404" s="71">
        <v>2566064689</v>
      </c>
      <c r="H404" s="70" t="s">
        <v>68</v>
      </c>
    </row>
    <row r="405" spans="1:8" ht="17.25" customHeight="1" x14ac:dyDescent="0.2">
      <c r="A405" s="69">
        <v>2012</v>
      </c>
      <c r="B405" s="70" t="s">
        <v>66</v>
      </c>
      <c r="C405" s="70" t="s">
        <v>17</v>
      </c>
      <c r="D405" s="70" t="s">
        <v>18</v>
      </c>
      <c r="E405" s="70" t="s">
        <v>69</v>
      </c>
      <c r="F405" s="70" t="s">
        <v>71</v>
      </c>
      <c r="G405" s="71">
        <v>425690640</v>
      </c>
      <c r="H405" s="70" t="s">
        <v>68</v>
      </c>
    </row>
    <row r="406" spans="1:8" ht="17.25" customHeight="1" x14ac:dyDescent="0.2">
      <c r="A406" s="69">
        <v>2012</v>
      </c>
      <c r="B406" s="70" t="s">
        <v>66</v>
      </c>
      <c r="C406" s="70" t="s">
        <v>17</v>
      </c>
      <c r="D406" s="70" t="s">
        <v>18</v>
      </c>
      <c r="E406" s="70" t="s">
        <v>69</v>
      </c>
      <c r="F406" s="70" t="s">
        <v>70</v>
      </c>
      <c r="G406" s="71">
        <v>427766437</v>
      </c>
      <c r="H406" s="70" t="s">
        <v>68</v>
      </c>
    </row>
    <row r="407" spans="1:8" ht="17.25" customHeight="1" x14ac:dyDescent="0.2">
      <c r="A407" s="69">
        <v>2012</v>
      </c>
      <c r="B407" s="70" t="s">
        <v>66</v>
      </c>
      <c r="C407" s="70" t="s">
        <v>17</v>
      </c>
      <c r="D407" s="70" t="s">
        <v>19</v>
      </c>
      <c r="E407" s="70" t="s">
        <v>67</v>
      </c>
      <c r="F407" s="70" t="s">
        <v>67</v>
      </c>
      <c r="G407" s="71">
        <v>7571196438</v>
      </c>
      <c r="H407" s="70" t="s">
        <v>68</v>
      </c>
    </row>
    <row r="408" spans="1:8" ht="17.25" customHeight="1" x14ac:dyDescent="0.2">
      <c r="A408" s="69">
        <v>2012</v>
      </c>
      <c r="B408" s="70" t="s">
        <v>66</v>
      </c>
      <c r="C408" s="70" t="s">
        <v>17</v>
      </c>
      <c r="D408" s="70" t="s">
        <v>19</v>
      </c>
      <c r="E408" s="70" t="s">
        <v>69</v>
      </c>
      <c r="F408" s="70" t="s">
        <v>71</v>
      </c>
      <c r="G408" s="71">
        <v>828218647</v>
      </c>
      <c r="H408" s="70" t="s">
        <v>68</v>
      </c>
    </row>
    <row r="409" spans="1:8" ht="17.25" customHeight="1" x14ac:dyDescent="0.2">
      <c r="A409" s="69">
        <v>2012</v>
      </c>
      <c r="B409" s="70" t="s">
        <v>66</v>
      </c>
      <c r="C409" s="70" t="s">
        <v>17</v>
      </c>
      <c r="D409" s="70" t="s">
        <v>19</v>
      </c>
      <c r="E409" s="70" t="s">
        <v>69</v>
      </c>
      <c r="F409" s="70" t="s">
        <v>70</v>
      </c>
      <c r="G409" s="71">
        <v>1583921687</v>
      </c>
      <c r="H409" s="70" t="s">
        <v>68</v>
      </c>
    </row>
    <row r="410" spans="1:8" ht="17.25" customHeight="1" x14ac:dyDescent="0.2">
      <c r="A410" s="69">
        <v>2012</v>
      </c>
      <c r="B410" s="70" t="s">
        <v>66</v>
      </c>
      <c r="C410" s="70" t="s">
        <v>17</v>
      </c>
      <c r="D410" s="70" t="s">
        <v>20</v>
      </c>
      <c r="E410" s="70" t="s">
        <v>67</v>
      </c>
      <c r="F410" s="70" t="s">
        <v>67</v>
      </c>
      <c r="G410" s="71">
        <v>1678712243</v>
      </c>
      <c r="H410" s="70" t="s">
        <v>68</v>
      </c>
    </row>
    <row r="411" spans="1:8" ht="17.25" customHeight="1" x14ac:dyDescent="0.2">
      <c r="A411" s="69">
        <v>2012</v>
      </c>
      <c r="B411" s="70" t="s">
        <v>66</v>
      </c>
      <c r="C411" s="70" t="s">
        <v>17</v>
      </c>
      <c r="D411" s="70" t="s">
        <v>20</v>
      </c>
      <c r="E411" s="70" t="s">
        <v>69</v>
      </c>
      <c r="F411" s="70" t="s">
        <v>71</v>
      </c>
      <c r="G411" s="71">
        <v>122244779</v>
      </c>
      <c r="H411" s="70" t="s">
        <v>68</v>
      </c>
    </row>
    <row r="412" spans="1:8" ht="17.25" customHeight="1" x14ac:dyDescent="0.2">
      <c r="A412" s="69">
        <v>2012</v>
      </c>
      <c r="B412" s="70" t="s">
        <v>66</v>
      </c>
      <c r="C412" s="70" t="s">
        <v>17</v>
      </c>
      <c r="D412" s="70" t="s">
        <v>20</v>
      </c>
      <c r="E412" s="70" t="s">
        <v>69</v>
      </c>
      <c r="F412" s="70" t="s">
        <v>70</v>
      </c>
      <c r="G412" s="71">
        <v>529090863</v>
      </c>
      <c r="H412" s="70" t="s">
        <v>68</v>
      </c>
    </row>
    <row r="413" spans="1:8" ht="17.25" customHeight="1" x14ac:dyDescent="0.2">
      <c r="A413" s="69">
        <v>2012</v>
      </c>
      <c r="B413" s="70" t="s">
        <v>66</v>
      </c>
      <c r="C413" s="70" t="s">
        <v>17</v>
      </c>
      <c r="D413" s="70" t="s">
        <v>21</v>
      </c>
      <c r="E413" s="70" t="s">
        <v>67</v>
      </c>
      <c r="F413" s="70" t="s">
        <v>67</v>
      </c>
      <c r="G413" s="71">
        <v>4016230853</v>
      </c>
      <c r="H413" s="70" t="s">
        <v>68</v>
      </c>
    </row>
    <row r="414" spans="1:8" ht="17.25" customHeight="1" x14ac:dyDescent="0.2">
      <c r="A414" s="69">
        <v>2012</v>
      </c>
      <c r="B414" s="70" t="s">
        <v>66</v>
      </c>
      <c r="C414" s="70" t="s">
        <v>17</v>
      </c>
      <c r="D414" s="70" t="s">
        <v>21</v>
      </c>
      <c r="E414" s="70" t="s">
        <v>69</v>
      </c>
      <c r="F414" s="70" t="s">
        <v>71</v>
      </c>
      <c r="G414" s="71">
        <v>379203910</v>
      </c>
      <c r="H414" s="70" t="s">
        <v>68</v>
      </c>
    </row>
    <row r="415" spans="1:8" ht="17.25" customHeight="1" x14ac:dyDescent="0.2">
      <c r="A415" s="69">
        <v>2012</v>
      </c>
      <c r="B415" s="70" t="s">
        <v>66</v>
      </c>
      <c r="C415" s="70" t="s">
        <v>17</v>
      </c>
      <c r="D415" s="70" t="s">
        <v>21</v>
      </c>
      <c r="E415" s="70" t="s">
        <v>69</v>
      </c>
      <c r="F415" s="70" t="s">
        <v>70</v>
      </c>
      <c r="G415" s="71">
        <v>838432148</v>
      </c>
      <c r="H415" s="70" t="s">
        <v>68</v>
      </c>
    </row>
    <row r="416" spans="1:8" ht="17.25" customHeight="1" x14ac:dyDescent="0.2">
      <c r="A416" s="69">
        <v>2012</v>
      </c>
      <c r="B416" s="70" t="s">
        <v>66</v>
      </c>
      <c r="C416" s="70" t="s">
        <v>17</v>
      </c>
      <c r="D416" s="70" t="s">
        <v>22</v>
      </c>
      <c r="E416" s="70" t="s">
        <v>67</v>
      </c>
      <c r="F416" s="70" t="s">
        <v>67</v>
      </c>
      <c r="G416" s="71">
        <v>1867963412</v>
      </c>
      <c r="H416" s="70" t="s">
        <v>68</v>
      </c>
    </row>
    <row r="417" spans="1:8" ht="17.25" customHeight="1" x14ac:dyDescent="0.2">
      <c r="A417" s="69">
        <v>2012</v>
      </c>
      <c r="B417" s="70" t="s">
        <v>66</v>
      </c>
      <c r="C417" s="70" t="s">
        <v>17</v>
      </c>
      <c r="D417" s="70" t="s">
        <v>22</v>
      </c>
      <c r="E417" s="70" t="s">
        <v>69</v>
      </c>
      <c r="F417" s="70" t="s">
        <v>71</v>
      </c>
      <c r="G417" s="71">
        <v>123824506</v>
      </c>
      <c r="H417" s="70" t="s">
        <v>68</v>
      </c>
    </row>
    <row r="418" spans="1:8" ht="17.25" customHeight="1" x14ac:dyDescent="0.2">
      <c r="A418" s="69">
        <v>2012</v>
      </c>
      <c r="B418" s="70" t="s">
        <v>66</v>
      </c>
      <c r="C418" s="70" t="s">
        <v>17</v>
      </c>
      <c r="D418" s="70" t="s">
        <v>22</v>
      </c>
      <c r="E418" s="70" t="s">
        <v>69</v>
      </c>
      <c r="F418" s="70" t="s">
        <v>70</v>
      </c>
      <c r="G418" s="71">
        <v>176398901</v>
      </c>
      <c r="H418" s="70" t="s">
        <v>68</v>
      </c>
    </row>
    <row r="419" spans="1:8" ht="17.25" customHeight="1" x14ac:dyDescent="0.2">
      <c r="A419" s="69">
        <v>2012</v>
      </c>
      <c r="B419" s="70" t="s">
        <v>66</v>
      </c>
      <c r="C419" s="70" t="s">
        <v>17</v>
      </c>
      <c r="D419" s="70" t="s">
        <v>23</v>
      </c>
      <c r="E419" s="70" t="s">
        <v>67</v>
      </c>
      <c r="F419" s="70" t="s">
        <v>67</v>
      </c>
      <c r="G419" s="71">
        <v>2580282491</v>
      </c>
      <c r="H419" s="70" t="s">
        <v>68</v>
      </c>
    </row>
    <row r="420" spans="1:8" ht="17.25" customHeight="1" x14ac:dyDescent="0.2">
      <c r="A420" s="69">
        <v>2012</v>
      </c>
      <c r="B420" s="70" t="s">
        <v>66</v>
      </c>
      <c r="C420" s="70" t="s">
        <v>17</v>
      </c>
      <c r="D420" s="70" t="s">
        <v>23</v>
      </c>
      <c r="E420" s="70" t="s">
        <v>69</v>
      </c>
      <c r="F420" s="70" t="s">
        <v>71</v>
      </c>
      <c r="G420" s="71">
        <v>197531068</v>
      </c>
      <c r="H420" s="70" t="s">
        <v>68</v>
      </c>
    </row>
    <row r="421" spans="1:8" ht="17.25" customHeight="1" x14ac:dyDescent="0.2">
      <c r="A421" s="69">
        <v>2012</v>
      </c>
      <c r="B421" s="70" t="s">
        <v>66</v>
      </c>
      <c r="C421" s="70" t="s">
        <v>17</v>
      </c>
      <c r="D421" s="70" t="s">
        <v>23</v>
      </c>
      <c r="E421" s="70" t="s">
        <v>69</v>
      </c>
      <c r="F421" s="70" t="s">
        <v>70</v>
      </c>
      <c r="G421" s="71">
        <v>462944826</v>
      </c>
      <c r="H421" s="70" t="s">
        <v>68</v>
      </c>
    </row>
    <row r="422" spans="1:8" ht="17.25" customHeight="1" x14ac:dyDescent="0.2">
      <c r="A422" s="69">
        <v>2012</v>
      </c>
      <c r="B422" s="70" t="s">
        <v>66</v>
      </c>
      <c r="C422" s="70" t="s">
        <v>17</v>
      </c>
      <c r="D422" s="70" t="s">
        <v>24</v>
      </c>
      <c r="E422" s="70" t="s">
        <v>67</v>
      </c>
      <c r="F422" s="70" t="s">
        <v>67</v>
      </c>
      <c r="G422" s="71">
        <v>36132509683</v>
      </c>
      <c r="H422" s="70" t="s">
        <v>68</v>
      </c>
    </row>
    <row r="423" spans="1:8" ht="17.25" customHeight="1" x14ac:dyDescent="0.2">
      <c r="A423" s="69">
        <v>2012</v>
      </c>
      <c r="B423" s="70" t="s">
        <v>66</v>
      </c>
      <c r="C423" s="70" t="s">
        <v>17</v>
      </c>
      <c r="D423" s="70" t="s">
        <v>24</v>
      </c>
      <c r="E423" s="70" t="s">
        <v>69</v>
      </c>
      <c r="F423" s="70" t="s">
        <v>71</v>
      </c>
      <c r="G423" s="71">
        <v>3626411078</v>
      </c>
      <c r="H423" s="70" t="s">
        <v>68</v>
      </c>
    </row>
    <row r="424" spans="1:8" ht="17.25" customHeight="1" x14ac:dyDescent="0.2">
      <c r="A424" s="69">
        <v>2012</v>
      </c>
      <c r="B424" s="70" t="s">
        <v>66</v>
      </c>
      <c r="C424" s="70" t="s">
        <v>17</v>
      </c>
      <c r="D424" s="70" t="s">
        <v>24</v>
      </c>
      <c r="E424" s="70" t="s">
        <v>69</v>
      </c>
      <c r="F424" s="70" t="s">
        <v>70</v>
      </c>
      <c r="G424" s="71">
        <v>3978287461</v>
      </c>
      <c r="H424" s="70" t="s">
        <v>68</v>
      </c>
    </row>
    <row r="425" spans="1:8" ht="17.25" customHeight="1" x14ac:dyDescent="0.2">
      <c r="A425" s="69">
        <v>2012</v>
      </c>
      <c r="B425" s="70" t="s">
        <v>66</v>
      </c>
      <c r="C425" s="70" t="s">
        <v>17</v>
      </c>
      <c r="D425" s="70" t="s">
        <v>25</v>
      </c>
      <c r="E425" s="70" t="s">
        <v>67</v>
      </c>
      <c r="F425" s="70" t="s">
        <v>67</v>
      </c>
      <c r="G425" s="71">
        <v>3421264653</v>
      </c>
      <c r="H425" s="70" t="s">
        <v>68</v>
      </c>
    </row>
    <row r="426" spans="1:8" ht="17.25" customHeight="1" x14ac:dyDescent="0.2">
      <c r="A426" s="69">
        <v>2012</v>
      </c>
      <c r="B426" s="70" t="s">
        <v>66</v>
      </c>
      <c r="C426" s="70" t="s">
        <v>17</v>
      </c>
      <c r="D426" s="70" t="s">
        <v>25</v>
      </c>
      <c r="E426" s="70" t="s">
        <v>69</v>
      </c>
      <c r="F426" s="70" t="s">
        <v>71</v>
      </c>
      <c r="G426" s="71">
        <v>309220127</v>
      </c>
      <c r="H426" s="70" t="s">
        <v>68</v>
      </c>
    </row>
    <row r="427" spans="1:8" ht="17.25" customHeight="1" x14ac:dyDescent="0.2">
      <c r="A427" s="69">
        <v>2012</v>
      </c>
      <c r="B427" s="70" t="s">
        <v>66</v>
      </c>
      <c r="C427" s="70" t="s">
        <v>17</v>
      </c>
      <c r="D427" s="70" t="s">
        <v>25</v>
      </c>
      <c r="E427" s="70" t="s">
        <v>69</v>
      </c>
      <c r="F427" s="70" t="s">
        <v>70</v>
      </c>
      <c r="G427" s="71">
        <v>544642223</v>
      </c>
      <c r="H427" s="70" t="s">
        <v>68</v>
      </c>
    </row>
    <row r="428" spans="1:8" ht="17.25" customHeight="1" x14ac:dyDescent="0.2">
      <c r="A428" s="69">
        <v>2012</v>
      </c>
      <c r="B428" s="70" t="s">
        <v>66</v>
      </c>
      <c r="C428" s="70" t="s">
        <v>27</v>
      </c>
      <c r="D428" s="70" t="s">
        <v>26</v>
      </c>
      <c r="E428" s="70" t="s">
        <v>67</v>
      </c>
      <c r="F428" s="70" t="s">
        <v>67</v>
      </c>
      <c r="G428" s="71">
        <v>33882546866</v>
      </c>
      <c r="H428" s="70" t="s">
        <v>68</v>
      </c>
    </row>
    <row r="429" spans="1:8" ht="17.25" customHeight="1" x14ac:dyDescent="0.2">
      <c r="A429" s="69">
        <v>2012</v>
      </c>
      <c r="B429" s="70" t="s">
        <v>66</v>
      </c>
      <c r="C429" s="70" t="s">
        <v>27</v>
      </c>
      <c r="D429" s="70" t="s">
        <v>26</v>
      </c>
      <c r="E429" s="70" t="s">
        <v>69</v>
      </c>
      <c r="F429" s="70" t="s">
        <v>71</v>
      </c>
      <c r="G429" s="71">
        <v>6612497060</v>
      </c>
      <c r="H429" s="70" t="s">
        <v>68</v>
      </c>
    </row>
    <row r="430" spans="1:8" ht="17.25" customHeight="1" x14ac:dyDescent="0.2">
      <c r="A430" s="69">
        <v>2012</v>
      </c>
      <c r="B430" s="70" t="s">
        <v>66</v>
      </c>
      <c r="C430" s="70" t="s">
        <v>27</v>
      </c>
      <c r="D430" s="70" t="s">
        <v>26</v>
      </c>
      <c r="E430" s="70" t="s">
        <v>69</v>
      </c>
      <c r="F430" s="70" t="s">
        <v>70</v>
      </c>
      <c r="G430" s="71">
        <v>12411746866</v>
      </c>
      <c r="H430" s="70" t="s">
        <v>68</v>
      </c>
    </row>
    <row r="431" spans="1:8" ht="17.25" customHeight="1" x14ac:dyDescent="0.2">
      <c r="A431" s="69">
        <v>2012</v>
      </c>
      <c r="B431" s="70" t="s">
        <v>66</v>
      </c>
      <c r="C431" s="70" t="s">
        <v>27</v>
      </c>
      <c r="D431" s="70" t="s">
        <v>28</v>
      </c>
      <c r="E431" s="70" t="s">
        <v>67</v>
      </c>
      <c r="F431" s="70" t="s">
        <v>67</v>
      </c>
      <c r="G431" s="71">
        <v>49644013581</v>
      </c>
      <c r="H431" s="70" t="s">
        <v>68</v>
      </c>
    </row>
    <row r="432" spans="1:8" ht="17.25" customHeight="1" x14ac:dyDescent="0.2">
      <c r="A432" s="69">
        <v>2012</v>
      </c>
      <c r="B432" s="70" t="s">
        <v>66</v>
      </c>
      <c r="C432" s="70" t="s">
        <v>27</v>
      </c>
      <c r="D432" s="70" t="s">
        <v>28</v>
      </c>
      <c r="E432" s="70" t="s">
        <v>69</v>
      </c>
      <c r="F432" s="70" t="s">
        <v>71</v>
      </c>
      <c r="G432" s="71">
        <v>11130608325</v>
      </c>
      <c r="H432" s="70" t="s">
        <v>68</v>
      </c>
    </row>
    <row r="433" spans="1:8" ht="17.25" customHeight="1" x14ac:dyDescent="0.2">
      <c r="A433" s="69">
        <v>2012</v>
      </c>
      <c r="B433" s="70" t="s">
        <v>66</v>
      </c>
      <c r="C433" s="70" t="s">
        <v>27</v>
      </c>
      <c r="D433" s="70" t="s">
        <v>28</v>
      </c>
      <c r="E433" s="70" t="s">
        <v>69</v>
      </c>
      <c r="F433" s="70" t="s">
        <v>70</v>
      </c>
      <c r="G433" s="71">
        <v>14140526939</v>
      </c>
      <c r="H433" s="70" t="s">
        <v>68</v>
      </c>
    </row>
    <row r="434" spans="1:8" ht="17.25" customHeight="1" x14ac:dyDescent="0.2">
      <c r="A434" s="69">
        <v>2012</v>
      </c>
      <c r="B434" s="70" t="s">
        <v>66</v>
      </c>
      <c r="C434" s="70" t="s">
        <v>27</v>
      </c>
      <c r="D434" s="70" t="s">
        <v>29</v>
      </c>
      <c r="E434" s="70" t="s">
        <v>67</v>
      </c>
      <c r="F434" s="70" t="s">
        <v>67</v>
      </c>
      <c r="G434" s="71">
        <v>19241595808</v>
      </c>
      <c r="H434" s="70" t="s">
        <v>68</v>
      </c>
    </row>
    <row r="435" spans="1:8" ht="17.25" customHeight="1" x14ac:dyDescent="0.2">
      <c r="A435" s="69">
        <v>2012</v>
      </c>
      <c r="B435" s="70" t="s">
        <v>66</v>
      </c>
      <c r="C435" s="70" t="s">
        <v>27</v>
      </c>
      <c r="D435" s="70" t="s">
        <v>29</v>
      </c>
      <c r="E435" s="70" t="s">
        <v>69</v>
      </c>
      <c r="F435" s="70" t="s">
        <v>71</v>
      </c>
      <c r="G435" s="71">
        <v>4227806046</v>
      </c>
      <c r="H435" s="70" t="s">
        <v>68</v>
      </c>
    </row>
    <row r="436" spans="1:8" ht="17.25" customHeight="1" x14ac:dyDescent="0.2">
      <c r="A436" s="69">
        <v>2012</v>
      </c>
      <c r="B436" s="70" t="s">
        <v>66</v>
      </c>
      <c r="C436" s="70" t="s">
        <v>27</v>
      </c>
      <c r="D436" s="70" t="s">
        <v>29</v>
      </c>
      <c r="E436" s="70" t="s">
        <v>69</v>
      </c>
      <c r="F436" s="70" t="s">
        <v>70</v>
      </c>
      <c r="G436" s="71">
        <v>3316832723</v>
      </c>
      <c r="H436" s="70" t="s">
        <v>68</v>
      </c>
    </row>
    <row r="437" spans="1:8" ht="17.25" customHeight="1" x14ac:dyDescent="0.2">
      <c r="A437" s="69">
        <v>2012</v>
      </c>
      <c r="B437" s="70" t="s">
        <v>66</v>
      </c>
      <c r="C437" s="70" t="s">
        <v>27</v>
      </c>
      <c r="D437" s="70" t="s">
        <v>30</v>
      </c>
      <c r="E437" s="70" t="s">
        <v>67</v>
      </c>
      <c r="F437" s="70" t="s">
        <v>67</v>
      </c>
      <c r="G437" s="71">
        <v>37284845893</v>
      </c>
      <c r="H437" s="70" t="s">
        <v>68</v>
      </c>
    </row>
    <row r="438" spans="1:8" ht="17.25" customHeight="1" x14ac:dyDescent="0.2">
      <c r="A438" s="69">
        <v>2012</v>
      </c>
      <c r="B438" s="70" t="s">
        <v>66</v>
      </c>
      <c r="C438" s="70" t="s">
        <v>27</v>
      </c>
      <c r="D438" s="70" t="s">
        <v>30</v>
      </c>
      <c r="E438" s="70" t="s">
        <v>69</v>
      </c>
      <c r="F438" s="70" t="s">
        <v>71</v>
      </c>
      <c r="G438" s="71">
        <v>6768014052</v>
      </c>
      <c r="H438" s="70" t="s">
        <v>68</v>
      </c>
    </row>
    <row r="439" spans="1:8" ht="17.25" customHeight="1" x14ac:dyDescent="0.2">
      <c r="A439" s="69">
        <v>2012</v>
      </c>
      <c r="B439" s="70" t="s">
        <v>66</v>
      </c>
      <c r="C439" s="70" t="s">
        <v>27</v>
      </c>
      <c r="D439" s="70" t="s">
        <v>30</v>
      </c>
      <c r="E439" s="70" t="s">
        <v>69</v>
      </c>
      <c r="F439" s="70" t="s">
        <v>70</v>
      </c>
      <c r="G439" s="71">
        <v>12103221995</v>
      </c>
      <c r="H439" s="70" t="s">
        <v>68</v>
      </c>
    </row>
    <row r="440" spans="1:8" ht="17.25" customHeight="1" x14ac:dyDescent="0.2">
      <c r="A440" s="69">
        <v>2012</v>
      </c>
      <c r="B440" s="70" t="s">
        <v>66</v>
      </c>
      <c r="C440" s="70" t="s">
        <v>27</v>
      </c>
      <c r="D440" s="70" t="s">
        <v>31</v>
      </c>
      <c r="E440" s="70" t="s">
        <v>67</v>
      </c>
      <c r="F440" s="70" t="s">
        <v>67</v>
      </c>
      <c r="G440" s="71">
        <v>9745063678</v>
      </c>
      <c r="H440" s="70" t="s">
        <v>68</v>
      </c>
    </row>
    <row r="441" spans="1:8" ht="17.25" customHeight="1" x14ac:dyDescent="0.2">
      <c r="A441" s="69">
        <v>2012</v>
      </c>
      <c r="B441" s="70" t="s">
        <v>66</v>
      </c>
      <c r="C441" s="70" t="s">
        <v>27</v>
      </c>
      <c r="D441" s="70" t="s">
        <v>31</v>
      </c>
      <c r="E441" s="70" t="s">
        <v>69</v>
      </c>
      <c r="F441" s="70" t="s">
        <v>71</v>
      </c>
      <c r="G441" s="71">
        <v>3025031370</v>
      </c>
      <c r="H441" s="70" t="s">
        <v>68</v>
      </c>
    </row>
    <row r="442" spans="1:8" ht="17.25" customHeight="1" x14ac:dyDescent="0.2">
      <c r="A442" s="69">
        <v>2012</v>
      </c>
      <c r="B442" s="70" t="s">
        <v>66</v>
      </c>
      <c r="C442" s="70" t="s">
        <v>27</v>
      </c>
      <c r="D442" s="70" t="s">
        <v>31</v>
      </c>
      <c r="E442" s="70" t="s">
        <v>69</v>
      </c>
      <c r="F442" s="70" t="s">
        <v>70</v>
      </c>
      <c r="G442" s="71">
        <v>7049358598</v>
      </c>
      <c r="H442" s="70" t="s">
        <v>68</v>
      </c>
    </row>
    <row r="443" spans="1:8" ht="17.25" customHeight="1" x14ac:dyDescent="0.2">
      <c r="A443" s="69">
        <v>2012</v>
      </c>
      <c r="B443" s="70" t="s">
        <v>66</v>
      </c>
      <c r="C443" s="70" t="s">
        <v>27</v>
      </c>
      <c r="D443" s="70" t="s">
        <v>32</v>
      </c>
      <c r="E443" s="70" t="s">
        <v>67</v>
      </c>
      <c r="F443" s="70" t="s">
        <v>67</v>
      </c>
      <c r="G443" s="71">
        <v>17341589307</v>
      </c>
      <c r="H443" s="70" t="s">
        <v>68</v>
      </c>
    </row>
    <row r="444" spans="1:8" ht="17.25" customHeight="1" x14ac:dyDescent="0.2">
      <c r="A444" s="69">
        <v>2012</v>
      </c>
      <c r="B444" s="70" t="s">
        <v>66</v>
      </c>
      <c r="C444" s="70" t="s">
        <v>27</v>
      </c>
      <c r="D444" s="70" t="s">
        <v>32</v>
      </c>
      <c r="E444" s="70" t="s">
        <v>69</v>
      </c>
      <c r="F444" s="70" t="s">
        <v>71</v>
      </c>
      <c r="G444" s="71">
        <v>5122495863</v>
      </c>
      <c r="H444" s="70" t="s">
        <v>68</v>
      </c>
    </row>
    <row r="445" spans="1:8" ht="17.25" customHeight="1" x14ac:dyDescent="0.2">
      <c r="A445" s="69">
        <v>2012</v>
      </c>
      <c r="B445" s="70" t="s">
        <v>66</v>
      </c>
      <c r="C445" s="70" t="s">
        <v>27</v>
      </c>
      <c r="D445" s="70" t="s">
        <v>32</v>
      </c>
      <c r="E445" s="70" t="s">
        <v>69</v>
      </c>
      <c r="F445" s="70" t="s">
        <v>70</v>
      </c>
      <c r="G445" s="71">
        <v>3607012832</v>
      </c>
      <c r="H445" s="70" t="s">
        <v>68</v>
      </c>
    </row>
    <row r="446" spans="1:8" ht="17.25" customHeight="1" x14ac:dyDescent="0.2">
      <c r="A446" s="69">
        <v>2012</v>
      </c>
      <c r="B446" s="70" t="s">
        <v>66</v>
      </c>
      <c r="C446" s="70" t="s">
        <v>27</v>
      </c>
      <c r="D446" s="70" t="s">
        <v>33</v>
      </c>
      <c r="E446" s="70" t="s">
        <v>67</v>
      </c>
      <c r="F446" s="70" t="s">
        <v>67</v>
      </c>
      <c r="G446" s="71">
        <v>32851806903</v>
      </c>
      <c r="H446" s="70" t="s">
        <v>68</v>
      </c>
    </row>
    <row r="447" spans="1:8" ht="17.25" customHeight="1" x14ac:dyDescent="0.2">
      <c r="A447" s="69">
        <v>2012</v>
      </c>
      <c r="B447" s="70" t="s">
        <v>66</v>
      </c>
      <c r="C447" s="70" t="s">
        <v>27</v>
      </c>
      <c r="D447" s="70" t="s">
        <v>33</v>
      </c>
      <c r="E447" s="70" t="s">
        <v>69</v>
      </c>
      <c r="F447" s="70" t="s">
        <v>71</v>
      </c>
      <c r="G447" s="71">
        <v>8152747299</v>
      </c>
      <c r="H447" s="70" t="s">
        <v>68</v>
      </c>
    </row>
    <row r="448" spans="1:8" ht="17.25" customHeight="1" x14ac:dyDescent="0.2">
      <c r="A448" s="69">
        <v>2012</v>
      </c>
      <c r="B448" s="70" t="s">
        <v>66</v>
      </c>
      <c r="C448" s="70" t="s">
        <v>27</v>
      </c>
      <c r="D448" s="70" t="s">
        <v>33</v>
      </c>
      <c r="E448" s="70" t="s">
        <v>69</v>
      </c>
      <c r="F448" s="70" t="s">
        <v>70</v>
      </c>
      <c r="G448" s="71">
        <v>22280713728</v>
      </c>
      <c r="H448" s="70" t="s">
        <v>68</v>
      </c>
    </row>
    <row r="449" spans="1:8" ht="17.25" customHeight="1" x14ac:dyDescent="0.2">
      <c r="A449" s="69">
        <v>2012</v>
      </c>
      <c r="B449" s="70" t="s">
        <v>66</v>
      </c>
      <c r="C449" s="70" t="s">
        <v>35</v>
      </c>
      <c r="D449" s="70" t="s">
        <v>34</v>
      </c>
      <c r="E449" s="70" t="s">
        <v>67</v>
      </c>
      <c r="F449" s="70" t="s">
        <v>67</v>
      </c>
      <c r="G449" s="71">
        <v>8444768912</v>
      </c>
      <c r="H449" s="70" t="s">
        <v>68</v>
      </c>
    </row>
    <row r="450" spans="1:8" ht="17.25" customHeight="1" x14ac:dyDescent="0.2">
      <c r="A450" s="69">
        <v>2012</v>
      </c>
      <c r="B450" s="70" t="s">
        <v>66</v>
      </c>
      <c r="C450" s="70" t="s">
        <v>35</v>
      </c>
      <c r="D450" s="70" t="s">
        <v>34</v>
      </c>
      <c r="E450" s="70" t="s">
        <v>69</v>
      </c>
      <c r="F450" s="70" t="s">
        <v>71</v>
      </c>
      <c r="G450" s="71">
        <v>646260671</v>
      </c>
      <c r="H450" s="70" t="s">
        <v>68</v>
      </c>
    </row>
    <row r="451" spans="1:8" ht="17.25" customHeight="1" x14ac:dyDescent="0.2">
      <c r="A451" s="69">
        <v>2012</v>
      </c>
      <c r="B451" s="70" t="s">
        <v>66</v>
      </c>
      <c r="C451" s="70" t="s">
        <v>35</v>
      </c>
      <c r="D451" s="70" t="s">
        <v>34</v>
      </c>
      <c r="E451" s="70" t="s">
        <v>69</v>
      </c>
      <c r="F451" s="70" t="s">
        <v>70</v>
      </c>
      <c r="G451" s="71">
        <v>498320534</v>
      </c>
      <c r="H451" s="70" t="s">
        <v>68</v>
      </c>
    </row>
    <row r="452" spans="1:8" ht="17.25" customHeight="1" x14ac:dyDescent="0.2">
      <c r="A452" s="69">
        <v>2012</v>
      </c>
      <c r="B452" s="70" t="s">
        <v>66</v>
      </c>
      <c r="C452" s="70" t="s">
        <v>35</v>
      </c>
      <c r="D452" s="70" t="s">
        <v>36</v>
      </c>
      <c r="E452" s="70" t="s">
        <v>67</v>
      </c>
      <c r="F452" s="70" t="s">
        <v>67</v>
      </c>
      <c r="G452" s="71">
        <v>32777350154</v>
      </c>
      <c r="H452" s="70" t="s">
        <v>68</v>
      </c>
    </row>
    <row r="453" spans="1:8" ht="17.25" customHeight="1" x14ac:dyDescent="0.2">
      <c r="A453" s="69">
        <v>2012</v>
      </c>
      <c r="B453" s="70" t="s">
        <v>66</v>
      </c>
      <c r="C453" s="70" t="s">
        <v>35</v>
      </c>
      <c r="D453" s="70" t="s">
        <v>36</v>
      </c>
      <c r="E453" s="70" t="s">
        <v>69</v>
      </c>
      <c r="F453" s="70" t="s">
        <v>71</v>
      </c>
      <c r="G453" s="71">
        <v>5708969492</v>
      </c>
      <c r="H453" s="70" t="s">
        <v>68</v>
      </c>
    </row>
    <row r="454" spans="1:8" ht="17.25" customHeight="1" x14ac:dyDescent="0.2">
      <c r="A454" s="69">
        <v>2012</v>
      </c>
      <c r="B454" s="70" t="s">
        <v>66</v>
      </c>
      <c r="C454" s="70" t="s">
        <v>35</v>
      </c>
      <c r="D454" s="70" t="s">
        <v>36</v>
      </c>
      <c r="E454" s="70" t="s">
        <v>69</v>
      </c>
      <c r="F454" s="70" t="s">
        <v>70</v>
      </c>
      <c r="G454" s="71">
        <v>2363596033</v>
      </c>
      <c r="H454" s="70" t="s">
        <v>68</v>
      </c>
    </row>
    <row r="455" spans="1:8" ht="17.25" customHeight="1" x14ac:dyDescent="0.2">
      <c r="A455" s="69">
        <v>2012</v>
      </c>
      <c r="B455" s="70" t="s">
        <v>66</v>
      </c>
      <c r="C455" s="70" t="s">
        <v>35</v>
      </c>
      <c r="D455" s="70" t="s">
        <v>37</v>
      </c>
      <c r="E455" s="70" t="s">
        <v>67</v>
      </c>
      <c r="F455" s="70" t="s">
        <v>67</v>
      </c>
      <c r="G455" s="71">
        <v>3871910968</v>
      </c>
      <c r="H455" s="70" t="s">
        <v>68</v>
      </c>
    </row>
    <row r="456" spans="1:8" ht="17.25" customHeight="1" x14ac:dyDescent="0.2">
      <c r="A456" s="69">
        <v>2012</v>
      </c>
      <c r="B456" s="70" t="s">
        <v>66</v>
      </c>
      <c r="C456" s="70" t="s">
        <v>35</v>
      </c>
      <c r="D456" s="70" t="s">
        <v>37</v>
      </c>
      <c r="E456" s="70" t="s">
        <v>69</v>
      </c>
      <c r="F456" s="70" t="s">
        <v>71</v>
      </c>
      <c r="G456" s="71">
        <v>494325136</v>
      </c>
      <c r="H456" s="70" t="s">
        <v>68</v>
      </c>
    </row>
    <row r="457" spans="1:8" ht="17.25" customHeight="1" x14ac:dyDescent="0.2">
      <c r="A457" s="69">
        <v>2012</v>
      </c>
      <c r="B457" s="70" t="s">
        <v>66</v>
      </c>
      <c r="C457" s="70" t="s">
        <v>35</v>
      </c>
      <c r="D457" s="70" t="s">
        <v>37</v>
      </c>
      <c r="E457" s="70" t="s">
        <v>69</v>
      </c>
      <c r="F457" s="70" t="s">
        <v>70</v>
      </c>
      <c r="G457" s="71">
        <v>762098815</v>
      </c>
      <c r="H457" s="70" t="s">
        <v>68</v>
      </c>
    </row>
    <row r="458" spans="1:8" ht="17.25" customHeight="1" x14ac:dyDescent="0.2">
      <c r="A458" s="69">
        <v>2012</v>
      </c>
      <c r="B458" s="70" t="s">
        <v>66</v>
      </c>
      <c r="C458" s="70" t="s">
        <v>35</v>
      </c>
      <c r="D458" s="70" t="s">
        <v>38</v>
      </c>
      <c r="E458" s="70" t="s">
        <v>67</v>
      </c>
      <c r="F458" s="70" t="s">
        <v>67</v>
      </c>
      <c r="G458" s="71">
        <v>8577090600</v>
      </c>
      <c r="H458" s="70" t="s">
        <v>68</v>
      </c>
    </row>
    <row r="459" spans="1:8" ht="17.25" customHeight="1" x14ac:dyDescent="0.2">
      <c r="A459" s="69">
        <v>2012</v>
      </c>
      <c r="B459" s="70" t="s">
        <v>66</v>
      </c>
      <c r="C459" s="70" t="s">
        <v>35</v>
      </c>
      <c r="D459" s="70" t="s">
        <v>38</v>
      </c>
      <c r="E459" s="70" t="s">
        <v>69</v>
      </c>
      <c r="F459" s="70" t="s">
        <v>71</v>
      </c>
      <c r="G459" s="71">
        <v>1029480385</v>
      </c>
      <c r="H459" s="70" t="s">
        <v>68</v>
      </c>
    </row>
    <row r="460" spans="1:8" ht="17.25" customHeight="1" x14ac:dyDescent="0.2">
      <c r="A460" s="69">
        <v>2012</v>
      </c>
      <c r="B460" s="70" t="s">
        <v>66</v>
      </c>
      <c r="C460" s="70" t="s">
        <v>35</v>
      </c>
      <c r="D460" s="70" t="s">
        <v>38</v>
      </c>
      <c r="E460" s="70" t="s">
        <v>69</v>
      </c>
      <c r="F460" s="70" t="s">
        <v>70</v>
      </c>
      <c r="G460" s="71">
        <v>885768318</v>
      </c>
      <c r="H460" s="70" t="s">
        <v>68</v>
      </c>
    </row>
    <row r="461" spans="1:8" ht="17.25" customHeight="1" x14ac:dyDescent="0.2">
      <c r="A461" s="69">
        <v>2012</v>
      </c>
      <c r="B461" s="70" t="s">
        <v>66</v>
      </c>
      <c r="C461" s="70" t="s">
        <v>35</v>
      </c>
      <c r="D461" s="70" t="s">
        <v>39</v>
      </c>
      <c r="E461" s="70" t="s">
        <v>67</v>
      </c>
      <c r="F461" s="70" t="s">
        <v>67</v>
      </c>
      <c r="G461" s="71">
        <v>18400149893</v>
      </c>
      <c r="H461" s="70" t="s">
        <v>68</v>
      </c>
    </row>
    <row r="462" spans="1:8" ht="17.25" customHeight="1" x14ac:dyDescent="0.2">
      <c r="A462" s="69">
        <v>2012</v>
      </c>
      <c r="B462" s="70" t="s">
        <v>66</v>
      </c>
      <c r="C462" s="70" t="s">
        <v>35</v>
      </c>
      <c r="D462" s="70" t="s">
        <v>39</v>
      </c>
      <c r="E462" s="70" t="s">
        <v>69</v>
      </c>
      <c r="F462" s="70" t="s">
        <v>71</v>
      </c>
      <c r="G462" s="71">
        <v>3149013915</v>
      </c>
      <c r="H462" s="70" t="s">
        <v>68</v>
      </c>
    </row>
    <row r="463" spans="1:8" ht="17.25" customHeight="1" x14ac:dyDescent="0.2">
      <c r="A463" s="69">
        <v>2012</v>
      </c>
      <c r="B463" s="70" t="s">
        <v>66</v>
      </c>
      <c r="C463" s="70" t="s">
        <v>35</v>
      </c>
      <c r="D463" s="70" t="s">
        <v>39</v>
      </c>
      <c r="E463" s="70" t="s">
        <v>69</v>
      </c>
      <c r="F463" s="70" t="s">
        <v>70</v>
      </c>
      <c r="G463" s="71">
        <v>1944873781</v>
      </c>
      <c r="H463" s="70" t="s">
        <v>68</v>
      </c>
    </row>
    <row r="464" spans="1:8" ht="17.25" customHeight="1" x14ac:dyDescent="0.2">
      <c r="A464" s="69">
        <v>2012</v>
      </c>
      <c r="B464" s="70" t="s">
        <v>66</v>
      </c>
      <c r="C464" s="70" t="s">
        <v>41</v>
      </c>
      <c r="D464" s="70" t="s">
        <v>40</v>
      </c>
      <c r="E464" s="70" t="s">
        <v>67</v>
      </c>
      <c r="F464" s="70" t="s">
        <v>67</v>
      </c>
      <c r="G464" s="71">
        <v>6586796933</v>
      </c>
      <c r="H464" s="70" t="s">
        <v>68</v>
      </c>
    </row>
    <row r="465" spans="1:8" ht="17.25" customHeight="1" x14ac:dyDescent="0.2">
      <c r="A465" s="69">
        <v>2012</v>
      </c>
      <c r="B465" s="70" t="s">
        <v>66</v>
      </c>
      <c r="C465" s="70" t="s">
        <v>41</v>
      </c>
      <c r="D465" s="70" t="s">
        <v>40</v>
      </c>
      <c r="E465" s="70" t="s">
        <v>69</v>
      </c>
      <c r="F465" s="70" t="s">
        <v>71</v>
      </c>
      <c r="G465" s="71">
        <v>337360848</v>
      </c>
      <c r="H465" s="70" t="s">
        <v>68</v>
      </c>
    </row>
    <row r="466" spans="1:8" ht="17.25" customHeight="1" x14ac:dyDescent="0.2">
      <c r="A466" s="69">
        <v>2012</v>
      </c>
      <c r="B466" s="70" t="s">
        <v>66</v>
      </c>
      <c r="C466" s="70" t="s">
        <v>41</v>
      </c>
      <c r="D466" s="70" t="s">
        <v>40</v>
      </c>
      <c r="E466" s="70" t="s">
        <v>69</v>
      </c>
      <c r="F466" s="70" t="s">
        <v>70</v>
      </c>
      <c r="G466" s="71">
        <v>290692579</v>
      </c>
      <c r="H466" s="70" t="s">
        <v>68</v>
      </c>
    </row>
    <row r="467" spans="1:8" ht="17.25" customHeight="1" x14ac:dyDescent="0.2">
      <c r="A467" s="69">
        <v>2012</v>
      </c>
      <c r="B467" s="70" t="s">
        <v>66</v>
      </c>
      <c r="C467" s="70" t="s">
        <v>41</v>
      </c>
      <c r="D467" s="70" t="s">
        <v>42</v>
      </c>
      <c r="E467" s="70" t="s">
        <v>67</v>
      </c>
      <c r="F467" s="70" t="s">
        <v>67</v>
      </c>
      <c r="G467" s="71">
        <v>6001269771</v>
      </c>
      <c r="H467" s="70" t="s">
        <v>68</v>
      </c>
    </row>
    <row r="468" spans="1:8" ht="17.25" customHeight="1" x14ac:dyDescent="0.2">
      <c r="A468" s="69">
        <v>2012</v>
      </c>
      <c r="B468" s="70" t="s">
        <v>66</v>
      </c>
      <c r="C468" s="70" t="s">
        <v>41</v>
      </c>
      <c r="D468" s="70" t="s">
        <v>42</v>
      </c>
      <c r="E468" s="70" t="s">
        <v>69</v>
      </c>
      <c r="F468" s="70" t="s">
        <v>71</v>
      </c>
      <c r="G468" s="71">
        <v>530407220</v>
      </c>
      <c r="H468" s="70" t="s">
        <v>68</v>
      </c>
    </row>
    <row r="469" spans="1:8" ht="17.25" customHeight="1" x14ac:dyDescent="0.2">
      <c r="A469" s="69">
        <v>2012</v>
      </c>
      <c r="B469" s="70" t="s">
        <v>66</v>
      </c>
      <c r="C469" s="70" t="s">
        <v>41</v>
      </c>
      <c r="D469" s="70" t="s">
        <v>42</v>
      </c>
      <c r="E469" s="70" t="s">
        <v>69</v>
      </c>
      <c r="F469" s="70" t="s">
        <v>70</v>
      </c>
      <c r="G469" s="71">
        <v>836811556</v>
      </c>
      <c r="H469" s="70" t="s">
        <v>68</v>
      </c>
    </row>
    <row r="470" spans="1:8" ht="17.25" customHeight="1" x14ac:dyDescent="0.2">
      <c r="A470" s="69">
        <v>2012</v>
      </c>
      <c r="B470" s="70" t="s">
        <v>66</v>
      </c>
      <c r="C470" s="70" t="s">
        <v>41</v>
      </c>
      <c r="D470" s="70" t="s">
        <v>43</v>
      </c>
      <c r="E470" s="70" t="s">
        <v>67</v>
      </c>
      <c r="F470" s="70" t="s">
        <v>67</v>
      </c>
      <c r="G470" s="71">
        <v>6879815028</v>
      </c>
      <c r="H470" s="70" t="s">
        <v>68</v>
      </c>
    </row>
    <row r="471" spans="1:8" ht="17.25" customHeight="1" x14ac:dyDescent="0.2">
      <c r="A471" s="69">
        <v>2012</v>
      </c>
      <c r="B471" s="70" t="s">
        <v>66</v>
      </c>
      <c r="C471" s="70" t="s">
        <v>41</v>
      </c>
      <c r="D471" s="70" t="s">
        <v>43</v>
      </c>
      <c r="E471" s="70" t="s">
        <v>69</v>
      </c>
      <c r="F471" s="70" t="s">
        <v>71</v>
      </c>
      <c r="G471" s="71">
        <v>520834364</v>
      </c>
      <c r="H471" s="70" t="s">
        <v>68</v>
      </c>
    </row>
    <row r="472" spans="1:8" ht="17.25" customHeight="1" x14ac:dyDescent="0.2">
      <c r="A472" s="69">
        <v>2012</v>
      </c>
      <c r="B472" s="70" t="s">
        <v>66</v>
      </c>
      <c r="C472" s="70" t="s">
        <v>41</v>
      </c>
      <c r="D472" s="70" t="s">
        <v>43</v>
      </c>
      <c r="E472" s="70" t="s">
        <v>69</v>
      </c>
      <c r="F472" s="70" t="s">
        <v>70</v>
      </c>
      <c r="G472" s="71">
        <v>605336701</v>
      </c>
      <c r="H472" s="70" t="s">
        <v>68</v>
      </c>
    </row>
    <row r="473" spans="1:8" ht="17.25" customHeight="1" x14ac:dyDescent="0.2">
      <c r="A473" s="69">
        <v>2012</v>
      </c>
      <c r="B473" s="70" t="s">
        <v>66</v>
      </c>
      <c r="C473" s="70" t="s">
        <v>41</v>
      </c>
      <c r="D473" s="70" t="s">
        <v>44</v>
      </c>
      <c r="E473" s="70" t="s">
        <v>67</v>
      </c>
      <c r="F473" s="70" t="s">
        <v>67</v>
      </c>
      <c r="G473" s="71">
        <v>8263853936</v>
      </c>
      <c r="H473" s="70" t="s">
        <v>68</v>
      </c>
    </row>
    <row r="474" spans="1:8" ht="17.25" customHeight="1" x14ac:dyDescent="0.2">
      <c r="A474" s="69">
        <v>2012</v>
      </c>
      <c r="B474" s="70" t="s">
        <v>66</v>
      </c>
      <c r="C474" s="70" t="s">
        <v>41</v>
      </c>
      <c r="D474" s="70" t="s">
        <v>44</v>
      </c>
      <c r="E474" s="70" t="s">
        <v>69</v>
      </c>
      <c r="F474" s="70" t="s">
        <v>71</v>
      </c>
      <c r="G474" s="71">
        <v>917668753</v>
      </c>
      <c r="H474" s="70" t="s">
        <v>68</v>
      </c>
    </row>
    <row r="475" spans="1:8" ht="17.25" customHeight="1" x14ac:dyDescent="0.2">
      <c r="A475" s="69">
        <v>2012</v>
      </c>
      <c r="B475" s="70" t="s">
        <v>66</v>
      </c>
      <c r="C475" s="70" t="s">
        <v>41</v>
      </c>
      <c r="D475" s="70" t="s">
        <v>44</v>
      </c>
      <c r="E475" s="70" t="s">
        <v>69</v>
      </c>
      <c r="F475" s="70" t="s">
        <v>70</v>
      </c>
      <c r="G475" s="71">
        <v>704466528</v>
      </c>
      <c r="H475" s="70" t="s">
        <v>68</v>
      </c>
    </row>
    <row r="476" spans="1:8" ht="17.25" customHeight="1" x14ac:dyDescent="0.2">
      <c r="A476" s="69">
        <v>2012</v>
      </c>
      <c r="B476" s="70" t="s">
        <v>66</v>
      </c>
      <c r="C476" s="70" t="s">
        <v>41</v>
      </c>
      <c r="D476" s="70" t="s">
        <v>45</v>
      </c>
      <c r="E476" s="70" t="s">
        <v>67</v>
      </c>
      <c r="F476" s="70" t="s">
        <v>67</v>
      </c>
      <c r="G476" s="71">
        <v>22584624660</v>
      </c>
      <c r="H476" s="70" t="s">
        <v>68</v>
      </c>
    </row>
    <row r="477" spans="1:8" ht="17.25" customHeight="1" x14ac:dyDescent="0.2">
      <c r="A477" s="69">
        <v>2012</v>
      </c>
      <c r="B477" s="70" t="s">
        <v>66</v>
      </c>
      <c r="C477" s="70" t="s">
        <v>41</v>
      </c>
      <c r="D477" s="70" t="s">
        <v>45</v>
      </c>
      <c r="E477" s="70" t="s">
        <v>69</v>
      </c>
      <c r="F477" s="70" t="s">
        <v>71</v>
      </c>
      <c r="G477" s="71">
        <v>2608785311</v>
      </c>
      <c r="H477" s="70" t="s">
        <v>68</v>
      </c>
    </row>
    <row r="478" spans="1:8" ht="17.25" customHeight="1" x14ac:dyDescent="0.2">
      <c r="A478" s="69">
        <v>2012</v>
      </c>
      <c r="B478" s="70" t="s">
        <v>66</v>
      </c>
      <c r="C478" s="70" t="s">
        <v>41</v>
      </c>
      <c r="D478" s="70" t="s">
        <v>45</v>
      </c>
      <c r="E478" s="70" t="s">
        <v>69</v>
      </c>
      <c r="F478" s="70" t="s">
        <v>70</v>
      </c>
      <c r="G478" s="71">
        <v>3872437458</v>
      </c>
      <c r="H478" s="70" t="s">
        <v>68</v>
      </c>
    </row>
    <row r="479" spans="1:8" ht="17.25" customHeight="1" x14ac:dyDescent="0.2">
      <c r="A479" s="69">
        <v>2012</v>
      </c>
      <c r="B479" s="70" t="s">
        <v>66</v>
      </c>
      <c r="C479" s="70" t="s">
        <v>47</v>
      </c>
      <c r="D479" s="70" t="s">
        <v>46</v>
      </c>
      <c r="E479" s="70" t="s">
        <v>67</v>
      </c>
      <c r="F479" s="70" t="s">
        <v>67</v>
      </c>
      <c r="G479" s="71">
        <v>23674119053</v>
      </c>
      <c r="H479" s="70" t="s">
        <v>68</v>
      </c>
    </row>
    <row r="480" spans="1:8" ht="17.25" customHeight="1" x14ac:dyDescent="0.2">
      <c r="A480" s="69">
        <v>2012</v>
      </c>
      <c r="B480" s="70" t="s">
        <v>66</v>
      </c>
      <c r="C480" s="70" t="s">
        <v>47</v>
      </c>
      <c r="D480" s="70" t="s">
        <v>46</v>
      </c>
      <c r="E480" s="70" t="s">
        <v>69</v>
      </c>
      <c r="F480" s="70" t="s">
        <v>71</v>
      </c>
      <c r="G480" s="71">
        <v>3817845834</v>
      </c>
      <c r="H480" s="70" t="s">
        <v>68</v>
      </c>
    </row>
    <row r="481" spans="1:9" ht="17.25" customHeight="1" x14ac:dyDescent="0.2">
      <c r="A481" s="69">
        <v>2012</v>
      </c>
      <c r="B481" s="70" t="s">
        <v>66</v>
      </c>
      <c r="C481" s="70" t="s">
        <v>47</v>
      </c>
      <c r="D481" s="70" t="s">
        <v>46</v>
      </c>
      <c r="E481" s="70" t="s">
        <v>69</v>
      </c>
      <c r="F481" s="70" t="s">
        <v>70</v>
      </c>
      <c r="G481" s="71">
        <v>9272761224</v>
      </c>
      <c r="H481" s="70" t="s">
        <v>68</v>
      </c>
    </row>
    <row r="482" spans="1:9" ht="17.25" customHeight="1" x14ac:dyDescent="0.2">
      <c r="A482" s="69">
        <v>2012</v>
      </c>
      <c r="B482" s="70" t="s">
        <v>66</v>
      </c>
      <c r="C482" s="70" t="s">
        <v>47</v>
      </c>
      <c r="D482" s="70" t="s">
        <v>48</v>
      </c>
      <c r="E482" s="70" t="s">
        <v>72</v>
      </c>
      <c r="F482" s="70" t="s">
        <v>73</v>
      </c>
      <c r="G482" s="71">
        <v>82876423588</v>
      </c>
      <c r="H482" s="70" t="s">
        <v>68</v>
      </c>
      <c r="I482" s="72">
        <f t="shared" ref="I482:I485" si="2">G482/G361-1</f>
        <v>3.1385044081567504E-2</v>
      </c>
    </row>
    <row r="483" spans="1:9" ht="17.25" customHeight="1" x14ac:dyDescent="0.2">
      <c r="A483" s="69">
        <v>2012</v>
      </c>
      <c r="B483" s="70" t="s">
        <v>66</v>
      </c>
      <c r="C483" s="70" t="s">
        <v>47</v>
      </c>
      <c r="D483" s="70" t="s">
        <v>48</v>
      </c>
      <c r="E483" s="70" t="s">
        <v>67</v>
      </c>
      <c r="F483" s="70" t="s">
        <v>74</v>
      </c>
      <c r="G483" s="71">
        <v>89003462330</v>
      </c>
      <c r="H483" s="70" t="s">
        <v>68</v>
      </c>
      <c r="I483" s="72">
        <f t="shared" si="2"/>
        <v>1.6285809796953377E-2</v>
      </c>
    </row>
    <row r="484" spans="1:9" ht="17.25" customHeight="1" x14ac:dyDescent="0.2">
      <c r="A484" s="69">
        <v>2012</v>
      </c>
      <c r="B484" s="70" t="s">
        <v>66</v>
      </c>
      <c r="C484" s="70" t="s">
        <v>47</v>
      </c>
      <c r="D484" s="70" t="s">
        <v>48</v>
      </c>
      <c r="E484" s="70" t="s">
        <v>69</v>
      </c>
      <c r="F484" s="70" t="s">
        <v>71</v>
      </c>
      <c r="G484" s="71">
        <v>43041933125</v>
      </c>
      <c r="H484" s="70" t="s">
        <v>68</v>
      </c>
      <c r="I484" s="72">
        <f t="shared" si="2"/>
        <v>6.6640709067327109E-2</v>
      </c>
    </row>
    <row r="485" spans="1:9" ht="17.25" customHeight="1" x14ac:dyDescent="0.2">
      <c r="A485" s="69">
        <v>2012</v>
      </c>
      <c r="B485" s="70" t="s">
        <v>66</v>
      </c>
      <c r="C485" s="70" t="s">
        <v>47</v>
      </c>
      <c r="D485" s="70" t="s">
        <v>48</v>
      </c>
      <c r="E485" s="70" t="s">
        <v>69</v>
      </c>
      <c r="F485" s="70" t="s">
        <v>70</v>
      </c>
      <c r="G485" s="71">
        <v>78003232480</v>
      </c>
      <c r="H485" s="70" t="s">
        <v>68</v>
      </c>
      <c r="I485" s="72">
        <f t="shared" si="2"/>
        <v>9.3284068080361049E-2</v>
      </c>
    </row>
    <row r="486" spans="1:9" ht="17.25" customHeight="1" x14ac:dyDescent="0.2">
      <c r="A486" s="69">
        <v>2013</v>
      </c>
      <c r="B486" s="70" t="s">
        <v>66</v>
      </c>
      <c r="C486" s="70" t="s">
        <v>4</v>
      </c>
      <c r="D486" s="70" t="s">
        <v>3</v>
      </c>
      <c r="E486" s="70" t="s">
        <v>67</v>
      </c>
      <c r="F486" s="70" t="s">
        <v>67</v>
      </c>
      <c r="G486" s="71">
        <v>20452840081</v>
      </c>
      <c r="H486" s="70" t="s">
        <v>68</v>
      </c>
    </row>
    <row r="487" spans="1:9" ht="17.25" customHeight="1" x14ac:dyDescent="0.2">
      <c r="A487" s="69">
        <v>2013</v>
      </c>
      <c r="B487" s="70" t="s">
        <v>66</v>
      </c>
      <c r="C487" s="70" t="s">
        <v>4</v>
      </c>
      <c r="D487" s="70" t="s">
        <v>3</v>
      </c>
      <c r="E487" s="70" t="s">
        <v>69</v>
      </c>
      <c r="F487" s="70" t="s">
        <v>71</v>
      </c>
      <c r="G487" s="71">
        <v>2725010087</v>
      </c>
      <c r="H487" s="70" t="s">
        <v>68</v>
      </c>
    </row>
    <row r="488" spans="1:9" ht="17.25" customHeight="1" x14ac:dyDescent="0.2">
      <c r="A488" s="69">
        <v>2013</v>
      </c>
      <c r="B488" s="70" t="s">
        <v>66</v>
      </c>
      <c r="C488" s="70" t="s">
        <v>4</v>
      </c>
      <c r="D488" s="70" t="s">
        <v>3</v>
      </c>
      <c r="E488" s="70" t="s">
        <v>69</v>
      </c>
      <c r="F488" s="70" t="s">
        <v>70</v>
      </c>
      <c r="G488" s="71">
        <v>9324868453</v>
      </c>
      <c r="H488" s="70" t="s">
        <v>68</v>
      </c>
    </row>
    <row r="489" spans="1:9" ht="17.25" customHeight="1" x14ac:dyDescent="0.2">
      <c r="A489" s="69">
        <v>2013</v>
      </c>
      <c r="B489" s="70" t="s">
        <v>66</v>
      </c>
      <c r="C489" s="70" t="s">
        <v>4</v>
      </c>
      <c r="D489" s="70" t="s">
        <v>5</v>
      </c>
      <c r="E489" s="70" t="s">
        <v>67</v>
      </c>
      <c r="F489" s="70" t="s">
        <v>67</v>
      </c>
      <c r="G489" s="71">
        <v>98004247565</v>
      </c>
      <c r="H489" s="70" t="s">
        <v>68</v>
      </c>
    </row>
    <row r="490" spans="1:9" ht="17.25" customHeight="1" x14ac:dyDescent="0.2">
      <c r="A490" s="69">
        <v>2013</v>
      </c>
      <c r="B490" s="70" t="s">
        <v>66</v>
      </c>
      <c r="C490" s="70" t="s">
        <v>4</v>
      </c>
      <c r="D490" s="70" t="s">
        <v>5</v>
      </c>
      <c r="E490" s="70" t="s">
        <v>69</v>
      </c>
      <c r="F490" s="70" t="s">
        <v>71</v>
      </c>
      <c r="G490" s="71">
        <v>10629977817</v>
      </c>
      <c r="H490" s="70" t="s">
        <v>68</v>
      </c>
    </row>
    <row r="491" spans="1:9" ht="17.25" customHeight="1" x14ac:dyDescent="0.2">
      <c r="A491" s="69">
        <v>2013</v>
      </c>
      <c r="B491" s="70" t="s">
        <v>66</v>
      </c>
      <c r="C491" s="70" t="s">
        <v>4</v>
      </c>
      <c r="D491" s="70" t="s">
        <v>5</v>
      </c>
      <c r="E491" s="70" t="s">
        <v>69</v>
      </c>
      <c r="F491" s="70" t="s">
        <v>70</v>
      </c>
      <c r="G491" s="71">
        <v>8908649555</v>
      </c>
      <c r="H491" s="70" t="s">
        <v>68</v>
      </c>
    </row>
    <row r="492" spans="1:9" ht="17.25" customHeight="1" x14ac:dyDescent="0.2">
      <c r="A492" s="69">
        <v>2013</v>
      </c>
      <c r="B492" s="70" t="s">
        <v>66</v>
      </c>
      <c r="C492" s="70" t="s">
        <v>4</v>
      </c>
      <c r="D492" s="70" t="s">
        <v>6</v>
      </c>
      <c r="E492" s="70" t="s">
        <v>67</v>
      </c>
      <c r="F492" s="70" t="s">
        <v>67</v>
      </c>
      <c r="G492" s="71">
        <v>11730744076</v>
      </c>
      <c r="H492" s="70" t="s">
        <v>68</v>
      </c>
    </row>
    <row r="493" spans="1:9" ht="17.25" customHeight="1" x14ac:dyDescent="0.2">
      <c r="A493" s="69">
        <v>2013</v>
      </c>
      <c r="B493" s="70" t="s">
        <v>66</v>
      </c>
      <c r="C493" s="70" t="s">
        <v>4</v>
      </c>
      <c r="D493" s="70" t="s">
        <v>6</v>
      </c>
      <c r="E493" s="70" t="s">
        <v>69</v>
      </c>
      <c r="F493" s="70" t="s">
        <v>71</v>
      </c>
      <c r="G493" s="71">
        <v>385653255</v>
      </c>
      <c r="H493" s="70" t="s">
        <v>68</v>
      </c>
    </row>
    <row r="494" spans="1:9" ht="17.25" customHeight="1" x14ac:dyDescent="0.2">
      <c r="A494" s="69">
        <v>2013</v>
      </c>
      <c r="B494" s="70" t="s">
        <v>66</v>
      </c>
      <c r="C494" s="70" t="s">
        <v>4</v>
      </c>
      <c r="D494" s="70" t="s">
        <v>6</v>
      </c>
      <c r="E494" s="70" t="s">
        <v>69</v>
      </c>
      <c r="F494" s="70" t="s">
        <v>70</v>
      </c>
      <c r="G494" s="71">
        <v>919502951</v>
      </c>
      <c r="H494" s="70" t="s">
        <v>68</v>
      </c>
    </row>
    <row r="495" spans="1:9" ht="17.25" customHeight="1" x14ac:dyDescent="0.2">
      <c r="A495" s="69">
        <v>2013</v>
      </c>
      <c r="B495" s="70" t="s">
        <v>66</v>
      </c>
      <c r="C495" s="70" t="s">
        <v>4</v>
      </c>
      <c r="D495" s="70" t="s">
        <v>7</v>
      </c>
      <c r="E495" s="70" t="s">
        <v>67</v>
      </c>
      <c r="F495" s="70" t="s">
        <v>67</v>
      </c>
      <c r="G495" s="71">
        <v>15758031733</v>
      </c>
      <c r="H495" s="70" t="s">
        <v>68</v>
      </c>
    </row>
    <row r="496" spans="1:9" ht="17.25" customHeight="1" x14ac:dyDescent="0.2">
      <c r="A496" s="69">
        <v>2013</v>
      </c>
      <c r="B496" s="70" t="s">
        <v>66</v>
      </c>
      <c r="C496" s="70" t="s">
        <v>4</v>
      </c>
      <c r="D496" s="70" t="s">
        <v>7</v>
      </c>
      <c r="E496" s="70" t="s">
        <v>69</v>
      </c>
      <c r="F496" s="70" t="s">
        <v>71</v>
      </c>
      <c r="G496" s="71">
        <v>2438044139</v>
      </c>
      <c r="H496" s="70" t="s">
        <v>68</v>
      </c>
    </row>
    <row r="497" spans="1:8" ht="17.25" customHeight="1" x14ac:dyDescent="0.2">
      <c r="A497" s="69">
        <v>2013</v>
      </c>
      <c r="B497" s="70" t="s">
        <v>66</v>
      </c>
      <c r="C497" s="70" t="s">
        <v>4</v>
      </c>
      <c r="D497" s="70" t="s">
        <v>7</v>
      </c>
      <c r="E497" s="70" t="s">
        <v>69</v>
      </c>
      <c r="F497" s="70" t="s">
        <v>70</v>
      </c>
      <c r="G497" s="71">
        <v>3998517508</v>
      </c>
      <c r="H497" s="70" t="s">
        <v>68</v>
      </c>
    </row>
    <row r="498" spans="1:8" ht="17.25" customHeight="1" x14ac:dyDescent="0.2">
      <c r="A498" s="69">
        <v>2013</v>
      </c>
      <c r="B498" s="70" t="s">
        <v>66</v>
      </c>
      <c r="C498" s="70" t="s">
        <v>4</v>
      </c>
      <c r="D498" s="70" t="s">
        <v>8</v>
      </c>
      <c r="E498" s="70" t="s">
        <v>67</v>
      </c>
      <c r="F498" s="70" t="s">
        <v>67</v>
      </c>
      <c r="G498" s="71">
        <v>10585442290</v>
      </c>
      <c r="H498" s="70" t="s">
        <v>68</v>
      </c>
    </row>
    <row r="499" spans="1:8" ht="17.25" customHeight="1" x14ac:dyDescent="0.2">
      <c r="A499" s="69">
        <v>2013</v>
      </c>
      <c r="B499" s="70" t="s">
        <v>66</v>
      </c>
      <c r="C499" s="70" t="s">
        <v>4</v>
      </c>
      <c r="D499" s="70" t="s">
        <v>8</v>
      </c>
      <c r="E499" s="70" t="s">
        <v>69</v>
      </c>
      <c r="F499" s="70" t="s">
        <v>71</v>
      </c>
      <c r="G499" s="71">
        <v>273845133</v>
      </c>
      <c r="H499" s="70" t="s">
        <v>68</v>
      </c>
    </row>
    <row r="500" spans="1:8" ht="17.25" customHeight="1" x14ac:dyDescent="0.2">
      <c r="A500" s="69">
        <v>2013</v>
      </c>
      <c r="B500" s="70" t="s">
        <v>66</v>
      </c>
      <c r="C500" s="70" t="s">
        <v>4</v>
      </c>
      <c r="D500" s="70" t="s">
        <v>8</v>
      </c>
      <c r="E500" s="70" t="s">
        <v>69</v>
      </c>
      <c r="F500" s="70" t="s">
        <v>70</v>
      </c>
      <c r="G500" s="71">
        <v>745311994</v>
      </c>
      <c r="H500" s="70" t="s">
        <v>68</v>
      </c>
    </row>
    <row r="501" spans="1:8" ht="17.25" customHeight="1" x14ac:dyDescent="0.2">
      <c r="A501" s="69">
        <v>2013</v>
      </c>
      <c r="B501" s="70" t="s">
        <v>66</v>
      </c>
      <c r="C501" s="70" t="s">
        <v>4</v>
      </c>
      <c r="D501" s="70" t="s">
        <v>9</v>
      </c>
      <c r="E501" s="70" t="s">
        <v>67</v>
      </c>
      <c r="F501" s="70" t="s">
        <v>67</v>
      </c>
      <c r="G501" s="71">
        <v>62422190391</v>
      </c>
      <c r="H501" s="70" t="s">
        <v>68</v>
      </c>
    </row>
    <row r="502" spans="1:8" ht="17.25" customHeight="1" x14ac:dyDescent="0.2">
      <c r="A502" s="69">
        <v>2013</v>
      </c>
      <c r="B502" s="70" t="s">
        <v>66</v>
      </c>
      <c r="C502" s="70" t="s">
        <v>4</v>
      </c>
      <c r="D502" s="70" t="s">
        <v>9</v>
      </c>
      <c r="E502" s="70" t="s">
        <v>69</v>
      </c>
      <c r="F502" s="70" t="s">
        <v>71</v>
      </c>
      <c r="G502" s="71">
        <v>12159491815</v>
      </c>
      <c r="H502" s="70" t="s">
        <v>68</v>
      </c>
    </row>
    <row r="503" spans="1:8" ht="17.25" customHeight="1" x14ac:dyDescent="0.2">
      <c r="A503" s="69">
        <v>2013</v>
      </c>
      <c r="B503" s="70" t="s">
        <v>66</v>
      </c>
      <c r="C503" s="70" t="s">
        <v>4</v>
      </c>
      <c r="D503" s="70" t="s">
        <v>9</v>
      </c>
      <c r="E503" s="70" t="s">
        <v>69</v>
      </c>
      <c r="F503" s="70" t="s">
        <v>70</v>
      </c>
      <c r="G503" s="71">
        <v>18718600006</v>
      </c>
      <c r="H503" s="70" t="s">
        <v>68</v>
      </c>
    </row>
    <row r="504" spans="1:8" ht="17.25" customHeight="1" x14ac:dyDescent="0.2">
      <c r="A504" s="69">
        <v>2013</v>
      </c>
      <c r="B504" s="70" t="s">
        <v>66</v>
      </c>
      <c r="C504" s="70" t="s">
        <v>4</v>
      </c>
      <c r="D504" s="70" t="s">
        <v>10</v>
      </c>
      <c r="E504" s="70" t="s">
        <v>67</v>
      </c>
      <c r="F504" s="70" t="s">
        <v>67</v>
      </c>
      <c r="G504" s="71">
        <v>1297402265</v>
      </c>
      <c r="H504" s="70" t="s">
        <v>68</v>
      </c>
    </row>
    <row r="505" spans="1:8" ht="17.25" customHeight="1" x14ac:dyDescent="0.2">
      <c r="A505" s="69">
        <v>2013</v>
      </c>
      <c r="B505" s="70" t="s">
        <v>66</v>
      </c>
      <c r="C505" s="70" t="s">
        <v>4</v>
      </c>
      <c r="D505" s="70" t="s">
        <v>10</v>
      </c>
      <c r="E505" s="70" t="s">
        <v>69</v>
      </c>
      <c r="F505" s="70" t="s">
        <v>71</v>
      </c>
      <c r="G505" s="71">
        <v>73018219</v>
      </c>
      <c r="H505" s="70" t="s">
        <v>68</v>
      </c>
    </row>
    <row r="506" spans="1:8" ht="17.25" customHeight="1" x14ac:dyDescent="0.2">
      <c r="A506" s="69">
        <v>2013</v>
      </c>
      <c r="B506" s="70" t="s">
        <v>66</v>
      </c>
      <c r="C506" s="70" t="s">
        <v>4</v>
      </c>
      <c r="D506" s="70" t="s">
        <v>10</v>
      </c>
      <c r="E506" s="70" t="s">
        <v>69</v>
      </c>
      <c r="F506" s="70" t="s">
        <v>70</v>
      </c>
      <c r="G506" s="71">
        <v>28395974</v>
      </c>
      <c r="H506" s="70" t="s">
        <v>68</v>
      </c>
    </row>
    <row r="507" spans="1:8" ht="17.25" customHeight="1" x14ac:dyDescent="0.2">
      <c r="A507" s="69">
        <v>2013</v>
      </c>
      <c r="B507" s="70" t="s">
        <v>66</v>
      </c>
      <c r="C507" s="70" t="s">
        <v>4</v>
      </c>
      <c r="D507" s="70" t="s">
        <v>11</v>
      </c>
      <c r="E507" s="70" t="s">
        <v>67</v>
      </c>
      <c r="F507" s="70" t="s">
        <v>67</v>
      </c>
      <c r="G507" s="71">
        <v>6562055060</v>
      </c>
      <c r="H507" s="70" t="s">
        <v>68</v>
      </c>
    </row>
    <row r="508" spans="1:8" ht="17.25" customHeight="1" x14ac:dyDescent="0.2">
      <c r="A508" s="69">
        <v>2013</v>
      </c>
      <c r="B508" s="70" t="s">
        <v>66</v>
      </c>
      <c r="C508" s="70" t="s">
        <v>4</v>
      </c>
      <c r="D508" s="70" t="s">
        <v>11</v>
      </c>
      <c r="E508" s="70" t="s">
        <v>69</v>
      </c>
      <c r="F508" s="70" t="s">
        <v>71</v>
      </c>
      <c r="G508" s="71">
        <v>744497165</v>
      </c>
      <c r="H508" s="70" t="s">
        <v>68</v>
      </c>
    </row>
    <row r="509" spans="1:8" ht="17.25" customHeight="1" x14ac:dyDescent="0.2">
      <c r="A509" s="69">
        <v>2013</v>
      </c>
      <c r="B509" s="70" t="s">
        <v>66</v>
      </c>
      <c r="C509" s="70" t="s">
        <v>4</v>
      </c>
      <c r="D509" s="70" t="s">
        <v>11</v>
      </c>
      <c r="E509" s="70" t="s">
        <v>69</v>
      </c>
      <c r="F509" s="70" t="s">
        <v>70</v>
      </c>
      <c r="G509" s="71">
        <v>2690633642</v>
      </c>
      <c r="H509" s="70" t="s">
        <v>68</v>
      </c>
    </row>
    <row r="510" spans="1:8" ht="17.25" customHeight="1" x14ac:dyDescent="0.2">
      <c r="A510" s="69">
        <v>2013</v>
      </c>
      <c r="B510" s="70" t="s">
        <v>66</v>
      </c>
      <c r="C510" s="70" t="s">
        <v>4</v>
      </c>
      <c r="D510" s="70" t="s">
        <v>12</v>
      </c>
      <c r="E510" s="70" t="s">
        <v>67</v>
      </c>
      <c r="F510" s="70" t="s">
        <v>67</v>
      </c>
      <c r="G510" s="71">
        <v>7365826317</v>
      </c>
      <c r="H510" s="70" t="s">
        <v>68</v>
      </c>
    </row>
    <row r="511" spans="1:8" ht="17.25" customHeight="1" x14ac:dyDescent="0.2">
      <c r="A511" s="69">
        <v>2013</v>
      </c>
      <c r="B511" s="70" t="s">
        <v>66</v>
      </c>
      <c r="C511" s="70" t="s">
        <v>4</v>
      </c>
      <c r="D511" s="70" t="s">
        <v>12</v>
      </c>
      <c r="E511" s="70" t="s">
        <v>69</v>
      </c>
      <c r="F511" s="70" t="s">
        <v>71</v>
      </c>
      <c r="G511" s="71">
        <v>801898308</v>
      </c>
      <c r="H511" s="70" t="s">
        <v>68</v>
      </c>
    </row>
    <row r="512" spans="1:8" ht="17.25" customHeight="1" x14ac:dyDescent="0.2">
      <c r="A512" s="69">
        <v>2013</v>
      </c>
      <c r="B512" s="70" t="s">
        <v>66</v>
      </c>
      <c r="C512" s="70" t="s">
        <v>4</v>
      </c>
      <c r="D512" s="70" t="s">
        <v>12</v>
      </c>
      <c r="E512" s="70" t="s">
        <v>69</v>
      </c>
      <c r="F512" s="70" t="s">
        <v>70</v>
      </c>
      <c r="G512" s="71">
        <v>2337557765</v>
      </c>
      <c r="H512" s="70" t="s">
        <v>68</v>
      </c>
    </row>
    <row r="513" spans="1:8" ht="17.25" customHeight="1" x14ac:dyDescent="0.2">
      <c r="A513" s="69">
        <v>2013</v>
      </c>
      <c r="B513" s="70" t="s">
        <v>66</v>
      </c>
      <c r="C513" s="70" t="s">
        <v>4</v>
      </c>
      <c r="D513" s="70" t="s">
        <v>13</v>
      </c>
      <c r="E513" s="70" t="s">
        <v>67</v>
      </c>
      <c r="F513" s="70" t="s">
        <v>67</v>
      </c>
      <c r="G513" s="71">
        <v>11406465886</v>
      </c>
      <c r="H513" s="70" t="s">
        <v>68</v>
      </c>
    </row>
    <row r="514" spans="1:8" ht="17.25" customHeight="1" x14ac:dyDescent="0.2">
      <c r="A514" s="69">
        <v>2013</v>
      </c>
      <c r="B514" s="70" t="s">
        <v>66</v>
      </c>
      <c r="C514" s="70" t="s">
        <v>4</v>
      </c>
      <c r="D514" s="70" t="s">
        <v>13</v>
      </c>
      <c r="E514" s="70" t="s">
        <v>69</v>
      </c>
      <c r="F514" s="70" t="s">
        <v>71</v>
      </c>
      <c r="G514" s="71">
        <v>780174079</v>
      </c>
      <c r="H514" s="70" t="s">
        <v>68</v>
      </c>
    </row>
    <row r="515" spans="1:8" ht="17.25" customHeight="1" x14ac:dyDescent="0.2">
      <c r="A515" s="69">
        <v>2013</v>
      </c>
      <c r="B515" s="70" t="s">
        <v>66</v>
      </c>
      <c r="C515" s="70" t="s">
        <v>4</v>
      </c>
      <c r="D515" s="70" t="s">
        <v>13</v>
      </c>
      <c r="E515" s="70" t="s">
        <v>69</v>
      </c>
      <c r="F515" s="70" t="s">
        <v>70</v>
      </c>
      <c r="G515" s="71">
        <v>2605770471</v>
      </c>
      <c r="H515" s="70" t="s">
        <v>68</v>
      </c>
    </row>
    <row r="516" spans="1:8" ht="17.25" customHeight="1" x14ac:dyDescent="0.2">
      <c r="A516" s="69">
        <v>2013</v>
      </c>
      <c r="B516" s="70" t="s">
        <v>66</v>
      </c>
      <c r="C516" s="70" t="s">
        <v>4</v>
      </c>
      <c r="D516" s="70" t="s">
        <v>14</v>
      </c>
      <c r="E516" s="70" t="s">
        <v>67</v>
      </c>
      <c r="F516" s="70" t="s">
        <v>67</v>
      </c>
      <c r="G516" s="71">
        <v>8014876340</v>
      </c>
      <c r="H516" s="70" t="s">
        <v>68</v>
      </c>
    </row>
    <row r="517" spans="1:8" ht="17.25" customHeight="1" x14ac:dyDescent="0.2">
      <c r="A517" s="69">
        <v>2013</v>
      </c>
      <c r="B517" s="70" t="s">
        <v>66</v>
      </c>
      <c r="C517" s="70" t="s">
        <v>4</v>
      </c>
      <c r="D517" s="70" t="s">
        <v>14</v>
      </c>
      <c r="E517" s="70" t="s">
        <v>69</v>
      </c>
      <c r="F517" s="70" t="s">
        <v>71</v>
      </c>
      <c r="G517" s="71">
        <v>332560683</v>
      </c>
      <c r="H517" s="70" t="s">
        <v>68</v>
      </c>
    </row>
    <row r="518" spans="1:8" ht="17.25" customHeight="1" x14ac:dyDescent="0.2">
      <c r="A518" s="69">
        <v>2013</v>
      </c>
      <c r="B518" s="70" t="s">
        <v>66</v>
      </c>
      <c r="C518" s="70" t="s">
        <v>4</v>
      </c>
      <c r="D518" s="70" t="s">
        <v>14</v>
      </c>
      <c r="E518" s="70" t="s">
        <v>69</v>
      </c>
      <c r="F518" s="70" t="s">
        <v>70</v>
      </c>
      <c r="G518" s="71">
        <v>846513573</v>
      </c>
      <c r="H518" s="70" t="s">
        <v>68</v>
      </c>
    </row>
    <row r="519" spans="1:8" ht="17.25" customHeight="1" x14ac:dyDescent="0.2">
      <c r="A519" s="69">
        <v>2013</v>
      </c>
      <c r="B519" s="70" t="s">
        <v>66</v>
      </c>
      <c r="C519" s="70" t="s">
        <v>4</v>
      </c>
      <c r="D519" s="70" t="s">
        <v>15</v>
      </c>
      <c r="E519" s="70" t="s">
        <v>67</v>
      </c>
      <c r="F519" s="70" t="s">
        <v>67</v>
      </c>
      <c r="G519" s="71">
        <v>9606310231</v>
      </c>
      <c r="H519" s="70" t="s">
        <v>68</v>
      </c>
    </row>
    <row r="520" spans="1:8" ht="17.25" customHeight="1" x14ac:dyDescent="0.2">
      <c r="A520" s="69">
        <v>2013</v>
      </c>
      <c r="B520" s="70" t="s">
        <v>66</v>
      </c>
      <c r="C520" s="70" t="s">
        <v>4</v>
      </c>
      <c r="D520" s="70" t="s">
        <v>15</v>
      </c>
      <c r="E520" s="70" t="s">
        <v>69</v>
      </c>
      <c r="F520" s="70" t="s">
        <v>71</v>
      </c>
      <c r="G520" s="71">
        <v>1616852798</v>
      </c>
      <c r="H520" s="70" t="s">
        <v>68</v>
      </c>
    </row>
    <row r="521" spans="1:8" ht="17.25" customHeight="1" x14ac:dyDescent="0.2">
      <c r="A521" s="69">
        <v>2013</v>
      </c>
      <c r="B521" s="70" t="s">
        <v>66</v>
      </c>
      <c r="C521" s="70" t="s">
        <v>4</v>
      </c>
      <c r="D521" s="70" t="s">
        <v>15</v>
      </c>
      <c r="E521" s="70" t="s">
        <v>69</v>
      </c>
      <c r="F521" s="70" t="s">
        <v>70</v>
      </c>
      <c r="G521" s="71">
        <v>1458609491</v>
      </c>
      <c r="H521" s="70" t="s">
        <v>68</v>
      </c>
    </row>
    <row r="522" spans="1:8" ht="17.25" customHeight="1" x14ac:dyDescent="0.2">
      <c r="A522" s="69">
        <v>2013</v>
      </c>
      <c r="B522" s="70" t="s">
        <v>66</v>
      </c>
      <c r="C522" s="70" t="s">
        <v>17</v>
      </c>
      <c r="D522" s="70" t="s">
        <v>16</v>
      </c>
      <c r="E522" s="70" t="s">
        <v>67</v>
      </c>
      <c r="F522" s="70" t="s">
        <v>67</v>
      </c>
      <c r="G522" s="71">
        <v>1172186992</v>
      </c>
      <c r="H522" s="70" t="s">
        <v>68</v>
      </c>
    </row>
    <row r="523" spans="1:8" ht="17.25" customHeight="1" x14ac:dyDescent="0.2">
      <c r="A523" s="69">
        <v>2013</v>
      </c>
      <c r="B523" s="70" t="s">
        <v>66</v>
      </c>
      <c r="C523" s="70" t="s">
        <v>17</v>
      </c>
      <c r="D523" s="70" t="s">
        <v>16</v>
      </c>
      <c r="E523" s="70" t="s">
        <v>69</v>
      </c>
      <c r="F523" s="70" t="s">
        <v>71</v>
      </c>
      <c r="G523" s="71">
        <v>68521957</v>
      </c>
      <c r="H523" s="70" t="s">
        <v>68</v>
      </c>
    </row>
    <row r="524" spans="1:8" ht="17.25" customHeight="1" x14ac:dyDescent="0.2">
      <c r="A524" s="69">
        <v>2013</v>
      </c>
      <c r="B524" s="70" t="s">
        <v>66</v>
      </c>
      <c r="C524" s="70" t="s">
        <v>17</v>
      </c>
      <c r="D524" s="70" t="s">
        <v>16</v>
      </c>
      <c r="E524" s="70" t="s">
        <v>69</v>
      </c>
      <c r="F524" s="70" t="s">
        <v>70</v>
      </c>
      <c r="G524" s="71">
        <v>240558374</v>
      </c>
      <c r="H524" s="70" t="s">
        <v>68</v>
      </c>
    </row>
    <row r="525" spans="1:8" ht="17.25" customHeight="1" x14ac:dyDescent="0.2">
      <c r="A525" s="69">
        <v>2013</v>
      </c>
      <c r="B525" s="70" t="s">
        <v>66</v>
      </c>
      <c r="C525" s="70" t="s">
        <v>17</v>
      </c>
      <c r="D525" s="70" t="s">
        <v>18</v>
      </c>
      <c r="E525" s="70" t="s">
        <v>67</v>
      </c>
      <c r="F525" s="70" t="s">
        <v>67</v>
      </c>
      <c r="G525" s="71">
        <v>2209987438</v>
      </c>
      <c r="H525" s="70" t="s">
        <v>68</v>
      </c>
    </row>
    <row r="526" spans="1:8" ht="17.25" customHeight="1" x14ac:dyDescent="0.2">
      <c r="A526" s="69">
        <v>2013</v>
      </c>
      <c r="B526" s="70" t="s">
        <v>66</v>
      </c>
      <c r="C526" s="70" t="s">
        <v>17</v>
      </c>
      <c r="D526" s="70" t="s">
        <v>18</v>
      </c>
      <c r="E526" s="70" t="s">
        <v>69</v>
      </c>
      <c r="F526" s="70" t="s">
        <v>71</v>
      </c>
      <c r="G526" s="71">
        <v>434515464</v>
      </c>
      <c r="H526" s="70" t="s">
        <v>68</v>
      </c>
    </row>
    <row r="527" spans="1:8" ht="17.25" customHeight="1" x14ac:dyDescent="0.2">
      <c r="A527" s="69">
        <v>2013</v>
      </c>
      <c r="B527" s="70" t="s">
        <v>66</v>
      </c>
      <c r="C527" s="70" t="s">
        <v>17</v>
      </c>
      <c r="D527" s="70" t="s">
        <v>18</v>
      </c>
      <c r="E527" s="70" t="s">
        <v>69</v>
      </c>
      <c r="F527" s="70" t="s">
        <v>70</v>
      </c>
      <c r="G527" s="71">
        <v>450199647</v>
      </c>
      <c r="H527" s="70" t="s">
        <v>68</v>
      </c>
    </row>
    <row r="528" spans="1:8" ht="17.25" customHeight="1" x14ac:dyDescent="0.2">
      <c r="A528" s="69">
        <v>2013</v>
      </c>
      <c r="B528" s="70" t="s">
        <v>66</v>
      </c>
      <c r="C528" s="70" t="s">
        <v>17</v>
      </c>
      <c r="D528" s="70" t="s">
        <v>19</v>
      </c>
      <c r="E528" s="70" t="s">
        <v>67</v>
      </c>
      <c r="F528" s="70" t="s">
        <v>67</v>
      </c>
      <c r="G528" s="71">
        <v>6705275063</v>
      </c>
      <c r="H528" s="70" t="s">
        <v>68</v>
      </c>
    </row>
    <row r="529" spans="1:8" ht="17.25" customHeight="1" x14ac:dyDescent="0.2">
      <c r="A529" s="69">
        <v>2013</v>
      </c>
      <c r="B529" s="70" t="s">
        <v>66</v>
      </c>
      <c r="C529" s="70" t="s">
        <v>17</v>
      </c>
      <c r="D529" s="70" t="s">
        <v>19</v>
      </c>
      <c r="E529" s="70" t="s">
        <v>69</v>
      </c>
      <c r="F529" s="70" t="s">
        <v>71</v>
      </c>
      <c r="G529" s="71">
        <v>777600085</v>
      </c>
      <c r="H529" s="70" t="s">
        <v>68</v>
      </c>
    </row>
    <row r="530" spans="1:8" ht="17.25" customHeight="1" x14ac:dyDescent="0.2">
      <c r="A530" s="69">
        <v>2013</v>
      </c>
      <c r="B530" s="70" t="s">
        <v>66</v>
      </c>
      <c r="C530" s="70" t="s">
        <v>17</v>
      </c>
      <c r="D530" s="70" t="s">
        <v>19</v>
      </c>
      <c r="E530" s="70" t="s">
        <v>69</v>
      </c>
      <c r="F530" s="70" t="s">
        <v>70</v>
      </c>
      <c r="G530" s="71">
        <v>1535015921</v>
      </c>
      <c r="H530" s="70" t="s">
        <v>68</v>
      </c>
    </row>
    <row r="531" spans="1:8" ht="17.25" customHeight="1" x14ac:dyDescent="0.2">
      <c r="A531" s="69">
        <v>2013</v>
      </c>
      <c r="B531" s="70" t="s">
        <v>66</v>
      </c>
      <c r="C531" s="70" t="s">
        <v>17</v>
      </c>
      <c r="D531" s="70" t="s">
        <v>20</v>
      </c>
      <c r="E531" s="70" t="s">
        <v>67</v>
      </c>
      <c r="F531" s="70" t="s">
        <v>67</v>
      </c>
      <c r="G531" s="71">
        <v>1533987442</v>
      </c>
      <c r="H531" s="70" t="s">
        <v>68</v>
      </c>
    </row>
    <row r="532" spans="1:8" ht="17.25" customHeight="1" x14ac:dyDescent="0.2">
      <c r="A532" s="69">
        <v>2013</v>
      </c>
      <c r="B532" s="70" t="s">
        <v>66</v>
      </c>
      <c r="C532" s="70" t="s">
        <v>17</v>
      </c>
      <c r="D532" s="70" t="s">
        <v>20</v>
      </c>
      <c r="E532" s="70" t="s">
        <v>69</v>
      </c>
      <c r="F532" s="70" t="s">
        <v>71</v>
      </c>
      <c r="G532" s="71">
        <v>137994362</v>
      </c>
      <c r="H532" s="70" t="s">
        <v>68</v>
      </c>
    </row>
    <row r="533" spans="1:8" ht="17.25" customHeight="1" x14ac:dyDescent="0.2">
      <c r="A533" s="69">
        <v>2013</v>
      </c>
      <c r="B533" s="70" t="s">
        <v>66</v>
      </c>
      <c r="C533" s="70" t="s">
        <v>17</v>
      </c>
      <c r="D533" s="70" t="s">
        <v>20</v>
      </c>
      <c r="E533" s="70" t="s">
        <v>69</v>
      </c>
      <c r="F533" s="70" t="s">
        <v>70</v>
      </c>
      <c r="G533" s="71">
        <v>586972482</v>
      </c>
      <c r="H533" s="70" t="s">
        <v>68</v>
      </c>
    </row>
    <row r="534" spans="1:8" ht="17.25" customHeight="1" x14ac:dyDescent="0.2">
      <c r="A534" s="69">
        <v>2013</v>
      </c>
      <c r="B534" s="70" t="s">
        <v>66</v>
      </c>
      <c r="C534" s="70" t="s">
        <v>17</v>
      </c>
      <c r="D534" s="70" t="s">
        <v>21</v>
      </c>
      <c r="E534" s="70" t="s">
        <v>67</v>
      </c>
      <c r="F534" s="70" t="s">
        <v>67</v>
      </c>
      <c r="G534" s="71">
        <v>3973104974</v>
      </c>
      <c r="H534" s="70" t="s">
        <v>68</v>
      </c>
    </row>
    <row r="535" spans="1:8" ht="17.25" customHeight="1" x14ac:dyDescent="0.2">
      <c r="A535" s="69">
        <v>2013</v>
      </c>
      <c r="B535" s="70" t="s">
        <v>66</v>
      </c>
      <c r="C535" s="70" t="s">
        <v>17</v>
      </c>
      <c r="D535" s="70" t="s">
        <v>21</v>
      </c>
      <c r="E535" s="70" t="s">
        <v>69</v>
      </c>
      <c r="F535" s="70" t="s">
        <v>71</v>
      </c>
      <c r="G535" s="71">
        <v>564550422</v>
      </c>
      <c r="H535" s="70" t="s">
        <v>68</v>
      </c>
    </row>
    <row r="536" spans="1:8" ht="17.25" customHeight="1" x14ac:dyDescent="0.2">
      <c r="A536" s="69">
        <v>2013</v>
      </c>
      <c r="B536" s="70" t="s">
        <v>66</v>
      </c>
      <c r="C536" s="70" t="s">
        <v>17</v>
      </c>
      <c r="D536" s="70" t="s">
        <v>21</v>
      </c>
      <c r="E536" s="70" t="s">
        <v>69</v>
      </c>
      <c r="F536" s="70" t="s">
        <v>70</v>
      </c>
      <c r="G536" s="71">
        <v>734499846</v>
      </c>
      <c r="H536" s="70" t="s">
        <v>68</v>
      </c>
    </row>
    <row r="537" spans="1:8" ht="17.25" customHeight="1" x14ac:dyDescent="0.2">
      <c r="A537" s="69">
        <v>2013</v>
      </c>
      <c r="B537" s="70" t="s">
        <v>66</v>
      </c>
      <c r="C537" s="70" t="s">
        <v>17</v>
      </c>
      <c r="D537" s="70" t="s">
        <v>22</v>
      </c>
      <c r="E537" s="70" t="s">
        <v>67</v>
      </c>
      <c r="F537" s="70" t="s">
        <v>67</v>
      </c>
      <c r="G537" s="71">
        <v>1711206221</v>
      </c>
      <c r="H537" s="70" t="s">
        <v>68</v>
      </c>
    </row>
    <row r="538" spans="1:8" ht="17.25" customHeight="1" x14ac:dyDescent="0.2">
      <c r="A538" s="69">
        <v>2013</v>
      </c>
      <c r="B538" s="70" t="s">
        <v>66</v>
      </c>
      <c r="C538" s="70" t="s">
        <v>17</v>
      </c>
      <c r="D538" s="70" t="s">
        <v>22</v>
      </c>
      <c r="E538" s="70" t="s">
        <v>69</v>
      </c>
      <c r="F538" s="70" t="s">
        <v>71</v>
      </c>
      <c r="G538" s="71">
        <v>161022604</v>
      </c>
      <c r="H538" s="70" t="s">
        <v>68</v>
      </c>
    </row>
    <row r="539" spans="1:8" ht="17.25" customHeight="1" x14ac:dyDescent="0.2">
      <c r="A539" s="69">
        <v>2013</v>
      </c>
      <c r="B539" s="70" t="s">
        <v>66</v>
      </c>
      <c r="C539" s="70" t="s">
        <v>17</v>
      </c>
      <c r="D539" s="70" t="s">
        <v>22</v>
      </c>
      <c r="E539" s="70" t="s">
        <v>69</v>
      </c>
      <c r="F539" s="70" t="s">
        <v>70</v>
      </c>
      <c r="G539" s="71">
        <v>177561531</v>
      </c>
      <c r="H539" s="70" t="s">
        <v>68</v>
      </c>
    </row>
    <row r="540" spans="1:8" ht="17.25" customHeight="1" x14ac:dyDescent="0.2">
      <c r="A540" s="69">
        <v>2013</v>
      </c>
      <c r="B540" s="70" t="s">
        <v>66</v>
      </c>
      <c r="C540" s="70" t="s">
        <v>17</v>
      </c>
      <c r="D540" s="70" t="s">
        <v>23</v>
      </c>
      <c r="E540" s="70" t="s">
        <v>67</v>
      </c>
      <c r="F540" s="70" t="s">
        <v>67</v>
      </c>
      <c r="G540" s="71">
        <v>2404759300</v>
      </c>
      <c r="H540" s="70" t="s">
        <v>68</v>
      </c>
    </row>
    <row r="541" spans="1:8" ht="17.25" customHeight="1" x14ac:dyDescent="0.2">
      <c r="A541" s="69">
        <v>2013</v>
      </c>
      <c r="B541" s="70" t="s">
        <v>66</v>
      </c>
      <c r="C541" s="70" t="s">
        <v>17</v>
      </c>
      <c r="D541" s="70" t="s">
        <v>23</v>
      </c>
      <c r="E541" s="70" t="s">
        <v>69</v>
      </c>
      <c r="F541" s="70" t="s">
        <v>71</v>
      </c>
      <c r="G541" s="71">
        <v>227335981</v>
      </c>
      <c r="H541" s="70" t="s">
        <v>68</v>
      </c>
    </row>
    <row r="542" spans="1:8" ht="17.25" customHeight="1" x14ac:dyDescent="0.2">
      <c r="A542" s="69">
        <v>2013</v>
      </c>
      <c r="B542" s="70" t="s">
        <v>66</v>
      </c>
      <c r="C542" s="70" t="s">
        <v>17</v>
      </c>
      <c r="D542" s="70" t="s">
        <v>23</v>
      </c>
      <c r="E542" s="70" t="s">
        <v>69</v>
      </c>
      <c r="F542" s="70" t="s">
        <v>70</v>
      </c>
      <c r="G542" s="71">
        <v>516563964</v>
      </c>
      <c r="H542" s="70" t="s">
        <v>68</v>
      </c>
    </row>
    <row r="543" spans="1:8" ht="17.25" customHeight="1" x14ac:dyDescent="0.2">
      <c r="A543" s="69">
        <v>2013</v>
      </c>
      <c r="B543" s="70" t="s">
        <v>66</v>
      </c>
      <c r="C543" s="70" t="s">
        <v>17</v>
      </c>
      <c r="D543" s="70" t="s">
        <v>24</v>
      </c>
      <c r="E543" s="70" t="s">
        <v>67</v>
      </c>
      <c r="F543" s="70" t="s">
        <v>67</v>
      </c>
      <c r="G543" s="71">
        <v>34417207067</v>
      </c>
      <c r="H543" s="70" t="s">
        <v>68</v>
      </c>
    </row>
    <row r="544" spans="1:8" ht="17.25" customHeight="1" x14ac:dyDescent="0.2">
      <c r="A544" s="69">
        <v>2013</v>
      </c>
      <c r="B544" s="70" t="s">
        <v>66</v>
      </c>
      <c r="C544" s="70" t="s">
        <v>17</v>
      </c>
      <c r="D544" s="70" t="s">
        <v>24</v>
      </c>
      <c r="E544" s="70" t="s">
        <v>69</v>
      </c>
      <c r="F544" s="70" t="s">
        <v>71</v>
      </c>
      <c r="G544" s="71">
        <v>5279748050</v>
      </c>
      <c r="H544" s="70" t="s">
        <v>68</v>
      </c>
    </row>
    <row r="545" spans="1:8" ht="17.25" customHeight="1" x14ac:dyDescent="0.2">
      <c r="A545" s="69">
        <v>2013</v>
      </c>
      <c r="B545" s="70" t="s">
        <v>66</v>
      </c>
      <c r="C545" s="70" t="s">
        <v>17</v>
      </c>
      <c r="D545" s="70" t="s">
        <v>24</v>
      </c>
      <c r="E545" s="70" t="s">
        <v>69</v>
      </c>
      <c r="F545" s="70" t="s">
        <v>70</v>
      </c>
      <c r="G545" s="71">
        <v>5409912109</v>
      </c>
      <c r="H545" s="70" t="s">
        <v>68</v>
      </c>
    </row>
    <row r="546" spans="1:8" ht="17.25" customHeight="1" x14ac:dyDescent="0.2">
      <c r="A546" s="69">
        <v>2013</v>
      </c>
      <c r="B546" s="70" t="s">
        <v>66</v>
      </c>
      <c r="C546" s="70" t="s">
        <v>17</v>
      </c>
      <c r="D546" s="70" t="s">
        <v>25</v>
      </c>
      <c r="E546" s="70" t="s">
        <v>67</v>
      </c>
      <c r="F546" s="70" t="s">
        <v>67</v>
      </c>
      <c r="G546" s="71">
        <v>3812708033</v>
      </c>
      <c r="H546" s="70" t="s">
        <v>68</v>
      </c>
    </row>
    <row r="547" spans="1:8" ht="17.25" customHeight="1" x14ac:dyDescent="0.2">
      <c r="A547" s="69">
        <v>2013</v>
      </c>
      <c r="B547" s="70" t="s">
        <v>66</v>
      </c>
      <c r="C547" s="70" t="s">
        <v>17</v>
      </c>
      <c r="D547" s="70" t="s">
        <v>25</v>
      </c>
      <c r="E547" s="70" t="s">
        <v>69</v>
      </c>
      <c r="F547" s="70" t="s">
        <v>71</v>
      </c>
      <c r="G547" s="71">
        <v>360986042</v>
      </c>
      <c r="H547" s="70" t="s">
        <v>68</v>
      </c>
    </row>
    <row r="548" spans="1:8" ht="17.25" customHeight="1" x14ac:dyDescent="0.2">
      <c r="A548" s="69">
        <v>2013</v>
      </c>
      <c r="B548" s="70" t="s">
        <v>66</v>
      </c>
      <c r="C548" s="70" t="s">
        <v>17</v>
      </c>
      <c r="D548" s="70" t="s">
        <v>25</v>
      </c>
      <c r="E548" s="70" t="s">
        <v>69</v>
      </c>
      <c r="F548" s="70" t="s">
        <v>70</v>
      </c>
      <c r="G548" s="71">
        <v>477347369</v>
      </c>
      <c r="H548" s="70" t="s">
        <v>68</v>
      </c>
    </row>
    <row r="549" spans="1:8" ht="17.25" customHeight="1" x14ac:dyDescent="0.2">
      <c r="A549" s="69">
        <v>2013</v>
      </c>
      <c r="B549" s="70" t="s">
        <v>66</v>
      </c>
      <c r="C549" s="70" t="s">
        <v>27</v>
      </c>
      <c r="D549" s="70" t="s">
        <v>26</v>
      </c>
      <c r="E549" s="70" t="s">
        <v>67</v>
      </c>
      <c r="F549" s="70" t="s">
        <v>67</v>
      </c>
      <c r="G549" s="71">
        <v>35300842948</v>
      </c>
      <c r="H549" s="70" t="s">
        <v>68</v>
      </c>
    </row>
    <row r="550" spans="1:8" ht="17.25" customHeight="1" x14ac:dyDescent="0.2">
      <c r="A550" s="69">
        <v>2013</v>
      </c>
      <c r="B550" s="70" t="s">
        <v>66</v>
      </c>
      <c r="C550" s="70" t="s">
        <v>27</v>
      </c>
      <c r="D550" s="70" t="s">
        <v>26</v>
      </c>
      <c r="E550" s="70" t="s">
        <v>69</v>
      </c>
      <c r="F550" s="70" t="s">
        <v>71</v>
      </c>
      <c r="G550" s="71">
        <v>7068656652</v>
      </c>
      <c r="H550" s="70" t="s">
        <v>68</v>
      </c>
    </row>
    <row r="551" spans="1:8" ht="17.25" customHeight="1" x14ac:dyDescent="0.2">
      <c r="A551" s="69">
        <v>2013</v>
      </c>
      <c r="B551" s="70" t="s">
        <v>66</v>
      </c>
      <c r="C551" s="70" t="s">
        <v>27</v>
      </c>
      <c r="D551" s="70" t="s">
        <v>26</v>
      </c>
      <c r="E551" s="70" t="s">
        <v>69</v>
      </c>
      <c r="F551" s="70" t="s">
        <v>70</v>
      </c>
      <c r="G551" s="71">
        <v>13605027873</v>
      </c>
      <c r="H551" s="70" t="s">
        <v>68</v>
      </c>
    </row>
    <row r="552" spans="1:8" ht="17.25" customHeight="1" x14ac:dyDescent="0.2">
      <c r="A552" s="69">
        <v>2013</v>
      </c>
      <c r="B552" s="70" t="s">
        <v>66</v>
      </c>
      <c r="C552" s="70" t="s">
        <v>27</v>
      </c>
      <c r="D552" s="70" t="s">
        <v>28</v>
      </c>
      <c r="E552" s="70" t="s">
        <v>67</v>
      </c>
      <c r="F552" s="70" t="s">
        <v>67</v>
      </c>
      <c r="G552" s="71">
        <v>50305961024</v>
      </c>
      <c r="H552" s="70" t="s">
        <v>68</v>
      </c>
    </row>
    <row r="553" spans="1:8" ht="17.25" customHeight="1" x14ac:dyDescent="0.2">
      <c r="A553" s="69">
        <v>2013</v>
      </c>
      <c r="B553" s="70" t="s">
        <v>66</v>
      </c>
      <c r="C553" s="70" t="s">
        <v>27</v>
      </c>
      <c r="D553" s="70" t="s">
        <v>28</v>
      </c>
      <c r="E553" s="70" t="s">
        <v>69</v>
      </c>
      <c r="F553" s="70" t="s">
        <v>71</v>
      </c>
      <c r="G553" s="71">
        <v>11613457006</v>
      </c>
      <c r="H553" s="70" t="s">
        <v>68</v>
      </c>
    </row>
    <row r="554" spans="1:8" ht="17.25" customHeight="1" x14ac:dyDescent="0.2">
      <c r="A554" s="69">
        <v>2013</v>
      </c>
      <c r="B554" s="70" t="s">
        <v>66</v>
      </c>
      <c r="C554" s="70" t="s">
        <v>27</v>
      </c>
      <c r="D554" s="70" t="s">
        <v>28</v>
      </c>
      <c r="E554" s="70" t="s">
        <v>69</v>
      </c>
      <c r="F554" s="70" t="s">
        <v>70</v>
      </c>
      <c r="G554" s="71">
        <v>15705494780</v>
      </c>
      <c r="H554" s="70" t="s">
        <v>68</v>
      </c>
    </row>
    <row r="555" spans="1:8" ht="17.25" customHeight="1" x14ac:dyDescent="0.2">
      <c r="A555" s="69">
        <v>2013</v>
      </c>
      <c r="B555" s="70" t="s">
        <v>66</v>
      </c>
      <c r="C555" s="70" t="s">
        <v>27</v>
      </c>
      <c r="D555" s="70" t="s">
        <v>29</v>
      </c>
      <c r="E555" s="70" t="s">
        <v>67</v>
      </c>
      <c r="F555" s="70" t="s">
        <v>67</v>
      </c>
      <c r="G555" s="71">
        <v>18836662341</v>
      </c>
      <c r="H555" s="70" t="s">
        <v>68</v>
      </c>
    </row>
    <row r="556" spans="1:8" ht="17.25" customHeight="1" x14ac:dyDescent="0.2">
      <c r="A556" s="69">
        <v>2013</v>
      </c>
      <c r="B556" s="70" t="s">
        <v>66</v>
      </c>
      <c r="C556" s="70" t="s">
        <v>27</v>
      </c>
      <c r="D556" s="70" t="s">
        <v>29</v>
      </c>
      <c r="E556" s="70" t="s">
        <v>69</v>
      </c>
      <c r="F556" s="70" t="s">
        <v>71</v>
      </c>
      <c r="G556" s="71">
        <v>4671079025</v>
      </c>
      <c r="H556" s="70" t="s">
        <v>68</v>
      </c>
    </row>
    <row r="557" spans="1:8" ht="17.25" customHeight="1" x14ac:dyDescent="0.2">
      <c r="A557" s="69">
        <v>2013</v>
      </c>
      <c r="B557" s="70" t="s">
        <v>66</v>
      </c>
      <c r="C557" s="70" t="s">
        <v>27</v>
      </c>
      <c r="D557" s="70" t="s">
        <v>29</v>
      </c>
      <c r="E557" s="70" t="s">
        <v>69</v>
      </c>
      <c r="F557" s="70" t="s">
        <v>70</v>
      </c>
      <c r="G557" s="71">
        <v>3529784324</v>
      </c>
      <c r="H557" s="70" t="s">
        <v>68</v>
      </c>
    </row>
    <row r="558" spans="1:8" ht="17.25" customHeight="1" x14ac:dyDescent="0.2">
      <c r="A558" s="69">
        <v>2013</v>
      </c>
      <c r="B558" s="70" t="s">
        <v>66</v>
      </c>
      <c r="C558" s="70" t="s">
        <v>27</v>
      </c>
      <c r="D558" s="70" t="s">
        <v>30</v>
      </c>
      <c r="E558" s="70" t="s">
        <v>67</v>
      </c>
      <c r="F558" s="70" t="s">
        <v>67</v>
      </c>
      <c r="G558" s="71">
        <v>39050474564</v>
      </c>
      <c r="H558" s="70" t="s">
        <v>68</v>
      </c>
    </row>
    <row r="559" spans="1:8" ht="17.25" customHeight="1" x14ac:dyDescent="0.2">
      <c r="A559" s="69">
        <v>2013</v>
      </c>
      <c r="B559" s="70" t="s">
        <v>66</v>
      </c>
      <c r="C559" s="70" t="s">
        <v>27</v>
      </c>
      <c r="D559" s="70" t="s">
        <v>30</v>
      </c>
      <c r="E559" s="70" t="s">
        <v>69</v>
      </c>
      <c r="F559" s="70" t="s">
        <v>71</v>
      </c>
      <c r="G559" s="71">
        <v>7647736848</v>
      </c>
      <c r="H559" s="70" t="s">
        <v>68</v>
      </c>
    </row>
    <row r="560" spans="1:8" ht="17.25" customHeight="1" x14ac:dyDescent="0.2">
      <c r="A560" s="69">
        <v>2013</v>
      </c>
      <c r="B560" s="70" t="s">
        <v>66</v>
      </c>
      <c r="C560" s="70" t="s">
        <v>27</v>
      </c>
      <c r="D560" s="70" t="s">
        <v>30</v>
      </c>
      <c r="E560" s="70" t="s">
        <v>69</v>
      </c>
      <c r="F560" s="70" t="s">
        <v>70</v>
      </c>
      <c r="G560" s="71">
        <v>13999209707</v>
      </c>
      <c r="H560" s="70" t="s">
        <v>68</v>
      </c>
    </row>
    <row r="561" spans="1:8" ht="17.25" customHeight="1" x14ac:dyDescent="0.2">
      <c r="A561" s="69">
        <v>2013</v>
      </c>
      <c r="B561" s="70" t="s">
        <v>66</v>
      </c>
      <c r="C561" s="70" t="s">
        <v>27</v>
      </c>
      <c r="D561" s="70" t="s">
        <v>31</v>
      </c>
      <c r="E561" s="70" t="s">
        <v>67</v>
      </c>
      <c r="F561" s="70" t="s">
        <v>67</v>
      </c>
      <c r="G561" s="71">
        <v>9856397752</v>
      </c>
      <c r="H561" s="70" t="s">
        <v>68</v>
      </c>
    </row>
    <row r="562" spans="1:8" ht="17.25" customHeight="1" x14ac:dyDescent="0.2">
      <c r="A562" s="69">
        <v>2013</v>
      </c>
      <c r="B562" s="70" t="s">
        <v>66</v>
      </c>
      <c r="C562" s="70" t="s">
        <v>27</v>
      </c>
      <c r="D562" s="70" t="s">
        <v>31</v>
      </c>
      <c r="E562" s="70" t="s">
        <v>69</v>
      </c>
      <c r="F562" s="70" t="s">
        <v>71</v>
      </c>
      <c r="G562" s="71">
        <v>3299450883</v>
      </c>
      <c r="H562" s="70" t="s">
        <v>68</v>
      </c>
    </row>
    <row r="563" spans="1:8" ht="17.25" customHeight="1" x14ac:dyDescent="0.2">
      <c r="A563" s="69">
        <v>2013</v>
      </c>
      <c r="B563" s="70" t="s">
        <v>66</v>
      </c>
      <c r="C563" s="70" t="s">
        <v>27</v>
      </c>
      <c r="D563" s="70" t="s">
        <v>31</v>
      </c>
      <c r="E563" s="70" t="s">
        <v>69</v>
      </c>
      <c r="F563" s="70" t="s">
        <v>70</v>
      </c>
      <c r="G563" s="71">
        <v>7563024260</v>
      </c>
      <c r="H563" s="70" t="s">
        <v>68</v>
      </c>
    </row>
    <row r="564" spans="1:8" ht="17.25" customHeight="1" x14ac:dyDescent="0.2">
      <c r="A564" s="69">
        <v>2013</v>
      </c>
      <c r="B564" s="70" t="s">
        <v>66</v>
      </c>
      <c r="C564" s="70" t="s">
        <v>27</v>
      </c>
      <c r="D564" s="70" t="s">
        <v>32</v>
      </c>
      <c r="E564" s="70" t="s">
        <v>67</v>
      </c>
      <c r="F564" s="70" t="s">
        <v>67</v>
      </c>
      <c r="G564" s="71">
        <v>16772162171</v>
      </c>
      <c r="H564" s="70" t="s">
        <v>68</v>
      </c>
    </row>
    <row r="565" spans="1:8" ht="17.25" customHeight="1" x14ac:dyDescent="0.2">
      <c r="A565" s="69">
        <v>2013</v>
      </c>
      <c r="B565" s="70" t="s">
        <v>66</v>
      </c>
      <c r="C565" s="70" t="s">
        <v>27</v>
      </c>
      <c r="D565" s="70" t="s">
        <v>32</v>
      </c>
      <c r="E565" s="70" t="s">
        <v>69</v>
      </c>
      <c r="F565" s="70" t="s">
        <v>71</v>
      </c>
      <c r="G565" s="71">
        <v>5779371798</v>
      </c>
      <c r="H565" s="70" t="s">
        <v>68</v>
      </c>
    </row>
    <row r="566" spans="1:8" ht="17.25" customHeight="1" x14ac:dyDescent="0.2">
      <c r="A566" s="69">
        <v>2013</v>
      </c>
      <c r="B566" s="70" t="s">
        <v>66</v>
      </c>
      <c r="C566" s="70" t="s">
        <v>27</v>
      </c>
      <c r="D566" s="70" t="s">
        <v>32</v>
      </c>
      <c r="E566" s="70" t="s">
        <v>69</v>
      </c>
      <c r="F566" s="70" t="s">
        <v>70</v>
      </c>
      <c r="G566" s="71">
        <v>4502453871</v>
      </c>
      <c r="H566" s="70" t="s">
        <v>68</v>
      </c>
    </row>
    <row r="567" spans="1:8" ht="17.25" customHeight="1" x14ac:dyDescent="0.2">
      <c r="A567" s="69">
        <v>2013</v>
      </c>
      <c r="B567" s="70" t="s">
        <v>66</v>
      </c>
      <c r="C567" s="70" t="s">
        <v>27</v>
      </c>
      <c r="D567" s="70" t="s">
        <v>33</v>
      </c>
      <c r="E567" s="70" t="s">
        <v>67</v>
      </c>
      <c r="F567" s="70" t="s">
        <v>67</v>
      </c>
      <c r="G567" s="71">
        <v>33766530443</v>
      </c>
      <c r="H567" s="70" t="s">
        <v>68</v>
      </c>
    </row>
    <row r="568" spans="1:8" ht="17.25" customHeight="1" x14ac:dyDescent="0.2">
      <c r="A568" s="69">
        <v>2013</v>
      </c>
      <c r="B568" s="70" t="s">
        <v>66</v>
      </c>
      <c r="C568" s="70" t="s">
        <v>27</v>
      </c>
      <c r="D568" s="70" t="s">
        <v>33</v>
      </c>
      <c r="E568" s="70" t="s">
        <v>69</v>
      </c>
      <c r="F568" s="70" t="s">
        <v>71</v>
      </c>
      <c r="G568" s="71">
        <v>9278259362</v>
      </c>
      <c r="H568" s="70" t="s">
        <v>68</v>
      </c>
    </row>
    <row r="569" spans="1:8" ht="17.25" customHeight="1" x14ac:dyDescent="0.2">
      <c r="A569" s="69">
        <v>2013</v>
      </c>
      <c r="B569" s="70" t="s">
        <v>66</v>
      </c>
      <c r="C569" s="70" t="s">
        <v>27</v>
      </c>
      <c r="D569" s="70" t="s">
        <v>33</v>
      </c>
      <c r="E569" s="70" t="s">
        <v>69</v>
      </c>
      <c r="F569" s="70" t="s">
        <v>70</v>
      </c>
      <c r="G569" s="71">
        <v>23595900274</v>
      </c>
      <c r="H569" s="70" t="s">
        <v>68</v>
      </c>
    </row>
    <row r="570" spans="1:8" ht="17.25" customHeight="1" x14ac:dyDescent="0.2">
      <c r="A570" s="69">
        <v>2013</v>
      </c>
      <c r="B570" s="70" t="s">
        <v>66</v>
      </c>
      <c r="C570" s="70" t="s">
        <v>35</v>
      </c>
      <c r="D570" s="70" t="s">
        <v>34</v>
      </c>
      <c r="E570" s="70" t="s">
        <v>67</v>
      </c>
      <c r="F570" s="70" t="s">
        <v>67</v>
      </c>
      <c r="G570" s="71">
        <v>7156268041</v>
      </c>
      <c r="H570" s="70" t="s">
        <v>68</v>
      </c>
    </row>
    <row r="571" spans="1:8" ht="17.25" customHeight="1" x14ac:dyDescent="0.2">
      <c r="A571" s="69">
        <v>2013</v>
      </c>
      <c r="B571" s="70" t="s">
        <v>66</v>
      </c>
      <c r="C571" s="70" t="s">
        <v>35</v>
      </c>
      <c r="D571" s="70" t="s">
        <v>34</v>
      </c>
      <c r="E571" s="70" t="s">
        <v>69</v>
      </c>
      <c r="F571" s="70" t="s">
        <v>71</v>
      </c>
      <c r="G571" s="71">
        <v>796644432</v>
      </c>
      <c r="H571" s="70" t="s">
        <v>68</v>
      </c>
    </row>
    <row r="572" spans="1:8" ht="17.25" customHeight="1" x14ac:dyDescent="0.2">
      <c r="A572" s="69">
        <v>2013</v>
      </c>
      <c r="B572" s="70" t="s">
        <v>66</v>
      </c>
      <c r="C572" s="70" t="s">
        <v>35</v>
      </c>
      <c r="D572" s="70" t="s">
        <v>34</v>
      </c>
      <c r="E572" s="70" t="s">
        <v>69</v>
      </c>
      <c r="F572" s="70" t="s">
        <v>70</v>
      </c>
      <c r="G572" s="71">
        <v>594045833</v>
      </c>
      <c r="H572" s="70" t="s">
        <v>68</v>
      </c>
    </row>
    <row r="573" spans="1:8" ht="17.25" customHeight="1" x14ac:dyDescent="0.2">
      <c r="A573" s="69">
        <v>2013</v>
      </c>
      <c r="B573" s="70" t="s">
        <v>66</v>
      </c>
      <c r="C573" s="70" t="s">
        <v>35</v>
      </c>
      <c r="D573" s="70" t="s">
        <v>36</v>
      </c>
      <c r="E573" s="70" t="s">
        <v>67</v>
      </c>
      <c r="F573" s="70" t="s">
        <v>67</v>
      </c>
      <c r="G573" s="71">
        <v>27689692858</v>
      </c>
      <c r="H573" s="70" t="s">
        <v>68</v>
      </c>
    </row>
    <row r="574" spans="1:8" ht="17.25" customHeight="1" x14ac:dyDescent="0.2">
      <c r="A574" s="69">
        <v>2013</v>
      </c>
      <c r="B574" s="70" t="s">
        <v>66</v>
      </c>
      <c r="C574" s="70" t="s">
        <v>35</v>
      </c>
      <c r="D574" s="70" t="s">
        <v>36</v>
      </c>
      <c r="E574" s="70" t="s">
        <v>69</v>
      </c>
      <c r="F574" s="70" t="s">
        <v>71</v>
      </c>
      <c r="G574" s="71">
        <v>5800346988</v>
      </c>
      <c r="H574" s="70" t="s">
        <v>68</v>
      </c>
    </row>
    <row r="575" spans="1:8" ht="17.25" customHeight="1" x14ac:dyDescent="0.2">
      <c r="A575" s="69">
        <v>2013</v>
      </c>
      <c r="B575" s="70" t="s">
        <v>66</v>
      </c>
      <c r="C575" s="70" t="s">
        <v>35</v>
      </c>
      <c r="D575" s="70" t="s">
        <v>36</v>
      </c>
      <c r="E575" s="70" t="s">
        <v>69</v>
      </c>
      <c r="F575" s="70" t="s">
        <v>70</v>
      </c>
      <c r="G575" s="71">
        <v>2494846939</v>
      </c>
      <c r="H575" s="70" t="s">
        <v>68</v>
      </c>
    </row>
    <row r="576" spans="1:8" ht="17.25" customHeight="1" x14ac:dyDescent="0.2">
      <c r="A576" s="69">
        <v>2013</v>
      </c>
      <c r="B576" s="70" t="s">
        <v>66</v>
      </c>
      <c r="C576" s="70" t="s">
        <v>35</v>
      </c>
      <c r="D576" s="70" t="s">
        <v>37</v>
      </c>
      <c r="E576" s="70" t="s">
        <v>67</v>
      </c>
      <c r="F576" s="70" t="s">
        <v>67</v>
      </c>
      <c r="G576" s="71">
        <v>3830078210</v>
      </c>
      <c r="H576" s="70" t="s">
        <v>68</v>
      </c>
    </row>
    <row r="577" spans="1:8" ht="17.25" customHeight="1" x14ac:dyDescent="0.2">
      <c r="A577" s="69">
        <v>2013</v>
      </c>
      <c r="B577" s="70" t="s">
        <v>66</v>
      </c>
      <c r="C577" s="70" t="s">
        <v>35</v>
      </c>
      <c r="D577" s="70" t="s">
        <v>37</v>
      </c>
      <c r="E577" s="70" t="s">
        <v>69</v>
      </c>
      <c r="F577" s="70" t="s">
        <v>71</v>
      </c>
      <c r="G577" s="71">
        <v>626371553</v>
      </c>
      <c r="H577" s="70" t="s">
        <v>68</v>
      </c>
    </row>
    <row r="578" spans="1:8" ht="17.25" customHeight="1" x14ac:dyDescent="0.2">
      <c r="A578" s="69">
        <v>2013</v>
      </c>
      <c r="B578" s="70" t="s">
        <v>66</v>
      </c>
      <c r="C578" s="70" t="s">
        <v>35</v>
      </c>
      <c r="D578" s="70" t="s">
        <v>37</v>
      </c>
      <c r="E578" s="70" t="s">
        <v>69</v>
      </c>
      <c r="F578" s="70" t="s">
        <v>70</v>
      </c>
      <c r="G578" s="71">
        <v>842985803</v>
      </c>
      <c r="H578" s="70" t="s">
        <v>68</v>
      </c>
    </row>
    <row r="579" spans="1:8" ht="17.25" customHeight="1" x14ac:dyDescent="0.2">
      <c r="A579" s="69">
        <v>2013</v>
      </c>
      <c r="B579" s="70" t="s">
        <v>66</v>
      </c>
      <c r="C579" s="70" t="s">
        <v>35</v>
      </c>
      <c r="D579" s="70" t="s">
        <v>38</v>
      </c>
      <c r="E579" s="70" t="s">
        <v>67</v>
      </c>
      <c r="F579" s="70" t="s">
        <v>67</v>
      </c>
      <c r="G579" s="71">
        <v>8229403506</v>
      </c>
      <c r="H579" s="70" t="s">
        <v>68</v>
      </c>
    </row>
    <row r="580" spans="1:8" ht="17.25" customHeight="1" x14ac:dyDescent="0.2">
      <c r="A580" s="69">
        <v>2013</v>
      </c>
      <c r="B580" s="70" t="s">
        <v>66</v>
      </c>
      <c r="C580" s="70" t="s">
        <v>35</v>
      </c>
      <c r="D580" s="70" t="s">
        <v>38</v>
      </c>
      <c r="E580" s="70" t="s">
        <v>69</v>
      </c>
      <c r="F580" s="70" t="s">
        <v>71</v>
      </c>
      <c r="G580" s="71">
        <v>1228089125</v>
      </c>
      <c r="H580" s="70" t="s">
        <v>68</v>
      </c>
    </row>
    <row r="581" spans="1:8" ht="17.25" customHeight="1" x14ac:dyDescent="0.2">
      <c r="A581" s="69">
        <v>2013</v>
      </c>
      <c r="B581" s="70" t="s">
        <v>66</v>
      </c>
      <c r="C581" s="70" t="s">
        <v>35</v>
      </c>
      <c r="D581" s="70" t="s">
        <v>38</v>
      </c>
      <c r="E581" s="70" t="s">
        <v>69</v>
      </c>
      <c r="F581" s="70" t="s">
        <v>70</v>
      </c>
      <c r="G581" s="71">
        <v>1090507369</v>
      </c>
      <c r="H581" s="70" t="s">
        <v>68</v>
      </c>
    </row>
    <row r="582" spans="1:8" ht="17.25" customHeight="1" x14ac:dyDescent="0.2">
      <c r="A582" s="69">
        <v>2013</v>
      </c>
      <c r="B582" s="70" t="s">
        <v>66</v>
      </c>
      <c r="C582" s="70" t="s">
        <v>35</v>
      </c>
      <c r="D582" s="70" t="s">
        <v>39</v>
      </c>
      <c r="E582" s="70" t="s">
        <v>67</v>
      </c>
      <c r="F582" s="70" t="s">
        <v>67</v>
      </c>
      <c r="G582" s="71">
        <v>19615860000</v>
      </c>
      <c r="H582" s="70" t="s">
        <v>68</v>
      </c>
    </row>
    <row r="583" spans="1:8" ht="17.25" customHeight="1" x14ac:dyDescent="0.2">
      <c r="A583" s="69">
        <v>2013</v>
      </c>
      <c r="B583" s="70" t="s">
        <v>66</v>
      </c>
      <c r="C583" s="70" t="s">
        <v>35</v>
      </c>
      <c r="D583" s="70" t="s">
        <v>39</v>
      </c>
      <c r="E583" s="70" t="s">
        <v>69</v>
      </c>
      <c r="F583" s="70" t="s">
        <v>71</v>
      </c>
      <c r="G583" s="71">
        <v>3770255200</v>
      </c>
      <c r="H583" s="70" t="s">
        <v>68</v>
      </c>
    </row>
    <row r="584" spans="1:8" ht="17.25" customHeight="1" x14ac:dyDescent="0.2">
      <c r="A584" s="69">
        <v>2013</v>
      </c>
      <c r="B584" s="70" t="s">
        <v>66</v>
      </c>
      <c r="C584" s="70" t="s">
        <v>35</v>
      </c>
      <c r="D584" s="70" t="s">
        <v>39</v>
      </c>
      <c r="E584" s="70" t="s">
        <v>69</v>
      </c>
      <c r="F584" s="70" t="s">
        <v>70</v>
      </c>
      <c r="G584" s="71">
        <v>2532884800</v>
      </c>
      <c r="H584" s="70" t="s">
        <v>68</v>
      </c>
    </row>
    <row r="585" spans="1:8" ht="17.25" customHeight="1" x14ac:dyDescent="0.2">
      <c r="A585" s="69">
        <v>2013</v>
      </c>
      <c r="B585" s="70" t="s">
        <v>66</v>
      </c>
      <c r="C585" s="70" t="s">
        <v>41</v>
      </c>
      <c r="D585" s="70" t="s">
        <v>40</v>
      </c>
      <c r="E585" s="70" t="s">
        <v>67</v>
      </c>
      <c r="F585" s="70" t="s">
        <v>67</v>
      </c>
      <c r="G585" s="71">
        <v>6747014269</v>
      </c>
      <c r="H585" s="70" t="s">
        <v>68</v>
      </c>
    </row>
    <row r="586" spans="1:8" ht="17.25" customHeight="1" x14ac:dyDescent="0.2">
      <c r="A586" s="69">
        <v>2013</v>
      </c>
      <c r="B586" s="70" t="s">
        <v>66</v>
      </c>
      <c r="C586" s="70" t="s">
        <v>41</v>
      </c>
      <c r="D586" s="70" t="s">
        <v>40</v>
      </c>
      <c r="E586" s="70" t="s">
        <v>69</v>
      </c>
      <c r="F586" s="70" t="s">
        <v>71</v>
      </c>
      <c r="G586" s="71">
        <v>403766941</v>
      </c>
      <c r="H586" s="70" t="s">
        <v>68</v>
      </c>
    </row>
    <row r="587" spans="1:8" ht="17.25" customHeight="1" x14ac:dyDescent="0.2">
      <c r="A587" s="69">
        <v>2013</v>
      </c>
      <c r="B587" s="70" t="s">
        <v>66</v>
      </c>
      <c r="C587" s="70" t="s">
        <v>41</v>
      </c>
      <c r="D587" s="70" t="s">
        <v>40</v>
      </c>
      <c r="E587" s="70" t="s">
        <v>69</v>
      </c>
      <c r="F587" s="70" t="s">
        <v>70</v>
      </c>
      <c r="G587" s="71">
        <v>298542756</v>
      </c>
      <c r="H587" s="70" t="s">
        <v>68</v>
      </c>
    </row>
    <row r="588" spans="1:8" ht="17.25" customHeight="1" x14ac:dyDescent="0.2">
      <c r="A588" s="69">
        <v>2013</v>
      </c>
      <c r="B588" s="70" t="s">
        <v>66</v>
      </c>
      <c r="C588" s="70" t="s">
        <v>41</v>
      </c>
      <c r="D588" s="70" t="s">
        <v>42</v>
      </c>
      <c r="E588" s="70" t="s">
        <v>67</v>
      </c>
      <c r="F588" s="70" t="s">
        <v>67</v>
      </c>
      <c r="G588" s="71">
        <v>6482565884</v>
      </c>
      <c r="H588" s="70" t="s">
        <v>68</v>
      </c>
    </row>
    <row r="589" spans="1:8" ht="17.25" customHeight="1" x14ac:dyDescent="0.2">
      <c r="A589" s="69">
        <v>2013</v>
      </c>
      <c r="B589" s="70" t="s">
        <v>66</v>
      </c>
      <c r="C589" s="70" t="s">
        <v>41</v>
      </c>
      <c r="D589" s="70" t="s">
        <v>42</v>
      </c>
      <c r="E589" s="70" t="s">
        <v>69</v>
      </c>
      <c r="F589" s="70" t="s">
        <v>71</v>
      </c>
      <c r="G589" s="71">
        <v>600941484</v>
      </c>
      <c r="H589" s="70" t="s">
        <v>68</v>
      </c>
    </row>
    <row r="590" spans="1:8" ht="17.25" customHeight="1" x14ac:dyDescent="0.2">
      <c r="A590" s="69">
        <v>2013</v>
      </c>
      <c r="B590" s="70" t="s">
        <v>66</v>
      </c>
      <c r="C590" s="70" t="s">
        <v>41</v>
      </c>
      <c r="D590" s="70" t="s">
        <v>42</v>
      </c>
      <c r="E590" s="70" t="s">
        <v>69</v>
      </c>
      <c r="F590" s="70" t="s">
        <v>70</v>
      </c>
      <c r="G590" s="71">
        <v>1008810881</v>
      </c>
      <c r="H590" s="70" t="s">
        <v>68</v>
      </c>
    </row>
    <row r="591" spans="1:8" ht="17.25" customHeight="1" x14ac:dyDescent="0.2">
      <c r="A591" s="69">
        <v>2013</v>
      </c>
      <c r="B591" s="70" t="s">
        <v>66</v>
      </c>
      <c r="C591" s="70" t="s">
        <v>41</v>
      </c>
      <c r="D591" s="70" t="s">
        <v>43</v>
      </c>
      <c r="E591" s="70" t="s">
        <v>67</v>
      </c>
      <c r="F591" s="70" t="s">
        <v>67</v>
      </c>
      <c r="G591" s="71">
        <v>6531897314</v>
      </c>
      <c r="H591" s="70" t="s">
        <v>68</v>
      </c>
    </row>
    <row r="592" spans="1:8" ht="17.25" customHeight="1" x14ac:dyDescent="0.2">
      <c r="A592" s="69">
        <v>2013</v>
      </c>
      <c r="B592" s="70" t="s">
        <v>66</v>
      </c>
      <c r="C592" s="70" t="s">
        <v>41</v>
      </c>
      <c r="D592" s="70" t="s">
        <v>43</v>
      </c>
      <c r="E592" s="70" t="s">
        <v>69</v>
      </c>
      <c r="F592" s="70" t="s">
        <v>71</v>
      </c>
      <c r="G592" s="71">
        <v>672117687</v>
      </c>
      <c r="H592" s="70" t="s">
        <v>68</v>
      </c>
    </row>
    <row r="593" spans="1:8" ht="17.25" customHeight="1" x14ac:dyDescent="0.2">
      <c r="A593" s="69">
        <v>2013</v>
      </c>
      <c r="B593" s="70" t="s">
        <v>66</v>
      </c>
      <c r="C593" s="70" t="s">
        <v>41</v>
      </c>
      <c r="D593" s="70" t="s">
        <v>43</v>
      </c>
      <c r="E593" s="70" t="s">
        <v>69</v>
      </c>
      <c r="F593" s="70" t="s">
        <v>70</v>
      </c>
      <c r="G593" s="71">
        <v>712996199</v>
      </c>
      <c r="H593" s="70" t="s">
        <v>68</v>
      </c>
    </row>
    <row r="594" spans="1:8" ht="17.25" customHeight="1" x14ac:dyDescent="0.2">
      <c r="A594" s="69">
        <v>2013</v>
      </c>
      <c r="B594" s="70" t="s">
        <v>66</v>
      </c>
      <c r="C594" s="70" t="s">
        <v>41</v>
      </c>
      <c r="D594" s="70" t="s">
        <v>44</v>
      </c>
      <c r="E594" s="70" t="s">
        <v>67</v>
      </c>
      <c r="F594" s="70" t="s">
        <v>67</v>
      </c>
      <c r="G594" s="71">
        <v>8275544135</v>
      </c>
      <c r="H594" s="70" t="s">
        <v>68</v>
      </c>
    </row>
    <row r="595" spans="1:8" ht="17.25" customHeight="1" x14ac:dyDescent="0.2">
      <c r="A595" s="69">
        <v>2013</v>
      </c>
      <c r="B595" s="70" t="s">
        <v>66</v>
      </c>
      <c r="C595" s="70" t="s">
        <v>41</v>
      </c>
      <c r="D595" s="70" t="s">
        <v>44</v>
      </c>
      <c r="E595" s="70" t="s">
        <v>69</v>
      </c>
      <c r="F595" s="70" t="s">
        <v>71</v>
      </c>
      <c r="G595" s="71">
        <v>1090791351</v>
      </c>
      <c r="H595" s="70" t="s">
        <v>68</v>
      </c>
    </row>
    <row r="596" spans="1:8" ht="17.25" customHeight="1" x14ac:dyDescent="0.2">
      <c r="A596" s="69">
        <v>2013</v>
      </c>
      <c r="B596" s="70" t="s">
        <v>66</v>
      </c>
      <c r="C596" s="70" t="s">
        <v>41</v>
      </c>
      <c r="D596" s="70" t="s">
        <v>44</v>
      </c>
      <c r="E596" s="70" t="s">
        <v>69</v>
      </c>
      <c r="F596" s="70" t="s">
        <v>70</v>
      </c>
      <c r="G596" s="71">
        <v>817661325</v>
      </c>
      <c r="H596" s="70" t="s">
        <v>68</v>
      </c>
    </row>
    <row r="597" spans="1:8" ht="17.25" customHeight="1" x14ac:dyDescent="0.2">
      <c r="A597" s="69">
        <v>2013</v>
      </c>
      <c r="B597" s="70" t="s">
        <v>66</v>
      </c>
      <c r="C597" s="70" t="s">
        <v>41</v>
      </c>
      <c r="D597" s="70" t="s">
        <v>45</v>
      </c>
      <c r="E597" s="70" t="s">
        <v>67</v>
      </c>
      <c r="F597" s="70" t="s">
        <v>67</v>
      </c>
      <c r="G597" s="71">
        <v>24298335754</v>
      </c>
      <c r="H597" s="70" t="s">
        <v>68</v>
      </c>
    </row>
    <row r="598" spans="1:8" ht="17.25" customHeight="1" x14ac:dyDescent="0.2">
      <c r="A598" s="69">
        <v>2013</v>
      </c>
      <c r="B598" s="70" t="s">
        <v>66</v>
      </c>
      <c r="C598" s="70" t="s">
        <v>41</v>
      </c>
      <c r="D598" s="70" t="s">
        <v>45</v>
      </c>
      <c r="E598" s="70" t="s">
        <v>69</v>
      </c>
      <c r="F598" s="70" t="s">
        <v>71</v>
      </c>
      <c r="G598" s="71">
        <v>3068832557</v>
      </c>
      <c r="H598" s="70" t="s">
        <v>68</v>
      </c>
    </row>
    <row r="599" spans="1:8" ht="17.25" customHeight="1" x14ac:dyDescent="0.2">
      <c r="A599" s="69">
        <v>2013</v>
      </c>
      <c r="B599" s="70" t="s">
        <v>66</v>
      </c>
      <c r="C599" s="70" t="s">
        <v>41</v>
      </c>
      <c r="D599" s="70" t="s">
        <v>45</v>
      </c>
      <c r="E599" s="70" t="s">
        <v>69</v>
      </c>
      <c r="F599" s="70" t="s">
        <v>70</v>
      </c>
      <c r="G599" s="71">
        <v>4932015194</v>
      </c>
      <c r="H599" s="70" t="s">
        <v>68</v>
      </c>
    </row>
    <row r="600" spans="1:8" ht="17.25" customHeight="1" x14ac:dyDescent="0.2">
      <c r="A600" s="69">
        <v>2013</v>
      </c>
      <c r="B600" s="70" t="s">
        <v>66</v>
      </c>
      <c r="C600" s="70" t="s">
        <v>47</v>
      </c>
      <c r="D600" s="70" t="s">
        <v>46</v>
      </c>
      <c r="E600" s="70" t="s">
        <v>67</v>
      </c>
      <c r="F600" s="70" t="s">
        <v>67</v>
      </c>
      <c r="G600" s="71">
        <v>22601867569</v>
      </c>
      <c r="H600" s="70" t="s">
        <v>68</v>
      </c>
    </row>
    <row r="601" spans="1:8" ht="17.25" customHeight="1" x14ac:dyDescent="0.2">
      <c r="A601" s="69">
        <v>2013</v>
      </c>
      <c r="B601" s="70" t="s">
        <v>66</v>
      </c>
      <c r="C601" s="70" t="s">
        <v>47</v>
      </c>
      <c r="D601" s="70" t="s">
        <v>46</v>
      </c>
      <c r="E601" s="70" t="s">
        <v>69</v>
      </c>
      <c r="F601" s="70" t="s">
        <v>71</v>
      </c>
      <c r="G601" s="71">
        <v>4192372837</v>
      </c>
      <c r="H601" s="70" t="s">
        <v>68</v>
      </c>
    </row>
    <row r="602" spans="1:8" ht="17.25" customHeight="1" x14ac:dyDescent="0.2">
      <c r="A602" s="69">
        <v>2013</v>
      </c>
      <c r="B602" s="70" t="s">
        <v>66</v>
      </c>
      <c r="C602" s="70" t="s">
        <v>47</v>
      </c>
      <c r="D602" s="70" t="s">
        <v>46</v>
      </c>
      <c r="E602" s="70" t="s">
        <v>69</v>
      </c>
      <c r="F602" s="70" t="s">
        <v>70</v>
      </c>
      <c r="G602" s="71">
        <v>9174603537</v>
      </c>
      <c r="H602" s="70" t="s">
        <v>68</v>
      </c>
    </row>
    <row r="603" spans="1:8" ht="17.25" customHeight="1" x14ac:dyDescent="0.2">
      <c r="A603" s="69">
        <v>2013</v>
      </c>
      <c r="B603" s="70" t="s">
        <v>66</v>
      </c>
      <c r="C603" s="70" t="s">
        <v>47</v>
      </c>
      <c r="D603" s="70" t="s">
        <v>48</v>
      </c>
      <c r="E603" s="70" t="s">
        <v>72</v>
      </c>
      <c r="F603" s="70" t="s">
        <v>73</v>
      </c>
      <c r="G603" s="71">
        <v>85026052616</v>
      </c>
      <c r="H603" s="70" t="s">
        <v>68</v>
      </c>
    </row>
    <row r="604" spans="1:8" ht="17.25" customHeight="1" x14ac:dyDescent="0.2">
      <c r="A604" s="69">
        <v>2013</v>
      </c>
      <c r="B604" s="70" t="s">
        <v>66</v>
      </c>
      <c r="C604" s="70" t="s">
        <v>47</v>
      </c>
      <c r="D604" s="70" t="s">
        <v>48</v>
      </c>
      <c r="E604" s="70" t="s">
        <v>67</v>
      </c>
      <c r="F604" s="70" t="s">
        <v>74</v>
      </c>
      <c r="G604" s="71">
        <v>90248313650</v>
      </c>
      <c r="H604" s="70" t="s">
        <v>68</v>
      </c>
    </row>
    <row r="605" spans="1:8" ht="17.25" customHeight="1" x14ac:dyDescent="0.2">
      <c r="A605" s="69">
        <v>2013</v>
      </c>
      <c r="B605" s="70" t="s">
        <v>66</v>
      </c>
      <c r="C605" s="70" t="s">
        <v>47</v>
      </c>
      <c r="D605" s="70" t="s">
        <v>48</v>
      </c>
      <c r="E605" s="70" t="s">
        <v>69</v>
      </c>
      <c r="F605" s="70" t="s">
        <v>71</v>
      </c>
      <c r="G605" s="71">
        <v>48681000004</v>
      </c>
      <c r="H605" s="70" t="s">
        <v>68</v>
      </c>
    </row>
    <row r="606" spans="1:8" ht="17.25" customHeight="1" x14ac:dyDescent="0.2">
      <c r="A606" s="69">
        <v>2013</v>
      </c>
      <c r="B606" s="70" t="s">
        <v>66</v>
      </c>
      <c r="C606" s="70" t="s">
        <v>47</v>
      </c>
      <c r="D606" s="70" t="s">
        <v>48</v>
      </c>
      <c r="E606" s="70" t="s">
        <v>69</v>
      </c>
      <c r="F606" s="70" t="s">
        <v>70</v>
      </c>
      <c r="G606" s="71">
        <v>83750794801</v>
      </c>
      <c r="H606" s="70" t="s">
        <v>68</v>
      </c>
    </row>
    <row r="607" spans="1:8" ht="17.25" customHeight="1" x14ac:dyDescent="0.2">
      <c r="A607" s="69">
        <v>2014</v>
      </c>
      <c r="B607" s="70" t="s">
        <v>66</v>
      </c>
      <c r="C607" s="70" t="s">
        <v>4</v>
      </c>
      <c r="D607" s="70" t="s">
        <v>3</v>
      </c>
      <c r="E607" s="70" t="s">
        <v>67</v>
      </c>
      <c r="F607" s="70" t="s">
        <v>67</v>
      </c>
      <c r="G607" s="71">
        <v>19449053548</v>
      </c>
      <c r="H607" s="70" t="s">
        <v>68</v>
      </c>
    </row>
    <row r="608" spans="1:8" ht="17.25" customHeight="1" x14ac:dyDescent="0.2">
      <c r="A608" s="69">
        <v>2014</v>
      </c>
      <c r="B608" s="70" t="s">
        <v>66</v>
      </c>
      <c r="C608" s="70" t="s">
        <v>4</v>
      </c>
      <c r="D608" s="70" t="s">
        <v>3</v>
      </c>
      <c r="E608" s="70" t="s">
        <v>69</v>
      </c>
      <c r="F608" s="70" t="s">
        <v>71</v>
      </c>
      <c r="G608" s="71">
        <v>2895191205</v>
      </c>
      <c r="H608" s="70" t="s">
        <v>68</v>
      </c>
    </row>
    <row r="609" spans="1:8" ht="17.25" customHeight="1" x14ac:dyDescent="0.2">
      <c r="A609" s="69">
        <v>2014</v>
      </c>
      <c r="B609" s="70" t="s">
        <v>66</v>
      </c>
      <c r="C609" s="70" t="s">
        <v>4</v>
      </c>
      <c r="D609" s="70" t="s">
        <v>3</v>
      </c>
      <c r="E609" s="70" t="s">
        <v>69</v>
      </c>
      <c r="F609" s="70" t="s">
        <v>70</v>
      </c>
      <c r="G609" s="71">
        <v>8967282187</v>
      </c>
      <c r="H609" s="70" t="s">
        <v>68</v>
      </c>
    </row>
    <row r="610" spans="1:8" ht="17.25" customHeight="1" x14ac:dyDescent="0.2">
      <c r="A610" s="69">
        <v>2014</v>
      </c>
      <c r="B610" s="70" t="s">
        <v>66</v>
      </c>
      <c r="C610" s="70" t="s">
        <v>4</v>
      </c>
      <c r="D610" s="70" t="s">
        <v>5</v>
      </c>
      <c r="E610" s="70" t="s">
        <v>67</v>
      </c>
      <c r="F610" s="70" t="s">
        <v>67</v>
      </c>
      <c r="G610" s="71">
        <v>99797715006</v>
      </c>
      <c r="H610" s="70" t="s">
        <v>68</v>
      </c>
    </row>
    <row r="611" spans="1:8" ht="17.25" customHeight="1" x14ac:dyDescent="0.2">
      <c r="A611" s="69">
        <v>2014</v>
      </c>
      <c r="B611" s="70" t="s">
        <v>66</v>
      </c>
      <c r="C611" s="70" t="s">
        <v>4</v>
      </c>
      <c r="D611" s="70" t="s">
        <v>5</v>
      </c>
      <c r="E611" s="70" t="s">
        <v>69</v>
      </c>
      <c r="F611" s="70" t="s">
        <v>71</v>
      </c>
      <c r="G611" s="71">
        <v>16191785274</v>
      </c>
      <c r="H611" s="70" t="s">
        <v>68</v>
      </c>
    </row>
    <row r="612" spans="1:8" ht="17.25" customHeight="1" x14ac:dyDescent="0.2">
      <c r="A612" s="69">
        <v>2014</v>
      </c>
      <c r="B612" s="70" t="s">
        <v>66</v>
      </c>
      <c r="C612" s="70" t="s">
        <v>4</v>
      </c>
      <c r="D612" s="70" t="s">
        <v>5</v>
      </c>
      <c r="E612" s="70" t="s">
        <v>69</v>
      </c>
      <c r="F612" s="70" t="s">
        <v>70</v>
      </c>
      <c r="G612" s="71">
        <v>14222985474</v>
      </c>
      <c r="H612" s="70" t="s">
        <v>68</v>
      </c>
    </row>
    <row r="613" spans="1:8" ht="17.25" customHeight="1" x14ac:dyDescent="0.2">
      <c r="A613" s="69">
        <v>2014</v>
      </c>
      <c r="B613" s="70" t="s">
        <v>66</v>
      </c>
      <c r="C613" s="70" t="s">
        <v>4</v>
      </c>
      <c r="D613" s="70" t="s">
        <v>6</v>
      </c>
      <c r="E613" s="70" t="s">
        <v>67</v>
      </c>
      <c r="F613" s="70" t="s">
        <v>67</v>
      </c>
      <c r="G613" s="71">
        <v>12146783594</v>
      </c>
      <c r="H613" s="70" t="s">
        <v>68</v>
      </c>
    </row>
    <row r="614" spans="1:8" ht="17.25" customHeight="1" x14ac:dyDescent="0.2">
      <c r="A614" s="69">
        <v>2014</v>
      </c>
      <c r="B614" s="70" t="s">
        <v>66</v>
      </c>
      <c r="C614" s="70" t="s">
        <v>4</v>
      </c>
      <c r="D614" s="70" t="s">
        <v>6</v>
      </c>
      <c r="E614" s="70" t="s">
        <v>69</v>
      </c>
      <c r="F614" s="70" t="s">
        <v>71</v>
      </c>
      <c r="G614" s="71">
        <v>457763517</v>
      </c>
      <c r="H614" s="70" t="s">
        <v>68</v>
      </c>
    </row>
    <row r="615" spans="1:8" ht="17.25" customHeight="1" x14ac:dyDescent="0.2">
      <c r="A615" s="69">
        <v>2014</v>
      </c>
      <c r="B615" s="70" t="s">
        <v>66</v>
      </c>
      <c r="C615" s="70" t="s">
        <v>4</v>
      </c>
      <c r="D615" s="70" t="s">
        <v>6</v>
      </c>
      <c r="E615" s="70" t="s">
        <v>69</v>
      </c>
      <c r="F615" s="70" t="s">
        <v>70</v>
      </c>
      <c r="G615" s="71">
        <v>1020532557</v>
      </c>
      <c r="H615" s="70" t="s">
        <v>68</v>
      </c>
    </row>
    <row r="616" spans="1:8" ht="17.25" customHeight="1" x14ac:dyDescent="0.2">
      <c r="A616" s="69">
        <v>2014</v>
      </c>
      <c r="B616" s="70" t="s">
        <v>66</v>
      </c>
      <c r="C616" s="70" t="s">
        <v>4</v>
      </c>
      <c r="D616" s="70" t="s">
        <v>7</v>
      </c>
      <c r="E616" s="70" t="s">
        <v>67</v>
      </c>
      <c r="F616" s="70" t="s">
        <v>67</v>
      </c>
      <c r="G616" s="71">
        <v>16726568981</v>
      </c>
      <c r="H616" s="70" t="s">
        <v>68</v>
      </c>
    </row>
    <row r="617" spans="1:8" ht="17.25" customHeight="1" x14ac:dyDescent="0.2">
      <c r="A617" s="69">
        <v>2014</v>
      </c>
      <c r="B617" s="70" t="s">
        <v>66</v>
      </c>
      <c r="C617" s="70" t="s">
        <v>4</v>
      </c>
      <c r="D617" s="70" t="s">
        <v>7</v>
      </c>
      <c r="E617" s="70" t="s">
        <v>69</v>
      </c>
      <c r="F617" s="70" t="s">
        <v>71</v>
      </c>
      <c r="G617" s="71">
        <v>3071257949</v>
      </c>
      <c r="H617" s="70" t="s">
        <v>68</v>
      </c>
    </row>
    <row r="618" spans="1:8" ht="17.25" customHeight="1" x14ac:dyDescent="0.2">
      <c r="A618" s="69">
        <v>2014</v>
      </c>
      <c r="B618" s="70" t="s">
        <v>66</v>
      </c>
      <c r="C618" s="70" t="s">
        <v>4</v>
      </c>
      <c r="D618" s="70" t="s">
        <v>7</v>
      </c>
      <c r="E618" s="70" t="s">
        <v>69</v>
      </c>
      <c r="F618" s="70" t="s">
        <v>70</v>
      </c>
      <c r="G618" s="71">
        <v>4718353572</v>
      </c>
      <c r="H618" s="70" t="s">
        <v>68</v>
      </c>
    </row>
    <row r="619" spans="1:8" ht="17.25" customHeight="1" x14ac:dyDescent="0.2">
      <c r="A619" s="69">
        <v>2014</v>
      </c>
      <c r="B619" s="70" t="s">
        <v>66</v>
      </c>
      <c r="C619" s="70" t="s">
        <v>4</v>
      </c>
      <c r="D619" s="70" t="s">
        <v>8</v>
      </c>
      <c r="E619" s="70" t="s">
        <v>67</v>
      </c>
      <c r="F619" s="70" t="s">
        <v>67</v>
      </c>
      <c r="G619" s="71">
        <v>10679803334</v>
      </c>
      <c r="H619" s="70" t="s">
        <v>68</v>
      </c>
    </row>
    <row r="620" spans="1:8" ht="17.25" customHeight="1" x14ac:dyDescent="0.2">
      <c r="A620" s="69">
        <v>2014</v>
      </c>
      <c r="B620" s="70" t="s">
        <v>66</v>
      </c>
      <c r="C620" s="70" t="s">
        <v>4</v>
      </c>
      <c r="D620" s="70" t="s">
        <v>8</v>
      </c>
      <c r="E620" s="70" t="s">
        <v>69</v>
      </c>
      <c r="F620" s="70" t="s">
        <v>71</v>
      </c>
      <c r="G620" s="71">
        <v>448114681</v>
      </c>
      <c r="H620" s="70" t="s">
        <v>68</v>
      </c>
    </row>
    <row r="621" spans="1:8" ht="17.25" customHeight="1" x14ac:dyDescent="0.2">
      <c r="A621" s="69">
        <v>2014</v>
      </c>
      <c r="B621" s="70" t="s">
        <v>66</v>
      </c>
      <c r="C621" s="70" t="s">
        <v>4</v>
      </c>
      <c r="D621" s="70" t="s">
        <v>8</v>
      </c>
      <c r="E621" s="70" t="s">
        <v>69</v>
      </c>
      <c r="F621" s="70" t="s">
        <v>70</v>
      </c>
      <c r="G621" s="71">
        <v>846896517</v>
      </c>
      <c r="H621" s="70" t="s">
        <v>68</v>
      </c>
    </row>
    <row r="622" spans="1:8" ht="17.25" customHeight="1" x14ac:dyDescent="0.2">
      <c r="A622" s="69">
        <v>2014</v>
      </c>
      <c r="B622" s="70" t="s">
        <v>66</v>
      </c>
      <c r="C622" s="70" t="s">
        <v>4</v>
      </c>
      <c r="D622" s="70" t="s">
        <v>9</v>
      </c>
      <c r="E622" s="70" t="s">
        <v>67</v>
      </c>
      <c r="F622" s="70" t="s">
        <v>67</v>
      </c>
      <c r="G622" s="71">
        <v>60432678891</v>
      </c>
      <c r="H622" s="70" t="s">
        <v>68</v>
      </c>
    </row>
    <row r="623" spans="1:8" ht="17.25" customHeight="1" x14ac:dyDescent="0.2">
      <c r="A623" s="69">
        <v>2014</v>
      </c>
      <c r="B623" s="70" t="s">
        <v>66</v>
      </c>
      <c r="C623" s="70" t="s">
        <v>4</v>
      </c>
      <c r="D623" s="70" t="s">
        <v>9</v>
      </c>
      <c r="E623" s="70" t="s">
        <v>69</v>
      </c>
      <c r="F623" s="70" t="s">
        <v>71</v>
      </c>
      <c r="G623" s="71">
        <v>13004063672</v>
      </c>
      <c r="H623" s="70" t="s">
        <v>68</v>
      </c>
    </row>
    <row r="624" spans="1:8" ht="17.25" customHeight="1" x14ac:dyDescent="0.2">
      <c r="A624" s="69">
        <v>2014</v>
      </c>
      <c r="B624" s="70" t="s">
        <v>66</v>
      </c>
      <c r="C624" s="70" t="s">
        <v>4</v>
      </c>
      <c r="D624" s="70" t="s">
        <v>9</v>
      </c>
      <c r="E624" s="70" t="s">
        <v>69</v>
      </c>
      <c r="F624" s="70" t="s">
        <v>70</v>
      </c>
      <c r="G624" s="71">
        <v>19383584370</v>
      </c>
      <c r="H624" s="70" t="s">
        <v>68</v>
      </c>
    </row>
    <row r="625" spans="1:8" ht="17.25" customHeight="1" x14ac:dyDescent="0.2">
      <c r="A625" s="69">
        <v>2014</v>
      </c>
      <c r="B625" s="70" t="s">
        <v>66</v>
      </c>
      <c r="C625" s="70" t="s">
        <v>4</v>
      </c>
      <c r="D625" s="70" t="s">
        <v>10</v>
      </c>
      <c r="E625" s="70" t="s">
        <v>67</v>
      </c>
      <c r="F625" s="70" t="s">
        <v>67</v>
      </c>
      <c r="G625" s="71">
        <v>1559269046</v>
      </c>
      <c r="H625" s="70" t="s">
        <v>68</v>
      </c>
    </row>
    <row r="626" spans="1:8" ht="17.25" customHeight="1" x14ac:dyDescent="0.2">
      <c r="A626" s="69">
        <v>2014</v>
      </c>
      <c r="B626" s="70" t="s">
        <v>66</v>
      </c>
      <c r="C626" s="70" t="s">
        <v>4</v>
      </c>
      <c r="D626" s="70" t="s">
        <v>10</v>
      </c>
      <c r="E626" s="70" t="s">
        <v>69</v>
      </c>
      <c r="F626" s="70" t="s">
        <v>71</v>
      </c>
      <c r="G626" s="71">
        <v>115660067</v>
      </c>
      <c r="H626" s="70" t="s">
        <v>68</v>
      </c>
    </row>
    <row r="627" spans="1:8" ht="17.25" customHeight="1" x14ac:dyDescent="0.2">
      <c r="A627" s="69">
        <v>2014</v>
      </c>
      <c r="B627" s="70" t="s">
        <v>66</v>
      </c>
      <c r="C627" s="70" t="s">
        <v>4</v>
      </c>
      <c r="D627" s="70" t="s">
        <v>10</v>
      </c>
      <c r="E627" s="70" t="s">
        <v>69</v>
      </c>
      <c r="F627" s="70" t="s">
        <v>70</v>
      </c>
      <c r="G627" s="71">
        <v>38553356</v>
      </c>
      <c r="H627" s="70" t="s">
        <v>68</v>
      </c>
    </row>
    <row r="628" spans="1:8" ht="17.25" customHeight="1" x14ac:dyDescent="0.2">
      <c r="A628" s="69">
        <v>2014</v>
      </c>
      <c r="B628" s="70" t="s">
        <v>66</v>
      </c>
      <c r="C628" s="70" t="s">
        <v>4</v>
      </c>
      <c r="D628" s="70" t="s">
        <v>11</v>
      </c>
      <c r="E628" s="70" t="s">
        <v>67</v>
      </c>
      <c r="F628" s="70" t="s">
        <v>67</v>
      </c>
      <c r="G628" s="71">
        <v>6478892292</v>
      </c>
      <c r="H628" s="70" t="s">
        <v>68</v>
      </c>
    </row>
    <row r="629" spans="1:8" ht="17.25" customHeight="1" x14ac:dyDescent="0.2">
      <c r="A629" s="69">
        <v>2014</v>
      </c>
      <c r="B629" s="70" t="s">
        <v>66</v>
      </c>
      <c r="C629" s="70" t="s">
        <v>4</v>
      </c>
      <c r="D629" s="70" t="s">
        <v>11</v>
      </c>
      <c r="E629" s="70" t="s">
        <v>69</v>
      </c>
      <c r="F629" s="70" t="s">
        <v>71</v>
      </c>
      <c r="G629" s="71">
        <v>909468748</v>
      </c>
      <c r="H629" s="70" t="s">
        <v>68</v>
      </c>
    </row>
    <row r="630" spans="1:8" ht="17.25" customHeight="1" x14ac:dyDescent="0.2">
      <c r="A630" s="69">
        <v>2014</v>
      </c>
      <c r="B630" s="70" t="s">
        <v>66</v>
      </c>
      <c r="C630" s="70" t="s">
        <v>4</v>
      </c>
      <c r="D630" s="70" t="s">
        <v>11</v>
      </c>
      <c r="E630" s="70" t="s">
        <v>69</v>
      </c>
      <c r="F630" s="70" t="s">
        <v>70</v>
      </c>
      <c r="G630" s="71">
        <v>2608715202</v>
      </c>
      <c r="H630" s="70" t="s">
        <v>68</v>
      </c>
    </row>
    <row r="631" spans="1:8" ht="17.25" customHeight="1" x14ac:dyDescent="0.2">
      <c r="A631" s="69">
        <v>2014</v>
      </c>
      <c r="B631" s="70" t="s">
        <v>66</v>
      </c>
      <c r="C631" s="70" t="s">
        <v>4</v>
      </c>
      <c r="D631" s="70" t="s">
        <v>12</v>
      </c>
      <c r="E631" s="70" t="s">
        <v>67</v>
      </c>
      <c r="F631" s="70" t="s">
        <v>67</v>
      </c>
      <c r="G631" s="71">
        <v>7413725091</v>
      </c>
      <c r="H631" s="70" t="s">
        <v>68</v>
      </c>
    </row>
    <row r="632" spans="1:8" ht="17.25" customHeight="1" x14ac:dyDescent="0.2">
      <c r="A632" s="69">
        <v>2014</v>
      </c>
      <c r="B632" s="70" t="s">
        <v>66</v>
      </c>
      <c r="C632" s="70" t="s">
        <v>4</v>
      </c>
      <c r="D632" s="70" t="s">
        <v>12</v>
      </c>
      <c r="E632" s="70" t="s">
        <v>69</v>
      </c>
      <c r="F632" s="70" t="s">
        <v>71</v>
      </c>
      <c r="G632" s="71">
        <v>954813817</v>
      </c>
      <c r="H632" s="70" t="s">
        <v>68</v>
      </c>
    </row>
    <row r="633" spans="1:8" ht="17.25" customHeight="1" x14ac:dyDescent="0.2">
      <c r="A633" s="69">
        <v>2014</v>
      </c>
      <c r="B633" s="70" t="s">
        <v>66</v>
      </c>
      <c r="C633" s="70" t="s">
        <v>4</v>
      </c>
      <c r="D633" s="70" t="s">
        <v>12</v>
      </c>
      <c r="E633" s="70" t="s">
        <v>69</v>
      </c>
      <c r="F633" s="70" t="s">
        <v>70</v>
      </c>
      <c r="G633" s="71">
        <v>2476266432</v>
      </c>
      <c r="H633" s="70" t="s">
        <v>68</v>
      </c>
    </row>
    <row r="634" spans="1:8" ht="17.25" customHeight="1" x14ac:dyDescent="0.2">
      <c r="A634" s="69">
        <v>2014</v>
      </c>
      <c r="B634" s="70" t="s">
        <v>66</v>
      </c>
      <c r="C634" s="70" t="s">
        <v>4</v>
      </c>
      <c r="D634" s="70" t="s">
        <v>13</v>
      </c>
      <c r="E634" s="70" t="s">
        <v>67</v>
      </c>
      <c r="F634" s="70" t="s">
        <v>67</v>
      </c>
      <c r="G634" s="71">
        <v>11465539276</v>
      </c>
      <c r="H634" s="70" t="s">
        <v>68</v>
      </c>
    </row>
    <row r="635" spans="1:8" ht="17.25" customHeight="1" x14ac:dyDescent="0.2">
      <c r="A635" s="69">
        <v>2014</v>
      </c>
      <c r="B635" s="70" t="s">
        <v>66</v>
      </c>
      <c r="C635" s="70" t="s">
        <v>4</v>
      </c>
      <c r="D635" s="70" t="s">
        <v>13</v>
      </c>
      <c r="E635" s="70" t="s">
        <v>69</v>
      </c>
      <c r="F635" s="70" t="s">
        <v>71</v>
      </c>
      <c r="G635" s="71">
        <v>986294146</v>
      </c>
      <c r="H635" s="70" t="s">
        <v>68</v>
      </c>
    </row>
    <row r="636" spans="1:8" ht="17.25" customHeight="1" x14ac:dyDescent="0.2">
      <c r="A636" s="69">
        <v>2014</v>
      </c>
      <c r="B636" s="70" t="s">
        <v>66</v>
      </c>
      <c r="C636" s="70" t="s">
        <v>4</v>
      </c>
      <c r="D636" s="70" t="s">
        <v>13</v>
      </c>
      <c r="E636" s="70" t="s">
        <v>69</v>
      </c>
      <c r="F636" s="70" t="s">
        <v>70</v>
      </c>
      <c r="G636" s="71">
        <v>3120627337</v>
      </c>
      <c r="H636" s="70" t="s">
        <v>68</v>
      </c>
    </row>
    <row r="637" spans="1:8" ht="17.25" customHeight="1" x14ac:dyDescent="0.2">
      <c r="A637" s="69">
        <v>2014</v>
      </c>
      <c r="B637" s="70" t="s">
        <v>66</v>
      </c>
      <c r="C637" s="70" t="s">
        <v>4</v>
      </c>
      <c r="D637" s="70" t="s">
        <v>14</v>
      </c>
      <c r="E637" s="70" t="s">
        <v>67</v>
      </c>
      <c r="F637" s="70" t="s">
        <v>67</v>
      </c>
      <c r="G637" s="71">
        <v>8191778237</v>
      </c>
      <c r="H637" s="70" t="s">
        <v>68</v>
      </c>
    </row>
    <row r="638" spans="1:8" ht="17.25" customHeight="1" x14ac:dyDescent="0.2">
      <c r="A638" s="69">
        <v>2014</v>
      </c>
      <c r="B638" s="70" t="s">
        <v>66</v>
      </c>
      <c r="C638" s="70" t="s">
        <v>4</v>
      </c>
      <c r="D638" s="70" t="s">
        <v>14</v>
      </c>
      <c r="E638" s="70" t="s">
        <v>69</v>
      </c>
      <c r="F638" s="70" t="s">
        <v>71</v>
      </c>
      <c r="G638" s="71">
        <v>420276624</v>
      </c>
      <c r="H638" s="70" t="s">
        <v>68</v>
      </c>
    </row>
    <row r="639" spans="1:8" ht="17.25" customHeight="1" x14ac:dyDescent="0.2">
      <c r="A639" s="69">
        <v>2014</v>
      </c>
      <c r="B639" s="70" t="s">
        <v>66</v>
      </c>
      <c r="C639" s="70" t="s">
        <v>4</v>
      </c>
      <c r="D639" s="70" t="s">
        <v>14</v>
      </c>
      <c r="E639" s="70" t="s">
        <v>69</v>
      </c>
      <c r="F639" s="70" t="s">
        <v>70</v>
      </c>
      <c r="G639" s="71">
        <v>960967535</v>
      </c>
      <c r="H639" s="70" t="s">
        <v>68</v>
      </c>
    </row>
    <row r="640" spans="1:8" ht="17.25" customHeight="1" x14ac:dyDescent="0.2">
      <c r="A640" s="69">
        <v>2014</v>
      </c>
      <c r="B640" s="70" t="s">
        <v>66</v>
      </c>
      <c r="C640" s="70" t="s">
        <v>4</v>
      </c>
      <c r="D640" s="70" t="s">
        <v>15</v>
      </c>
      <c r="E640" s="70" t="s">
        <v>67</v>
      </c>
      <c r="F640" s="70" t="s">
        <v>67</v>
      </c>
      <c r="G640" s="71">
        <v>8664425422</v>
      </c>
      <c r="H640" s="70" t="s">
        <v>68</v>
      </c>
    </row>
    <row r="641" spans="1:8" ht="17.25" customHeight="1" x14ac:dyDescent="0.2">
      <c r="A641" s="69">
        <v>2014</v>
      </c>
      <c r="B641" s="70" t="s">
        <v>66</v>
      </c>
      <c r="C641" s="70" t="s">
        <v>4</v>
      </c>
      <c r="D641" s="70" t="s">
        <v>15</v>
      </c>
      <c r="E641" s="70" t="s">
        <v>69</v>
      </c>
      <c r="F641" s="70" t="s">
        <v>71</v>
      </c>
      <c r="G641" s="71">
        <v>1614990782</v>
      </c>
      <c r="H641" s="70" t="s">
        <v>68</v>
      </c>
    </row>
    <row r="642" spans="1:8" ht="17.25" customHeight="1" x14ac:dyDescent="0.2">
      <c r="A642" s="69">
        <v>2014</v>
      </c>
      <c r="B642" s="70" t="s">
        <v>66</v>
      </c>
      <c r="C642" s="70" t="s">
        <v>4</v>
      </c>
      <c r="D642" s="70" t="s">
        <v>15</v>
      </c>
      <c r="E642" s="70" t="s">
        <v>69</v>
      </c>
      <c r="F642" s="70" t="s">
        <v>70</v>
      </c>
      <c r="G642" s="71">
        <v>1532532283</v>
      </c>
      <c r="H642" s="70" t="s">
        <v>68</v>
      </c>
    </row>
    <row r="643" spans="1:8" ht="17.25" customHeight="1" x14ac:dyDescent="0.2">
      <c r="A643" s="69">
        <v>2014</v>
      </c>
      <c r="B643" s="70" t="s">
        <v>66</v>
      </c>
      <c r="C643" s="70" t="s">
        <v>17</v>
      </c>
      <c r="D643" s="70" t="s">
        <v>16</v>
      </c>
      <c r="E643" s="70" t="s">
        <v>67</v>
      </c>
      <c r="F643" s="70" t="s">
        <v>67</v>
      </c>
      <c r="G643" s="71">
        <v>1104869266</v>
      </c>
      <c r="H643" s="70" t="s">
        <v>68</v>
      </c>
    </row>
    <row r="644" spans="1:8" ht="17.25" customHeight="1" x14ac:dyDescent="0.2">
      <c r="A644" s="69">
        <v>2014</v>
      </c>
      <c r="B644" s="70" t="s">
        <v>66</v>
      </c>
      <c r="C644" s="70" t="s">
        <v>17</v>
      </c>
      <c r="D644" s="70" t="s">
        <v>16</v>
      </c>
      <c r="E644" s="70" t="s">
        <v>69</v>
      </c>
      <c r="F644" s="70" t="s">
        <v>71</v>
      </c>
      <c r="G644" s="71">
        <v>126178399</v>
      </c>
      <c r="H644" s="70" t="s">
        <v>68</v>
      </c>
    </row>
    <row r="645" spans="1:8" ht="17.25" customHeight="1" x14ac:dyDescent="0.2">
      <c r="A645" s="69">
        <v>2014</v>
      </c>
      <c r="B645" s="70" t="s">
        <v>66</v>
      </c>
      <c r="C645" s="70" t="s">
        <v>17</v>
      </c>
      <c r="D645" s="70" t="s">
        <v>16</v>
      </c>
      <c r="E645" s="70" t="s">
        <v>69</v>
      </c>
      <c r="F645" s="70" t="s">
        <v>70</v>
      </c>
      <c r="G645" s="71">
        <v>173163427</v>
      </c>
      <c r="H645" s="70" t="s">
        <v>68</v>
      </c>
    </row>
    <row r="646" spans="1:8" ht="17.25" customHeight="1" x14ac:dyDescent="0.2">
      <c r="A646" s="69">
        <v>2014</v>
      </c>
      <c r="B646" s="70" t="s">
        <v>66</v>
      </c>
      <c r="C646" s="70" t="s">
        <v>17</v>
      </c>
      <c r="D646" s="70" t="s">
        <v>18</v>
      </c>
      <c r="E646" s="70" t="s">
        <v>67</v>
      </c>
      <c r="F646" s="70" t="s">
        <v>67</v>
      </c>
      <c r="G646" s="71">
        <v>2226511222</v>
      </c>
      <c r="H646" s="70" t="s">
        <v>68</v>
      </c>
    </row>
    <row r="647" spans="1:8" ht="17.25" customHeight="1" x14ac:dyDescent="0.2">
      <c r="A647" s="69">
        <v>2014</v>
      </c>
      <c r="B647" s="70" t="s">
        <v>66</v>
      </c>
      <c r="C647" s="70" t="s">
        <v>17</v>
      </c>
      <c r="D647" s="70" t="s">
        <v>18</v>
      </c>
      <c r="E647" s="70" t="s">
        <v>69</v>
      </c>
      <c r="F647" s="70" t="s">
        <v>71</v>
      </c>
      <c r="G647" s="71">
        <v>423717462</v>
      </c>
      <c r="H647" s="70" t="s">
        <v>68</v>
      </c>
    </row>
    <row r="648" spans="1:8" ht="17.25" customHeight="1" x14ac:dyDescent="0.2">
      <c r="A648" s="69">
        <v>2014</v>
      </c>
      <c r="B648" s="70" t="s">
        <v>66</v>
      </c>
      <c r="C648" s="70" t="s">
        <v>17</v>
      </c>
      <c r="D648" s="70" t="s">
        <v>18</v>
      </c>
      <c r="E648" s="70" t="s">
        <v>69</v>
      </c>
      <c r="F648" s="70" t="s">
        <v>70</v>
      </c>
      <c r="G648" s="71">
        <v>504259957</v>
      </c>
      <c r="H648" s="70" t="s">
        <v>68</v>
      </c>
    </row>
    <row r="649" spans="1:8" ht="17.25" customHeight="1" x14ac:dyDescent="0.2">
      <c r="A649" s="69">
        <v>2014</v>
      </c>
      <c r="B649" s="70" t="s">
        <v>66</v>
      </c>
      <c r="C649" s="70" t="s">
        <v>17</v>
      </c>
      <c r="D649" s="70" t="s">
        <v>19</v>
      </c>
      <c r="E649" s="70" t="s">
        <v>67</v>
      </c>
      <c r="F649" s="70" t="s">
        <v>67</v>
      </c>
      <c r="G649" s="71">
        <v>5460845633</v>
      </c>
      <c r="H649" s="70" t="s">
        <v>68</v>
      </c>
    </row>
    <row r="650" spans="1:8" ht="17.25" customHeight="1" x14ac:dyDescent="0.2">
      <c r="A650" s="69">
        <v>2014</v>
      </c>
      <c r="B650" s="70" t="s">
        <v>66</v>
      </c>
      <c r="C650" s="70" t="s">
        <v>17</v>
      </c>
      <c r="D650" s="70" t="s">
        <v>19</v>
      </c>
      <c r="E650" s="70" t="s">
        <v>69</v>
      </c>
      <c r="F650" s="70" t="s">
        <v>71</v>
      </c>
      <c r="G650" s="71">
        <v>900065864</v>
      </c>
      <c r="H650" s="70" t="s">
        <v>68</v>
      </c>
    </row>
    <row r="651" spans="1:8" ht="17.25" customHeight="1" x14ac:dyDescent="0.2">
      <c r="A651" s="69">
        <v>2014</v>
      </c>
      <c r="B651" s="70" t="s">
        <v>66</v>
      </c>
      <c r="C651" s="70" t="s">
        <v>17</v>
      </c>
      <c r="D651" s="70" t="s">
        <v>19</v>
      </c>
      <c r="E651" s="70" t="s">
        <v>69</v>
      </c>
      <c r="F651" s="70" t="s">
        <v>70</v>
      </c>
      <c r="G651" s="71">
        <v>382446520</v>
      </c>
      <c r="H651" s="70" t="s">
        <v>68</v>
      </c>
    </row>
    <row r="652" spans="1:8" ht="17.25" customHeight="1" x14ac:dyDescent="0.2">
      <c r="A652" s="69">
        <v>2014</v>
      </c>
      <c r="B652" s="70" t="s">
        <v>66</v>
      </c>
      <c r="C652" s="70" t="s">
        <v>17</v>
      </c>
      <c r="D652" s="70" t="s">
        <v>20</v>
      </c>
      <c r="E652" s="70" t="s">
        <v>67</v>
      </c>
      <c r="F652" s="70" t="s">
        <v>67</v>
      </c>
      <c r="G652" s="71">
        <v>1550687163</v>
      </c>
      <c r="H652" s="70" t="s">
        <v>68</v>
      </c>
    </row>
    <row r="653" spans="1:8" ht="17.25" customHeight="1" x14ac:dyDescent="0.2">
      <c r="A653" s="69">
        <v>2014</v>
      </c>
      <c r="B653" s="70" t="s">
        <v>66</v>
      </c>
      <c r="C653" s="70" t="s">
        <v>17</v>
      </c>
      <c r="D653" s="70" t="s">
        <v>20</v>
      </c>
      <c r="E653" s="70" t="s">
        <v>69</v>
      </c>
      <c r="F653" s="70" t="s">
        <v>71</v>
      </c>
      <c r="G653" s="71">
        <v>161880192</v>
      </c>
      <c r="H653" s="70" t="s">
        <v>68</v>
      </c>
    </row>
    <row r="654" spans="1:8" ht="17.25" customHeight="1" x14ac:dyDescent="0.2">
      <c r="A654" s="69">
        <v>2014</v>
      </c>
      <c r="B654" s="70" t="s">
        <v>66</v>
      </c>
      <c r="C654" s="70" t="s">
        <v>17</v>
      </c>
      <c r="D654" s="70" t="s">
        <v>20</v>
      </c>
      <c r="E654" s="70" t="s">
        <v>69</v>
      </c>
      <c r="F654" s="70" t="s">
        <v>70</v>
      </c>
      <c r="G654" s="71">
        <v>622538524</v>
      </c>
      <c r="H654" s="70" t="s">
        <v>68</v>
      </c>
    </row>
    <row r="655" spans="1:8" ht="17.25" customHeight="1" x14ac:dyDescent="0.2">
      <c r="A655" s="69">
        <v>2014</v>
      </c>
      <c r="B655" s="70" t="s">
        <v>66</v>
      </c>
      <c r="C655" s="70" t="s">
        <v>17</v>
      </c>
      <c r="D655" s="70" t="s">
        <v>21</v>
      </c>
      <c r="E655" s="70" t="s">
        <v>67</v>
      </c>
      <c r="F655" s="70" t="s">
        <v>67</v>
      </c>
      <c r="G655" s="71">
        <v>3984924787</v>
      </c>
      <c r="H655" s="70" t="s">
        <v>68</v>
      </c>
    </row>
    <row r="656" spans="1:8" ht="17.25" customHeight="1" x14ac:dyDescent="0.2">
      <c r="A656" s="69">
        <v>2014</v>
      </c>
      <c r="B656" s="70" t="s">
        <v>66</v>
      </c>
      <c r="C656" s="70" t="s">
        <v>17</v>
      </c>
      <c r="D656" s="70" t="s">
        <v>21</v>
      </c>
      <c r="E656" s="70" t="s">
        <v>69</v>
      </c>
      <c r="F656" s="70" t="s">
        <v>71</v>
      </c>
      <c r="G656" s="71">
        <v>774767272</v>
      </c>
      <c r="H656" s="70" t="s">
        <v>68</v>
      </c>
    </row>
    <row r="657" spans="1:8" ht="17.25" customHeight="1" x14ac:dyDescent="0.2">
      <c r="A657" s="69">
        <v>2014</v>
      </c>
      <c r="B657" s="70" t="s">
        <v>66</v>
      </c>
      <c r="C657" s="70" t="s">
        <v>17</v>
      </c>
      <c r="D657" s="70" t="s">
        <v>21</v>
      </c>
      <c r="E657" s="70" t="s">
        <v>69</v>
      </c>
      <c r="F657" s="70" t="s">
        <v>70</v>
      </c>
      <c r="G657" s="71">
        <v>910755372</v>
      </c>
      <c r="H657" s="70" t="s">
        <v>68</v>
      </c>
    </row>
    <row r="658" spans="1:8" ht="17.25" customHeight="1" x14ac:dyDescent="0.2">
      <c r="A658" s="69">
        <v>2014</v>
      </c>
      <c r="B658" s="70" t="s">
        <v>66</v>
      </c>
      <c r="C658" s="70" t="s">
        <v>17</v>
      </c>
      <c r="D658" s="70" t="s">
        <v>22</v>
      </c>
      <c r="E658" s="70" t="s">
        <v>67</v>
      </c>
      <c r="F658" s="70" t="s">
        <v>67</v>
      </c>
      <c r="G658" s="71">
        <v>1693608361</v>
      </c>
      <c r="H658" s="70" t="s">
        <v>68</v>
      </c>
    </row>
    <row r="659" spans="1:8" ht="17.25" customHeight="1" x14ac:dyDescent="0.2">
      <c r="A659" s="69">
        <v>2014</v>
      </c>
      <c r="B659" s="70" t="s">
        <v>66</v>
      </c>
      <c r="C659" s="70" t="s">
        <v>17</v>
      </c>
      <c r="D659" s="70" t="s">
        <v>22</v>
      </c>
      <c r="E659" s="70" t="s">
        <v>69</v>
      </c>
      <c r="F659" s="70" t="s">
        <v>71</v>
      </c>
      <c r="G659" s="71">
        <v>209260023</v>
      </c>
      <c r="H659" s="70" t="s">
        <v>68</v>
      </c>
    </row>
    <row r="660" spans="1:8" ht="17.25" customHeight="1" x14ac:dyDescent="0.2">
      <c r="A660" s="69">
        <v>2014</v>
      </c>
      <c r="B660" s="70" t="s">
        <v>66</v>
      </c>
      <c r="C660" s="70" t="s">
        <v>17</v>
      </c>
      <c r="D660" s="70" t="s">
        <v>22</v>
      </c>
      <c r="E660" s="70" t="s">
        <v>69</v>
      </c>
      <c r="F660" s="70" t="s">
        <v>70</v>
      </c>
      <c r="G660" s="71">
        <v>195279071</v>
      </c>
      <c r="H660" s="70" t="s">
        <v>68</v>
      </c>
    </row>
    <row r="661" spans="1:8" ht="17.25" customHeight="1" x14ac:dyDescent="0.2">
      <c r="A661" s="69">
        <v>2014</v>
      </c>
      <c r="B661" s="70" t="s">
        <v>66</v>
      </c>
      <c r="C661" s="70" t="s">
        <v>17</v>
      </c>
      <c r="D661" s="70" t="s">
        <v>23</v>
      </c>
      <c r="E661" s="70" t="s">
        <v>67</v>
      </c>
      <c r="F661" s="70" t="s">
        <v>67</v>
      </c>
      <c r="G661" s="71">
        <v>1998182074</v>
      </c>
      <c r="H661" s="70" t="s">
        <v>68</v>
      </c>
    </row>
    <row r="662" spans="1:8" ht="17.25" customHeight="1" x14ac:dyDescent="0.2">
      <c r="A662" s="69">
        <v>2014</v>
      </c>
      <c r="B662" s="70" t="s">
        <v>66</v>
      </c>
      <c r="C662" s="70" t="s">
        <v>17</v>
      </c>
      <c r="D662" s="70" t="s">
        <v>23</v>
      </c>
      <c r="E662" s="70" t="s">
        <v>69</v>
      </c>
      <c r="F662" s="70" t="s">
        <v>71</v>
      </c>
      <c r="G662" s="71">
        <v>325563982</v>
      </c>
      <c r="H662" s="70" t="s">
        <v>68</v>
      </c>
    </row>
    <row r="663" spans="1:8" ht="17.25" customHeight="1" x14ac:dyDescent="0.2">
      <c r="A663" s="69">
        <v>2014</v>
      </c>
      <c r="B663" s="70" t="s">
        <v>66</v>
      </c>
      <c r="C663" s="70" t="s">
        <v>17</v>
      </c>
      <c r="D663" s="70" t="s">
        <v>23</v>
      </c>
      <c r="E663" s="70" t="s">
        <v>69</v>
      </c>
      <c r="F663" s="70" t="s">
        <v>70</v>
      </c>
      <c r="G663" s="71">
        <v>475747714</v>
      </c>
      <c r="H663" s="70" t="s">
        <v>68</v>
      </c>
    </row>
    <row r="664" spans="1:8" ht="17.25" customHeight="1" x14ac:dyDescent="0.2">
      <c r="A664" s="69">
        <v>2014</v>
      </c>
      <c r="B664" s="70" t="s">
        <v>66</v>
      </c>
      <c r="C664" s="70" t="s">
        <v>17</v>
      </c>
      <c r="D664" s="70" t="s">
        <v>24</v>
      </c>
      <c r="E664" s="70" t="s">
        <v>67</v>
      </c>
      <c r="F664" s="70" t="s">
        <v>67</v>
      </c>
      <c r="G664" s="71">
        <v>19917300119</v>
      </c>
      <c r="H664" s="70" t="s">
        <v>68</v>
      </c>
    </row>
    <row r="665" spans="1:8" ht="17.25" customHeight="1" x14ac:dyDescent="0.2">
      <c r="A665" s="69">
        <v>2014</v>
      </c>
      <c r="B665" s="70" t="s">
        <v>66</v>
      </c>
      <c r="C665" s="70" t="s">
        <v>17</v>
      </c>
      <c r="D665" s="70" t="s">
        <v>24</v>
      </c>
      <c r="E665" s="70" t="s">
        <v>69</v>
      </c>
      <c r="F665" s="70" t="s">
        <v>71</v>
      </c>
      <c r="G665" s="71">
        <v>3518432767</v>
      </c>
      <c r="H665" s="70" t="s">
        <v>68</v>
      </c>
    </row>
    <row r="666" spans="1:8" ht="17.25" customHeight="1" x14ac:dyDescent="0.2">
      <c r="A666" s="69">
        <v>2014</v>
      </c>
      <c r="B666" s="70" t="s">
        <v>66</v>
      </c>
      <c r="C666" s="70" t="s">
        <v>17</v>
      </c>
      <c r="D666" s="70" t="s">
        <v>24</v>
      </c>
      <c r="E666" s="70" t="s">
        <v>69</v>
      </c>
      <c r="F666" s="70" t="s">
        <v>70</v>
      </c>
      <c r="G666" s="71">
        <v>2932206282</v>
      </c>
      <c r="H666" s="70" t="s">
        <v>68</v>
      </c>
    </row>
    <row r="667" spans="1:8" ht="17.25" customHeight="1" x14ac:dyDescent="0.2">
      <c r="A667" s="69">
        <v>2014</v>
      </c>
      <c r="B667" s="70" t="s">
        <v>66</v>
      </c>
      <c r="C667" s="70" t="s">
        <v>17</v>
      </c>
      <c r="D667" s="70" t="s">
        <v>25</v>
      </c>
      <c r="E667" s="70" t="s">
        <v>67</v>
      </c>
      <c r="F667" s="70" t="s">
        <v>67</v>
      </c>
      <c r="G667" s="71">
        <v>2829227526</v>
      </c>
      <c r="H667" s="70" t="s">
        <v>68</v>
      </c>
    </row>
    <row r="668" spans="1:8" ht="17.25" customHeight="1" x14ac:dyDescent="0.2">
      <c r="A668" s="69">
        <v>2014</v>
      </c>
      <c r="B668" s="70" t="s">
        <v>66</v>
      </c>
      <c r="C668" s="70" t="s">
        <v>17</v>
      </c>
      <c r="D668" s="70" t="s">
        <v>25</v>
      </c>
      <c r="E668" s="70" t="s">
        <v>69</v>
      </c>
      <c r="F668" s="70" t="s">
        <v>71</v>
      </c>
      <c r="G668" s="71">
        <v>326059741</v>
      </c>
      <c r="H668" s="70" t="s">
        <v>68</v>
      </c>
    </row>
    <row r="669" spans="1:8" ht="17.25" customHeight="1" x14ac:dyDescent="0.2">
      <c r="A669" s="69">
        <v>2014</v>
      </c>
      <c r="B669" s="70" t="s">
        <v>66</v>
      </c>
      <c r="C669" s="70" t="s">
        <v>17</v>
      </c>
      <c r="D669" s="70" t="s">
        <v>25</v>
      </c>
      <c r="E669" s="70" t="s">
        <v>69</v>
      </c>
      <c r="F669" s="70" t="s">
        <v>70</v>
      </c>
      <c r="G669" s="71">
        <v>268299864</v>
      </c>
      <c r="H669" s="70" t="s">
        <v>68</v>
      </c>
    </row>
    <row r="670" spans="1:8" ht="17.25" customHeight="1" x14ac:dyDescent="0.2">
      <c r="A670" s="69">
        <v>2014</v>
      </c>
      <c r="B670" s="70" t="s">
        <v>66</v>
      </c>
      <c r="C670" s="70" t="s">
        <v>27</v>
      </c>
      <c r="D670" s="70" t="s">
        <v>26</v>
      </c>
      <c r="E670" s="70" t="s">
        <v>67</v>
      </c>
      <c r="F670" s="70" t="s">
        <v>67</v>
      </c>
      <c r="G670" s="71">
        <v>35789177289</v>
      </c>
      <c r="H670" s="70" t="s">
        <v>68</v>
      </c>
    </row>
    <row r="671" spans="1:8" ht="17.25" customHeight="1" x14ac:dyDescent="0.2">
      <c r="A671" s="69">
        <v>2014</v>
      </c>
      <c r="B671" s="70" t="s">
        <v>66</v>
      </c>
      <c r="C671" s="70" t="s">
        <v>27</v>
      </c>
      <c r="D671" s="70" t="s">
        <v>26</v>
      </c>
      <c r="E671" s="70" t="s">
        <v>69</v>
      </c>
      <c r="F671" s="70" t="s">
        <v>71</v>
      </c>
      <c r="G671" s="71">
        <v>6626497837</v>
      </c>
      <c r="H671" s="70" t="s">
        <v>68</v>
      </c>
    </row>
    <row r="672" spans="1:8" ht="17.25" customHeight="1" x14ac:dyDescent="0.2">
      <c r="A672" s="69">
        <v>2014</v>
      </c>
      <c r="B672" s="70" t="s">
        <v>66</v>
      </c>
      <c r="C672" s="70" t="s">
        <v>27</v>
      </c>
      <c r="D672" s="70" t="s">
        <v>26</v>
      </c>
      <c r="E672" s="70" t="s">
        <v>69</v>
      </c>
      <c r="F672" s="70" t="s">
        <v>70</v>
      </c>
      <c r="G672" s="71">
        <v>14317534846</v>
      </c>
      <c r="H672" s="70" t="s">
        <v>68</v>
      </c>
    </row>
    <row r="673" spans="1:8" ht="17.25" customHeight="1" x14ac:dyDescent="0.2">
      <c r="A673" s="69">
        <v>2014</v>
      </c>
      <c r="B673" s="70" t="s">
        <v>66</v>
      </c>
      <c r="C673" s="70" t="s">
        <v>27</v>
      </c>
      <c r="D673" s="70" t="s">
        <v>28</v>
      </c>
      <c r="E673" s="70" t="s">
        <v>67</v>
      </c>
      <c r="F673" s="70" t="s">
        <v>67</v>
      </c>
      <c r="G673" s="71">
        <v>48198643985</v>
      </c>
      <c r="H673" s="70" t="s">
        <v>68</v>
      </c>
    </row>
    <row r="674" spans="1:8" ht="17.25" customHeight="1" x14ac:dyDescent="0.2">
      <c r="A674" s="69">
        <v>2014</v>
      </c>
      <c r="B674" s="70" t="s">
        <v>66</v>
      </c>
      <c r="C674" s="70" t="s">
        <v>27</v>
      </c>
      <c r="D674" s="70" t="s">
        <v>28</v>
      </c>
      <c r="E674" s="70" t="s">
        <v>69</v>
      </c>
      <c r="F674" s="70" t="s">
        <v>71</v>
      </c>
      <c r="G674" s="71">
        <v>11957055865</v>
      </c>
      <c r="H674" s="70" t="s">
        <v>68</v>
      </c>
    </row>
    <row r="675" spans="1:8" ht="17.25" customHeight="1" x14ac:dyDescent="0.2">
      <c r="A675" s="69">
        <v>2014</v>
      </c>
      <c r="B675" s="70" t="s">
        <v>66</v>
      </c>
      <c r="C675" s="70" t="s">
        <v>27</v>
      </c>
      <c r="D675" s="70" t="s">
        <v>28</v>
      </c>
      <c r="E675" s="70" t="s">
        <v>69</v>
      </c>
      <c r="F675" s="70" t="s">
        <v>70</v>
      </c>
      <c r="G675" s="71">
        <v>16814171182</v>
      </c>
      <c r="H675" s="70" t="s">
        <v>68</v>
      </c>
    </row>
    <row r="676" spans="1:8" ht="17.25" customHeight="1" x14ac:dyDescent="0.2">
      <c r="A676" s="69">
        <v>2014</v>
      </c>
      <c r="B676" s="70" t="s">
        <v>66</v>
      </c>
      <c r="C676" s="70" t="s">
        <v>27</v>
      </c>
      <c r="D676" s="70" t="s">
        <v>29</v>
      </c>
      <c r="E676" s="70" t="s">
        <v>67</v>
      </c>
      <c r="F676" s="70" t="s">
        <v>67</v>
      </c>
      <c r="G676" s="71">
        <v>18614624140</v>
      </c>
      <c r="H676" s="70" t="s">
        <v>68</v>
      </c>
    </row>
    <row r="677" spans="1:8" ht="17.25" customHeight="1" x14ac:dyDescent="0.2">
      <c r="A677" s="69">
        <v>2014</v>
      </c>
      <c r="B677" s="70" t="s">
        <v>66</v>
      </c>
      <c r="C677" s="70" t="s">
        <v>27</v>
      </c>
      <c r="D677" s="70" t="s">
        <v>29</v>
      </c>
      <c r="E677" s="70" t="s">
        <v>69</v>
      </c>
      <c r="F677" s="70" t="s">
        <v>71</v>
      </c>
      <c r="G677" s="71">
        <v>4966310380</v>
      </c>
      <c r="H677" s="70" t="s">
        <v>68</v>
      </c>
    </row>
    <row r="678" spans="1:8" ht="17.25" customHeight="1" x14ac:dyDescent="0.2">
      <c r="A678" s="69">
        <v>2014</v>
      </c>
      <c r="B678" s="70" t="s">
        <v>66</v>
      </c>
      <c r="C678" s="70" t="s">
        <v>27</v>
      </c>
      <c r="D678" s="70" t="s">
        <v>29</v>
      </c>
      <c r="E678" s="70" t="s">
        <v>69</v>
      </c>
      <c r="F678" s="70" t="s">
        <v>70</v>
      </c>
      <c r="G678" s="71">
        <v>3920869946</v>
      </c>
      <c r="H678" s="70" t="s">
        <v>68</v>
      </c>
    </row>
    <row r="679" spans="1:8" ht="17.25" customHeight="1" x14ac:dyDescent="0.2">
      <c r="A679" s="69">
        <v>2014</v>
      </c>
      <c r="B679" s="70" t="s">
        <v>66</v>
      </c>
      <c r="C679" s="70" t="s">
        <v>27</v>
      </c>
      <c r="D679" s="70" t="s">
        <v>30</v>
      </c>
      <c r="E679" s="70" t="s">
        <v>67</v>
      </c>
      <c r="F679" s="70" t="s">
        <v>67</v>
      </c>
      <c r="G679" s="71">
        <v>38666647373</v>
      </c>
      <c r="H679" s="70" t="s">
        <v>68</v>
      </c>
    </row>
    <row r="680" spans="1:8" ht="17.25" customHeight="1" x14ac:dyDescent="0.2">
      <c r="A680" s="69">
        <v>2014</v>
      </c>
      <c r="B680" s="70" t="s">
        <v>66</v>
      </c>
      <c r="C680" s="70" t="s">
        <v>27</v>
      </c>
      <c r="D680" s="70" t="s">
        <v>30</v>
      </c>
      <c r="E680" s="70" t="s">
        <v>69</v>
      </c>
      <c r="F680" s="70" t="s">
        <v>71</v>
      </c>
      <c r="G680" s="71">
        <v>8334937282</v>
      </c>
      <c r="H680" s="70" t="s">
        <v>68</v>
      </c>
    </row>
    <row r="681" spans="1:8" ht="17.25" customHeight="1" x14ac:dyDescent="0.2">
      <c r="A681" s="69">
        <v>2014</v>
      </c>
      <c r="B681" s="70" t="s">
        <v>66</v>
      </c>
      <c r="C681" s="70" t="s">
        <v>27</v>
      </c>
      <c r="D681" s="70" t="s">
        <v>30</v>
      </c>
      <c r="E681" s="70" t="s">
        <v>69</v>
      </c>
      <c r="F681" s="70" t="s">
        <v>70</v>
      </c>
      <c r="G681" s="71">
        <v>14571711959</v>
      </c>
      <c r="H681" s="70" t="s">
        <v>68</v>
      </c>
    </row>
    <row r="682" spans="1:8" ht="17.25" customHeight="1" x14ac:dyDescent="0.2">
      <c r="A682" s="69">
        <v>2014</v>
      </c>
      <c r="B682" s="70" t="s">
        <v>66</v>
      </c>
      <c r="C682" s="70" t="s">
        <v>27</v>
      </c>
      <c r="D682" s="70" t="s">
        <v>31</v>
      </c>
      <c r="E682" s="70" t="s">
        <v>67</v>
      </c>
      <c r="F682" s="70" t="s">
        <v>67</v>
      </c>
      <c r="G682" s="71">
        <v>9290253564</v>
      </c>
      <c r="H682" s="70" t="s">
        <v>68</v>
      </c>
    </row>
    <row r="683" spans="1:8" ht="17.25" customHeight="1" x14ac:dyDescent="0.2">
      <c r="A683" s="69">
        <v>2014</v>
      </c>
      <c r="B683" s="70" t="s">
        <v>66</v>
      </c>
      <c r="C683" s="70" t="s">
        <v>27</v>
      </c>
      <c r="D683" s="70" t="s">
        <v>31</v>
      </c>
      <c r="E683" s="70" t="s">
        <v>69</v>
      </c>
      <c r="F683" s="70" t="s">
        <v>71</v>
      </c>
      <c r="G683" s="71">
        <v>3310504694</v>
      </c>
      <c r="H683" s="70" t="s">
        <v>68</v>
      </c>
    </row>
    <row r="684" spans="1:8" ht="17.25" customHeight="1" x14ac:dyDescent="0.2">
      <c r="A684" s="69">
        <v>2014</v>
      </c>
      <c r="B684" s="70" t="s">
        <v>66</v>
      </c>
      <c r="C684" s="70" t="s">
        <v>27</v>
      </c>
      <c r="D684" s="70" t="s">
        <v>31</v>
      </c>
      <c r="E684" s="70" t="s">
        <v>69</v>
      </c>
      <c r="F684" s="70" t="s">
        <v>70</v>
      </c>
      <c r="G684" s="71">
        <v>7441013337</v>
      </c>
      <c r="H684" s="70" t="s">
        <v>68</v>
      </c>
    </row>
    <row r="685" spans="1:8" ht="17.25" customHeight="1" x14ac:dyDescent="0.2">
      <c r="A685" s="69">
        <v>2014</v>
      </c>
      <c r="B685" s="70" t="s">
        <v>66</v>
      </c>
      <c r="C685" s="70" t="s">
        <v>27</v>
      </c>
      <c r="D685" s="70" t="s">
        <v>32</v>
      </c>
      <c r="E685" s="70" t="s">
        <v>67</v>
      </c>
      <c r="F685" s="70" t="s">
        <v>67</v>
      </c>
      <c r="G685" s="71">
        <v>16995565278</v>
      </c>
      <c r="H685" s="70" t="s">
        <v>68</v>
      </c>
    </row>
    <row r="686" spans="1:8" ht="17.25" customHeight="1" x14ac:dyDescent="0.2">
      <c r="A686" s="69">
        <v>2014</v>
      </c>
      <c r="B686" s="70" t="s">
        <v>66</v>
      </c>
      <c r="C686" s="70" t="s">
        <v>27</v>
      </c>
      <c r="D686" s="70" t="s">
        <v>32</v>
      </c>
      <c r="E686" s="70" t="s">
        <v>69</v>
      </c>
      <c r="F686" s="70" t="s">
        <v>71</v>
      </c>
      <c r="G686" s="71">
        <v>6106252639</v>
      </c>
      <c r="H686" s="70" t="s">
        <v>68</v>
      </c>
    </row>
    <row r="687" spans="1:8" ht="17.25" customHeight="1" x14ac:dyDescent="0.2">
      <c r="A687" s="69">
        <v>2014</v>
      </c>
      <c r="B687" s="70" t="s">
        <v>66</v>
      </c>
      <c r="C687" s="70" t="s">
        <v>27</v>
      </c>
      <c r="D687" s="70" t="s">
        <v>32</v>
      </c>
      <c r="E687" s="70" t="s">
        <v>69</v>
      </c>
      <c r="F687" s="70" t="s">
        <v>70</v>
      </c>
      <c r="G687" s="71">
        <v>5229040423</v>
      </c>
      <c r="H687" s="70" t="s">
        <v>68</v>
      </c>
    </row>
    <row r="688" spans="1:8" ht="17.25" customHeight="1" x14ac:dyDescent="0.2">
      <c r="A688" s="69">
        <v>2014</v>
      </c>
      <c r="B688" s="70" t="s">
        <v>66</v>
      </c>
      <c r="C688" s="70" t="s">
        <v>27</v>
      </c>
      <c r="D688" s="70" t="s">
        <v>33</v>
      </c>
      <c r="E688" s="70" t="s">
        <v>67</v>
      </c>
      <c r="F688" s="70" t="s">
        <v>67</v>
      </c>
      <c r="G688" s="71">
        <v>33408446057</v>
      </c>
      <c r="H688" s="70" t="s">
        <v>68</v>
      </c>
    </row>
    <row r="689" spans="1:8" ht="17.25" customHeight="1" x14ac:dyDescent="0.2">
      <c r="A689" s="69">
        <v>2014</v>
      </c>
      <c r="B689" s="70" t="s">
        <v>66</v>
      </c>
      <c r="C689" s="70" t="s">
        <v>27</v>
      </c>
      <c r="D689" s="70" t="s">
        <v>33</v>
      </c>
      <c r="E689" s="70" t="s">
        <v>69</v>
      </c>
      <c r="F689" s="70" t="s">
        <v>71</v>
      </c>
      <c r="G689" s="71">
        <v>11490562881</v>
      </c>
      <c r="H689" s="70" t="s">
        <v>68</v>
      </c>
    </row>
    <row r="690" spans="1:8" ht="17.25" customHeight="1" x14ac:dyDescent="0.2">
      <c r="A690" s="69">
        <v>2014</v>
      </c>
      <c r="B690" s="70" t="s">
        <v>66</v>
      </c>
      <c r="C690" s="70" t="s">
        <v>27</v>
      </c>
      <c r="D690" s="70" t="s">
        <v>33</v>
      </c>
      <c r="E690" s="70" t="s">
        <v>69</v>
      </c>
      <c r="F690" s="70" t="s">
        <v>70</v>
      </c>
      <c r="G690" s="71">
        <v>27490232574</v>
      </c>
      <c r="H690" s="70" t="s">
        <v>68</v>
      </c>
    </row>
    <row r="691" spans="1:8" ht="17.25" customHeight="1" x14ac:dyDescent="0.2">
      <c r="A691" s="69">
        <v>2014</v>
      </c>
      <c r="B691" s="70" t="s">
        <v>66</v>
      </c>
      <c r="C691" s="70" t="s">
        <v>35</v>
      </c>
      <c r="D691" s="70" t="s">
        <v>34</v>
      </c>
      <c r="E691" s="70" t="s">
        <v>67</v>
      </c>
      <c r="F691" s="70" t="s">
        <v>67</v>
      </c>
      <c r="G691" s="71">
        <v>4915273237</v>
      </c>
      <c r="H691" s="70" t="s">
        <v>68</v>
      </c>
    </row>
    <row r="692" spans="1:8" ht="17.25" customHeight="1" x14ac:dyDescent="0.2">
      <c r="A692" s="69">
        <v>2014</v>
      </c>
      <c r="B692" s="70" t="s">
        <v>66</v>
      </c>
      <c r="C692" s="70" t="s">
        <v>35</v>
      </c>
      <c r="D692" s="70" t="s">
        <v>34</v>
      </c>
      <c r="E692" s="70" t="s">
        <v>69</v>
      </c>
      <c r="F692" s="70" t="s">
        <v>71</v>
      </c>
      <c r="G692" s="71">
        <v>682874162</v>
      </c>
      <c r="H692" s="70" t="s">
        <v>68</v>
      </c>
    </row>
    <row r="693" spans="1:8" ht="17.25" customHeight="1" x14ac:dyDescent="0.2">
      <c r="A693" s="69">
        <v>2014</v>
      </c>
      <c r="B693" s="70" t="s">
        <v>66</v>
      </c>
      <c r="C693" s="70" t="s">
        <v>35</v>
      </c>
      <c r="D693" s="70" t="s">
        <v>34</v>
      </c>
      <c r="E693" s="70" t="s">
        <v>69</v>
      </c>
      <c r="F693" s="70" t="s">
        <v>70</v>
      </c>
      <c r="G693" s="71">
        <v>511774377</v>
      </c>
      <c r="H693" s="70" t="s">
        <v>68</v>
      </c>
    </row>
    <row r="694" spans="1:8" ht="17.25" customHeight="1" x14ac:dyDescent="0.2">
      <c r="A694" s="69">
        <v>2014</v>
      </c>
      <c r="B694" s="70" t="s">
        <v>66</v>
      </c>
      <c r="C694" s="70" t="s">
        <v>35</v>
      </c>
      <c r="D694" s="70" t="s">
        <v>36</v>
      </c>
      <c r="E694" s="70" t="s">
        <v>67</v>
      </c>
      <c r="F694" s="70" t="s">
        <v>67</v>
      </c>
      <c r="G694" s="71">
        <v>20710608843</v>
      </c>
      <c r="H694" s="70" t="s">
        <v>68</v>
      </c>
    </row>
    <row r="695" spans="1:8" ht="17.25" customHeight="1" x14ac:dyDescent="0.2">
      <c r="A695" s="69">
        <v>2014</v>
      </c>
      <c r="B695" s="70" t="s">
        <v>66</v>
      </c>
      <c r="C695" s="70" t="s">
        <v>35</v>
      </c>
      <c r="D695" s="70" t="s">
        <v>36</v>
      </c>
      <c r="E695" s="70" t="s">
        <v>69</v>
      </c>
      <c r="F695" s="70" t="s">
        <v>71</v>
      </c>
      <c r="G695" s="71">
        <v>5050009062</v>
      </c>
      <c r="H695" s="70" t="s">
        <v>68</v>
      </c>
    </row>
    <row r="696" spans="1:8" ht="17.25" customHeight="1" x14ac:dyDescent="0.2">
      <c r="A696" s="69">
        <v>2014</v>
      </c>
      <c r="B696" s="70" t="s">
        <v>66</v>
      </c>
      <c r="C696" s="70" t="s">
        <v>35</v>
      </c>
      <c r="D696" s="70" t="s">
        <v>36</v>
      </c>
      <c r="E696" s="70" t="s">
        <v>69</v>
      </c>
      <c r="F696" s="70" t="s">
        <v>70</v>
      </c>
      <c r="G696" s="71">
        <v>2256491458</v>
      </c>
      <c r="H696" s="70" t="s">
        <v>68</v>
      </c>
    </row>
    <row r="697" spans="1:8" ht="17.25" customHeight="1" x14ac:dyDescent="0.2">
      <c r="A697" s="69">
        <v>2014</v>
      </c>
      <c r="B697" s="70" t="s">
        <v>66</v>
      </c>
      <c r="C697" s="70" t="s">
        <v>35</v>
      </c>
      <c r="D697" s="70" t="s">
        <v>37</v>
      </c>
      <c r="E697" s="70" t="s">
        <v>67</v>
      </c>
      <c r="F697" s="70" t="s">
        <v>67</v>
      </c>
      <c r="G697" s="71">
        <v>3422745420</v>
      </c>
      <c r="H697" s="70" t="s">
        <v>68</v>
      </c>
    </row>
    <row r="698" spans="1:8" ht="17.25" customHeight="1" x14ac:dyDescent="0.2">
      <c r="A698" s="69">
        <v>2014</v>
      </c>
      <c r="B698" s="70" t="s">
        <v>66</v>
      </c>
      <c r="C698" s="70" t="s">
        <v>35</v>
      </c>
      <c r="D698" s="70" t="s">
        <v>37</v>
      </c>
      <c r="E698" s="70" t="s">
        <v>69</v>
      </c>
      <c r="F698" s="70" t="s">
        <v>71</v>
      </c>
      <c r="G698" s="71">
        <v>666806373</v>
      </c>
      <c r="H698" s="70" t="s">
        <v>68</v>
      </c>
    </row>
    <row r="699" spans="1:8" ht="17.25" customHeight="1" x14ac:dyDescent="0.2">
      <c r="A699" s="69">
        <v>2014</v>
      </c>
      <c r="B699" s="70" t="s">
        <v>66</v>
      </c>
      <c r="C699" s="70" t="s">
        <v>35</v>
      </c>
      <c r="D699" s="70" t="s">
        <v>37</v>
      </c>
      <c r="E699" s="70" t="s">
        <v>69</v>
      </c>
      <c r="F699" s="70" t="s">
        <v>70</v>
      </c>
      <c r="G699" s="71">
        <v>776240963</v>
      </c>
      <c r="H699" s="70" t="s">
        <v>68</v>
      </c>
    </row>
    <row r="700" spans="1:8" ht="17.25" customHeight="1" x14ac:dyDescent="0.2">
      <c r="A700" s="69">
        <v>2014</v>
      </c>
      <c r="B700" s="70" t="s">
        <v>66</v>
      </c>
      <c r="C700" s="70" t="s">
        <v>35</v>
      </c>
      <c r="D700" s="70" t="s">
        <v>38</v>
      </c>
      <c r="E700" s="70" t="s">
        <v>67</v>
      </c>
      <c r="F700" s="70" t="s">
        <v>67</v>
      </c>
      <c r="G700" s="71">
        <v>7659786029</v>
      </c>
      <c r="H700" s="70" t="s">
        <v>68</v>
      </c>
    </row>
    <row r="701" spans="1:8" ht="17.25" customHeight="1" x14ac:dyDescent="0.2">
      <c r="A701" s="69">
        <v>2014</v>
      </c>
      <c r="B701" s="70" t="s">
        <v>66</v>
      </c>
      <c r="C701" s="70" t="s">
        <v>35</v>
      </c>
      <c r="D701" s="70" t="s">
        <v>38</v>
      </c>
      <c r="E701" s="70" t="s">
        <v>69</v>
      </c>
      <c r="F701" s="70" t="s">
        <v>71</v>
      </c>
      <c r="G701" s="71">
        <v>1394319587</v>
      </c>
      <c r="H701" s="70" t="s">
        <v>68</v>
      </c>
    </row>
    <row r="702" spans="1:8" ht="17.25" customHeight="1" x14ac:dyDescent="0.2">
      <c r="A702" s="69">
        <v>2014</v>
      </c>
      <c r="B702" s="70" t="s">
        <v>66</v>
      </c>
      <c r="C702" s="70" t="s">
        <v>35</v>
      </c>
      <c r="D702" s="70" t="s">
        <v>38</v>
      </c>
      <c r="E702" s="70" t="s">
        <v>69</v>
      </c>
      <c r="F702" s="70" t="s">
        <v>70</v>
      </c>
      <c r="G702" s="71">
        <v>1269936829</v>
      </c>
      <c r="H702" s="70" t="s">
        <v>68</v>
      </c>
    </row>
    <row r="703" spans="1:8" ht="17.25" customHeight="1" x14ac:dyDescent="0.2">
      <c r="A703" s="69">
        <v>2014</v>
      </c>
      <c r="B703" s="70" t="s">
        <v>66</v>
      </c>
      <c r="C703" s="70" t="s">
        <v>35</v>
      </c>
      <c r="D703" s="70" t="s">
        <v>39</v>
      </c>
      <c r="E703" s="70" t="s">
        <v>67</v>
      </c>
      <c r="F703" s="70" t="s">
        <v>67</v>
      </c>
      <c r="G703" s="71">
        <v>19627254589</v>
      </c>
      <c r="H703" s="70" t="s">
        <v>68</v>
      </c>
    </row>
    <row r="704" spans="1:8" ht="17.25" customHeight="1" x14ac:dyDescent="0.2">
      <c r="A704" s="69">
        <v>2014</v>
      </c>
      <c r="B704" s="70" t="s">
        <v>66</v>
      </c>
      <c r="C704" s="70" t="s">
        <v>35</v>
      </c>
      <c r="D704" s="70" t="s">
        <v>39</v>
      </c>
      <c r="E704" s="70" t="s">
        <v>69</v>
      </c>
      <c r="F704" s="70" t="s">
        <v>71</v>
      </c>
      <c r="G704" s="71">
        <v>4306262611</v>
      </c>
      <c r="H704" s="70" t="s">
        <v>68</v>
      </c>
    </row>
    <row r="705" spans="1:8" ht="17.25" customHeight="1" x14ac:dyDescent="0.2">
      <c r="A705" s="69">
        <v>2014</v>
      </c>
      <c r="B705" s="70" t="s">
        <v>66</v>
      </c>
      <c r="C705" s="70" t="s">
        <v>35</v>
      </c>
      <c r="D705" s="70" t="s">
        <v>39</v>
      </c>
      <c r="E705" s="70" t="s">
        <v>69</v>
      </c>
      <c r="F705" s="70" t="s">
        <v>70</v>
      </c>
      <c r="G705" s="71">
        <v>2976138507</v>
      </c>
      <c r="H705" s="70" t="s">
        <v>68</v>
      </c>
    </row>
    <row r="706" spans="1:8" ht="17.25" customHeight="1" x14ac:dyDescent="0.2">
      <c r="A706" s="69">
        <v>2014</v>
      </c>
      <c r="B706" s="70" t="s">
        <v>66</v>
      </c>
      <c r="C706" s="70" t="s">
        <v>41</v>
      </c>
      <c r="D706" s="70" t="s">
        <v>40</v>
      </c>
      <c r="E706" s="70" t="s">
        <v>67</v>
      </c>
      <c r="F706" s="70" t="s">
        <v>67</v>
      </c>
      <c r="G706" s="71">
        <v>6871306020</v>
      </c>
      <c r="H706" s="70" t="s">
        <v>68</v>
      </c>
    </row>
    <row r="707" spans="1:8" ht="17.25" customHeight="1" x14ac:dyDescent="0.2">
      <c r="A707" s="69">
        <v>2014</v>
      </c>
      <c r="B707" s="70" t="s">
        <v>66</v>
      </c>
      <c r="C707" s="70" t="s">
        <v>41</v>
      </c>
      <c r="D707" s="70" t="s">
        <v>40</v>
      </c>
      <c r="E707" s="70" t="s">
        <v>69</v>
      </c>
      <c r="F707" s="70" t="s">
        <v>71</v>
      </c>
      <c r="G707" s="71">
        <v>476392405</v>
      </c>
      <c r="H707" s="70" t="s">
        <v>68</v>
      </c>
    </row>
    <row r="708" spans="1:8" ht="17.25" customHeight="1" x14ac:dyDescent="0.2">
      <c r="A708" s="69">
        <v>2014</v>
      </c>
      <c r="B708" s="70" t="s">
        <v>66</v>
      </c>
      <c r="C708" s="70" t="s">
        <v>41</v>
      </c>
      <c r="D708" s="70" t="s">
        <v>40</v>
      </c>
      <c r="E708" s="70" t="s">
        <v>69</v>
      </c>
      <c r="F708" s="70" t="s">
        <v>70</v>
      </c>
      <c r="G708" s="71">
        <v>340524510</v>
      </c>
      <c r="H708" s="70" t="s">
        <v>68</v>
      </c>
    </row>
    <row r="709" spans="1:8" ht="17.25" customHeight="1" x14ac:dyDescent="0.2">
      <c r="A709" s="69">
        <v>2014</v>
      </c>
      <c r="B709" s="70" t="s">
        <v>66</v>
      </c>
      <c r="C709" s="70" t="s">
        <v>41</v>
      </c>
      <c r="D709" s="70" t="s">
        <v>42</v>
      </c>
      <c r="E709" s="70" t="s">
        <v>67</v>
      </c>
      <c r="F709" s="70" t="s">
        <v>67</v>
      </c>
      <c r="G709" s="71">
        <v>7056355678</v>
      </c>
      <c r="H709" s="70" t="s">
        <v>68</v>
      </c>
    </row>
    <row r="710" spans="1:8" ht="17.25" customHeight="1" x14ac:dyDescent="0.2">
      <c r="A710" s="69">
        <v>2014</v>
      </c>
      <c r="B710" s="70" t="s">
        <v>66</v>
      </c>
      <c r="C710" s="70" t="s">
        <v>41</v>
      </c>
      <c r="D710" s="70" t="s">
        <v>42</v>
      </c>
      <c r="E710" s="70" t="s">
        <v>69</v>
      </c>
      <c r="F710" s="70" t="s">
        <v>71</v>
      </c>
      <c r="G710" s="71">
        <v>706181151</v>
      </c>
      <c r="H710" s="70" t="s">
        <v>68</v>
      </c>
    </row>
    <row r="711" spans="1:8" ht="17.25" customHeight="1" x14ac:dyDescent="0.2">
      <c r="A711" s="69">
        <v>2014</v>
      </c>
      <c r="B711" s="70" t="s">
        <v>66</v>
      </c>
      <c r="C711" s="70" t="s">
        <v>41</v>
      </c>
      <c r="D711" s="70" t="s">
        <v>42</v>
      </c>
      <c r="E711" s="70" t="s">
        <v>69</v>
      </c>
      <c r="F711" s="70" t="s">
        <v>70</v>
      </c>
      <c r="G711" s="71">
        <v>1238394129</v>
      </c>
      <c r="H711" s="70" t="s">
        <v>68</v>
      </c>
    </row>
    <row r="712" spans="1:8" ht="17.25" customHeight="1" x14ac:dyDescent="0.2">
      <c r="A712" s="69">
        <v>2014</v>
      </c>
      <c r="B712" s="70" t="s">
        <v>66</v>
      </c>
      <c r="C712" s="70" t="s">
        <v>41</v>
      </c>
      <c r="D712" s="70" t="s">
        <v>43</v>
      </c>
      <c r="E712" s="70" t="s">
        <v>67</v>
      </c>
      <c r="F712" s="70" t="s">
        <v>67</v>
      </c>
      <c r="G712" s="71">
        <v>6697794918</v>
      </c>
      <c r="H712" s="70" t="s">
        <v>68</v>
      </c>
    </row>
    <row r="713" spans="1:8" ht="17.25" customHeight="1" x14ac:dyDescent="0.2">
      <c r="A713" s="69">
        <v>2014</v>
      </c>
      <c r="B713" s="70" t="s">
        <v>66</v>
      </c>
      <c r="C713" s="70" t="s">
        <v>41</v>
      </c>
      <c r="D713" s="70" t="s">
        <v>43</v>
      </c>
      <c r="E713" s="70" t="s">
        <v>69</v>
      </c>
      <c r="F713" s="70" t="s">
        <v>71</v>
      </c>
      <c r="G713" s="71">
        <v>875278290</v>
      </c>
      <c r="H713" s="70" t="s">
        <v>68</v>
      </c>
    </row>
    <row r="714" spans="1:8" ht="17.25" customHeight="1" x14ac:dyDescent="0.2">
      <c r="A714" s="69">
        <v>2014</v>
      </c>
      <c r="B714" s="70" t="s">
        <v>66</v>
      </c>
      <c r="C714" s="70" t="s">
        <v>41</v>
      </c>
      <c r="D714" s="70" t="s">
        <v>43</v>
      </c>
      <c r="E714" s="70" t="s">
        <v>69</v>
      </c>
      <c r="F714" s="70" t="s">
        <v>70</v>
      </c>
      <c r="G714" s="71">
        <v>792926237</v>
      </c>
      <c r="H714" s="70" t="s">
        <v>68</v>
      </c>
    </row>
    <row r="715" spans="1:8" ht="17.25" customHeight="1" x14ac:dyDescent="0.2">
      <c r="A715" s="69">
        <v>2014</v>
      </c>
      <c r="B715" s="70" t="s">
        <v>66</v>
      </c>
      <c r="C715" s="70" t="s">
        <v>41</v>
      </c>
      <c r="D715" s="70" t="s">
        <v>44</v>
      </c>
      <c r="E715" s="70" t="s">
        <v>67</v>
      </c>
      <c r="F715" s="70" t="s">
        <v>67</v>
      </c>
      <c r="G715" s="71">
        <v>8678254699</v>
      </c>
      <c r="H715" s="70" t="s">
        <v>68</v>
      </c>
    </row>
    <row r="716" spans="1:8" ht="17.25" customHeight="1" x14ac:dyDescent="0.2">
      <c r="A716" s="69">
        <v>2014</v>
      </c>
      <c r="B716" s="70" t="s">
        <v>66</v>
      </c>
      <c r="C716" s="70" t="s">
        <v>41</v>
      </c>
      <c r="D716" s="70" t="s">
        <v>44</v>
      </c>
      <c r="E716" s="70" t="s">
        <v>69</v>
      </c>
      <c r="F716" s="70" t="s">
        <v>71</v>
      </c>
      <c r="G716" s="71">
        <v>1255349113</v>
      </c>
      <c r="H716" s="70" t="s">
        <v>68</v>
      </c>
    </row>
    <row r="717" spans="1:8" ht="17.25" customHeight="1" x14ac:dyDescent="0.2">
      <c r="A717" s="69">
        <v>2014</v>
      </c>
      <c r="B717" s="70" t="s">
        <v>66</v>
      </c>
      <c r="C717" s="70" t="s">
        <v>41</v>
      </c>
      <c r="D717" s="70" t="s">
        <v>44</v>
      </c>
      <c r="E717" s="70" t="s">
        <v>69</v>
      </c>
      <c r="F717" s="70" t="s">
        <v>70</v>
      </c>
      <c r="G717" s="71">
        <v>1062113955</v>
      </c>
      <c r="H717" s="70" t="s">
        <v>68</v>
      </c>
    </row>
    <row r="718" spans="1:8" ht="17.25" customHeight="1" x14ac:dyDescent="0.2">
      <c r="A718" s="69">
        <v>2014</v>
      </c>
      <c r="B718" s="70" t="s">
        <v>66</v>
      </c>
      <c r="C718" s="70" t="s">
        <v>41</v>
      </c>
      <c r="D718" s="70" t="s">
        <v>45</v>
      </c>
      <c r="E718" s="70" t="s">
        <v>67</v>
      </c>
      <c r="F718" s="70" t="s">
        <v>67</v>
      </c>
      <c r="G718" s="71">
        <v>25316330137</v>
      </c>
      <c r="H718" s="70" t="s">
        <v>68</v>
      </c>
    </row>
    <row r="719" spans="1:8" ht="17.25" customHeight="1" x14ac:dyDescent="0.2">
      <c r="A719" s="69">
        <v>2014</v>
      </c>
      <c r="B719" s="70" t="s">
        <v>66</v>
      </c>
      <c r="C719" s="70" t="s">
        <v>41</v>
      </c>
      <c r="D719" s="70" t="s">
        <v>45</v>
      </c>
      <c r="E719" s="70" t="s">
        <v>69</v>
      </c>
      <c r="F719" s="70" t="s">
        <v>71</v>
      </c>
      <c r="G719" s="71">
        <v>3617463407</v>
      </c>
      <c r="H719" s="70" t="s">
        <v>68</v>
      </c>
    </row>
    <row r="720" spans="1:8" ht="17.25" customHeight="1" x14ac:dyDescent="0.2">
      <c r="A720" s="69">
        <v>2014</v>
      </c>
      <c r="B720" s="70" t="s">
        <v>66</v>
      </c>
      <c r="C720" s="70" t="s">
        <v>41</v>
      </c>
      <c r="D720" s="70" t="s">
        <v>45</v>
      </c>
      <c r="E720" s="70" t="s">
        <v>69</v>
      </c>
      <c r="F720" s="70" t="s">
        <v>70</v>
      </c>
      <c r="G720" s="71">
        <v>6161896125</v>
      </c>
      <c r="H720" s="70" t="s">
        <v>68</v>
      </c>
    </row>
    <row r="721" spans="1:8" ht="17.25" customHeight="1" x14ac:dyDescent="0.2">
      <c r="A721" s="69">
        <v>2014</v>
      </c>
      <c r="B721" s="70" t="s">
        <v>66</v>
      </c>
      <c r="C721" s="70" t="s">
        <v>47</v>
      </c>
      <c r="D721" s="70" t="s">
        <v>46</v>
      </c>
      <c r="E721" s="70" t="s">
        <v>67</v>
      </c>
      <c r="F721" s="70" t="s">
        <v>67</v>
      </c>
      <c r="G721" s="71">
        <v>21561223654</v>
      </c>
      <c r="H721" s="70" t="s">
        <v>68</v>
      </c>
    </row>
    <row r="722" spans="1:8" ht="17.25" customHeight="1" x14ac:dyDescent="0.2">
      <c r="A722" s="69">
        <v>2014</v>
      </c>
      <c r="B722" s="70" t="s">
        <v>66</v>
      </c>
      <c r="C722" s="70" t="s">
        <v>47</v>
      </c>
      <c r="D722" s="70" t="s">
        <v>46</v>
      </c>
      <c r="E722" s="70" t="s">
        <v>69</v>
      </c>
      <c r="F722" s="70" t="s">
        <v>71</v>
      </c>
      <c r="G722" s="71">
        <v>4403582238</v>
      </c>
      <c r="H722" s="70" t="s">
        <v>68</v>
      </c>
    </row>
    <row r="723" spans="1:8" ht="17.25" customHeight="1" x14ac:dyDescent="0.2">
      <c r="A723" s="69">
        <v>2014</v>
      </c>
      <c r="B723" s="70" t="s">
        <v>66</v>
      </c>
      <c r="C723" s="70" t="s">
        <v>47</v>
      </c>
      <c r="D723" s="70" t="s">
        <v>46</v>
      </c>
      <c r="E723" s="70" t="s">
        <v>69</v>
      </c>
      <c r="F723" s="70" t="s">
        <v>70</v>
      </c>
      <c r="G723" s="71">
        <v>9049191076</v>
      </c>
      <c r="H723" s="70" t="s">
        <v>68</v>
      </c>
    </row>
    <row r="724" spans="1:8" ht="17.25" customHeight="1" x14ac:dyDescent="0.2">
      <c r="A724" s="69">
        <v>2014</v>
      </c>
      <c r="B724" s="70" t="s">
        <v>66</v>
      </c>
      <c r="C724" s="70" t="s">
        <v>47</v>
      </c>
      <c r="D724" s="70" t="s">
        <v>48</v>
      </c>
      <c r="E724" s="70" t="s">
        <v>72</v>
      </c>
      <c r="F724" s="70" t="s">
        <v>73</v>
      </c>
      <c r="G724" s="71">
        <v>91026355335</v>
      </c>
      <c r="H724" s="70" t="s">
        <v>68</v>
      </c>
    </row>
    <row r="725" spans="1:8" ht="17.25" customHeight="1" x14ac:dyDescent="0.2">
      <c r="A725" s="69">
        <v>2014</v>
      </c>
      <c r="B725" s="70" t="s">
        <v>66</v>
      </c>
      <c r="C725" s="70" t="s">
        <v>47</v>
      </c>
      <c r="D725" s="70" t="s">
        <v>48</v>
      </c>
      <c r="E725" s="70" t="s">
        <v>67</v>
      </c>
      <c r="F725" s="70" t="s">
        <v>74</v>
      </c>
      <c r="G725" s="71">
        <v>92089086297</v>
      </c>
      <c r="H725" s="70" t="s">
        <v>68</v>
      </c>
    </row>
    <row r="726" spans="1:8" ht="17.25" customHeight="1" x14ac:dyDescent="0.2">
      <c r="A726" s="69">
        <v>2014</v>
      </c>
      <c r="B726" s="70" t="s">
        <v>66</v>
      </c>
      <c r="C726" s="70" t="s">
        <v>47</v>
      </c>
      <c r="D726" s="70" t="s">
        <v>48</v>
      </c>
      <c r="E726" s="70" t="s">
        <v>69</v>
      </c>
      <c r="F726" s="70" t="s">
        <v>71</v>
      </c>
      <c r="G726" s="71">
        <v>52476999998</v>
      </c>
      <c r="H726" s="70" t="s">
        <v>68</v>
      </c>
    </row>
    <row r="727" spans="1:8" ht="17.25" customHeight="1" x14ac:dyDescent="0.2">
      <c r="A727" s="69">
        <v>2014</v>
      </c>
      <c r="B727" s="70" t="s">
        <v>66</v>
      </c>
      <c r="C727" s="70" t="s">
        <v>47</v>
      </c>
      <c r="D727" s="70" t="s">
        <v>48</v>
      </c>
      <c r="E727" s="70" t="s">
        <v>69</v>
      </c>
      <c r="F727" s="70" t="s">
        <v>70</v>
      </c>
      <c r="G727" s="71">
        <v>88188137272</v>
      </c>
      <c r="H727" s="70" t="s">
        <v>68</v>
      </c>
    </row>
    <row r="728" spans="1:8" ht="17.25" customHeight="1" x14ac:dyDescent="0.2">
      <c r="A728" s="69">
        <v>2015</v>
      </c>
      <c r="B728" s="70" t="s">
        <v>66</v>
      </c>
      <c r="C728" s="70" t="s">
        <v>4</v>
      </c>
      <c r="D728" s="70" t="s">
        <v>3</v>
      </c>
      <c r="E728" s="70" t="s">
        <v>67</v>
      </c>
      <c r="F728" s="70" t="s">
        <v>67</v>
      </c>
      <c r="G728" s="71">
        <v>17183187390</v>
      </c>
      <c r="H728" s="70" t="s">
        <v>68</v>
      </c>
    </row>
    <row r="729" spans="1:8" ht="17.25" customHeight="1" x14ac:dyDescent="0.2">
      <c r="A729" s="69">
        <v>2015</v>
      </c>
      <c r="B729" s="70" t="s">
        <v>66</v>
      </c>
      <c r="C729" s="70" t="s">
        <v>4</v>
      </c>
      <c r="D729" s="70" t="s">
        <v>3</v>
      </c>
      <c r="E729" s="70" t="s">
        <v>69</v>
      </c>
      <c r="F729" s="70" t="s">
        <v>71</v>
      </c>
      <c r="G729" s="71">
        <v>2863569611</v>
      </c>
      <c r="H729" s="70" t="s">
        <v>68</v>
      </c>
    </row>
    <row r="730" spans="1:8" ht="17.25" customHeight="1" x14ac:dyDescent="0.2">
      <c r="A730" s="69">
        <v>2015</v>
      </c>
      <c r="B730" s="70" t="s">
        <v>66</v>
      </c>
      <c r="C730" s="70" t="s">
        <v>4</v>
      </c>
      <c r="D730" s="70" t="s">
        <v>3</v>
      </c>
      <c r="E730" s="70" t="s">
        <v>69</v>
      </c>
      <c r="F730" s="70" t="s">
        <v>70</v>
      </c>
      <c r="G730" s="71">
        <v>8273844823</v>
      </c>
      <c r="H730" s="70" t="s">
        <v>68</v>
      </c>
    </row>
    <row r="731" spans="1:8" ht="17.25" customHeight="1" x14ac:dyDescent="0.2">
      <c r="A731" s="69">
        <v>2015</v>
      </c>
      <c r="B731" s="70" t="s">
        <v>66</v>
      </c>
      <c r="C731" s="70" t="s">
        <v>4</v>
      </c>
      <c r="D731" s="70" t="s">
        <v>5</v>
      </c>
      <c r="E731" s="70" t="s">
        <v>67</v>
      </c>
      <c r="F731" s="70" t="s">
        <v>67</v>
      </c>
      <c r="G731" s="71">
        <v>97178238811</v>
      </c>
      <c r="H731" s="70" t="s">
        <v>68</v>
      </c>
    </row>
    <row r="732" spans="1:8" ht="17.25" customHeight="1" x14ac:dyDescent="0.2">
      <c r="A732" s="69">
        <v>2015</v>
      </c>
      <c r="B732" s="70" t="s">
        <v>66</v>
      </c>
      <c r="C732" s="70" t="s">
        <v>4</v>
      </c>
      <c r="D732" s="70" t="s">
        <v>5</v>
      </c>
      <c r="E732" s="70" t="s">
        <v>69</v>
      </c>
      <c r="F732" s="70" t="s">
        <v>71</v>
      </c>
      <c r="G732" s="71">
        <v>21456665657</v>
      </c>
      <c r="H732" s="70" t="s">
        <v>68</v>
      </c>
    </row>
    <row r="733" spans="1:8" ht="17.25" customHeight="1" x14ac:dyDescent="0.2">
      <c r="A733" s="69">
        <v>2015</v>
      </c>
      <c r="B733" s="70" t="s">
        <v>66</v>
      </c>
      <c r="C733" s="70" t="s">
        <v>4</v>
      </c>
      <c r="D733" s="70" t="s">
        <v>5</v>
      </c>
      <c r="E733" s="70" t="s">
        <v>69</v>
      </c>
      <c r="F733" s="70" t="s">
        <v>70</v>
      </c>
      <c r="G733" s="71">
        <v>20373594370</v>
      </c>
      <c r="H733" s="70" t="s">
        <v>68</v>
      </c>
    </row>
    <row r="734" spans="1:8" ht="17.25" customHeight="1" x14ac:dyDescent="0.2">
      <c r="A734" s="69">
        <v>2015</v>
      </c>
      <c r="B734" s="70" t="s">
        <v>66</v>
      </c>
      <c r="C734" s="70" t="s">
        <v>4</v>
      </c>
      <c r="D734" s="70" t="s">
        <v>6</v>
      </c>
      <c r="E734" s="70" t="s">
        <v>67</v>
      </c>
      <c r="F734" s="70" t="s">
        <v>67</v>
      </c>
      <c r="G734" s="71">
        <v>11390599937</v>
      </c>
      <c r="H734" s="70" t="s">
        <v>68</v>
      </c>
    </row>
    <row r="735" spans="1:8" ht="17.25" customHeight="1" x14ac:dyDescent="0.2">
      <c r="A735" s="69">
        <v>2015</v>
      </c>
      <c r="B735" s="70" t="s">
        <v>66</v>
      </c>
      <c r="C735" s="70" t="s">
        <v>4</v>
      </c>
      <c r="D735" s="70" t="s">
        <v>6</v>
      </c>
      <c r="E735" s="70" t="s">
        <v>69</v>
      </c>
      <c r="F735" s="70" t="s">
        <v>71</v>
      </c>
      <c r="G735" s="71">
        <v>522568998</v>
      </c>
      <c r="H735" s="70" t="s">
        <v>68</v>
      </c>
    </row>
    <row r="736" spans="1:8" ht="17.25" customHeight="1" x14ac:dyDescent="0.2">
      <c r="A736" s="69">
        <v>2015</v>
      </c>
      <c r="B736" s="70" t="s">
        <v>66</v>
      </c>
      <c r="C736" s="70" t="s">
        <v>4</v>
      </c>
      <c r="D736" s="70" t="s">
        <v>6</v>
      </c>
      <c r="E736" s="70" t="s">
        <v>69</v>
      </c>
      <c r="F736" s="70" t="s">
        <v>70</v>
      </c>
      <c r="G736" s="71">
        <v>1057010025</v>
      </c>
      <c r="H736" s="70" t="s">
        <v>68</v>
      </c>
    </row>
    <row r="737" spans="1:8" ht="17.25" customHeight="1" x14ac:dyDescent="0.2">
      <c r="A737" s="69">
        <v>2015</v>
      </c>
      <c r="B737" s="70" t="s">
        <v>66</v>
      </c>
      <c r="C737" s="70" t="s">
        <v>4</v>
      </c>
      <c r="D737" s="70" t="s">
        <v>7</v>
      </c>
      <c r="E737" s="70" t="s">
        <v>67</v>
      </c>
      <c r="F737" s="70" t="s">
        <v>67</v>
      </c>
      <c r="G737" s="71">
        <v>16491623810</v>
      </c>
      <c r="H737" s="70" t="s">
        <v>68</v>
      </c>
    </row>
    <row r="738" spans="1:8" ht="17.25" customHeight="1" x14ac:dyDescent="0.2">
      <c r="A738" s="69">
        <v>2015</v>
      </c>
      <c r="B738" s="70" t="s">
        <v>66</v>
      </c>
      <c r="C738" s="70" t="s">
        <v>4</v>
      </c>
      <c r="D738" s="70" t="s">
        <v>7</v>
      </c>
      <c r="E738" s="70" t="s">
        <v>69</v>
      </c>
      <c r="F738" s="70" t="s">
        <v>71</v>
      </c>
      <c r="G738" s="71">
        <v>3570559711</v>
      </c>
      <c r="H738" s="70" t="s">
        <v>68</v>
      </c>
    </row>
    <row r="739" spans="1:8" ht="17.25" customHeight="1" x14ac:dyDescent="0.2">
      <c r="A739" s="69">
        <v>2015</v>
      </c>
      <c r="B739" s="70" t="s">
        <v>66</v>
      </c>
      <c r="C739" s="70" t="s">
        <v>4</v>
      </c>
      <c r="D739" s="70" t="s">
        <v>7</v>
      </c>
      <c r="E739" s="70" t="s">
        <v>69</v>
      </c>
      <c r="F739" s="70" t="s">
        <v>70</v>
      </c>
      <c r="G739" s="71">
        <v>5034344485</v>
      </c>
      <c r="H739" s="70" t="s">
        <v>68</v>
      </c>
    </row>
    <row r="740" spans="1:8" ht="17.25" customHeight="1" x14ac:dyDescent="0.2">
      <c r="A740" s="69">
        <v>2015</v>
      </c>
      <c r="B740" s="70" t="s">
        <v>66</v>
      </c>
      <c r="C740" s="70" t="s">
        <v>4</v>
      </c>
      <c r="D740" s="70" t="s">
        <v>8</v>
      </c>
      <c r="E740" s="70" t="s">
        <v>67</v>
      </c>
      <c r="F740" s="70" t="s">
        <v>67</v>
      </c>
      <c r="G740" s="71">
        <v>9562653943</v>
      </c>
      <c r="H740" s="70" t="s">
        <v>68</v>
      </c>
    </row>
    <row r="741" spans="1:8" ht="17.25" customHeight="1" x14ac:dyDescent="0.2">
      <c r="A741" s="69">
        <v>2015</v>
      </c>
      <c r="B741" s="70" t="s">
        <v>66</v>
      </c>
      <c r="C741" s="70" t="s">
        <v>4</v>
      </c>
      <c r="D741" s="70" t="s">
        <v>8</v>
      </c>
      <c r="E741" s="70" t="s">
        <v>69</v>
      </c>
      <c r="F741" s="70" t="s">
        <v>71</v>
      </c>
      <c r="G741" s="71">
        <v>626232373</v>
      </c>
      <c r="H741" s="70" t="s">
        <v>68</v>
      </c>
    </row>
    <row r="742" spans="1:8" ht="17.25" customHeight="1" x14ac:dyDescent="0.2">
      <c r="A742" s="69">
        <v>2015</v>
      </c>
      <c r="B742" s="70" t="s">
        <v>66</v>
      </c>
      <c r="C742" s="70" t="s">
        <v>4</v>
      </c>
      <c r="D742" s="70" t="s">
        <v>8</v>
      </c>
      <c r="E742" s="70" t="s">
        <v>69</v>
      </c>
      <c r="F742" s="70" t="s">
        <v>70</v>
      </c>
      <c r="G742" s="71">
        <v>982107281</v>
      </c>
      <c r="H742" s="70" t="s">
        <v>68</v>
      </c>
    </row>
    <row r="743" spans="1:8" ht="17.25" customHeight="1" x14ac:dyDescent="0.2">
      <c r="A743" s="69">
        <v>2015</v>
      </c>
      <c r="B743" s="70" t="s">
        <v>66</v>
      </c>
      <c r="C743" s="70" t="s">
        <v>4</v>
      </c>
      <c r="D743" s="70" t="s">
        <v>9</v>
      </c>
      <c r="E743" s="70" t="s">
        <v>67</v>
      </c>
      <c r="F743" s="70" t="s">
        <v>67</v>
      </c>
      <c r="G743" s="71">
        <v>54393868662</v>
      </c>
      <c r="H743" s="70" t="s">
        <v>68</v>
      </c>
    </row>
    <row r="744" spans="1:8" ht="17.25" customHeight="1" x14ac:dyDescent="0.2">
      <c r="A744" s="69">
        <v>2015</v>
      </c>
      <c r="B744" s="70" t="s">
        <v>66</v>
      </c>
      <c r="C744" s="70" t="s">
        <v>4</v>
      </c>
      <c r="D744" s="70" t="s">
        <v>9</v>
      </c>
      <c r="E744" s="70" t="s">
        <v>69</v>
      </c>
      <c r="F744" s="70" t="s">
        <v>71</v>
      </c>
      <c r="G744" s="71">
        <v>12707850965</v>
      </c>
      <c r="H744" s="70" t="s">
        <v>68</v>
      </c>
    </row>
    <row r="745" spans="1:8" ht="17.25" customHeight="1" x14ac:dyDescent="0.2">
      <c r="A745" s="69">
        <v>2015</v>
      </c>
      <c r="B745" s="70" t="s">
        <v>66</v>
      </c>
      <c r="C745" s="70" t="s">
        <v>4</v>
      </c>
      <c r="D745" s="70" t="s">
        <v>9</v>
      </c>
      <c r="E745" s="70" t="s">
        <v>69</v>
      </c>
      <c r="F745" s="70" t="s">
        <v>70</v>
      </c>
      <c r="G745" s="71">
        <v>18481637963</v>
      </c>
      <c r="H745" s="70" t="s">
        <v>68</v>
      </c>
    </row>
    <row r="746" spans="1:8" ht="17.25" customHeight="1" x14ac:dyDescent="0.2">
      <c r="A746" s="69">
        <v>2015</v>
      </c>
      <c r="B746" s="70" t="s">
        <v>66</v>
      </c>
      <c r="C746" s="70" t="s">
        <v>4</v>
      </c>
      <c r="D746" s="70" t="s">
        <v>10</v>
      </c>
      <c r="E746" s="70" t="s">
        <v>67</v>
      </c>
      <c r="F746" s="70" t="s">
        <v>67</v>
      </c>
      <c r="G746" s="71">
        <v>1462134167</v>
      </c>
      <c r="H746" s="70" t="s">
        <v>68</v>
      </c>
    </row>
    <row r="747" spans="1:8" ht="17.25" customHeight="1" x14ac:dyDescent="0.2">
      <c r="A747" s="69">
        <v>2015</v>
      </c>
      <c r="B747" s="70" t="s">
        <v>66</v>
      </c>
      <c r="C747" s="70" t="s">
        <v>4</v>
      </c>
      <c r="D747" s="70" t="s">
        <v>10</v>
      </c>
      <c r="E747" s="70" t="s">
        <v>69</v>
      </c>
      <c r="F747" s="70" t="s">
        <v>71</v>
      </c>
      <c r="G747" s="71">
        <v>153524088</v>
      </c>
      <c r="H747" s="70" t="s">
        <v>68</v>
      </c>
    </row>
    <row r="748" spans="1:8" ht="17.25" customHeight="1" x14ac:dyDescent="0.2">
      <c r="A748" s="69">
        <v>2015</v>
      </c>
      <c r="B748" s="70" t="s">
        <v>66</v>
      </c>
      <c r="C748" s="70" t="s">
        <v>4</v>
      </c>
      <c r="D748" s="70" t="s">
        <v>10</v>
      </c>
      <c r="E748" s="70" t="s">
        <v>69</v>
      </c>
      <c r="F748" s="70" t="s">
        <v>70</v>
      </c>
      <c r="G748" s="71">
        <v>45857844</v>
      </c>
      <c r="H748" s="70" t="s">
        <v>68</v>
      </c>
    </row>
    <row r="749" spans="1:8" ht="17.25" customHeight="1" x14ac:dyDescent="0.2">
      <c r="A749" s="69">
        <v>2015</v>
      </c>
      <c r="B749" s="70" t="s">
        <v>66</v>
      </c>
      <c r="C749" s="70" t="s">
        <v>4</v>
      </c>
      <c r="D749" s="70" t="s">
        <v>11</v>
      </c>
      <c r="E749" s="70" t="s">
        <v>67</v>
      </c>
      <c r="F749" s="70" t="s">
        <v>67</v>
      </c>
      <c r="G749" s="71">
        <v>5502878947</v>
      </c>
      <c r="H749" s="70" t="s">
        <v>68</v>
      </c>
    </row>
    <row r="750" spans="1:8" ht="17.25" customHeight="1" x14ac:dyDescent="0.2">
      <c r="A750" s="69">
        <v>2015</v>
      </c>
      <c r="B750" s="70" t="s">
        <v>66</v>
      </c>
      <c r="C750" s="70" t="s">
        <v>4</v>
      </c>
      <c r="D750" s="70" t="s">
        <v>11</v>
      </c>
      <c r="E750" s="70" t="s">
        <v>69</v>
      </c>
      <c r="F750" s="70" t="s">
        <v>71</v>
      </c>
      <c r="G750" s="71">
        <v>941733654</v>
      </c>
      <c r="H750" s="70" t="s">
        <v>68</v>
      </c>
    </row>
    <row r="751" spans="1:8" ht="17.25" customHeight="1" x14ac:dyDescent="0.2">
      <c r="A751" s="69">
        <v>2015</v>
      </c>
      <c r="B751" s="70" t="s">
        <v>66</v>
      </c>
      <c r="C751" s="70" t="s">
        <v>4</v>
      </c>
      <c r="D751" s="70" t="s">
        <v>11</v>
      </c>
      <c r="E751" s="70" t="s">
        <v>69</v>
      </c>
      <c r="F751" s="70" t="s">
        <v>70</v>
      </c>
      <c r="G751" s="71">
        <v>2145199550</v>
      </c>
      <c r="H751" s="70" t="s">
        <v>68</v>
      </c>
    </row>
    <row r="752" spans="1:8" ht="17.25" customHeight="1" x14ac:dyDescent="0.2">
      <c r="A752" s="69">
        <v>2015</v>
      </c>
      <c r="B752" s="70" t="s">
        <v>66</v>
      </c>
      <c r="C752" s="70" t="s">
        <v>4</v>
      </c>
      <c r="D752" s="70" t="s">
        <v>12</v>
      </c>
      <c r="E752" s="70" t="s">
        <v>67</v>
      </c>
      <c r="F752" s="70" t="s">
        <v>67</v>
      </c>
      <c r="G752" s="71">
        <v>6471000863</v>
      </c>
      <c r="H752" s="70" t="s">
        <v>68</v>
      </c>
    </row>
    <row r="753" spans="1:8" ht="17.25" customHeight="1" x14ac:dyDescent="0.2">
      <c r="A753" s="69">
        <v>2015</v>
      </c>
      <c r="B753" s="70" t="s">
        <v>66</v>
      </c>
      <c r="C753" s="70" t="s">
        <v>4</v>
      </c>
      <c r="D753" s="70" t="s">
        <v>12</v>
      </c>
      <c r="E753" s="70" t="s">
        <v>69</v>
      </c>
      <c r="F753" s="70" t="s">
        <v>71</v>
      </c>
      <c r="G753" s="71">
        <v>966460692</v>
      </c>
      <c r="H753" s="70" t="s">
        <v>68</v>
      </c>
    </row>
    <row r="754" spans="1:8" ht="17.25" customHeight="1" x14ac:dyDescent="0.2">
      <c r="A754" s="69">
        <v>2015</v>
      </c>
      <c r="B754" s="70" t="s">
        <v>66</v>
      </c>
      <c r="C754" s="70" t="s">
        <v>4</v>
      </c>
      <c r="D754" s="70" t="s">
        <v>12</v>
      </c>
      <c r="E754" s="70" t="s">
        <v>69</v>
      </c>
      <c r="F754" s="70" t="s">
        <v>70</v>
      </c>
      <c r="G754" s="71">
        <v>2431704919</v>
      </c>
      <c r="H754" s="70" t="s">
        <v>68</v>
      </c>
    </row>
    <row r="755" spans="1:8" ht="17.25" customHeight="1" x14ac:dyDescent="0.2">
      <c r="A755" s="69">
        <v>2015</v>
      </c>
      <c r="B755" s="70" t="s">
        <v>66</v>
      </c>
      <c r="C755" s="70" t="s">
        <v>4</v>
      </c>
      <c r="D755" s="70" t="s">
        <v>13</v>
      </c>
      <c r="E755" s="70" t="s">
        <v>67</v>
      </c>
      <c r="F755" s="70" t="s">
        <v>67</v>
      </c>
      <c r="G755" s="71">
        <v>9853245082</v>
      </c>
      <c r="H755" s="70" t="s">
        <v>68</v>
      </c>
    </row>
    <row r="756" spans="1:8" ht="17.25" customHeight="1" x14ac:dyDescent="0.2">
      <c r="A756" s="69">
        <v>2015</v>
      </c>
      <c r="B756" s="70" t="s">
        <v>66</v>
      </c>
      <c r="C756" s="70" t="s">
        <v>4</v>
      </c>
      <c r="D756" s="70" t="s">
        <v>13</v>
      </c>
      <c r="E756" s="70" t="s">
        <v>69</v>
      </c>
      <c r="F756" s="70" t="s">
        <v>71</v>
      </c>
      <c r="G756" s="71">
        <v>1027436261</v>
      </c>
      <c r="H756" s="70" t="s">
        <v>68</v>
      </c>
    </row>
    <row r="757" spans="1:8" ht="17.25" customHeight="1" x14ac:dyDescent="0.2">
      <c r="A757" s="69">
        <v>2015</v>
      </c>
      <c r="B757" s="70" t="s">
        <v>66</v>
      </c>
      <c r="C757" s="70" t="s">
        <v>4</v>
      </c>
      <c r="D757" s="70" t="s">
        <v>13</v>
      </c>
      <c r="E757" s="70" t="s">
        <v>69</v>
      </c>
      <c r="F757" s="70" t="s">
        <v>70</v>
      </c>
      <c r="G757" s="71">
        <v>3344233163</v>
      </c>
      <c r="H757" s="70" t="s">
        <v>68</v>
      </c>
    </row>
    <row r="758" spans="1:8" ht="17.25" customHeight="1" x14ac:dyDescent="0.2">
      <c r="A758" s="69">
        <v>2015</v>
      </c>
      <c r="B758" s="70" t="s">
        <v>66</v>
      </c>
      <c r="C758" s="70" t="s">
        <v>4</v>
      </c>
      <c r="D758" s="70" t="s">
        <v>14</v>
      </c>
      <c r="E758" s="70" t="s">
        <v>67</v>
      </c>
      <c r="F758" s="70" t="s">
        <v>67</v>
      </c>
      <c r="G758" s="71">
        <v>7689330776</v>
      </c>
      <c r="H758" s="70" t="s">
        <v>68</v>
      </c>
    </row>
    <row r="759" spans="1:8" ht="17.25" customHeight="1" x14ac:dyDescent="0.2">
      <c r="A759" s="69">
        <v>2015</v>
      </c>
      <c r="B759" s="70" t="s">
        <v>66</v>
      </c>
      <c r="C759" s="70" t="s">
        <v>4</v>
      </c>
      <c r="D759" s="70" t="s">
        <v>14</v>
      </c>
      <c r="E759" s="70" t="s">
        <v>69</v>
      </c>
      <c r="F759" s="70" t="s">
        <v>71</v>
      </c>
      <c r="G759" s="71">
        <v>474778966</v>
      </c>
      <c r="H759" s="70" t="s">
        <v>68</v>
      </c>
    </row>
    <row r="760" spans="1:8" ht="17.25" customHeight="1" x14ac:dyDescent="0.2">
      <c r="A760" s="69">
        <v>2015</v>
      </c>
      <c r="B760" s="70" t="s">
        <v>66</v>
      </c>
      <c r="C760" s="70" t="s">
        <v>4</v>
      </c>
      <c r="D760" s="70" t="s">
        <v>14</v>
      </c>
      <c r="E760" s="70" t="s">
        <v>69</v>
      </c>
      <c r="F760" s="70" t="s">
        <v>70</v>
      </c>
      <c r="G760" s="71">
        <v>1011593056</v>
      </c>
      <c r="H760" s="70" t="s">
        <v>68</v>
      </c>
    </row>
    <row r="761" spans="1:8" ht="17.25" customHeight="1" x14ac:dyDescent="0.2">
      <c r="A761" s="69">
        <v>2015</v>
      </c>
      <c r="B761" s="70" t="s">
        <v>66</v>
      </c>
      <c r="C761" s="70" t="s">
        <v>4</v>
      </c>
      <c r="D761" s="70" t="s">
        <v>15</v>
      </c>
      <c r="E761" s="70" t="s">
        <v>67</v>
      </c>
      <c r="F761" s="70" t="s">
        <v>67</v>
      </c>
      <c r="G761" s="71">
        <v>8705562030</v>
      </c>
      <c r="H761" s="70" t="s">
        <v>68</v>
      </c>
    </row>
    <row r="762" spans="1:8" ht="17.25" customHeight="1" x14ac:dyDescent="0.2">
      <c r="A762" s="69">
        <v>2015</v>
      </c>
      <c r="B762" s="70" t="s">
        <v>66</v>
      </c>
      <c r="C762" s="70" t="s">
        <v>4</v>
      </c>
      <c r="D762" s="70" t="s">
        <v>15</v>
      </c>
      <c r="E762" s="70" t="s">
        <v>69</v>
      </c>
      <c r="F762" s="70" t="s">
        <v>71</v>
      </c>
      <c r="G762" s="71">
        <v>1971018739</v>
      </c>
      <c r="H762" s="70" t="s">
        <v>68</v>
      </c>
    </row>
    <row r="763" spans="1:8" ht="17.25" customHeight="1" x14ac:dyDescent="0.2">
      <c r="A763" s="69">
        <v>2015</v>
      </c>
      <c r="B763" s="70" t="s">
        <v>66</v>
      </c>
      <c r="C763" s="70" t="s">
        <v>4</v>
      </c>
      <c r="D763" s="70" t="s">
        <v>15</v>
      </c>
      <c r="E763" s="70" t="s">
        <v>69</v>
      </c>
      <c r="F763" s="70" t="s">
        <v>70</v>
      </c>
      <c r="G763" s="71">
        <v>1637201372</v>
      </c>
      <c r="H763" s="70" t="s">
        <v>68</v>
      </c>
    </row>
    <row r="764" spans="1:8" ht="17.25" customHeight="1" x14ac:dyDescent="0.2">
      <c r="A764" s="69">
        <v>2015</v>
      </c>
      <c r="B764" s="70" t="s">
        <v>66</v>
      </c>
      <c r="C764" s="70" t="s">
        <v>17</v>
      </c>
      <c r="D764" s="70" t="s">
        <v>16</v>
      </c>
      <c r="E764" s="70" t="s">
        <v>67</v>
      </c>
      <c r="F764" s="70" t="s">
        <v>67</v>
      </c>
      <c r="G764" s="71">
        <v>879370853</v>
      </c>
      <c r="H764" s="70" t="s">
        <v>68</v>
      </c>
    </row>
    <row r="765" spans="1:8" ht="17.25" customHeight="1" x14ac:dyDescent="0.2">
      <c r="A765" s="69">
        <v>2015</v>
      </c>
      <c r="B765" s="70" t="s">
        <v>66</v>
      </c>
      <c r="C765" s="70" t="s">
        <v>17</v>
      </c>
      <c r="D765" s="70" t="s">
        <v>16</v>
      </c>
      <c r="E765" s="70" t="s">
        <v>69</v>
      </c>
      <c r="F765" s="70" t="s">
        <v>71</v>
      </c>
      <c r="G765" s="71">
        <v>137387414</v>
      </c>
      <c r="H765" s="70" t="s">
        <v>68</v>
      </c>
    </row>
    <row r="766" spans="1:8" ht="17.25" customHeight="1" x14ac:dyDescent="0.2">
      <c r="A766" s="69">
        <v>2015</v>
      </c>
      <c r="B766" s="70" t="s">
        <v>66</v>
      </c>
      <c r="C766" s="70" t="s">
        <v>17</v>
      </c>
      <c r="D766" s="70" t="s">
        <v>16</v>
      </c>
      <c r="E766" s="70" t="s">
        <v>69</v>
      </c>
      <c r="F766" s="70" t="s">
        <v>70</v>
      </c>
      <c r="G766" s="71">
        <v>169726998</v>
      </c>
      <c r="H766" s="70" t="s">
        <v>68</v>
      </c>
    </row>
    <row r="767" spans="1:8" ht="17.25" customHeight="1" x14ac:dyDescent="0.2">
      <c r="A767" s="69">
        <v>2015</v>
      </c>
      <c r="B767" s="70" t="s">
        <v>66</v>
      </c>
      <c r="C767" s="70" t="s">
        <v>17</v>
      </c>
      <c r="D767" s="70" t="s">
        <v>18</v>
      </c>
      <c r="E767" s="70" t="s">
        <v>67</v>
      </c>
      <c r="F767" s="70" t="s">
        <v>67</v>
      </c>
      <c r="G767" s="71">
        <v>1989639225</v>
      </c>
      <c r="H767" s="70" t="s">
        <v>68</v>
      </c>
    </row>
    <row r="768" spans="1:8" ht="17.25" customHeight="1" x14ac:dyDescent="0.2">
      <c r="A768" s="69">
        <v>2015</v>
      </c>
      <c r="B768" s="70" t="s">
        <v>66</v>
      </c>
      <c r="C768" s="70" t="s">
        <v>17</v>
      </c>
      <c r="D768" s="70" t="s">
        <v>18</v>
      </c>
      <c r="E768" s="70" t="s">
        <v>69</v>
      </c>
      <c r="F768" s="70" t="s">
        <v>71</v>
      </c>
      <c r="G768" s="71">
        <v>405636067</v>
      </c>
      <c r="H768" s="70" t="s">
        <v>68</v>
      </c>
    </row>
    <row r="769" spans="1:8" ht="17.25" customHeight="1" x14ac:dyDescent="0.2">
      <c r="A769" s="69">
        <v>2015</v>
      </c>
      <c r="B769" s="70" t="s">
        <v>66</v>
      </c>
      <c r="C769" s="70" t="s">
        <v>17</v>
      </c>
      <c r="D769" s="70" t="s">
        <v>18</v>
      </c>
      <c r="E769" s="70" t="s">
        <v>69</v>
      </c>
      <c r="F769" s="70" t="s">
        <v>70</v>
      </c>
      <c r="G769" s="71">
        <v>472146987</v>
      </c>
      <c r="H769" s="70" t="s">
        <v>68</v>
      </c>
    </row>
    <row r="770" spans="1:8" ht="17.25" customHeight="1" x14ac:dyDescent="0.2">
      <c r="A770" s="69">
        <v>2015</v>
      </c>
      <c r="B770" s="70" t="s">
        <v>66</v>
      </c>
      <c r="C770" s="70" t="s">
        <v>17</v>
      </c>
      <c r="D770" s="70" t="s">
        <v>19</v>
      </c>
      <c r="E770" s="70" t="s">
        <v>67</v>
      </c>
      <c r="F770" s="70" t="s">
        <v>67</v>
      </c>
      <c r="G770" s="71">
        <v>5155473313</v>
      </c>
      <c r="H770" s="70" t="s">
        <v>68</v>
      </c>
    </row>
    <row r="771" spans="1:8" ht="17.25" customHeight="1" x14ac:dyDescent="0.2">
      <c r="A771" s="69">
        <v>2015</v>
      </c>
      <c r="B771" s="70" t="s">
        <v>66</v>
      </c>
      <c r="C771" s="70" t="s">
        <v>17</v>
      </c>
      <c r="D771" s="70" t="s">
        <v>19</v>
      </c>
      <c r="E771" s="70" t="s">
        <v>69</v>
      </c>
      <c r="F771" s="70" t="s">
        <v>71</v>
      </c>
      <c r="G771" s="71">
        <v>891755709</v>
      </c>
      <c r="H771" s="70" t="s">
        <v>68</v>
      </c>
    </row>
    <row r="772" spans="1:8" ht="17.25" customHeight="1" x14ac:dyDescent="0.2">
      <c r="A772" s="69">
        <v>2015</v>
      </c>
      <c r="B772" s="70" t="s">
        <v>66</v>
      </c>
      <c r="C772" s="70" t="s">
        <v>17</v>
      </c>
      <c r="D772" s="70" t="s">
        <v>19</v>
      </c>
      <c r="E772" s="70" t="s">
        <v>69</v>
      </c>
      <c r="F772" s="70" t="s">
        <v>70</v>
      </c>
      <c r="G772" s="71">
        <v>403743492</v>
      </c>
      <c r="H772" s="70" t="s">
        <v>68</v>
      </c>
    </row>
    <row r="773" spans="1:8" ht="17.25" customHeight="1" x14ac:dyDescent="0.2">
      <c r="A773" s="69">
        <v>2015</v>
      </c>
      <c r="B773" s="70" t="s">
        <v>66</v>
      </c>
      <c r="C773" s="70" t="s">
        <v>17</v>
      </c>
      <c r="D773" s="70" t="s">
        <v>20</v>
      </c>
      <c r="E773" s="70" t="s">
        <v>67</v>
      </c>
      <c r="F773" s="70" t="s">
        <v>67</v>
      </c>
      <c r="G773" s="71">
        <v>1305306687</v>
      </c>
      <c r="H773" s="70" t="s">
        <v>68</v>
      </c>
    </row>
    <row r="774" spans="1:8" ht="17.25" customHeight="1" x14ac:dyDescent="0.2">
      <c r="A774" s="69">
        <v>2015</v>
      </c>
      <c r="B774" s="70" t="s">
        <v>66</v>
      </c>
      <c r="C774" s="70" t="s">
        <v>17</v>
      </c>
      <c r="D774" s="70" t="s">
        <v>20</v>
      </c>
      <c r="E774" s="70" t="s">
        <v>69</v>
      </c>
      <c r="F774" s="70" t="s">
        <v>71</v>
      </c>
      <c r="G774" s="71">
        <v>193182035</v>
      </c>
      <c r="H774" s="70" t="s">
        <v>68</v>
      </c>
    </row>
    <row r="775" spans="1:8" ht="17.25" customHeight="1" x14ac:dyDescent="0.2">
      <c r="A775" s="69">
        <v>2015</v>
      </c>
      <c r="B775" s="70" t="s">
        <v>66</v>
      </c>
      <c r="C775" s="70" t="s">
        <v>17</v>
      </c>
      <c r="D775" s="70" t="s">
        <v>20</v>
      </c>
      <c r="E775" s="70" t="s">
        <v>69</v>
      </c>
      <c r="F775" s="70" t="s">
        <v>70</v>
      </c>
      <c r="G775" s="71">
        <v>639118255</v>
      </c>
      <c r="H775" s="70" t="s">
        <v>68</v>
      </c>
    </row>
    <row r="776" spans="1:8" ht="17.25" customHeight="1" x14ac:dyDescent="0.2">
      <c r="A776" s="69">
        <v>2015</v>
      </c>
      <c r="B776" s="70" t="s">
        <v>66</v>
      </c>
      <c r="C776" s="70" t="s">
        <v>17</v>
      </c>
      <c r="D776" s="70" t="s">
        <v>21</v>
      </c>
      <c r="E776" s="70" t="s">
        <v>67</v>
      </c>
      <c r="F776" s="70" t="s">
        <v>67</v>
      </c>
      <c r="G776" s="71">
        <v>3369478150</v>
      </c>
      <c r="H776" s="70" t="s">
        <v>68</v>
      </c>
    </row>
    <row r="777" spans="1:8" ht="17.25" customHeight="1" x14ac:dyDescent="0.2">
      <c r="A777" s="69">
        <v>2015</v>
      </c>
      <c r="B777" s="70" t="s">
        <v>66</v>
      </c>
      <c r="C777" s="70" t="s">
        <v>17</v>
      </c>
      <c r="D777" s="70" t="s">
        <v>21</v>
      </c>
      <c r="E777" s="70" t="s">
        <v>69</v>
      </c>
      <c r="F777" s="70" t="s">
        <v>71</v>
      </c>
      <c r="G777" s="71">
        <v>797386485</v>
      </c>
      <c r="H777" s="70" t="s">
        <v>68</v>
      </c>
    </row>
    <row r="778" spans="1:8" ht="17.25" customHeight="1" x14ac:dyDescent="0.2">
      <c r="A778" s="69">
        <v>2015</v>
      </c>
      <c r="B778" s="70" t="s">
        <v>66</v>
      </c>
      <c r="C778" s="70" t="s">
        <v>17</v>
      </c>
      <c r="D778" s="70" t="s">
        <v>21</v>
      </c>
      <c r="E778" s="70" t="s">
        <v>69</v>
      </c>
      <c r="F778" s="70" t="s">
        <v>70</v>
      </c>
      <c r="G778" s="71">
        <v>915330464</v>
      </c>
      <c r="H778" s="70" t="s">
        <v>68</v>
      </c>
    </row>
    <row r="779" spans="1:8" ht="17.25" customHeight="1" x14ac:dyDescent="0.2">
      <c r="A779" s="69">
        <v>2015</v>
      </c>
      <c r="B779" s="70" t="s">
        <v>66</v>
      </c>
      <c r="C779" s="70" t="s">
        <v>17</v>
      </c>
      <c r="D779" s="70" t="s">
        <v>22</v>
      </c>
      <c r="E779" s="70" t="s">
        <v>67</v>
      </c>
      <c r="F779" s="70" t="s">
        <v>67</v>
      </c>
      <c r="G779" s="71">
        <v>1143441696</v>
      </c>
      <c r="H779" s="70" t="s">
        <v>68</v>
      </c>
    </row>
    <row r="780" spans="1:8" ht="17.25" customHeight="1" x14ac:dyDescent="0.2">
      <c r="A780" s="69">
        <v>2015</v>
      </c>
      <c r="B780" s="70" t="s">
        <v>66</v>
      </c>
      <c r="C780" s="70" t="s">
        <v>17</v>
      </c>
      <c r="D780" s="70" t="s">
        <v>22</v>
      </c>
      <c r="E780" s="70" t="s">
        <v>69</v>
      </c>
      <c r="F780" s="70" t="s">
        <v>71</v>
      </c>
      <c r="G780" s="71">
        <v>284132222</v>
      </c>
      <c r="H780" s="70" t="s">
        <v>68</v>
      </c>
    </row>
    <row r="781" spans="1:8" ht="17.25" customHeight="1" x14ac:dyDescent="0.2">
      <c r="A781" s="69">
        <v>2015</v>
      </c>
      <c r="B781" s="70" t="s">
        <v>66</v>
      </c>
      <c r="C781" s="70" t="s">
        <v>17</v>
      </c>
      <c r="D781" s="70" t="s">
        <v>22</v>
      </c>
      <c r="E781" s="70" t="s">
        <v>69</v>
      </c>
      <c r="F781" s="70" t="s">
        <v>70</v>
      </c>
      <c r="G781" s="71">
        <v>337318159</v>
      </c>
      <c r="H781" s="70" t="s">
        <v>68</v>
      </c>
    </row>
    <row r="782" spans="1:8" ht="17.25" customHeight="1" x14ac:dyDescent="0.2">
      <c r="A782" s="69">
        <v>2015</v>
      </c>
      <c r="B782" s="70" t="s">
        <v>66</v>
      </c>
      <c r="C782" s="70" t="s">
        <v>17</v>
      </c>
      <c r="D782" s="70" t="s">
        <v>23</v>
      </c>
      <c r="E782" s="70" t="s">
        <v>67</v>
      </c>
      <c r="F782" s="70" t="s">
        <v>67</v>
      </c>
      <c r="G782" s="71">
        <v>1823068664</v>
      </c>
      <c r="H782" s="70" t="s">
        <v>68</v>
      </c>
    </row>
    <row r="783" spans="1:8" ht="17.25" customHeight="1" x14ac:dyDescent="0.2">
      <c r="A783" s="69">
        <v>2015</v>
      </c>
      <c r="B783" s="70" t="s">
        <v>66</v>
      </c>
      <c r="C783" s="70" t="s">
        <v>17</v>
      </c>
      <c r="D783" s="70" t="s">
        <v>23</v>
      </c>
      <c r="E783" s="70" t="s">
        <v>69</v>
      </c>
      <c r="F783" s="70" t="s">
        <v>71</v>
      </c>
      <c r="G783" s="71">
        <v>356001340</v>
      </c>
      <c r="H783" s="70" t="s">
        <v>68</v>
      </c>
    </row>
    <row r="784" spans="1:8" ht="17.25" customHeight="1" x14ac:dyDescent="0.2">
      <c r="A784" s="69">
        <v>2015</v>
      </c>
      <c r="B784" s="70" t="s">
        <v>66</v>
      </c>
      <c r="C784" s="70" t="s">
        <v>17</v>
      </c>
      <c r="D784" s="70" t="s">
        <v>23</v>
      </c>
      <c r="E784" s="70" t="s">
        <v>69</v>
      </c>
      <c r="F784" s="70" t="s">
        <v>70</v>
      </c>
      <c r="G784" s="71">
        <v>488790784</v>
      </c>
      <c r="H784" s="70" t="s">
        <v>68</v>
      </c>
    </row>
    <row r="785" spans="1:8" ht="17.25" customHeight="1" x14ac:dyDescent="0.2">
      <c r="A785" s="69">
        <v>2015</v>
      </c>
      <c r="B785" s="70" t="s">
        <v>66</v>
      </c>
      <c r="C785" s="70" t="s">
        <v>17</v>
      </c>
      <c r="D785" s="70" t="s">
        <v>24</v>
      </c>
      <c r="E785" s="70" t="s">
        <v>67</v>
      </c>
      <c r="F785" s="70" t="s">
        <v>67</v>
      </c>
      <c r="G785" s="71">
        <v>17889576749</v>
      </c>
      <c r="H785" s="70" t="s">
        <v>68</v>
      </c>
    </row>
    <row r="786" spans="1:8" ht="17.25" customHeight="1" x14ac:dyDescent="0.2">
      <c r="A786" s="69">
        <v>2015</v>
      </c>
      <c r="B786" s="70" t="s">
        <v>66</v>
      </c>
      <c r="C786" s="70" t="s">
        <v>17</v>
      </c>
      <c r="D786" s="70" t="s">
        <v>24</v>
      </c>
      <c r="E786" s="70" t="s">
        <v>69</v>
      </c>
      <c r="F786" s="70" t="s">
        <v>71</v>
      </c>
      <c r="G786" s="71">
        <v>3695940484</v>
      </c>
      <c r="H786" s="70" t="s">
        <v>68</v>
      </c>
    </row>
    <row r="787" spans="1:8" ht="17.25" customHeight="1" x14ac:dyDescent="0.2">
      <c r="A787" s="69">
        <v>2015</v>
      </c>
      <c r="B787" s="70" t="s">
        <v>66</v>
      </c>
      <c r="C787" s="70" t="s">
        <v>17</v>
      </c>
      <c r="D787" s="70" t="s">
        <v>24</v>
      </c>
      <c r="E787" s="70" t="s">
        <v>69</v>
      </c>
      <c r="F787" s="70" t="s">
        <v>70</v>
      </c>
      <c r="G787" s="71">
        <v>3622015953</v>
      </c>
      <c r="H787" s="70" t="s">
        <v>68</v>
      </c>
    </row>
    <row r="788" spans="1:8" ht="17.25" customHeight="1" x14ac:dyDescent="0.2">
      <c r="A788" s="69">
        <v>2015</v>
      </c>
      <c r="B788" s="70" t="s">
        <v>66</v>
      </c>
      <c r="C788" s="70" t="s">
        <v>17</v>
      </c>
      <c r="D788" s="70" t="s">
        <v>25</v>
      </c>
      <c r="E788" s="70" t="s">
        <v>67</v>
      </c>
      <c r="F788" s="70" t="s">
        <v>67</v>
      </c>
      <c r="G788" s="71">
        <v>1799455755</v>
      </c>
      <c r="H788" s="70" t="s">
        <v>68</v>
      </c>
    </row>
    <row r="789" spans="1:8" ht="17.25" customHeight="1" x14ac:dyDescent="0.2">
      <c r="A789" s="69">
        <v>2015</v>
      </c>
      <c r="B789" s="70" t="s">
        <v>66</v>
      </c>
      <c r="C789" s="70" t="s">
        <v>17</v>
      </c>
      <c r="D789" s="70" t="s">
        <v>25</v>
      </c>
      <c r="E789" s="70" t="s">
        <v>69</v>
      </c>
      <c r="F789" s="70" t="s">
        <v>71</v>
      </c>
      <c r="G789" s="71">
        <v>256182500</v>
      </c>
      <c r="H789" s="70" t="s">
        <v>68</v>
      </c>
    </row>
    <row r="790" spans="1:8" ht="17.25" customHeight="1" x14ac:dyDescent="0.2">
      <c r="A790" s="69">
        <v>2015</v>
      </c>
      <c r="B790" s="70" t="s">
        <v>66</v>
      </c>
      <c r="C790" s="70" t="s">
        <v>17</v>
      </c>
      <c r="D790" s="70" t="s">
        <v>25</v>
      </c>
      <c r="E790" s="70" t="s">
        <v>69</v>
      </c>
      <c r="F790" s="70" t="s">
        <v>70</v>
      </c>
      <c r="G790" s="71">
        <v>215010658</v>
      </c>
      <c r="H790" s="70" t="s">
        <v>68</v>
      </c>
    </row>
    <row r="791" spans="1:8" ht="17.25" customHeight="1" x14ac:dyDescent="0.2">
      <c r="A791" s="69">
        <v>2015</v>
      </c>
      <c r="B791" s="70" t="s">
        <v>66</v>
      </c>
      <c r="C791" s="70" t="s">
        <v>27</v>
      </c>
      <c r="D791" s="70" t="s">
        <v>26</v>
      </c>
      <c r="E791" s="70" t="s">
        <v>67</v>
      </c>
      <c r="F791" s="70" t="s">
        <v>67</v>
      </c>
      <c r="G791" s="71">
        <v>29331964303</v>
      </c>
      <c r="H791" s="70" t="s">
        <v>68</v>
      </c>
    </row>
    <row r="792" spans="1:8" ht="17.25" customHeight="1" x14ac:dyDescent="0.2">
      <c r="A792" s="69">
        <v>2015</v>
      </c>
      <c r="B792" s="70" t="s">
        <v>66</v>
      </c>
      <c r="C792" s="70" t="s">
        <v>27</v>
      </c>
      <c r="D792" s="70" t="s">
        <v>26</v>
      </c>
      <c r="E792" s="70" t="s">
        <v>69</v>
      </c>
      <c r="F792" s="70" t="s">
        <v>71</v>
      </c>
      <c r="G792" s="71">
        <v>5710000516</v>
      </c>
      <c r="H792" s="70" t="s">
        <v>68</v>
      </c>
    </row>
    <row r="793" spans="1:8" ht="17.25" customHeight="1" x14ac:dyDescent="0.2">
      <c r="A793" s="69">
        <v>2015</v>
      </c>
      <c r="B793" s="70" t="s">
        <v>66</v>
      </c>
      <c r="C793" s="70" t="s">
        <v>27</v>
      </c>
      <c r="D793" s="70" t="s">
        <v>26</v>
      </c>
      <c r="E793" s="70" t="s">
        <v>69</v>
      </c>
      <c r="F793" s="70" t="s">
        <v>70</v>
      </c>
      <c r="G793" s="71">
        <v>13049285727</v>
      </c>
      <c r="H793" s="70" t="s">
        <v>68</v>
      </c>
    </row>
    <row r="794" spans="1:8" ht="17.25" customHeight="1" x14ac:dyDescent="0.2">
      <c r="A794" s="69">
        <v>2015</v>
      </c>
      <c r="B794" s="70" t="s">
        <v>66</v>
      </c>
      <c r="C794" s="70" t="s">
        <v>27</v>
      </c>
      <c r="D794" s="70" t="s">
        <v>28</v>
      </c>
      <c r="E794" s="70" t="s">
        <v>67</v>
      </c>
      <c r="F794" s="70" t="s">
        <v>67</v>
      </c>
      <c r="G794" s="71">
        <v>41759717220</v>
      </c>
      <c r="H794" s="70" t="s">
        <v>68</v>
      </c>
    </row>
    <row r="795" spans="1:8" ht="17.25" customHeight="1" x14ac:dyDescent="0.2">
      <c r="A795" s="69">
        <v>2015</v>
      </c>
      <c r="B795" s="70" t="s">
        <v>66</v>
      </c>
      <c r="C795" s="70" t="s">
        <v>27</v>
      </c>
      <c r="D795" s="70" t="s">
        <v>28</v>
      </c>
      <c r="E795" s="70" t="s">
        <v>69</v>
      </c>
      <c r="F795" s="70" t="s">
        <v>71</v>
      </c>
      <c r="G795" s="71">
        <v>10750438197</v>
      </c>
      <c r="H795" s="70" t="s">
        <v>68</v>
      </c>
    </row>
    <row r="796" spans="1:8" ht="17.25" customHeight="1" x14ac:dyDescent="0.2">
      <c r="A796" s="69">
        <v>2015</v>
      </c>
      <c r="B796" s="70" t="s">
        <v>66</v>
      </c>
      <c r="C796" s="70" t="s">
        <v>27</v>
      </c>
      <c r="D796" s="70" t="s">
        <v>28</v>
      </c>
      <c r="E796" s="70" t="s">
        <v>69</v>
      </c>
      <c r="F796" s="70" t="s">
        <v>70</v>
      </c>
      <c r="G796" s="71">
        <v>15439356896</v>
      </c>
      <c r="H796" s="70" t="s">
        <v>68</v>
      </c>
    </row>
    <row r="797" spans="1:8" ht="17.25" customHeight="1" x14ac:dyDescent="0.2">
      <c r="A797" s="69">
        <v>2015</v>
      </c>
      <c r="B797" s="70" t="s">
        <v>66</v>
      </c>
      <c r="C797" s="70" t="s">
        <v>27</v>
      </c>
      <c r="D797" s="70" t="s">
        <v>29</v>
      </c>
      <c r="E797" s="70" t="s">
        <v>67</v>
      </c>
      <c r="F797" s="70" t="s">
        <v>67</v>
      </c>
      <c r="G797" s="71">
        <v>16012875352</v>
      </c>
      <c r="H797" s="70" t="s">
        <v>68</v>
      </c>
    </row>
    <row r="798" spans="1:8" ht="17.25" customHeight="1" x14ac:dyDescent="0.2">
      <c r="A798" s="69">
        <v>2015</v>
      </c>
      <c r="B798" s="70" t="s">
        <v>66</v>
      </c>
      <c r="C798" s="70" t="s">
        <v>27</v>
      </c>
      <c r="D798" s="70" t="s">
        <v>29</v>
      </c>
      <c r="E798" s="70" t="s">
        <v>69</v>
      </c>
      <c r="F798" s="70" t="s">
        <v>71</v>
      </c>
      <c r="G798" s="71">
        <v>4579181440</v>
      </c>
      <c r="H798" s="70" t="s">
        <v>68</v>
      </c>
    </row>
    <row r="799" spans="1:8" ht="17.25" customHeight="1" x14ac:dyDescent="0.2">
      <c r="A799" s="69">
        <v>2015</v>
      </c>
      <c r="B799" s="70" t="s">
        <v>66</v>
      </c>
      <c r="C799" s="70" t="s">
        <v>27</v>
      </c>
      <c r="D799" s="70" t="s">
        <v>29</v>
      </c>
      <c r="E799" s="70" t="s">
        <v>69</v>
      </c>
      <c r="F799" s="70" t="s">
        <v>70</v>
      </c>
      <c r="G799" s="71">
        <v>3676898678</v>
      </c>
      <c r="H799" s="70" t="s">
        <v>68</v>
      </c>
    </row>
    <row r="800" spans="1:8" ht="17.25" customHeight="1" x14ac:dyDescent="0.2">
      <c r="A800" s="69">
        <v>2015</v>
      </c>
      <c r="B800" s="70" t="s">
        <v>66</v>
      </c>
      <c r="C800" s="70" t="s">
        <v>27</v>
      </c>
      <c r="D800" s="70" t="s">
        <v>30</v>
      </c>
      <c r="E800" s="70" t="s">
        <v>67</v>
      </c>
      <c r="F800" s="70" t="s">
        <v>67</v>
      </c>
      <c r="G800" s="71">
        <v>33152605367</v>
      </c>
      <c r="H800" s="70" t="s">
        <v>68</v>
      </c>
    </row>
    <row r="801" spans="1:8" ht="17.25" customHeight="1" x14ac:dyDescent="0.2">
      <c r="A801" s="69">
        <v>2015</v>
      </c>
      <c r="B801" s="70" t="s">
        <v>66</v>
      </c>
      <c r="C801" s="70" t="s">
        <v>27</v>
      </c>
      <c r="D801" s="70" t="s">
        <v>30</v>
      </c>
      <c r="E801" s="70" t="s">
        <v>69</v>
      </c>
      <c r="F801" s="70" t="s">
        <v>71</v>
      </c>
      <c r="G801" s="71">
        <v>7674948328</v>
      </c>
      <c r="H801" s="70" t="s">
        <v>68</v>
      </c>
    </row>
    <row r="802" spans="1:8" ht="17.25" customHeight="1" x14ac:dyDescent="0.2">
      <c r="A802" s="69">
        <v>2015</v>
      </c>
      <c r="B802" s="70" t="s">
        <v>66</v>
      </c>
      <c r="C802" s="70" t="s">
        <v>27</v>
      </c>
      <c r="D802" s="70" t="s">
        <v>30</v>
      </c>
      <c r="E802" s="70" t="s">
        <v>69</v>
      </c>
      <c r="F802" s="70" t="s">
        <v>70</v>
      </c>
      <c r="G802" s="71">
        <v>13746612077</v>
      </c>
      <c r="H802" s="70" t="s">
        <v>68</v>
      </c>
    </row>
    <row r="803" spans="1:8" ht="17.25" customHeight="1" x14ac:dyDescent="0.2">
      <c r="A803" s="69">
        <v>2015</v>
      </c>
      <c r="B803" s="70" t="s">
        <v>66</v>
      </c>
      <c r="C803" s="70" t="s">
        <v>27</v>
      </c>
      <c r="D803" s="70" t="s">
        <v>31</v>
      </c>
      <c r="E803" s="70" t="s">
        <v>67</v>
      </c>
      <c r="F803" s="70" t="s">
        <v>67</v>
      </c>
      <c r="G803" s="71">
        <v>7414884941</v>
      </c>
      <c r="H803" s="70" t="s">
        <v>68</v>
      </c>
    </row>
    <row r="804" spans="1:8" ht="17.25" customHeight="1" x14ac:dyDescent="0.2">
      <c r="A804" s="69">
        <v>2015</v>
      </c>
      <c r="B804" s="70" t="s">
        <v>66</v>
      </c>
      <c r="C804" s="70" t="s">
        <v>27</v>
      </c>
      <c r="D804" s="70" t="s">
        <v>31</v>
      </c>
      <c r="E804" s="70" t="s">
        <v>69</v>
      </c>
      <c r="F804" s="70" t="s">
        <v>71</v>
      </c>
      <c r="G804" s="71">
        <v>2997091766</v>
      </c>
      <c r="H804" s="70" t="s">
        <v>68</v>
      </c>
    </row>
    <row r="805" spans="1:8" ht="17.25" customHeight="1" x14ac:dyDescent="0.2">
      <c r="A805" s="69">
        <v>2015</v>
      </c>
      <c r="B805" s="70" t="s">
        <v>66</v>
      </c>
      <c r="C805" s="70" t="s">
        <v>27</v>
      </c>
      <c r="D805" s="70" t="s">
        <v>31</v>
      </c>
      <c r="E805" s="70" t="s">
        <v>69</v>
      </c>
      <c r="F805" s="70" t="s">
        <v>70</v>
      </c>
      <c r="G805" s="71">
        <v>6764646473</v>
      </c>
      <c r="H805" s="70" t="s">
        <v>68</v>
      </c>
    </row>
    <row r="806" spans="1:8" ht="17.25" customHeight="1" x14ac:dyDescent="0.2">
      <c r="A806" s="69">
        <v>2015</v>
      </c>
      <c r="B806" s="70" t="s">
        <v>66</v>
      </c>
      <c r="C806" s="70" t="s">
        <v>27</v>
      </c>
      <c r="D806" s="70" t="s">
        <v>32</v>
      </c>
      <c r="E806" s="70" t="s">
        <v>67</v>
      </c>
      <c r="F806" s="70" t="s">
        <v>67</v>
      </c>
      <c r="G806" s="71">
        <v>14493224127</v>
      </c>
      <c r="H806" s="70" t="s">
        <v>68</v>
      </c>
    </row>
    <row r="807" spans="1:8" ht="17.25" customHeight="1" x14ac:dyDescent="0.2">
      <c r="A807" s="69">
        <v>2015</v>
      </c>
      <c r="B807" s="70" t="s">
        <v>66</v>
      </c>
      <c r="C807" s="70" t="s">
        <v>27</v>
      </c>
      <c r="D807" s="70" t="s">
        <v>32</v>
      </c>
      <c r="E807" s="70" t="s">
        <v>69</v>
      </c>
      <c r="F807" s="70" t="s">
        <v>71</v>
      </c>
      <c r="G807" s="71">
        <v>5402649870</v>
      </c>
      <c r="H807" s="70" t="s">
        <v>68</v>
      </c>
    </row>
    <row r="808" spans="1:8" ht="17.25" customHeight="1" x14ac:dyDescent="0.2">
      <c r="A808" s="69">
        <v>2015</v>
      </c>
      <c r="B808" s="70" t="s">
        <v>66</v>
      </c>
      <c r="C808" s="70" t="s">
        <v>27</v>
      </c>
      <c r="D808" s="70" t="s">
        <v>32</v>
      </c>
      <c r="E808" s="70" t="s">
        <v>69</v>
      </c>
      <c r="F808" s="70" t="s">
        <v>70</v>
      </c>
      <c r="G808" s="71">
        <v>4971584273</v>
      </c>
      <c r="H808" s="70" t="s">
        <v>68</v>
      </c>
    </row>
    <row r="809" spans="1:8" ht="17.25" customHeight="1" x14ac:dyDescent="0.2">
      <c r="A809" s="69">
        <v>2015</v>
      </c>
      <c r="B809" s="70" t="s">
        <v>66</v>
      </c>
      <c r="C809" s="70" t="s">
        <v>27</v>
      </c>
      <c r="D809" s="70" t="s">
        <v>33</v>
      </c>
      <c r="E809" s="70" t="s">
        <v>67</v>
      </c>
      <c r="F809" s="70" t="s">
        <v>67</v>
      </c>
      <c r="G809" s="71">
        <v>29698434280</v>
      </c>
      <c r="H809" s="70" t="s">
        <v>68</v>
      </c>
    </row>
    <row r="810" spans="1:8" ht="17.25" customHeight="1" x14ac:dyDescent="0.2">
      <c r="A810" s="69">
        <v>2015</v>
      </c>
      <c r="B810" s="70" t="s">
        <v>66</v>
      </c>
      <c r="C810" s="70" t="s">
        <v>27</v>
      </c>
      <c r="D810" s="70" t="s">
        <v>33</v>
      </c>
      <c r="E810" s="70" t="s">
        <v>69</v>
      </c>
      <c r="F810" s="70" t="s">
        <v>71</v>
      </c>
      <c r="G810" s="71">
        <v>11108885307</v>
      </c>
      <c r="H810" s="70" t="s">
        <v>68</v>
      </c>
    </row>
    <row r="811" spans="1:8" ht="17.25" customHeight="1" x14ac:dyDescent="0.2">
      <c r="A811" s="69">
        <v>2015</v>
      </c>
      <c r="B811" s="70" t="s">
        <v>66</v>
      </c>
      <c r="C811" s="70" t="s">
        <v>27</v>
      </c>
      <c r="D811" s="70" t="s">
        <v>33</v>
      </c>
      <c r="E811" s="70" t="s">
        <v>69</v>
      </c>
      <c r="F811" s="70" t="s">
        <v>70</v>
      </c>
      <c r="G811" s="71">
        <v>27219441815</v>
      </c>
      <c r="H811" s="70" t="s">
        <v>68</v>
      </c>
    </row>
    <row r="812" spans="1:8" ht="17.25" customHeight="1" x14ac:dyDescent="0.2">
      <c r="A812" s="69">
        <v>2015</v>
      </c>
      <c r="B812" s="70" t="s">
        <v>66</v>
      </c>
      <c r="C812" s="70" t="s">
        <v>35</v>
      </c>
      <c r="D812" s="70" t="s">
        <v>34</v>
      </c>
      <c r="E812" s="70" t="s">
        <v>67</v>
      </c>
      <c r="F812" s="70" t="s">
        <v>67</v>
      </c>
      <c r="G812" s="71">
        <v>4355421814</v>
      </c>
      <c r="H812" s="70" t="s">
        <v>68</v>
      </c>
    </row>
    <row r="813" spans="1:8" ht="17.25" customHeight="1" x14ac:dyDescent="0.2">
      <c r="A813" s="69">
        <v>2015</v>
      </c>
      <c r="B813" s="70" t="s">
        <v>66</v>
      </c>
      <c r="C813" s="70" t="s">
        <v>35</v>
      </c>
      <c r="D813" s="70" t="s">
        <v>34</v>
      </c>
      <c r="E813" s="70" t="s">
        <v>69</v>
      </c>
      <c r="F813" s="70" t="s">
        <v>71</v>
      </c>
      <c r="G813" s="71">
        <v>665177502</v>
      </c>
      <c r="H813" s="70" t="s">
        <v>68</v>
      </c>
    </row>
    <row r="814" spans="1:8" ht="17.25" customHeight="1" x14ac:dyDescent="0.2">
      <c r="A814" s="69">
        <v>2015</v>
      </c>
      <c r="B814" s="70" t="s">
        <v>66</v>
      </c>
      <c r="C814" s="70" t="s">
        <v>35</v>
      </c>
      <c r="D814" s="70" t="s">
        <v>34</v>
      </c>
      <c r="E814" s="70" t="s">
        <v>69</v>
      </c>
      <c r="F814" s="70" t="s">
        <v>70</v>
      </c>
      <c r="G814" s="71">
        <v>514875948</v>
      </c>
      <c r="H814" s="70" t="s">
        <v>68</v>
      </c>
    </row>
    <row r="815" spans="1:8" ht="17.25" customHeight="1" x14ac:dyDescent="0.2">
      <c r="A815" s="69">
        <v>2015</v>
      </c>
      <c r="B815" s="70" t="s">
        <v>66</v>
      </c>
      <c r="C815" s="70" t="s">
        <v>35</v>
      </c>
      <c r="D815" s="70" t="s">
        <v>36</v>
      </c>
      <c r="E815" s="70" t="s">
        <v>67</v>
      </c>
      <c r="F815" s="70" t="s">
        <v>67</v>
      </c>
      <c r="G815" s="71">
        <v>12869000706</v>
      </c>
      <c r="H815" s="70" t="s">
        <v>68</v>
      </c>
    </row>
    <row r="816" spans="1:8" ht="17.25" customHeight="1" x14ac:dyDescent="0.2">
      <c r="A816" s="69">
        <v>2015</v>
      </c>
      <c r="B816" s="70" t="s">
        <v>66</v>
      </c>
      <c r="C816" s="70" t="s">
        <v>35</v>
      </c>
      <c r="D816" s="70" t="s">
        <v>36</v>
      </c>
      <c r="E816" s="70" t="s">
        <v>69</v>
      </c>
      <c r="F816" s="70" t="s">
        <v>71</v>
      </c>
      <c r="G816" s="71">
        <v>3786042694</v>
      </c>
      <c r="H816" s="70" t="s">
        <v>68</v>
      </c>
    </row>
    <row r="817" spans="1:8" ht="17.25" customHeight="1" x14ac:dyDescent="0.2">
      <c r="A817" s="69">
        <v>2015</v>
      </c>
      <c r="B817" s="70" t="s">
        <v>66</v>
      </c>
      <c r="C817" s="70" t="s">
        <v>35</v>
      </c>
      <c r="D817" s="70" t="s">
        <v>36</v>
      </c>
      <c r="E817" s="70" t="s">
        <v>69</v>
      </c>
      <c r="F817" s="70" t="s">
        <v>70</v>
      </c>
      <c r="G817" s="71">
        <v>1876571917</v>
      </c>
      <c r="H817" s="70" t="s">
        <v>68</v>
      </c>
    </row>
    <row r="818" spans="1:8" ht="17.25" customHeight="1" x14ac:dyDescent="0.2">
      <c r="A818" s="69">
        <v>2015</v>
      </c>
      <c r="B818" s="70" t="s">
        <v>66</v>
      </c>
      <c r="C818" s="70" t="s">
        <v>35</v>
      </c>
      <c r="D818" s="70" t="s">
        <v>37</v>
      </c>
      <c r="E818" s="70" t="s">
        <v>67</v>
      </c>
      <c r="F818" s="70" t="s">
        <v>67</v>
      </c>
      <c r="G818" s="71">
        <v>3102313993</v>
      </c>
      <c r="H818" s="70" t="s">
        <v>68</v>
      </c>
    </row>
    <row r="819" spans="1:8" ht="17.25" customHeight="1" x14ac:dyDescent="0.2">
      <c r="A819" s="69">
        <v>2015</v>
      </c>
      <c r="B819" s="70" t="s">
        <v>66</v>
      </c>
      <c r="C819" s="70" t="s">
        <v>35</v>
      </c>
      <c r="D819" s="70" t="s">
        <v>37</v>
      </c>
      <c r="E819" s="70" t="s">
        <v>69</v>
      </c>
      <c r="F819" s="70" t="s">
        <v>71</v>
      </c>
      <c r="G819" s="71">
        <v>671528495</v>
      </c>
      <c r="H819" s="70" t="s">
        <v>68</v>
      </c>
    </row>
    <row r="820" spans="1:8" ht="17.25" customHeight="1" x14ac:dyDescent="0.2">
      <c r="A820" s="69">
        <v>2015</v>
      </c>
      <c r="B820" s="70" t="s">
        <v>66</v>
      </c>
      <c r="C820" s="70" t="s">
        <v>35</v>
      </c>
      <c r="D820" s="70" t="s">
        <v>37</v>
      </c>
      <c r="E820" s="70" t="s">
        <v>69</v>
      </c>
      <c r="F820" s="70" t="s">
        <v>70</v>
      </c>
      <c r="G820" s="71">
        <v>724171085</v>
      </c>
      <c r="H820" s="70" t="s">
        <v>68</v>
      </c>
    </row>
    <row r="821" spans="1:8" ht="17.25" customHeight="1" x14ac:dyDescent="0.2">
      <c r="A821" s="69">
        <v>2015</v>
      </c>
      <c r="B821" s="70" t="s">
        <v>66</v>
      </c>
      <c r="C821" s="70" t="s">
        <v>35</v>
      </c>
      <c r="D821" s="70" t="s">
        <v>38</v>
      </c>
      <c r="E821" s="70" t="s">
        <v>67</v>
      </c>
      <c r="F821" s="70" t="s">
        <v>67</v>
      </c>
      <c r="G821" s="71">
        <v>5617304251</v>
      </c>
      <c r="H821" s="70" t="s">
        <v>68</v>
      </c>
    </row>
    <row r="822" spans="1:8" ht="17.25" customHeight="1" x14ac:dyDescent="0.2">
      <c r="A822" s="69">
        <v>2015</v>
      </c>
      <c r="B822" s="70" t="s">
        <v>66</v>
      </c>
      <c r="C822" s="70" t="s">
        <v>35</v>
      </c>
      <c r="D822" s="70" t="s">
        <v>38</v>
      </c>
      <c r="E822" s="70" t="s">
        <v>69</v>
      </c>
      <c r="F822" s="70" t="s">
        <v>71</v>
      </c>
      <c r="G822" s="71">
        <v>1117175591</v>
      </c>
      <c r="H822" s="70" t="s">
        <v>68</v>
      </c>
    </row>
    <row r="823" spans="1:8" ht="17.25" customHeight="1" x14ac:dyDescent="0.2">
      <c r="A823" s="69">
        <v>2015</v>
      </c>
      <c r="B823" s="70" t="s">
        <v>66</v>
      </c>
      <c r="C823" s="70" t="s">
        <v>35</v>
      </c>
      <c r="D823" s="70" t="s">
        <v>38</v>
      </c>
      <c r="E823" s="70" t="s">
        <v>69</v>
      </c>
      <c r="F823" s="70" t="s">
        <v>70</v>
      </c>
      <c r="G823" s="71">
        <v>1057349620</v>
      </c>
      <c r="H823" s="70" t="s">
        <v>68</v>
      </c>
    </row>
    <row r="824" spans="1:8" ht="17.25" customHeight="1" x14ac:dyDescent="0.2">
      <c r="A824" s="69">
        <v>2015</v>
      </c>
      <c r="B824" s="70" t="s">
        <v>66</v>
      </c>
      <c r="C824" s="70" t="s">
        <v>35</v>
      </c>
      <c r="D824" s="70" t="s">
        <v>39</v>
      </c>
      <c r="E824" s="70" t="s">
        <v>67</v>
      </c>
      <c r="F824" s="70" t="s">
        <v>67</v>
      </c>
      <c r="G824" s="71">
        <v>16857300699</v>
      </c>
      <c r="H824" s="70" t="s">
        <v>68</v>
      </c>
    </row>
    <row r="825" spans="1:8" ht="17.25" customHeight="1" x14ac:dyDescent="0.2">
      <c r="A825" s="69">
        <v>2015</v>
      </c>
      <c r="B825" s="70" t="s">
        <v>66</v>
      </c>
      <c r="C825" s="70" t="s">
        <v>35</v>
      </c>
      <c r="D825" s="70" t="s">
        <v>39</v>
      </c>
      <c r="E825" s="70" t="s">
        <v>69</v>
      </c>
      <c r="F825" s="70" t="s">
        <v>71</v>
      </c>
      <c r="G825" s="71">
        <v>4031204310</v>
      </c>
      <c r="H825" s="70" t="s">
        <v>68</v>
      </c>
    </row>
    <row r="826" spans="1:8" ht="17.25" customHeight="1" x14ac:dyDescent="0.2">
      <c r="A826" s="69">
        <v>2015</v>
      </c>
      <c r="B826" s="70" t="s">
        <v>66</v>
      </c>
      <c r="C826" s="70" t="s">
        <v>35</v>
      </c>
      <c r="D826" s="70" t="s">
        <v>39</v>
      </c>
      <c r="E826" s="70" t="s">
        <v>69</v>
      </c>
      <c r="F826" s="70" t="s">
        <v>70</v>
      </c>
      <c r="G826" s="71">
        <v>2974194221</v>
      </c>
      <c r="H826" s="70" t="s">
        <v>68</v>
      </c>
    </row>
    <row r="827" spans="1:8" ht="17.25" customHeight="1" x14ac:dyDescent="0.2">
      <c r="A827" s="69">
        <v>2015</v>
      </c>
      <c r="B827" s="70" t="s">
        <v>66</v>
      </c>
      <c r="C827" s="70" t="s">
        <v>41</v>
      </c>
      <c r="D827" s="70" t="s">
        <v>40</v>
      </c>
      <c r="E827" s="70" t="s">
        <v>67</v>
      </c>
      <c r="F827" s="70" t="s">
        <v>67</v>
      </c>
      <c r="G827" s="71">
        <v>5676706359</v>
      </c>
      <c r="H827" s="70" t="s">
        <v>68</v>
      </c>
    </row>
    <row r="828" spans="1:8" ht="17.25" customHeight="1" x14ac:dyDescent="0.2">
      <c r="A828" s="69">
        <v>2015</v>
      </c>
      <c r="B828" s="70" t="s">
        <v>66</v>
      </c>
      <c r="C828" s="70" t="s">
        <v>41</v>
      </c>
      <c r="D828" s="70" t="s">
        <v>40</v>
      </c>
      <c r="E828" s="70" t="s">
        <v>69</v>
      </c>
      <c r="F828" s="70" t="s">
        <v>71</v>
      </c>
      <c r="G828" s="71">
        <v>430892561</v>
      </c>
      <c r="H828" s="70" t="s">
        <v>68</v>
      </c>
    </row>
    <row r="829" spans="1:8" ht="17.25" customHeight="1" x14ac:dyDescent="0.2">
      <c r="A829" s="69">
        <v>2015</v>
      </c>
      <c r="B829" s="70" t="s">
        <v>66</v>
      </c>
      <c r="C829" s="70" t="s">
        <v>41</v>
      </c>
      <c r="D829" s="70" t="s">
        <v>40</v>
      </c>
      <c r="E829" s="70" t="s">
        <v>69</v>
      </c>
      <c r="F829" s="70" t="s">
        <v>70</v>
      </c>
      <c r="G829" s="71">
        <v>323733575</v>
      </c>
      <c r="H829" s="70" t="s">
        <v>68</v>
      </c>
    </row>
    <row r="830" spans="1:8" ht="17.25" customHeight="1" x14ac:dyDescent="0.2">
      <c r="A830" s="69">
        <v>2015</v>
      </c>
      <c r="B830" s="70" t="s">
        <v>66</v>
      </c>
      <c r="C830" s="70" t="s">
        <v>41</v>
      </c>
      <c r="D830" s="70" t="s">
        <v>42</v>
      </c>
      <c r="E830" s="70" t="s">
        <v>67</v>
      </c>
      <c r="F830" s="70" t="s">
        <v>67</v>
      </c>
      <c r="G830" s="71">
        <v>7239648807</v>
      </c>
      <c r="H830" s="70" t="s">
        <v>68</v>
      </c>
    </row>
    <row r="831" spans="1:8" ht="17.25" customHeight="1" x14ac:dyDescent="0.2">
      <c r="A831" s="69">
        <v>2015</v>
      </c>
      <c r="B831" s="70" t="s">
        <v>66</v>
      </c>
      <c r="C831" s="70" t="s">
        <v>41</v>
      </c>
      <c r="D831" s="70" t="s">
        <v>42</v>
      </c>
      <c r="E831" s="70" t="s">
        <v>69</v>
      </c>
      <c r="F831" s="70" t="s">
        <v>71</v>
      </c>
      <c r="G831" s="71">
        <v>754954498</v>
      </c>
      <c r="H831" s="70" t="s">
        <v>68</v>
      </c>
    </row>
    <row r="832" spans="1:8" ht="17.25" customHeight="1" x14ac:dyDescent="0.2">
      <c r="A832" s="69">
        <v>2015</v>
      </c>
      <c r="B832" s="70" t="s">
        <v>66</v>
      </c>
      <c r="C832" s="70" t="s">
        <v>41</v>
      </c>
      <c r="D832" s="70" t="s">
        <v>42</v>
      </c>
      <c r="E832" s="70" t="s">
        <v>69</v>
      </c>
      <c r="F832" s="70" t="s">
        <v>70</v>
      </c>
      <c r="G832" s="71">
        <v>1421613926</v>
      </c>
      <c r="H832" s="70" t="s">
        <v>68</v>
      </c>
    </row>
    <row r="833" spans="1:8" ht="17.25" customHeight="1" x14ac:dyDescent="0.2">
      <c r="A833" s="69">
        <v>2015</v>
      </c>
      <c r="B833" s="70" t="s">
        <v>66</v>
      </c>
      <c r="C833" s="70" t="s">
        <v>41</v>
      </c>
      <c r="D833" s="70" t="s">
        <v>43</v>
      </c>
      <c r="E833" s="70" t="s">
        <v>67</v>
      </c>
      <c r="F833" s="70" t="s">
        <v>67</v>
      </c>
      <c r="G833" s="71">
        <v>6712491526</v>
      </c>
      <c r="H833" s="70" t="s">
        <v>68</v>
      </c>
    </row>
    <row r="834" spans="1:8" ht="17.25" customHeight="1" x14ac:dyDescent="0.2">
      <c r="A834" s="69">
        <v>2015</v>
      </c>
      <c r="B834" s="70" t="s">
        <v>66</v>
      </c>
      <c r="C834" s="70" t="s">
        <v>41</v>
      </c>
      <c r="D834" s="70" t="s">
        <v>43</v>
      </c>
      <c r="E834" s="70" t="s">
        <v>69</v>
      </c>
      <c r="F834" s="70" t="s">
        <v>71</v>
      </c>
      <c r="G834" s="71">
        <v>1002977964</v>
      </c>
      <c r="H834" s="70" t="s">
        <v>68</v>
      </c>
    </row>
    <row r="835" spans="1:8" ht="17.25" customHeight="1" x14ac:dyDescent="0.2">
      <c r="A835" s="69">
        <v>2015</v>
      </c>
      <c r="B835" s="70" t="s">
        <v>66</v>
      </c>
      <c r="C835" s="70" t="s">
        <v>41</v>
      </c>
      <c r="D835" s="70" t="s">
        <v>43</v>
      </c>
      <c r="E835" s="70" t="s">
        <v>69</v>
      </c>
      <c r="F835" s="70" t="s">
        <v>70</v>
      </c>
      <c r="G835" s="71">
        <v>902838322</v>
      </c>
      <c r="H835" s="70" t="s">
        <v>68</v>
      </c>
    </row>
    <row r="836" spans="1:8" ht="17.25" customHeight="1" x14ac:dyDescent="0.2">
      <c r="A836" s="69">
        <v>2015</v>
      </c>
      <c r="B836" s="70" t="s">
        <v>66</v>
      </c>
      <c r="C836" s="70" t="s">
        <v>41</v>
      </c>
      <c r="D836" s="70" t="s">
        <v>44</v>
      </c>
      <c r="E836" s="70" t="s">
        <v>67</v>
      </c>
      <c r="F836" s="70" t="s">
        <v>67</v>
      </c>
      <c r="G836" s="71">
        <v>8978612678</v>
      </c>
      <c r="H836" s="70" t="s">
        <v>68</v>
      </c>
    </row>
    <row r="837" spans="1:8" ht="17.25" customHeight="1" x14ac:dyDescent="0.2">
      <c r="A837" s="69">
        <v>2015</v>
      </c>
      <c r="B837" s="70" t="s">
        <v>66</v>
      </c>
      <c r="C837" s="70" t="s">
        <v>41</v>
      </c>
      <c r="D837" s="70" t="s">
        <v>44</v>
      </c>
      <c r="E837" s="70" t="s">
        <v>69</v>
      </c>
      <c r="F837" s="70" t="s">
        <v>71</v>
      </c>
      <c r="G837" s="71">
        <v>1424331719</v>
      </c>
      <c r="H837" s="70" t="s">
        <v>68</v>
      </c>
    </row>
    <row r="838" spans="1:8" ht="17.25" customHeight="1" x14ac:dyDescent="0.2">
      <c r="A838" s="69">
        <v>2015</v>
      </c>
      <c r="B838" s="70" t="s">
        <v>66</v>
      </c>
      <c r="C838" s="70" t="s">
        <v>41</v>
      </c>
      <c r="D838" s="70" t="s">
        <v>44</v>
      </c>
      <c r="E838" s="70" t="s">
        <v>69</v>
      </c>
      <c r="F838" s="70" t="s">
        <v>70</v>
      </c>
      <c r="G838" s="71">
        <v>1310712003</v>
      </c>
      <c r="H838" s="70" t="s">
        <v>68</v>
      </c>
    </row>
    <row r="839" spans="1:8" ht="17.25" customHeight="1" x14ac:dyDescent="0.2">
      <c r="A839" s="69">
        <v>2015</v>
      </c>
      <c r="B839" s="70" t="s">
        <v>66</v>
      </c>
      <c r="C839" s="70" t="s">
        <v>41</v>
      </c>
      <c r="D839" s="70" t="s">
        <v>45</v>
      </c>
      <c r="E839" s="70" t="s">
        <v>67</v>
      </c>
      <c r="F839" s="70" t="s">
        <v>67</v>
      </c>
      <c r="G839" s="71">
        <v>24618139354</v>
      </c>
      <c r="H839" s="70" t="s">
        <v>68</v>
      </c>
    </row>
    <row r="840" spans="1:8" ht="17.25" customHeight="1" x14ac:dyDescent="0.2">
      <c r="A840" s="69">
        <v>2015</v>
      </c>
      <c r="B840" s="70" t="s">
        <v>66</v>
      </c>
      <c r="C840" s="70" t="s">
        <v>41</v>
      </c>
      <c r="D840" s="70" t="s">
        <v>45</v>
      </c>
      <c r="E840" s="70" t="s">
        <v>69</v>
      </c>
      <c r="F840" s="70" t="s">
        <v>71</v>
      </c>
      <c r="G840" s="71">
        <v>3797320382</v>
      </c>
      <c r="H840" s="70" t="s">
        <v>68</v>
      </c>
    </row>
    <row r="841" spans="1:8" ht="17.25" customHeight="1" x14ac:dyDescent="0.2">
      <c r="A841" s="69">
        <v>2015</v>
      </c>
      <c r="B841" s="70" t="s">
        <v>66</v>
      </c>
      <c r="C841" s="70" t="s">
        <v>41</v>
      </c>
      <c r="D841" s="70" t="s">
        <v>45</v>
      </c>
      <c r="E841" s="70" t="s">
        <v>69</v>
      </c>
      <c r="F841" s="70" t="s">
        <v>70</v>
      </c>
      <c r="G841" s="71">
        <v>6612901279</v>
      </c>
      <c r="H841" s="70" t="s">
        <v>68</v>
      </c>
    </row>
    <row r="842" spans="1:8" ht="17.25" customHeight="1" x14ac:dyDescent="0.2">
      <c r="A842" s="69">
        <v>2015</v>
      </c>
      <c r="B842" s="70" t="s">
        <v>66</v>
      </c>
      <c r="C842" s="70" t="s">
        <v>47</v>
      </c>
      <c r="D842" s="70" t="s">
        <v>46</v>
      </c>
      <c r="E842" s="70" t="s">
        <v>67</v>
      </c>
      <c r="F842" s="70" t="s">
        <v>67</v>
      </c>
      <c r="G842" s="71">
        <v>18888699353</v>
      </c>
      <c r="H842" s="70" t="s">
        <v>68</v>
      </c>
    </row>
    <row r="843" spans="1:8" ht="17.25" customHeight="1" x14ac:dyDescent="0.2">
      <c r="A843" s="69">
        <v>2015</v>
      </c>
      <c r="B843" s="70" t="s">
        <v>66</v>
      </c>
      <c r="C843" s="70" t="s">
        <v>47</v>
      </c>
      <c r="D843" s="70" t="s">
        <v>46</v>
      </c>
      <c r="E843" s="70" t="s">
        <v>69</v>
      </c>
      <c r="F843" s="70" t="s">
        <v>71</v>
      </c>
      <c r="G843" s="71">
        <v>3884471014</v>
      </c>
      <c r="H843" s="70" t="s">
        <v>68</v>
      </c>
    </row>
    <row r="844" spans="1:8" ht="17.25" customHeight="1" x14ac:dyDescent="0.2">
      <c r="A844" s="69">
        <v>2015</v>
      </c>
      <c r="B844" s="70" t="s">
        <v>66</v>
      </c>
      <c r="C844" s="70" t="s">
        <v>47</v>
      </c>
      <c r="D844" s="70" t="s">
        <v>46</v>
      </c>
      <c r="E844" s="70" t="s">
        <v>69</v>
      </c>
      <c r="F844" s="70" t="s">
        <v>70</v>
      </c>
      <c r="G844" s="71">
        <v>7769616240</v>
      </c>
      <c r="H844" s="70" t="s">
        <v>68</v>
      </c>
    </row>
    <row r="845" spans="1:8" ht="17.25" customHeight="1" x14ac:dyDescent="0.2">
      <c r="A845" s="69">
        <v>2015</v>
      </c>
      <c r="B845" s="70" t="s">
        <v>66</v>
      </c>
      <c r="C845" s="70" t="s">
        <v>47</v>
      </c>
      <c r="D845" s="70" t="s">
        <v>48</v>
      </c>
      <c r="E845" s="70" t="s">
        <v>72</v>
      </c>
      <c r="F845" s="70" t="s">
        <v>73</v>
      </c>
      <c r="G845" s="71">
        <v>92528058299</v>
      </c>
      <c r="H845" s="70" t="s">
        <v>68</v>
      </c>
    </row>
    <row r="846" spans="1:8" ht="17.25" customHeight="1" x14ac:dyDescent="0.2">
      <c r="A846" s="69">
        <v>2015</v>
      </c>
      <c r="B846" s="70" t="s">
        <v>66</v>
      </c>
      <c r="C846" s="70" t="s">
        <v>47</v>
      </c>
      <c r="D846" s="70" t="s">
        <v>48</v>
      </c>
      <c r="E846" s="70" t="s">
        <v>67</v>
      </c>
      <c r="F846" s="70" t="s">
        <v>74</v>
      </c>
      <c r="G846" s="71">
        <v>92638916093</v>
      </c>
      <c r="H846" s="70" t="s">
        <v>68</v>
      </c>
    </row>
    <row r="847" spans="1:8" ht="17.25" customHeight="1" x14ac:dyDescent="0.2">
      <c r="A847" s="69">
        <v>2015</v>
      </c>
      <c r="B847" s="70" t="s">
        <v>66</v>
      </c>
      <c r="C847" s="70" t="s">
        <v>47</v>
      </c>
      <c r="D847" s="70" t="s">
        <v>48</v>
      </c>
      <c r="E847" s="70" t="s">
        <v>69</v>
      </c>
      <c r="F847" s="70" t="s">
        <v>71</v>
      </c>
      <c r="G847" s="71">
        <v>56899999998</v>
      </c>
      <c r="H847" s="70" t="s">
        <v>68</v>
      </c>
    </row>
    <row r="848" spans="1:8" ht="17.25" customHeight="1" x14ac:dyDescent="0.2">
      <c r="A848" s="69">
        <v>2015</v>
      </c>
      <c r="B848" s="70" t="s">
        <v>66</v>
      </c>
      <c r="C848" s="70" t="s">
        <v>47</v>
      </c>
      <c r="D848" s="70" t="s">
        <v>48</v>
      </c>
      <c r="E848" s="70" t="s">
        <v>69</v>
      </c>
      <c r="F848" s="70" t="s">
        <v>70</v>
      </c>
      <c r="G848" s="71">
        <v>93362948881</v>
      </c>
      <c r="H848" s="70" t="s">
        <v>68</v>
      </c>
    </row>
    <row r="849" spans="1:8" ht="17.25" customHeight="1" x14ac:dyDescent="0.2">
      <c r="A849" s="69">
        <v>2016</v>
      </c>
      <c r="B849" s="70" t="s">
        <v>66</v>
      </c>
      <c r="C849" s="70" t="s">
        <v>4</v>
      </c>
      <c r="D849" s="70" t="s">
        <v>3</v>
      </c>
      <c r="E849" s="70" t="s">
        <v>67</v>
      </c>
      <c r="F849" s="70" t="s">
        <v>67</v>
      </c>
      <c r="G849" s="71">
        <v>21862282389</v>
      </c>
      <c r="H849" s="70" t="s">
        <v>68</v>
      </c>
    </row>
    <row r="850" spans="1:8" ht="17.25" customHeight="1" x14ac:dyDescent="0.2">
      <c r="A850" s="69">
        <v>2016</v>
      </c>
      <c r="B850" s="70" t="s">
        <v>66</v>
      </c>
      <c r="C850" s="70" t="s">
        <v>4</v>
      </c>
      <c r="D850" s="70" t="s">
        <v>3</v>
      </c>
      <c r="E850" s="70" t="s">
        <v>69</v>
      </c>
      <c r="F850" s="70" t="s">
        <v>71</v>
      </c>
      <c r="G850" s="71">
        <v>4499547688</v>
      </c>
      <c r="H850" s="70" t="s">
        <v>68</v>
      </c>
    </row>
    <row r="851" spans="1:8" ht="17.25" customHeight="1" x14ac:dyDescent="0.2">
      <c r="A851" s="69">
        <v>2016</v>
      </c>
      <c r="B851" s="70" t="s">
        <v>66</v>
      </c>
      <c r="C851" s="70" t="s">
        <v>4</v>
      </c>
      <c r="D851" s="70" t="s">
        <v>3</v>
      </c>
      <c r="E851" s="70" t="s">
        <v>69</v>
      </c>
      <c r="F851" s="70" t="s">
        <v>70</v>
      </c>
      <c r="G851" s="71">
        <v>10447170939</v>
      </c>
      <c r="H851" s="70" t="s">
        <v>68</v>
      </c>
    </row>
    <row r="852" spans="1:8" ht="17.25" customHeight="1" x14ac:dyDescent="0.2">
      <c r="A852" s="69">
        <v>2016</v>
      </c>
      <c r="B852" s="70" t="s">
        <v>66</v>
      </c>
      <c r="C852" s="70" t="s">
        <v>4</v>
      </c>
      <c r="D852" s="70" t="s">
        <v>5</v>
      </c>
      <c r="E852" s="70" t="s">
        <v>67</v>
      </c>
      <c r="F852" s="70" t="s">
        <v>67</v>
      </c>
      <c r="G852" s="71">
        <v>87227100777</v>
      </c>
      <c r="H852" s="70" t="s">
        <v>68</v>
      </c>
    </row>
    <row r="853" spans="1:8" ht="17.25" customHeight="1" x14ac:dyDescent="0.2">
      <c r="A853" s="69">
        <v>2016</v>
      </c>
      <c r="B853" s="70" t="s">
        <v>66</v>
      </c>
      <c r="C853" s="70" t="s">
        <v>4</v>
      </c>
      <c r="D853" s="70" t="s">
        <v>5</v>
      </c>
      <c r="E853" s="70" t="s">
        <v>69</v>
      </c>
      <c r="F853" s="70" t="s">
        <v>71</v>
      </c>
      <c r="G853" s="71">
        <v>26497337429</v>
      </c>
      <c r="H853" s="70" t="s">
        <v>68</v>
      </c>
    </row>
    <row r="854" spans="1:8" ht="17.25" customHeight="1" x14ac:dyDescent="0.2">
      <c r="A854" s="69">
        <v>2016</v>
      </c>
      <c r="B854" s="70" t="s">
        <v>66</v>
      </c>
      <c r="C854" s="70" t="s">
        <v>4</v>
      </c>
      <c r="D854" s="70" t="s">
        <v>5</v>
      </c>
      <c r="E854" s="70" t="s">
        <v>69</v>
      </c>
      <c r="F854" s="70" t="s">
        <v>70</v>
      </c>
      <c r="G854" s="71">
        <v>24731018481</v>
      </c>
      <c r="H854" s="70" t="s">
        <v>68</v>
      </c>
    </row>
    <row r="855" spans="1:8" ht="17.25" customHeight="1" x14ac:dyDescent="0.2">
      <c r="A855" s="69">
        <v>2016</v>
      </c>
      <c r="B855" s="70" t="s">
        <v>66</v>
      </c>
      <c r="C855" s="70" t="s">
        <v>4</v>
      </c>
      <c r="D855" s="70" t="s">
        <v>6</v>
      </c>
      <c r="E855" s="70" t="s">
        <v>67</v>
      </c>
      <c r="F855" s="70" t="s">
        <v>67</v>
      </c>
      <c r="G855" s="71">
        <v>10366190520</v>
      </c>
      <c r="H855" s="70" t="s">
        <v>68</v>
      </c>
    </row>
    <row r="856" spans="1:8" ht="17.25" customHeight="1" x14ac:dyDescent="0.2">
      <c r="A856" s="69">
        <v>2016</v>
      </c>
      <c r="B856" s="70" t="s">
        <v>66</v>
      </c>
      <c r="C856" s="70" t="s">
        <v>4</v>
      </c>
      <c r="D856" s="70" t="s">
        <v>6</v>
      </c>
      <c r="E856" s="70" t="s">
        <v>69</v>
      </c>
      <c r="F856" s="70" t="s">
        <v>71</v>
      </c>
      <c r="G856" s="71">
        <v>651448530</v>
      </c>
      <c r="H856" s="70" t="s">
        <v>68</v>
      </c>
    </row>
    <row r="857" spans="1:8" ht="17.25" customHeight="1" x14ac:dyDescent="0.2">
      <c r="A857" s="69">
        <v>2016</v>
      </c>
      <c r="B857" s="70" t="s">
        <v>66</v>
      </c>
      <c r="C857" s="70" t="s">
        <v>4</v>
      </c>
      <c r="D857" s="70" t="s">
        <v>6</v>
      </c>
      <c r="E857" s="70" t="s">
        <v>69</v>
      </c>
      <c r="F857" s="70" t="s">
        <v>70</v>
      </c>
      <c r="G857" s="71">
        <v>1070545273</v>
      </c>
      <c r="H857" s="70" t="s">
        <v>68</v>
      </c>
    </row>
    <row r="858" spans="1:8" ht="17.25" customHeight="1" x14ac:dyDescent="0.2">
      <c r="A858" s="69">
        <v>2016</v>
      </c>
      <c r="B858" s="70" t="s">
        <v>66</v>
      </c>
      <c r="C858" s="70" t="s">
        <v>4</v>
      </c>
      <c r="D858" s="70" t="s">
        <v>7</v>
      </c>
      <c r="E858" s="70" t="s">
        <v>67</v>
      </c>
      <c r="F858" s="70" t="s">
        <v>67</v>
      </c>
      <c r="G858" s="71">
        <v>17742879438</v>
      </c>
      <c r="H858" s="70" t="s">
        <v>68</v>
      </c>
    </row>
    <row r="859" spans="1:8" ht="17.25" customHeight="1" x14ac:dyDescent="0.2">
      <c r="A859" s="69">
        <v>2016</v>
      </c>
      <c r="B859" s="70" t="s">
        <v>66</v>
      </c>
      <c r="C859" s="70" t="s">
        <v>4</v>
      </c>
      <c r="D859" s="70" t="s">
        <v>7</v>
      </c>
      <c r="E859" s="70" t="s">
        <v>69</v>
      </c>
      <c r="F859" s="70" t="s">
        <v>71</v>
      </c>
      <c r="G859" s="71">
        <v>4642652844</v>
      </c>
      <c r="H859" s="70" t="s">
        <v>68</v>
      </c>
    </row>
    <row r="860" spans="1:8" ht="17.25" customHeight="1" x14ac:dyDescent="0.2">
      <c r="A860" s="69">
        <v>2016</v>
      </c>
      <c r="B860" s="70" t="s">
        <v>66</v>
      </c>
      <c r="C860" s="70" t="s">
        <v>4</v>
      </c>
      <c r="D860" s="70" t="s">
        <v>7</v>
      </c>
      <c r="E860" s="70" t="s">
        <v>69</v>
      </c>
      <c r="F860" s="70" t="s">
        <v>70</v>
      </c>
      <c r="G860" s="71">
        <v>5634293098</v>
      </c>
      <c r="H860" s="70" t="s">
        <v>68</v>
      </c>
    </row>
    <row r="861" spans="1:8" ht="17.25" customHeight="1" x14ac:dyDescent="0.2">
      <c r="A861" s="69">
        <v>2016</v>
      </c>
      <c r="B861" s="70" t="s">
        <v>66</v>
      </c>
      <c r="C861" s="70" t="s">
        <v>4</v>
      </c>
      <c r="D861" s="70" t="s">
        <v>8</v>
      </c>
      <c r="E861" s="70" t="s">
        <v>67</v>
      </c>
      <c r="F861" s="70" t="s">
        <v>67</v>
      </c>
      <c r="G861" s="71">
        <v>9372223652</v>
      </c>
      <c r="H861" s="70" t="s">
        <v>68</v>
      </c>
    </row>
    <row r="862" spans="1:8" ht="17.25" customHeight="1" x14ac:dyDescent="0.2">
      <c r="A862" s="69">
        <v>2016</v>
      </c>
      <c r="B862" s="70" t="s">
        <v>66</v>
      </c>
      <c r="C862" s="70" t="s">
        <v>4</v>
      </c>
      <c r="D862" s="70" t="s">
        <v>8</v>
      </c>
      <c r="E862" s="70" t="s">
        <v>69</v>
      </c>
      <c r="F862" s="70" t="s">
        <v>71</v>
      </c>
      <c r="G862" s="71">
        <v>1144392883</v>
      </c>
      <c r="H862" s="70" t="s">
        <v>68</v>
      </c>
    </row>
    <row r="863" spans="1:8" ht="17.25" customHeight="1" x14ac:dyDescent="0.2">
      <c r="A863" s="69">
        <v>2016</v>
      </c>
      <c r="B863" s="70" t="s">
        <v>66</v>
      </c>
      <c r="C863" s="70" t="s">
        <v>4</v>
      </c>
      <c r="D863" s="70" t="s">
        <v>8</v>
      </c>
      <c r="E863" s="70" t="s">
        <v>69</v>
      </c>
      <c r="F863" s="70" t="s">
        <v>70</v>
      </c>
      <c r="G863" s="71">
        <v>1161146278</v>
      </c>
      <c r="H863" s="70" t="s">
        <v>68</v>
      </c>
    </row>
    <row r="864" spans="1:8" ht="17.25" customHeight="1" x14ac:dyDescent="0.2">
      <c r="A864" s="69">
        <v>2016</v>
      </c>
      <c r="B864" s="70" t="s">
        <v>66</v>
      </c>
      <c r="C864" s="70" t="s">
        <v>4</v>
      </c>
      <c r="D864" s="70" t="s">
        <v>9</v>
      </c>
      <c r="E864" s="70" t="s">
        <v>67</v>
      </c>
      <c r="F864" s="70" t="s">
        <v>67</v>
      </c>
      <c r="G864" s="71">
        <v>59188556625</v>
      </c>
      <c r="H864" s="70" t="s">
        <v>68</v>
      </c>
    </row>
    <row r="865" spans="1:8" ht="17.25" customHeight="1" x14ac:dyDescent="0.2">
      <c r="A865" s="69">
        <v>2016</v>
      </c>
      <c r="B865" s="70" t="s">
        <v>66</v>
      </c>
      <c r="C865" s="70" t="s">
        <v>4</v>
      </c>
      <c r="D865" s="70" t="s">
        <v>9</v>
      </c>
      <c r="E865" s="70" t="s">
        <v>69</v>
      </c>
      <c r="F865" s="70" t="s">
        <v>71</v>
      </c>
      <c r="G865" s="71">
        <v>14540121612</v>
      </c>
      <c r="H865" s="70" t="s">
        <v>68</v>
      </c>
    </row>
    <row r="866" spans="1:8" ht="17.25" customHeight="1" x14ac:dyDescent="0.2">
      <c r="A866" s="69">
        <v>2016</v>
      </c>
      <c r="B866" s="70" t="s">
        <v>66</v>
      </c>
      <c r="C866" s="70" t="s">
        <v>4</v>
      </c>
      <c r="D866" s="70" t="s">
        <v>9</v>
      </c>
      <c r="E866" s="70" t="s">
        <v>69</v>
      </c>
      <c r="F866" s="70" t="s">
        <v>70</v>
      </c>
      <c r="G866" s="71">
        <v>21853814111</v>
      </c>
      <c r="H866" s="70" t="s">
        <v>68</v>
      </c>
    </row>
    <row r="867" spans="1:8" ht="17.25" customHeight="1" x14ac:dyDescent="0.2">
      <c r="A867" s="69">
        <v>2016</v>
      </c>
      <c r="B867" s="70" t="s">
        <v>66</v>
      </c>
      <c r="C867" s="70" t="s">
        <v>4</v>
      </c>
      <c r="D867" s="70" t="s">
        <v>10</v>
      </c>
      <c r="E867" s="70" t="s">
        <v>67</v>
      </c>
      <c r="F867" s="70" t="s">
        <v>67</v>
      </c>
      <c r="G867" s="71">
        <v>1394996852</v>
      </c>
      <c r="H867" s="70" t="s">
        <v>68</v>
      </c>
    </row>
    <row r="868" spans="1:8" ht="17.25" customHeight="1" x14ac:dyDescent="0.2">
      <c r="A868" s="69">
        <v>2016</v>
      </c>
      <c r="B868" s="70" t="s">
        <v>66</v>
      </c>
      <c r="C868" s="70" t="s">
        <v>4</v>
      </c>
      <c r="D868" s="70" t="s">
        <v>10</v>
      </c>
      <c r="E868" s="70" t="s">
        <v>69</v>
      </c>
      <c r="F868" s="70" t="s">
        <v>71</v>
      </c>
      <c r="G868" s="71">
        <v>194478973</v>
      </c>
      <c r="H868" s="70" t="s">
        <v>68</v>
      </c>
    </row>
    <row r="869" spans="1:8" ht="17.25" customHeight="1" x14ac:dyDescent="0.2">
      <c r="A869" s="69">
        <v>2016</v>
      </c>
      <c r="B869" s="70" t="s">
        <v>66</v>
      </c>
      <c r="C869" s="70" t="s">
        <v>4</v>
      </c>
      <c r="D869" s="70" t="s">
        <v>10</v>
      </c>
      <c r="E869" s="70" t="s">
        <v>69</v>
      </c>
      <c r="F869" s="70" t="s">
        <v>70</v>
      </c>
      <c r="G869" s="71">
        <v>51696942</v>
      </c>
      <c r="H869" s="70" t="s">
        <v>68</v>
      </c>
    </row>
    <row r="870" spans="1:8" ht="17.25" customHeight="1" x14ac:dyDescent="0.2">
      <c r="A870" s="69">
        <v>2016</v>
      </c>
      <c r="B870" s="70" t="s">
        <v>66</v>
      </c>
      <c r="C870" s="70" t="s">
        <v>4</v>
      </c>
      <c r="D870" s="70" t="s">
        <v>11</v>
      </c>
      <c r="E870" s="70" t="s">
        <v>67</v>
      </c>
      <c r="F870" s="70" t="s">
        <v>67</v>
      </c>
      <c r="G870" s="71">
        <v>5043268800</v>
      </c>
      <c r="H870" s="70" t="s">
        <v>68</v>
      </c>
    </row>
    <row r="871" spans="1:8" ht="17.25" customHeight="1" x14ac:dyDescent="0.2">
      <c r="A871" s="69">
        <v>2016</v>
      </c>
      <c r="B871" s="70" t="s">
        <v>66</v>
      </c>
      <c r="C871" s="70" t="s">
        <v>4</v>
      </c>
      <c r="D871" s="70" t="s">
        <v>11</v>
      </c>
      <c r="E871" s="70" t="s">
        <v>69</v>
      </c>
      <c r="F871" s="70" t="s">
        <v>71</v>
      </c>
      <c r="G871" s="71">
        <v>1068780713</v>
      </c>
      <c r="H871" s="70" t="s">
        <v>68</v>
      </c>
    </row>
    <row r="872" spans="1:8" ht="17.25" customHeight="1" x14ac:dyDescent="0.2">
      <c r="A872" s="69">
        <v>2016</v>
      </c>
      <c r="B872" s="70" t="s">
        <v>66</v>
      </c>
      <c r="C872" s="70" t="s">
        <v>4</v>
      </c>
      <c r="D872" s="70" t="s">
        <v>11</v>
      </c>
      <c r="E872" s="70" t="s">
        <v>69</v>
      </c>
      <c r="F872" s="70" t="s">
        <v>70</v>
      </c>
      <c r="G872" s="71">
        <v>2302230662</v>
      </c>
      <c r="H872" s="70" t="s">
        <v>68</v>
      </c>
    </row>
    <row r="873" spans="1:8" ht="17.25" customHeight="1" x14ac:dyDescent="0.2">
      <c r="A873" s="69">
        <v>2016</v>
      </c>
      <c r="B873" s="70" t="s">
        <v>66</v>
      </c>
      <c r="C873" s="70" t="s">
        <v>4</v>
      </c>
      <c r="D873" s="70" t="s">
        <v>12</v>
      </c>
      <c r="E873" s="70" t="s">
        <v>67</v>
      </c>
      <c r="F873" s="70" t="s">
        <v>67</v>
      </c>
      <c r="G873" s="71">
        <v>7064411050</v>
      </c>
      <c r="H873" s="70" t="s">
        <v>68</v>
      </c>
    </row>
    <row r="874" spans="1:8" ht="17.25" customHeight="1" x14ac:dyDescent="0.2">
      <c r="A874" s="69">
        <v>2016</v>
      </c>
      <c r="B874" s="70" t="s">
        <v>66</v>
      </c>
      <c r="C874" s="70" t="s">
        <v>4</v>
      </c>
      <c r="D874" s="70" t="s">
        <v>12</v>
      </c>
      <c r="E874" s="70" t="s">
        <v>69</v>
      </c>
      <c r="F874" s="70" t="s">
        <v>71</v>
      </c>
      <c r="G874" s="71">
        <v>1161651187</v>
      </c>
      <c r="H874" s="70" t="s">
        <v>68</v>
      </c>
    </row>
    <row r="875" spans="1:8" ht="17.25" customHeight="1" x14ac:dyDescent="0.2">
      <c r="A875" s="69">
        <v>2016</v>
      </c>
      <c r="B875" s="70" t="s">
        <v>66</v>
      </c>
      <c r="C875" s="70" t="s">
        <v>4</v>
      </c>
      <c r="D875" s="70" t="s">
        <v>12</v>
      </c>
      <c r="E875" s="70" t="s">
        <v>69</v>
      </c>
      <c r="F875" s="70" t="s">
        <v>70</v>
      </c>
      <c r="G875" s="71">
        <v>3028301587</v>
      </c>
      <c r="H875" s="70" t="s">
        <v>68</v>
      </c>
    </row>
    <row r="876" spans="1:8" ht="17.25" customHeight="1" x14ac:dyDescent="0.2">
      <c r="A876" s="69">
        <v>2016</v>
      </c>
      <c r="B876" s="70" t="s">
        <v>66</v>
      </c>
      <c r="C876" s="70" t="s">
        <v>4</v>
      </c>
      <c r="D876" s="70" t="s">
        <v>13</v>
      </c>
      <c r="E876" s="70" t="s">
        <v>67</v>
      </c>
      <c r="F876" s="70" t="s">
        <v>67</v>
      </c>
      <c r="G876" s="71">
        <v>9766619137</v>
      </c>
      <c r="H876" s="70" t="s">
        <v>68</v>
      </c>
    </row>
    <row r="877" spans="1:8" ht="17.25" customHeight="1" x14ac:dyDescent="0.2">
      <c r="A877" s="69">
        <v>2016</v>
      </c>
      <c r="B877" s="70" t="s">
        <v>66</v>
      </c>
      <c r="C877" s="70" t="s">
        <v>4</v>
      </c>
      <c r="D877" s="70" t="s">
        <v>13</v>
      </c>
      <c r="E877" s="70" t="s">
        <v>69</v>
      </c>
      <c r="F877" s="70" t="s">
        <v>71</v>
      </c>
      <c r="G877" s="71">
        <v>1233932535</v>
      </c>
      <c r="H877" s="70" t="s">
        <v>68</v>
      </c>
    </row>
    <row r="878" spans="1:8" ht="17.25" customHeight="1" x14ac:dyDescent="0.2">
      <c r="A878" s="69">
        <v>2016</v>
      </c>
      <c r="B878" s="70" t="s">
        <v>66</v>
      </c>
      <c r="C878" s="70" t="s">
        <v>4</v>
      </c>
      <c r="D878" s="70" t="s">
        <v>13</v>
      </c>
      <c r="E878" s="70" t="s">
        <v>69</v>
      </c>
      <c r="F878" s="70" t="s">
        <v>70</v>
      </c>
      <c r="G878" s="71">
        <v>3800338302</v>
      </c>
      <c r="H878" s="70" t="s">
        <v>68</v>
      </c>
    </row>
    <row r="879" spans="1:8" ht="17.25" customHeight="1" x14ac:dyDescent="0.2">
      <c r="A879" s="69">
        <v>2016</v>
      </c>
      <c r="B879" s="70" t="s">
        <v>66</v>
      </c>
      <c r="C879" s="70" t="s">
        <v>4</v>
      </c>
      <c r="D879" s="70" t="s">
        <v>14</v>
      </c>
      <c r="E879" s="70" t="s">
        <v>67</v>
      </c>
      <c r="F879" s="70" t="s">
        <v>67</v>
      </c>
      <c r="G879" s="71">
        <v>7405957430</v>
      </c>
      <c r="H879" s="70" t="s">
        <v>68</v>
      </c>
    </row>
    <row r="880" spans="1:8" ht="17.25" customHeight="1" x14ac:dyDescent="0.2">
      <c r="A880" s="69">
        <v>2016</v>
      </c>
      <c r="B880" s="70" t="s">
        <v>66</v>
      </c>
      <c r="C880" s="70" t="s">
        <v>4</v>
      </c>
      <c r="D880" s="70" t="s">
        <v>14</v>
      </c>
      <c r="E880" s="70" t="s">
        <v>69</v>
      </c>
      <c r="F880" s="70" t="s">
        <v>71</v>
      </c>
      <c r="G880" s="71">
        <v>555286040</v>
      </c>
      <c r="H880" s="70" t="s">
        <v>68</v>
      </c>
    </row>
    <row r="881" spans="1:8" ht="17.25" customHeight="1" x14ac:dyDescent="0.2">
      <c r="A881" s="69">
        <v>2016</v>
      </c>
      <c r="B881" s="70" t="s">
        <v>66</v>
      </c>
      <c r="C881" s="70" t="s">
        <v>4</v>
      </c>
      <c r="D881" s="70" t="s">
        <v>14</v>
      </c>
      <c r="E881" s="70" t="s">
        <v>69</v>
      </c>
      <c r="F881" s="70" t="s">
        <v>70</v>
      </c>
      <c r="G881" s="71">
        <v>1131823548</v>
      </c>
      <c r="H881" s="70" t="s">
        <v>68</v>
      </c>
    </row>
    <row r="882" spans="1:8" ht="17.25" customHeight="1" x14ac:dyDescent="0.2">
      <c r="A882" s="69">
        <v>2016</v>
      </c>
      <c r="B882" s="70" t="s">
        <v>66</v>
      </c>
      <c r="C882" s="70" t="s">
        <v>4</v>
      </c>
      <c r="D882" s="70" t="s">
        <v>15</v>
      </c>
      <c r="E882" s="70" t="s">
        <v>67</v>
      </c>
      <c r="F882" s="70" t="s">
        <v>67</v>
      </c>
      <c r="G882" s="71">
        <v>8498553210</v>
      </c>
      <c r="H882" s="70" t="s">
        <v>68</v>
      </c>
    </row>
    <row r="883" spans="1:8" ht="17.25" customHeight="1" x14ac:dyDescent="0.2">
      <c r="A883" s="69">
        <v>2016</v>
      </c>
      <c r="B883" s="70" t="s">
        <v>66</v>
      </c>
      <c r="C883" s="70" t="s">
        <v>4</v>
      </c>
      <c r="D883" s="70" t="s">
        <v>15</v>
      </c>
      <c r="E883" s="70" t="s">
        <v>69</v>
      </c>
      <c r="F883" s="70" t="s">
        <v>71</v>
      </c>
      <c r="G883" s="71">
        <v>2241936017</v>
      </c>
      <c r="H883" s="70" t="s">
        <v>68</v>
      </c>
    </row>
    <row r="884" spans="1:8" ht="17.25" customHeight="1" x14ac:dyDescent="0.2">
      <c r="A884" s="69">
        <v>2016</v>
      </c>
      <c r="B884" s="70" t="s">
        <v>66</v>
      </c>
      <c r="C884" s="70" t="s">
        <v>4</v>
      </c>
      <c r="D884" s="70" t="s">
        <v>15</v>
      </c>
      <c r="E884" s="70" t="s">
        <v>69</v>
      </c>
      <c r="F884" s="70" t="s">
        <v>70</v>
      </c>
      <c r="G884" s="71">
        <v>1694214602</v>
      </c>
      <c r="H884" s="70" t="s">
        <v>68</v>
      </c>
    </row>
    <row r="885" spans="1:8" ht="17.25" customHeight="1" x14ac:dyDescent="0.2">
      <c r="A885" s="69">
        <v>2016</v>
      </c>
      <c r="B885" s="70" t="s">
        <v>66</v>
      </c>
      <c r="C885" s="70" t="s">
        <v>17</v>
      </c>
      <c r="D885" s="70" t="s">
        <v>16</v>
      </c>
      <c r="E885" s="70" t="s">
        <v>67</v>
      </c>
      <c r="F885" s="70" t="s">
        <v>67</v>
      </c>
      <c r="G885" s="71">
        <v>950530310</v>
      </c>
      <c r="H885" s="70" t="s">
        <v>68</v>
      </c>
    </row>
    <row r="886" spans="1:8" ht="17.25" customHeight="1" x14ac:dyDescent="0.2">
      <c r="A886" s="69">
        <v>2016</v>
      </c>
      <c r="B886" s="70" t="s">
        <v>66</v>
      </c>
      <c r="C886" s="70" t="s">
        <v>17</v>
      </c>
      <c r="D886" s="70" t="s">
        <v>16</v>
      </c>
      <c r="E886" s="70" t="s">
        <v>69</v>
      </c>
      <c r="F886" s="70" t="s">
        <v>71</v>
      </c>
      <c r="G886" s="71">
        <v>164875931</v>
      </c>
      <c r="H886" s="70" t="s">
        <v>68</v>
      </c>
    </row>
    <row r="887" spans="1:8" ht="17.25" customHeight="1" x14ac:dyDescent="0.2">
      <c r="A887" s="69">
        <v>2016</v>
      </c>
      <c r="B887" s="70" t="s">
        <v>66</v>
      </c>
      <c r="C887" s="70" t="s">
        <v>17</v>
      </c>
      <c r="D887" s="70" t="s">
        <v>16</v>
      </c>
      <c r="E887" s="70" t="s">
        <v>69</v>
      </c>
      <c r="F887" s="70" t="s">
        <v>70</v>
      </c>
      <c r="G887" s="71">
        <v>203972087</v>
      </c>
      <c r="H887" s="70" t="s">
        <v>68</v>
      </c>
    </row>
    <row r="888" spans="1:8" ht="17.25" customHeight="1" x14ac:dyDescent="0.2">
      <c r="A888" s="69">
        <v>2016</v>
      </c>
      <c r="B888" s="70" t="s">
        <v>66</v>
      </c>
      <c r="C888" s="70" t="s">
        <v>17</v>
      </c>
      <c r="D888" s="70" t="s">
        <v>18</v>
      </c>
      <c r="E888" s="70" t="s">
        <v>67</v>
      </c>
      <c r="F888" s="70" t="s">
        <v>67</v>
      </c>
      <c r="G888" s="71">
        <v>2045064715</v>
      </c>
      <c r="H888" s="70" t="s">
        <v>68</v>
      </c>
    </row>
    <row r="889" spans="1:8" ht="17.25" customHeight="1" x14ac:dyDescent="0.2">
      <c r="A889" s="69">
        <v>2016</v>
      </c>
      <c r="B889" s="70" t="s">
        <v>66</v>
      </c>
      <c r="C889" s="70" t="s">
        <v>17</v>
      </c>
      <c r="D889" s="70" t="s">
        <v>18</v>
      </c>
      <c r="E889" s="70" t="s">
        <v>69</v>
      </c>
      <c r="F889" s="70" t="s">
        <v>71</v>
      </c>
      <c r="G889" s="71">
        <v>478044658</v>
      </c>
      <c r="H889" s="70" t="s">
        <v>68</v>
      </c>
    </row>
    <row r="890" spans="1:8" ht="17.25" customHeight="1" x14ac:dyDescent="0.2">
      <c r="A890" s="69">
        <v>2016</v>
      </c>
      <c r="B890" s="70" t="s">
        <v>66</v>
      </c>
      <c r="C890" s="70" t="s">
        <v>17</v>
      </c>
      <c r="D890" s="70" t="s">
        <v>18</v>
      </c>
      <c r="E890" s="70" t="s">
        <v>69</v>
      </c>
      <c r="F890" s="70" t="s">
        <v>70</v>
      </c>
      <c r="G890" s="71">
        <v>570957311</v>
      </c>
      <c r="H890" s="70" t="s">
        <v>68</v>
      </c>
    </row>
    <row r="891" spans="1:8" ht="17.25" customHeight="1" x14ac:dyDescent="0.2">
      <c r="A891" s="69">
        <v>2016</v>
      </c>
      <c r="B891" s="70" t="s">
        <v>66</v>
      </c>
      <c r="C891" s="70" t="s">
        <v>17</v>
      </c>
      <c r="D891" s="70" t="s">
        <v>19</v>
      </c>
      <c r="E891" s="70" t="s">
        <v>67</v>
      </c>
      <c r="F891" s="70" t="s">
        <v>67</v>
      </c>
      <c r="G891" s="71">
        <v>5400596004</v>
      </c>
      <c r="H891" s="70" t="s">
        <v>68</v>
      </c>
    </row>
    <row r="892" spans="1:8" ht="17.25" customHeight="1" x14ac:dyDescent="0.2">
      <c r="A892" s="69">
        <v>2016</v>
      </c>
      <c r="B892" s="70" t="s">
        <v>66</v>
      </c>
      <c r="C892" s="70" t="s">
        <v>17</v>
      </c>
      <c r="D892" s="70" t="s">
        <v>19</v>
      </c>
      <c r="E892" s="70" t="s">
        <v>69</v>
      </c>
      <c r="F892" s="70" t="s">
        <v>71</v>
      </c>
      <c r="G892" s="71">
        <v>998405834</v>
      </c>
      <c r="H892" s="70" t="s">
        <v>68</v>
      </c>
    </row>
    <row r="893" spans="1:8" ht="17.25" customHeight="1" x14ac:dyDescent="0.2">
      <c r="A893" s="69">
        <v>2016</v>
      </c>
      <c r="B893" s="70" t="s">
        <v>66</v>
      </c>
      <c r="C893" s="70" t="s">
        <v>17</v>
      </c>
      <c r="D893" s="70" t="s">
        <v>19</v>
      </c>
      <c r="E893" s="70" t="s">
        <v>69</v>
      </c>
      <c r="F893" s="70" t="s">
        <v>70</v>
      </c>
      <c r="G893" s="71">
        <v>527475999</v>
      </c>
      <c r="H893" s="70" t="s">
        <v>68</v>
      </c>
    </row>
    <row r="894" spans="1:8" ht="17.25" customHeight="1" x14ac:dyDescent="0.2">
      <c r="A894" s="69">
        <v>2016</v>
      </c>
      <c r="B894" s="70" t="s">
        <v>66</v>
      </c>
      <c r="C894" s="70" t="s">
        <v>17</v>
      </c>
      <c r="D894" s="70" t="s">
        <v>20</v>
      </c>
      <c r="E894" s="70" t="s">
        <v>67</v>
      </c>
      <c r="F894" s="70" t="s">
        <v>67</v>
      </c>
      <c r="G894" s="71">
        <v>1321195212</v>
      </c>
      <c r="H894" s="70" t="s">
        <v>68</v>
      </c>
    </row>
    <row r="895" spans="1:8" ht="17.25" customHeight="1" x14ac:dyDescent="0.2">
      <c r="A895" s="69">
        <v>2016</v>
      </c>
      <c r="B895" s="70" t="s">
        <v>66</v>
      </c>
      <c r="C895" s="70" t="s">
        <v>17</v>
      </c>
      <c r="D895" s="70" t="s">
        <v>20</v>
      </c>
      <c r="E895" s="70" t="s">
        <v>69</v>
      </c>
      <c r="F895" s="70" t="s">
        <v>71</v>
      </c>
      <c r="G895" s="71">
        <v>239512317</v>
      </c>
      <c r="H895" s="70" t="s">
        <v>68</v>
      </c>
    </row>
    <row r="896" spans="1:8" ht="17.25" customHeight="1" x14ac:dyDescent="0.2">
      <c r="A896" s="69">
        <v>2016</v>
      </c>
      <c r="B896" s="70" t="s">
        <v>66</v>
      </c>
      <c r="C896" s="70" t="s">
        <v>17</v>
      </c>
      <c r="D896" s="70" t="s">
        <v>20</v>
      </c>
      <c r="E896" s="70" t="s">
        <v>69</v>
      </c>
      <c r="F896" s="70" t="s">
        <v>70</v>
      </c>
      <c r="G896" s="71">
        <v>765516919</v>
      </c>
      <c r="H896" s="70" t="s">
        <v>68</v>
      </c>
    </row>
    <row r="897" spans="1:8" ht="17.25" customHeight="1" x14ac:dyDescent="0.2">
      <c r="A897" s="69">
        <v>2016</v>
      </c>
      <c r="B897" s="70" t="s">
        <v>66</v>
      </c>
      <c r="C897" s="70" t="s">
        <v>17</v>
      </c>
      <c r="D897" s="70" t="s">
        <v>21</v>
      </c>
      <c r="E897" s="70" t="s">
        <v>67</v>
      </c>
      <c r="F897" s="70" t="s">
        <v>67</v>
      </c>
      <c r="G897" s="71">
        <v>3332663633</v>
      </c>
      <c r="H897" s="70" t="s">
        <v>68</v>
      </c>
    </row>
    <row r="898" spans="1:8" ht="17.25" customHeight="1" x14ac:dyDescent="0.2">
      <c r="A898" s="69">
        <v>2016</v>
      </c>
      <c r="B898" s="70" t="s">
        <v>66</v>
      </c>
      <c r="C898" s="70" t="s">
        <v>17</v>
      </c>
      <c r="D898" s="70" t="s">
        <v>21</v>
      </c>
      <c r="E898" s="70" t="s">
        <v>69</v>
      </c>
      <c r="F898" s="70" t="s">
        <v>71</v>
      </c>
      <c r="G898" s="71">
        <v>949653922</v>
      </c>
      <c r="H898" s="70" t="s">
        <v>68</v>
      </c>
    </row>
    <row r="899" spans="1:8" ht="17.25" customHeight="1" x14ac:dyDescent="0.2">
      <c r="A899" s="69">
        <v>2016</v>
      </c>
      <c r="B899" s="70" t="s">
        <v>66</v>
      </c>
      <c r="C899" s="70" t="s">
        <v>17</v>
      </c>
      <c r="D899" s="70" t="s">
        <v>21</v>
      </c>
      <c r="E899" s="70" t="s">
        <v>69</v>
      </c>
      <c r="F899" s="70" t="s">
        <v>70</v>
      </c>
      <c r="G899" s="71">
        <v>878706278</v>
      </c>
      <c r="H899" s="70" t="s">
        <v>68</v>
      </c>
    </row>
    <row r="900" spans="1:8" ht="17.25" customHeight="1" x14ac:dyDescent="0.2">
      <c r="A900" s="69">
        <v>2016</v>
      </c>
      <c r="B900" s="70" t="s">
        <v>66</v>
      </c>
      <c r="C900" s="70" t="s">
        <v>17</v>
      </c>
      <c r="D900" s="70" t="s">
        <v>22</v>
      </c>
      <c r="E900" s="70" t="s">
        <v>67</v>
      </c>
      <c r="F900" s="70" t="s">
        <v>67</v>
      </c>
      <c r="G900" s="71">
        <v>1128857912</v>
      </c>
      <c r="H900" s="70" t="s">
        <v>68</v>
      </c>
    </row>
    <row r="901" spans="1:8" ht="17.25" customHeight="1" x14ac:dyDescent="0.2">
      <c r="A901" s="69">
        <v>2016</v>
      </c>
      <c r="B901" s="70" t="s">
        <v>66</v>
      </c>
      <c r="C901" s="70" t="s">
        <v>17</v>
      </c>
      <c r="D901" s="70" t="s">
        <v>22</v>
      </c>
      <c r="E901" s="70" t="s">
        <v>69</v>
      </c>
      <c r="F901" s="70" t="s">
        <v>71</v>
      </c>
      <c r="G901" s="71">
        <v>332407444</v>
      </c>
      <c r="H901" s="70" t="s">
        <v>68</v>
      </c>
    </row>
    <row r="902" spans="1:8" ht="17.25" customHeight="1" x14ac:dyDescent="0.2">
      <c r="A902" s="69">
        <v>2016</v>
      </c>
      <c r="B902" s="70" t="s">
        <v>66</v>
      </c>
      <c r="C902" s="70" t="s">
        <v>17</v>
      </c>
      <c r="D902" s="70" t="s">
        <v>22</v>
      </c>
      <c r="E902" s="70" t="s">
        <v>69</v>
      </c>
      <c r="F902" s="70" t="s">
        <v>70</v>
      </c>
      <c r="G902" s="71">
        <v>410001824</v>
      </c>
      <c r="H902" s="70" t="s">
        <v>68</v>
      </c>
    </row>
    <row r="903" spans="1:8" ht="17.25" customHeight="1" x14ac:dyDescent="0.2">
      <c r="A903" s="69">
        <v>2016</v>
      </c>
      <c r="B903" s="70" t="s">
        <v>66</v>
      </c>
      <c r="C903" s="70" t="s">
        <v>17</v>
      </c>
      <c r="D903" s="70" t="s">
        <v>23</v>
      </c>
      <c r="E903" s="70" t="s">
        <v>67</v>
      </c>
      <c r="F903" s="70" t="s">
        <v>67</v>
      </c>
      <c r="G903" s="71">
        <v>1861060634</v>
      </c>
      <c r="H903" s="70" t="s">
        <v>68</v>
      </c>
    </row>
    <row r="904" spans="1:8" ht="17.25" customHeight="1" x14ac:dyDescent="0.2">
      <c r="A904" s="69">
        <v>2016</v>
      </c>
      <c r="B904" s="70" t="s">
        <v>66</v>
      </c>
      <c r="C904" s="70" t="s">
        <v>17</v>
      </c>
      <c r="D904" s="70" t="s">
        <v>23</v>
      </c>
      <c r="E904" s="70" t="s">
        <v>69</v>
      </c>
      <c r="F904" s="70" t="s">
        <v>71</v>
      </c>
      <c r="G904" s="71">
        <v>424767712</v>
      </c>
      <c r="H904" s="70" t="s">
        <v>68</v>
      </c>
    </row>
    <row r="905" spans="1:8" ht="17.25" customHeight="1" x14ac:dyDescent="0.2">
      <c r="A905" s="69">
        <v>2016</v>
      </c>
      <c r="B905" s="70" t="s">
        <v>66</v>
      </c>
      <c r="C905" s="70" t="s">
        <v>17</v>
      </c>
      <c r="D905" s="70" t="s">
        <v>23</v>
      </c>
      <c r="E905" s="70" t="s">
        <v>69</v>
      </c>
      <c r="F905" s="70" t="s">
        <v>70</v>
      </c>
      <c r="G905" s="71">
        <v>569087818</v>
      </c>
      <c r="H905" s="70" t="s">
        <v>68</v>
      </c>
    </row>
    <row r="906" spans="1:8" ht="17.25" customHeight="1" x14ac:dyDescent="0.2">
      <c r="A906" s="69">
        <v>2016</v>
      </c>
      <c r="B906" s="70" t="s">
        <v>66</v>
      </c>
      <c r="C906" s="70" t="s">
        <v>17</v>
      </c>
      <c r="D906" s="70" t="s">
        <v>24</v>
      </c>
      <c r="E906" s="70" t="s">
        <v>67</v>
      </c>
      <c r="F906" s="70" t="s">
        <v>67</v>
      </c>
      <c r="G906" s="71">
        <v>17261896915</v>
      </c>
      <c r="H906" s="70" t="s">
        <v>68</v>
      </c>
    </row>
    <row r="907" spans="1:8" ht="17.25" customHeight="1" x14ac:dyDescent="0.2">
      <c r="A907" s="69">
        <v>2016</v>
      </c>
      <c r="B907" s="70" t="s">
        <v>66</v>
      </c>
      <c r="C907" s="70" t="s">
        <v>17</v>
      </c>
      <c r="D907" s="70" t="s">
        <v>24</v>
      </c>
      <c r="E907" s="70" t="s">
        <v>69</v>
      </c>
      <c r="F907" s="70" t="s">
        <v>71</v>
      </c>
      <c r="G907" s="71">
        <v>4094949814</v>
      </c>
      <c r="H907" s="70" t="s">
        <v>68</v>
      </c>
    </row>
    <row r="908" spans="1:8" ht="17.25" customHeight="1" x14ac:dyDescent="0.2">
      <c r="A908" s="69">
        <v>2016</v>
      </c>
      <c r="B908" s="70" t="s">
        <v>66</v>
      </c>
      <c r="C908" s="70" t="s">
        <v>17</v>
      </c>
      <c r="D908" s="70" t="s">
        <v>24</v>
      </c>
      <c r="E908" s="70" t="s">
        <v>69</v>
      </c>
      <c r="F908" s="70" t="s">
        <v>70</v>
      </c>
      <c r="G908" s="71">
        <v>5116443014</v>
      </c>
      <c r="H908" s="70" t="s">
        <v>68</v>
      </c>
    </row>
    <row r="909" spans="1:8" ht="17.25" customHeight="1" x14ac:dyDescent="0.2">
      <c r="A909" s="69">
        <v>2016</v>
      </c>
      <c r="B909" s="70" t="s">
        <v>66</v>
      </c>
      <c r="C909" s="70" t="s">
        <v>17</v>
      </c>
      <c r="D909" s="70" t="s">
        <v>25</v>
      </c>
      <c r="E909" s="70" t="s">
        <v>67</v>
      </c>
      <c r="F909" s="70" t="s">
        <v>67</v>
      </c>
      <c r="G909" s="71">
        <v>1738137447</v>
      </c>
      <c r="H909" s="70" t="s">
        <v>68</v>
      </c>
    </row>
    <row r="910" spans="1:8" ht="17.25" customHeight="1" x14ac:dyDescent="0.2">
      <c r="A910" s="69">
        <v>2016</v>
      </c>
      <c r="B910" s="70" t="s">
        <v>66</v>
      </c>
      <c r="C910" s="70" t="s">
        <v>17</v>
      </c>
      <c r="D910" s="70" t="s">
        <v>25</v>
      </c>
      <c r="E910" s="70" t="s">
        <v>69</v>
      </c>
      <c r="F910" s="70" t="s">
        <v>71</v>
      </c>
      <c r="G910" s="71">
        <v>279018426</v>
      </c>
      <c r="H910" s="70" t="s">
        <v>68</v>
      </c>
    </row>
    <row r="911" spans="1:8" ht="17.25" customHeight="1" x14ac:dyDescent="0.2">
      <c r="A911" s="69">
        <v>2016</v>
      </c>
      <c r="B911" s="70" t="s">
        <v>66</v>
      </c>
      <c r="C911" s="70" t="s">
        <v>17</v>
      </c>
      <c r="D911" s="70" t="s">
        <v>25</v>
      </c>
      <c r="E911" s="70" t="s">
        <v>69</v>
      </c>
      <c r="F911" s="70" t="s">
        <v>70</v>
      </c>
      <c r="G911" s="71">
        <v>243509374</v>
      </c>
      <c r="H911" s="70" t="s">
        <v>68</v>
      </c>
    </row>
    <row r="912" spans="1:8" ht="17.25" customHeight="1" x14ac:dyDescent="0.2">
      <c r="A912" s="69">
        <v>2016</v>
      </c>
      <c r="B912" s="70" t="s">
        <v>66</v>
      </c>
      <c r="C912" s="70" t="s">
        <v>27</v>
      </c>
      <c r="D912" s="70" t="s">
        <v>26</v>
      </c>
      <c r="E912" s="70" t="s">
        <v>67</v>
      </c>
      <c r="F912" s="70" t="s">
        <v>67</v>
      </c>
      <c r="G912" s="71">
        <v>28213121105</v>
      </c>
      <c r="H912" s="70" t="s">
        <v>68</v>
      </c>
    </row>
    <row r="913" spans="1:8" ht="17.25" customHeight="1" x14ac:dyDescent="0.2">
      <c r="A913" s="69">
        <v>2016</v>
      </c>
      <c r="B913" s="70" t="s">
        <v>66</v>
      </c>
      <c r="C913" s="70" t="s">
        <v>27</v>
      </c>
      <c r="D913" s="70" t="s">
        <v>26</v>
      </c>
      <c r="E913" s="70" t="s">
        <v>69</v>
      </c>
      <c r="F913" s="70" t="s">
        <v>71</v>
      </c>
      <c r="G913" s="71">
        <v>5865542410</v>
      </c>
      <c r="H913" s="70" t="s">
        <v>68</v>
      </c>
    </row>
    <row r="914" spans="1:8" ht="17.25" customHeight="1" x14ac:dyDescent="0.2">
      <c r="A914" s="69">
        <v>2016</v>
      </c>
      <c r="B914" s="70" t="s">
        <v>66</v>
      </c>
      <c r="C914" s="70" t="s">
        <v>27</v>
      </c>
      <c r="D914" s="70" t="s">
        <v>26</v>
      </c>
      <c r="E914" s="70" t="s">
        <v>69</v>
      </c>
      <c r="F914" s="70" t="s">
        <v>70</v>
      </c>
      <c r="G914" s="71">
        <v>13834495537</v>
      </c>
      <c r="H914" s="70" t="s">
        <v>68</v>
      </c>
    </row>
    <row r="915" spans="1:8" ht="17.25" customHeight="1" x14ac:dyDescent="0.2">
      <c r="A915" s="69">
        <v>2016</v>
      </c>
      <c r="B915" s="70" t="s">
        <v>66</v>
      </c>
      <c r="C915" s="70" t="s">
        <v>27</v>
      </c>
      <c r="D915" s="70" t="s">
        <v>28</v>
      </c>
      <c r="E915" s="70" t="s">
        <v>67</v>
      </c>
      <c r="F915" s="70" t="s">
        <v>67</v>
      </c>
      <c r="G915" s="71">
        <v>40650152327</v>
      </c>
      <c r="H915" s="70" t="s">
        <v>68</v>
      </c>
    </row>
    <row r="916" spans="1:8" ht="17.25" customHeight="1" x14ac:dyDescent="0.2">
      <c r="A916" s="69">
        <v>2016</v>
      </c>
      <c r="B916" s="70" t="s">
        <v>66</v>
      </c>
      <c r="C916" s="70" t="s">
        <v>27</v>
      </c>
      <c r="D916" s="70" t="s">
        <v>28</v>
      </c>
      <c r="E916" s="70" t="s">
        <v>69</v>
      </c>
      <c r="F916" s="70" t="s">
        <v>71</v>
      </c>
      <c r="G916" s="71">
        <v>10840911101</v>
      </c>
      <c r="H916" s="70" t="s">
        <v>68</v>
      </c>
    </row>
    <row r="917" spans="1:8" ht="17.25" customHeight="1" x14ac:dyDescent="0.2">
      <c r="A917" s="69">
        <v>2016</v>
      </c>
      <c r="B917" s="70" t="s">
        <v>66</v>
      </c>
      <c r="C917" s="70" t="s">
        <v>27</v>
      </c>
      <c r="D917" s="70" t="s">
        <v>28</v>
      </c>
      <c r="E917" s="70" t="s">
        <v>69</v>
      </c>
      <c r="F917" s="70" t="s">
        <v>70</v>
      </c>
      <c r="G917" s="71">
        <v>16299522296</v>
      </c>
      <c r="H917" s="70" t="s">
        <v>68</v>
      </c>
    </row>
    <row r="918" spans="1:8" ht="17.25" customHeight="1" x14ac:dyDescent="0.2">
      <c r="A918" s="69">
        <v>2016</v>
      </c>
      <c r="B918" s="70" t="s">
        <v>66</v>
      </c>
      <c r="C918" s="70" t="s">
        <v>27</v>
      </c>
      <c r="D918" s="70" t="s">
        <v>29</v>
      </c>
      <c r="E918" s="70" t="s">
        <v>67</v>
      </c>
      <c r="F918" s="70" t="s">
        <v>67</v>
      </c>
      <c r="G918" s="71">
        <v>15282170188</v>
      </c>
      <c r="H918" s="70" t="s">
        <v>68</v>
      </c>
    </row>
    <row r="919" spans="1:8" ht="17.25" customHeight="1" x14ac:dyDescent="0.2">
      <c r="A919" s="69">
        <v>2016</v>
      </c>
      <c r="B919" s="70" t="s">
        <v>66</v>
      </c>
      <c r="C919" s="70" t="s">
        <v>27</v>
      </c>
      <c r="D919" s="70" t="s">
        <v>29</v>
      </c>
      <c r="E919" s="70" t="s">
        <v>69</v>
      </c>
      <c r="F919" s="70" t="s">
        <v>71</v>
      </c>
      <c r="G919" s="71">
        <v>4682928867</v>
      </c>
      <c r="H919" s="70" t="s">
        <v>68</v>
      </c>
    </row>
    <row r="920" spans="1:8" ht="17.25" customHeight="1" x14ac:dyDescent="0.2">
      <c r="A920" s="69">
        <v>2016</v>
      </c>
      <c r="B920" s="70" t="s">
        <v>66</v>
      </c>
      <c r="C920" s="70" t="s">
        <v>27</v>
      </c>
      <c r="D920" s="70" t="s">
        <v>29</v>
      </c>
      <c r="E920" s="70" t="s">
        <v>69</v>
      </c>
      <c r="F920" s="70" t="s">
        <v>70</v>
      </c>
      <c r="G920" s="71">
        <v>3904790138</v>
      </c>
      <c r="H920" s="70" t="s">
        <v>68</v>
      </c>
    </row>
    <row r="921" spans="1:8" ht="17.25" customHeight="1" x14ac:dyDescent="0.2">
      <c r="A921" s="69">
        <v>2016</v>
      </c>
      <c r="B921" s="70" t="s">
        <v>66</v>
      </c>
      <c r="C921" s="70" t="s">
        <v>27</v>
      </c>
      <c r="D921" s="70" t="s">
        <v>30</v>
      </c>
      <c r="E921" s="70" t="s">
        <v>67</v>
      </c>
      <c r="F921" s="70" t="s">
        <v>67</v>
      </c>
      <c r="G921" s="71">
        <v>32874882640</v>
      </c>
      <c r="H921" s="70" t="s">
        <v>68</v>
      </c>
    </row>
    <row r="922" spans="1:8" ht="17.25" customHeight="1" x14ac:dyDescent="0.2">
      <c r="A922" s="69">
        <v>2016</v>
      </c>
      <c r="B922" s="70" t="s">
        <v>66</v>
      </c>
      <c r="C922" s="70" t="s">
        <v>27</v>
      </c>
      <c r="D922" s="70" t="s">
        <v>30</v>
      </c>
      <c r="E922" s="70" t="s">
        <v>69</v>
      </c>
      <c r="F922" s="70" t="s">
        <v>71</v>
      </c>
      <c r="G922" s="71">
        <v>8335959271</v>
      </c>
      <c r="H922" s="70" t="s">
        <v>68</v>
      </c>
    </row>
    <row r="923" spans="1:8" ht="17.25" customHeight="1" x14ac:dyDescent="0.2">
      <c r="A923" s="69">
        <v>2016</v>
      </c>
      <c r="B923" s="70" t="s">
        <v>66</v>
      </c>
      <c r="C923" s="70" t="s">
        <v>27</v>
      </c>
      <c r="D923" s="70" t="s">
        <v>30</v>
      </c>
      <c r="E923" s="70" t="s">
        <v>69</v>
      </c>
      <c r="F923" s="70" t="s">
        <v>70</v>
      </c>
      <c r="G923" s="71">
        <v>15674977907</v>
      </c>
      <c r="H923" s="70" t="s">
        <v>68</v>
      </c>
    </row>
    <row r="924" spans="1:8" ht="17.25" customHeight="1" x14ac:dyDescent="0.2">
      <c r="A924" s="69">
        <v>2016</v>
      </c>
      <c r="B924" s="70" t="s">
        <v>66</v>
      </c>
      <c r="C924" s="70" t="s">
        <v>27</v>
      </c>
      <c r="D924" s="70" t="s">
        <v>31</v>
      </c>
      <c r="E924" s="70" t="s">
        <v>67</v>
      </c>
      <c r="F924" s="70" t="s">
        <v>67</v>
      </c>
      <c r="G924" s="71">
        <v>10098312379</v>
      </c>
      <c r="H924" s="70" t="s">
        <v>68</v>
      </c>
    </row>
    <row r="925" spans="1:8" ht="17.25" customHeight="1" x14ac:dyDescent="0.2">
      <c r="A925" s="69">
        <v>2016</v>
      </c>
      <c r="B925" s="70" t="s">
        <v>66</v>
      </c>
      <c r="C925" s="70" t="s">
        <v>27</v>
      </c>
      <c r="D925" s="70" t="s">
        <v>31</v>
      </c>
      <c r="E925" s="70" t="s">
        <v>69</v>
      </c>
      <c r="F925" s="70" t="s">
        <v>71</v>
      </c>
      <c r="G925" s="71">
        <v>4031554292</v>
      </c>
      <c r="H925" s="70" t="s">
        <v>68</v>
      </c>
    </row>
    <row r="926" spans="1:8" ht="17.25" customHeight="1" x14ac:dyDescent="0.2">
      <c r="A926" s="69">
        <v>2016</v>
      </c>
      <c r="B926" s="70" t="s">
        <v>66</v>
      </c>
      <c r="C926" s="70" t="s">
        <v>27</v>
      </c>
      <c r="D926" s="70" t="s">
        <v>31</v>
      </c>
      <c r="E926" s="70" t="s">
        <v>69</v>
      </c>
      <c r="F926" s="70" t="s">
        <v>70</v>
      </c>
      <c r="G926" s="71">
        <v>7162766781</v>
      </c>
      <c r="H926" s="70" t="s">
        <v>68</v>
      </c>
    </row>
    <row r="927" spans="1:8" ht="17.25" customHeight="1" x14ac:dyDescent="0.2">
      <c r="A927" s="69">
        <v>2016</v>
      </c>
      <c r="B927" s="70" t="s">
        <v>66</v>
      </c>
      <c r="C927" s="70" t="s">
        <v>27</v>
      </c>
      <c r="D927" s="70" t="s">
        <v>32</v>
      </c>
      <c r="E927" s="70" t="s">
        <v>67</v>
      </c>
      <c r="F927" s="70" t="s">
        <v>67</v>
      </c>
      <c r="G927" s="71">
        <v>15470461443</v>
      </c>
      <c r="H927" s="70" t="s">
        <v>68</v>
      </c>
    </row>
    <row r="928" spans="1:8" ht="17.25" customHeight="1" x14ac:dyDescent="0.2">
      <c r="A928" s="69">
        <v>2016</v>
      </c>
      <c r="B928" s="70" t="s">
        <v>66</v>
      </c>
      <c r="C928" s="70" t="s">
        <v>27</v>
      </c>
      <c r="D928" s="70" t="s">
        <v>32</v>
      </c>
      <c r="E928" s="70" t="s">
        <v>69</v>
      </c>
      <c r="F928" s="70" t="s">
        <v>71</v>
      </c>
      <c r="G928" s="71">
        <v>5944197468</v>
      </c>
      <c r="H928" s="70" t="s">
        <v>68</v>
      </c>
    </row>
    <row r="929" spans="1:8" ht="17.25" customHeight="1" x14ac:dyDescent="0.2">
      <c r="A929" s="69">
        <v>2016</v>
      </c>
      <c r="B929" s="70" t="s">
        <v>66</v>
      </c>
      <c r="C929" s="70" t="s">
        <v>27</v>
      </c>
      <c r="D929" s="70" t="s">
        <v>32</v>
      </c>
      <c r="E929" s="70" t="s">
        <v>69</v>
      </c>
      <c r="F929" s="70" t="s">
        <v>70</v>
      </c>
      <c r="G929" s="71">
        <v>5431643496</v>
      </c>
      <c r="H929" s="70" t="s">
        <v>68</v>
      </c>
    </row>
    <row r="930" spans="1:8" ht="17.25" customHeight="1" x14ac:dyDescent="0.2">
      <c r="A930" s="69">
        <v>2016</v>
      </c>
      <c r="B930" s="70" t="s">
        <v>66</v>
      </c>
      <c r="C930" s="70" t="s">
        <v>27</v>
      </c>
      <c r="D930" s="70" t="s">
        <v>33</v>
      </c>
      <c r="E930" s="70" t="s">
        <v>67</v>
      </c>
      <c r="F930" s="70" t="s">
        <v>67</v>
      </c>
      <c r="G930" s="71">
        <v>25753688863</v>
      </c>
      <c r="H930" s="70" t="s">
        <v>68</v>
      </c>
    </row>
    <row r="931" spans="1:8" ht="17.25" customHeight="1" x14ac:dyDescent="0.2">
      <c r="A931" s="69">
        <v>2016</v>
      </c>
      <c r="B931" s="70" t="s">
        <v>66</v>
      </c>
      <c r="C931" s="70" t="s">
        <v>27</v>
      </c>
      <c r="D931" s="70" t="s">
        <v>33</v>
      </c>
      <c r="E931" s="70" t="s">
        <v>69</v>
      </c>
      <c r="F931" s="70" t="s">
        <v>71</v>
      </c>
      <c r="G931" s="71">
        <v>10340858824</v>
      </c>
      <c r="H931" s="70" t="s">
        <v>68</v>
      </c>
    </row>
    <row r="932" spans="1:8" ht="17.25" customHeight="1" x14ac:dyDescent="0.2">
      <c r="A932" s="69">
        <v>2016</v>
      </c>
      <c r="B932" s="70" t="s">
        <v>66</v>
      </c>
      <c r="C932" s="70" t="s">
        <v>27</v>
      </c>
      <c r="D932" s="70" t="s">
        <v>33</v>
      </c>
      <c r="E932" s="70" t="s">
        <v>69</v>
      </c>
      <c r="F932" s="70" t="s">
        <v>70</v>
      </c>
      <c r="G932" s="71">
        <v>25332061660</v>
      </c>
      <c r="H932" s="70" t="s">
        <v>68</v>
      </c>
    </row>
    <row r="933" spans="1:8" ht="17.25" customHeight="1" x14ac:dyDescent="0.2">
      <c r="A933" s="69">
        <v>2016</v>
      </c>
      <c r="B933" s="70" t="s">
        <v>66</v>
      </c>
      <c r="C933" s="70" t="s">
        <v>35</v>
      </c>
      <c r="D933" s="70" t="s">
        <v>34</v>
      </c>
      <c r="E933" s="70" t="s">
        <v>67</v>
      </c>
      <c r="F933" s="70" t="s">
        <v>67</v>
      </c>
      <c r="G933" s="71">
        <v>3105416673</v>
      </c>
      <c r="H933" s="70" t="s">
        <v>68</v>
      </c>
    </row>
    <row r="934" spans="1:8" ht="17.25" customHeight="1" x14ac:dyDescent="0.2">
      <c r="A934" s="69">
        <v>2016</v>
      </c>
      <c r="B934" s="70" t="s">
        <v>66</v>
      </c>
      <c r="C934" s="70" t="s">
        <v>35</v>
      </c>
      <c r="D934" s="70" t="s">
        <v>34</v>
      </c>
      <c r="E934" s="70" t="s">
        <v>69</v>
      </c>
      <c r="F934" s="70" t="s">
        <v>71</v>
      </c>
      <c r="G934" s="71">
        <v>575617134</v>
      </c>
      <c r="H934" s="70" t="s">
        <v>68</v>
      </c>
    </row>
    <row r="935" spans="1:8" ht="17.25" customHeight="1" x14ac:dyDescent="0.2">
      <c r="A935" s="69">
        <v>2016</v>
      </c>
      <c r="B935" s="70" t="s">
        <v>66</v>
      </c>
      <c r="C935" s="70" t="s">
        <v>35</v>
      </c>
      <c r="D935" s="70" t="s">
        <v>34</v>
      </c>
      <c r="E935" s="70" t="s">
        <v>69</v>
      </c>
      <c r="F935" s="70" t="s">
        <v>70</v>
      </c>
      <c r="G935" s="71">
        <v>435736190</v>
      </c>
      <c r="H935" s="70" t="s">
        <v>68</v>
      </c>
    </row>
    <row r="936" spans="1:8" ht="17.25" customHeight="1" x14ac:dyDescent="0.2">
      <c r="A936" s="69">
        <v>2016</v>
      </c>
      <c r="B936" s="70" t="s">
        <v>66</v>
      </c>
      <c r="C936" s="70" t="s">
        <v>35</v>
      </c>
      <c r="D936" s="70" t="s">
        <v>36</v>
      </c>
      <c r="E936" s="70" t="s">
        <v>67</v>
      </c>
      <c r="F936" s="70" t="s">
        <v>67</v>
      </c>
      <c r="G936" s="71">
        <v>11383405061</v>
      </c>
      <c r="H936" s="70" t="s">
        <v>68</v>
      </c>
    </row>
    <row r="937" spans="1:8" ht="17.25" customHeight="1" x14ac:dyDescent="0.2">
      <c r="A937" s="69">
        <v>2016</v>
      </c>
      <c r="B937" s="70" t="s">
        <v>66</v>
      </c>
      <c r="C937" s="70" t="s">
        <v>35</v>
      </c>
      <c r="D937" s="70" t="s">
        <v>36</v>
      </c>
      <c r="E937" s="70" t="s">
        <v>69</v>
      </c>
      <c r="F937" s="70" t="s">
        <v>71</v>
      </c>
      <c r="G937" s="71">
        <v>3967964739</v>
      </c>
      <c r="H937" s="70" t="s">
        <v>68</v>
      </c>
    </row>
    <row r="938" spans="1:8" ht="17.25" customHeight="1" x14ac:dyDescent="0.2">
      <c r="A938" s="69">
        <v>2016</v>
      </c>
      <c r="B938" s="70" t="s">
        <v>66</v>
      </c>
      <c r="C938" s="70" t="s">
        <v>35</v>
      </c>
      <c r="D938" s="70" t="s">
        <v>36</v>
      </c>
      <c r="E938" s="70" t="s">
        <v>69</v>
      </c>
      <c r="F938" s="70" t="s">
        <v>70</v>
      </c>
      <c r="G938" s="71">
        <v>2117480390</v>
      </c>
      <c r="H938" s="70" t="s">
        <v>68</v>
      </c>
    </row>
    <row r="939" spans="1:8" ht="17.25" customHeight="1" x14ac:dyDescent="0.2">
      <c r="A939" s="69">
        <v>2016</v>
      </c>
      <c r="B939" s="70" t="s">
        <v>66</v>
      </c>
      <c r="C939" s="70" t="s">
        <v>35</v>
      </c>
      <c r="D939" s="70" t="s">
        <v>37</v>
      </c>
      <c r="E939" s="70" t="s">
        <v>67</v>
      </c>
      <c r="F939" s="70" t="s">
        <v>67</v>
      </c>
      <c r="G939" s="71">
        <v>3114316678</v>
      </c>
      <c r="H939" s="70" t="s">
        <v>68</v>
      </c>
    </row>
    <row r="940" spans="1:8" ht="17.25" customHeight="1" x14ac:dyDescent="0.2">
      <c r="A940" s="69">
        <v>2016</v>
      </c>
      <c r="B940" s="70" t="s">
        <v>66</v>
      </c>
      <c r="C940" s="70" t="s">
        <v>35</v>
      </c>
      <c r="D940" s="70" t="s">
        <v>37</v>
      </c>
      <c r="E940" s="70" t="s">
        <v>69</v>
      </c>
      <c r="F940" s="70" t="s">
        <v>71</v>
      </c>
      <c r="G940" s="71">
        <v>748510693</v>
      </c>
      <c r="H940" s="70" t="s">
        <v>68</v>
      </c>
    </row>
    <row r="941" spans="1:8" ht="17.25" customHeight="1" x14ac:dyDescent="0.2">
      <c r="A941" s="69">
        <v>2016</v>
      </c>
      <c r="B941" s="70" t="s">
        <v>66</v>
      </c>
      <c r="C941" s="70" t="s">
        <v>35</v>
      </c>
      <c r="D941" s="70" t="s">
        <v>37</v>
      </c>
      <c r="E941" s="70" t="s">
        <v>69</v>
      </c>
      <c r="F941" s="70" t="s">
        <v>70</v>
      </c>
      <c r="G941" s="71">
        <v>796114677</v>
      </c>
      <c r="H941" s="70" t="s">
        <v>68</v>
      </c>
    </row>
    <row r="942" spans="1:8" ht="17.25" customHeight="1" x14ac:dyDescent="0.2">
      <c r="A942" s="69">
        <v>2016</v>
      </c>
      <c r="B942" s="70" t="s">
        <v>66</v>
      </c>
      <c r="C942" s="70" t="s">
        <v>35</v>
      </c>
      <c r="D942" s="70" t="s">
        <v>38</v>
      </c>
      <c r="E942" s="70" t="s">
        <v>67</v>
      </c>
      <c r="F942" s="70" t="s">
        <v>67</v>
      </c>
      <c r="G942" s="71">
        <v>5148422182</v>
      </c>
      <c r="H942" s="70" t="s">
        <v>68</v>
      </c>
    </row>
    <row r="943" spans="1:8" ht="17.25" customHeight="1" x14ac:dyDescent="0.2">
      <c r="A943" s="69">
        <v>2016</v>
      </c>
      <c r="B943" s="70" t="s">
        <v>66</v>
      </c>
      <c r="C943" s="70" t="s">
        <v>35</v>
      </c>
      <c r="D943" s="70" t="s">
        <v>38</v>
      </c>
      <c r="E943" s="70" t="s">
        <v>69</v>
      </c>
      <c r="F943" s="70" t="s">
        <v>71</v>
      </c>
      <c r="G943" s="71">
        <v>1166455616</v>
      </c>
      <c r="H943" s="70" t="s">
        <v>68</v>
      </c>
    </row>
    <row r="944" spans="1:8" ht="17.25" customHeight="1" x14ac:dyDescent="0.2">
      <c r="A944" s="69">
        <v>2016</v>
      </c>
      <c r="B944" s="70" t="s">
        <v>66</v>
      </c>
      <c r="C944" s="70" t="s">
        <v>35</v>
      </c>
      <c r="D944" s="70" t="s">
        <v>38</v>
      </c>
      <c r="E944" s="70" t="s">
        <v>69</v>
      </c>
      <c r="F944" s="70" t="s">
        <v>70</v>
      </c>
      <c r="G944" s="71">
        <v>1145833748</v>
      </c>
      <c r="H944" s="70" t="s">
        <v>68</v>
      </c>
    </row>
    <row r="945" spans="1:8" ht="17.25" customHeight="1" x14ac:dyDescent="0.2">
      <c r="A945" s="69">
        <v>2016</v>
      </c>
      <c r="B945" s="70" t="s">
        <v>66</v>
      </c>
      <c r="C945" s="70" t="s">
        <v>35</v>
      </c>
      <c r="D945" s="70" t="s">
        <v>39</v>
      </c>
      <c r="E945" s="70" t="s">
        <v>67</v>
      </c>
      <c r="F945" s="70" t="s">
        <v>67</v>
      </c>
      <c r="G945" s="71">
        <v>15045476412</v>
      </c>
      <c r="H945" s="70" t="s">
        <v>68</v>
      </c>
    </row>
    <row r="946" spans="1:8" ht="17.25" customHeight="1" x14ac:dyDescent="0.2">
      <c r="A946" s="69">
        <v>2016</v>
      </c>
      <c r="B946" s="70" t="s">
        <v>66</v>
      </c>
      <c r="C946" s="70" t="s">
        <v>35</v>
      </c>
      <c r="D946" s="70" t="s">
        <v>39</v>
      </c>
      <c r="E946" s="70" t="s">
        <v>69</v>
      </c>
      <c r="F946" s="70" t="s">
        <v>71</v>
      </c>
      <c r="G946" s="71">
        <v>3870514184</v>
      </c>
      <c r="H946" s="70" t="s">
        <v>68</v>
      </c>
    </row>
    <row r="947" spans="1:8" ht="17.25" customHeight="1" x14ac:dyDescent="0.2">
      <c r="A947" s="69">
        <v>2016</v>
      </c>
      <c r="B947" s="70" t="s">
        <v>66</v>
      </c>
      <c r="C947" s="70" t="s">
        <v>35</v>
      </c>
      <c r="D947" s="70" t="s">
        <v>39</v>
      </c>
      <c r="E947" s="70" t="s">
        <v>69</v>
      </c>
      <c r="F947" s="70" t="s">
        <v>70</v>
      </c>
      <c r="G947" s="71">
        <v>2957675857</v>
      </c>
      <c r="H947" s="70" t="s">
        <v>68</v>
      </c>
    </row>
    <row r="948" spans="1:8" ht="17.25" customHeight="1" x14ac:dyDescent="0.2">
      <c r="A948" s="69">
        <v>2016</v>
      </c>
      <c r="B948" s="70" t="s">
        <v>66</v>
      </c>
      <c r="C948" s="70" t="s">
        <v>41</v>
      </c>
      <c r="D948" s="70" t="s">
        <v>40</v>
      </c>
      <c r="E948" s="70" t="s">
        <v>67</v>
      </c>
      <c r="F948" s="70" t="s">
        <v>67</v>
      </c>
      <c r="G948" s="71">
        <v>4184077856</v>
      </c>
      <c r="H948" s="70" t="s">
        <v>68</v>
      </c>
    </row>
    <row r="949" spans="1:8" ht="17.25" customHeight="1" x14ac:dyDescent="0.2">
      <c r="A949" s="69">
        <v>2016</v>
      </c>
      <c r="B949" s="70" t="s">
        <v>66</v>
      </c>
      <c r="C949" s="70" t="s">
        <v>41</v>
      </c>
      <c r="D949" s="70" t="s">
        <v>40</v>
      </c>
      <c r="E949" s="70" t="s">
        <v>69</v>
      </c>
      <c r="F949" s="70" t="s">
        <v>71</v>
      </c>
      <c r="G949" s="71">
        <v>335481343</v>
      </c>
      <c r="H949" s="70" t="s">
        <v>68</v>
      </c>
    </row>
    <row r="950" spans="1:8" ht="17.25" customHeight="1" x14ac:dyDescent="0.2">
      <c r="A950" s="69">
        <v>2016</v>
      </c>
      <c r="B950" s="70" t="s">
        <v>66</v>
      </c>
      <c r="C950" s="70" t="s">
        <v>41</v>
      </c>
      <c r="D950" s="70" t="s">
        <v>40</v>
      </c>
      <c r="E950" s="70" t="s">
        <v>69</v>
      </c>
      <c r="F950" s="70" t="s">
        <v>70</v>
      </c>
      <c r="G950" s="71">
        <v>233300352</v>
      </c>
      <c r="H950" s="70" t="s">
        <v>68</v>
      </c>
    </row>
    <row r="951" spans="1:8" ht="17.25" customHeight="1" x14ac:dyDescent="0.2">
      <c r="A951" s="69">
        <v>2016</v>
      </c>
      <c r="B951" s="70" t="s">
        <v>66</v>
      </c>
      <c r="C951" s="70" t="s">
        <v>41</v>
      </c>
      <c r="D951" s="70" t="s">
        <v>42</v>
      </c>
      <c r="E951" s="70" t="s">
        <v>67</v>
      </c>
      <c r="F951" s="70" t="s">
        <v>67</v>
      </c>
      <c r="G951" s="71">
        <v>7752760431</v>
      </c>
      <c r="H951" s="70" t="s">
        <v>68</v>
      </c>
    </row>
    <row r="952" spans="1:8" ht="17.25" customHeight="1" x14ac:dyDescent="0.2">
      <c r="A952" s="69">
        <v>2016</v>
      </c>
      <c r="B952" s="70" t="s">
        <v>66</v>
      </c>
      <c r="C952" s="70" t="s">
        <v>41</v>
      </c>
      <c r="D952" s="70" t="s">
        <v>42</v>
      </c>
      <c r="E952" s="70" t="s">
        <v>69</v>
      </c>
      <c r="F952" s="70" t="s">
        <v>71</v>
      </c>
      <c r="G952" s="71">
        <v>844589703</v>
      </c>
      <c r="H952" s="70" t="s">
        <v>68</v>
      </c>
    </row>
    <row r="953" spans="1:8" ht="17.25" customHeight="1" x14ac:dyDescent="0.2">
      <c r="A953" s="69">
        <v>2016</v>
      </c>
      <c r="B953" s="70" t="s">
        <v>66</v>
      </c>
      <c r="C953" s="70" t="s">
        <v>41</v>
      </c>
      <c r="D953" s="70" t="s">
        <v>42</v>
      </c>
      <c r="E953" s="70" t="s">
        <v>69</v>
      </c>
      <c r="F953" s="70" t="s">
        <v>70</v>
      </c>
      <c r="G953" s="71">
        <v>1695405537</v>
      </c>
      <c r="H953" s="70" t="s">
        <v>68</v>
      </c>
    </row>
    <row r="954" spans="1:8" ht="17.25" customHeight="1" x14ac:dyDescent="0.2">
      <c r="A954" s="69">
        <v>2016</v>
      </c>
      <c r="B954" s="70" t="s">
        <v>66</v>
      </c>
      <c r="C954" s="70" t="s">
        <v>41</v>
      </c>
      <c r="D954" s="70" t="s">
        <v>43</v>
      </c>
      <c r="E954" s="70" t="s">
        <v>67</v>
      </c>
      <c r="F954" s="70" t="s">
        <v>67</v>
      </c>
      <c r="G954" s="71">
        <v>7827497763</v>
      </c>
      <c r="H954" s="70" t="s">
        <v>68</v>
      </c>
    </row>
    <row r="955" spans="1:8" ht="17.25" customHeight="1" x14ac:dyDescent="0.2">
      <c r="A955" s="69">
        <v>2016</v>
      </c>
      <c r="B955" s="70" t="s">
        <v>66</v>
      </c>
      <c r="C955" s="70" t="s">
        <v>41</v>
      </c>
      <c r="D955" s="70" t="s">
        <v>43</v>
      </c>
      <c r="E955" s="70" t="s">
        <v>69</v>
      </c>
      <c r="F955" s="70" t="s">
        <v>71</v>
      </c>
      <c r="G955" s="71">
        <v>1313722783</v>
      </c>
      <c r="H955" s="70" t="s">
        <v>68</v>
      </c>
    </row>
    <row r="956" spans="1:8" ht="17.25" customHeight="1" x14ac:dyDescent="0.2">
      <c r="A956" s="69">
        <v>2016</v>
      </c>
      <c r="B956" s="70" t="s">
        <v>66</v>
      </c>
      <c r="C956" s="70" t="s">
        <v>41</v>
      </c>
      <c r="D956" s="70" t="s">
        <v>43</v>
      </c>
      <c r="E956" s="70" t="s">
        <v>69</v>
      </c>
      <c r="F956" s="70" t="s">
        <v>70</v>
      </c>
      <c r="G956" s="71">
        <v>1070948023</v>
      </c>
      <c r="H956" s="70" t="s">
        <v>68</v>
      </c>
    </row>
    <row r="957" spans="1:8" ht="17.25" customHeight="1" x14ac:dyDescent="0.2">
      <c r="A957" s="69">
        <v>2016</v>
      </c>
      <c r="B957" s="70" t="s">
        <v>66</v>
      </c>
      <c r="C957" s="70" t="s">
        <v>41</v>
      </c>
      <c r="D957" s="70" t="s">
        <v>44</v>
      </c>
      <c r="E957" s="70" t="s">
        <v>67</v>
      </c>
      <c r="F957" s="70" t="s">
        <v>67</v>
      </c>
      <c r="G957" s="71">
        <v>9214405800</v>
      </c>
      <c r="H957" s="70" t="s">
        <v>68</v>
      </c>
    </row>
    <row r="958" spans="1:8" ht="17.25" customHeight="1" x14ac:dyDescent="0.2">
      <c r="A958" s="69">
        <v>2016</v>
      </c>
      <c r="B958" s="70" t="s">
        <v>66</v>
      </c>
      <c r="C958" s="70" t="s">
        <v>41</v>
      </c>
      <c r="D958" s="70" t="s">
        <v>44</v>
      </c>
      <c r="E958" s="70" t="s">
        <v>69</v>
      </c>
      <c r="F958" s="70" t="s">
        <v>71</v>
      </c>
      <c r="G958" s="71">
        <v>1597613340</v>
      </c>
      <c r="H958" s="70" t="s">
        <v>68</v>
      </c>
    </row>
    <row r="959" spans="1:8" ht="17.25" customHeight="1" x14ac:dyDescent="0.2">
      <c r="A959" s="69">
        <v>2016</v>
      </c>
      <c r="B959" s="70" t="s">
        <v>66</v>
      </c>
      <c r="C959" s="70" t="s">
        <v>41</v>
      </c>
      <c r="D959" s="70" t="s">
        <v>44</v>
      </c>
      <c r="E959" s="70" t="s">
        <v>69</v>
      </c>
      <c r="F959" s="70" t="s">
        <v>70</v>
      </c>
      <c r="G959" s="71">
        <v>1591041691</v>
      </c>
      <c r="H959" s="70" t="s">
        <v>68</v>
      </c>
    </row>
    <row r="960" spans="1:8" ht="17.25" customHeight="1" x14ac:dyDescent="0.2">
      <c r="A960" s="69">
        <v>2016</v>
      </c>
      <c r="B960" s="70" t="s">
        <v>66</v>
      </c>
      <c r="C960" s="70" t="s">
        <v>41</v>
      </c>
      <c r="D960" s="70" t="s">
        <v>45</v>
      </c>
      <c r="E960" s="70" t="s">
        <v>67</v>
      </c>
      <c r="F960" s="70" t="s">
        <v>67</v>
      </c>
      <c r="G960" s="71">
        <v>23959668915</v>
      </c>
      <c r="H960" s="70" t="s">
        <v>68</v>
      </c>
    </row>
    <row r="961" spans="1:8" ht="17.25" customHeight="1" x14ac:dyDescent="0.2">
      <c r="A961" s="69">
        <v>2016</v>
      </c>
      <c r="B961" s="70" t="s">
        <v>66</v>
      </c>
      <c r="C961" s="70" t="s">
        <v>41</v>
      </c>
      <c r="D961" s="70" t="s">
        <v>45</v>
      </c>
      <c r="E961" s="70" t="s">
        <v>69</v>
      </c>
      <c r="F961" s="70" t="s">
        <v>71</v>
      </c>
      <c r="G961" s="71">
        <v>3884646352</v>
      </c>
      <c r="H961" s="70" t="s">
        <v>68</v>
      </c>
    </row>
    <row r="962" spans="1:8" ht="17.25" customHeight="1" x14ac:dyDescent="0.2">
      <c r="A962" s="69">
        <v>2016</v>
      </c>
      <c r="B962" s="70" t="s">
        <v>66</v>
      </c>
      <c r="C962" s="70" t="s">
        <v>41</v>
      </c>
      <c r="D962" s="70" t="s">
        <v>45</v>
      </c>
      <c r="E962" s="70" t="s">
        <v>69</v>
      </c>
      <c r="F962" s="70" t="s">
        <v>70</v>
      </c>
      <c r="G962" s="71">
        <v>6987621574</v>
      </c>
      <c r="H962" s="70" t="s">
        <v>68</v>
      </c>
    </row>
    <row r="963" spans="1:8" ht="17.25" customHeight="1" x14ac:dyDescent="0.2">
      <c r="A963" s="69">
        <v>2016</v>
      </c>
      <c r="B963" s="70" t="s">
        <v>66</v>
      </c>
      <c r="C963" s="70" t="s">
        <v>47</v>
      </c>
      <c r="D963" s="70" t="s">
        <v>46</v>
      </c>
      <c r="E963" s="70" t="s">
        <v>67</v>
      </c>
      <c r="F963" s="70" t="s">
        <v>67</v>
      </c>
      <c r="G963" s="71">
        <v>19010857022</v>
      </c>
      <c r="H963" s="70" t="s">
        <v>68</v>
      </c>
    </row>
    <row r="964" spans="1:8" ht="17.25" customHeight="1" x14ac:dyDescent="0.2">
      <c r="A964" s="69">
        <v>2016</v>
      </c>
      <c r="B964" s="70" t="s">
        <v>66</v>
      </c>
      <c r="C964" s="70" t="s">
        <v>47</v>
      </c>
      <c r="D964" s="70" t="s">
        <v>46</v>
      </c>
      <c r="E964" s="70" t="s">
        <v>69</v>
      </c>
      <c r="F964" s="70" t="s">
        <v>71</v>
      </c>
      <c r="G964" s="71">
        <v>4430286912</v>
      </c>
      <c r="H964" s="70" t="s">
        <v>68</v>
      </c>
    </row>
    <row r="965" spans="1:8" ht="17.25" customHeight="1" x14ac:dyDescent="0.2">
      <c r="A965" s="69">
        <v>2016</v>
      </c>
      <c r="B965" s="70" t="s">
        <v>66</v>
      </c>
      <c r="C965" s="70" t="s">
        <v>47</v>
      </c>
      <c r="D965" s="70" t="s">
        <v>46</v>
      </c>
      <c r="E965" s="70" t="s">
        <v>69</v>
      </c>
      <c r="F965" s="70" t="s">
        <v>70</v>
      </c>
      <c r="G965" s="71">
        <v>8060224822</v>
      </c>
      <c r="H965" s="70" t="s">
        <v>68</v>
      </c>
    </row>
    <row r="966" spans="1:8" ht="17.25" customHeight="1" x14ac:dyDescent="0.2">
      <c r="A966" s="69">
        <v>2016</v>
      </c>
      <c r="B966" s="70" t="s">
        <v>66</v>
      </c>
      <c r="C966" s="70" t="s">
        <v>47</v>
      </c>
      <c r="D966" s="70" t="s">
        <v>48</v>
      </c>
      <c r="E966" s="70" t="s">
        <v>72</v>
      </c>
      <c r="F966" s="70" t="s">
        <v>73</v>
      </c>
      <c r="G966" s="71">
        <v>88475235918</v>
      </c>
      <c r="H966" s="70" t="s">
        <v>68</v>
      </c>
    </row>
    <row r="967" spans="1:8" ht="17.25" customHeight="1" x14ac:dyDescent="0.2">
      <c r="A967" s="69">
        <v>2016</v>
      </c>
      <c r="B967" s="70" t="s">
        <v>66</v>
      </c>
      <c r="C967" s="70" t="s">
        <v>47</v>
      </c>
      <c r="D967" s="70" t="s">
        <v>48</v>
      </c>
      <c r="E967" s="70" t="s">
        <v>67</v>
      </c>
      <c r="F967" s="70" t="s">
        <v>74</v>
      </c>
      <c r="G967" s="71">
        <v>95801091220</v>
      </c>
      <c r="H967" s="70" t="s">
        <v>68</v>
      </c>
    </row>
    <row r="968" spans="1:8" ht="17.25" customHeight="1" x14ac:dyDescent="0.2">
      <c r="A968" s="69">
        <v>2016</v>
      </c>
      <c r="B968" s="70" t="s">
        <v>66</v>
      </c>
      <c r="C968" s="70" t="s">
        <v>47</v>
      </c>
      <c r="D968" s="70" t="s">
        <v>48</v>
      </c>
      <c r="E968" s="70" t="s">
        <v>69</v>
      </c>
      <c r="F968" s="70" t="s">
        <v>71</v>
      </c>
      <c r="G968" s="71">
        <v>62833999999</v>
      </c>
      <c r="H968" s="70" t="s">
        <v>68</v>
      </c>
    </row>
    <row r="969" spans="1:8" ht="17.25" customHeight="1" x14ac:dyDescent="0.2">
      <c r="A969" s="69">
        <v>2016</v>
      </c>
      <c r="B969" s="70" t="s">
        <v>66</v>
      </c>
      <c r="C969" s="70" t="s">
        <v>47</v>
      </c>
      <c r="D969" s="70" t="s">
        <v>48</v>
      </c>
      <c r="E969" s="70" t="s">
        <v>69</v>
      </c>
      <c r="F969" s="70" t="s">
        <v>70</v>
      </c>
      <c r="G969" s="71">
        <v>102438760777</v>
      </c>
      <c r="H969" s="70" t="s">
        <v>68</v>
      </c>
    </row>
    <row r="970" spans="1:8" ht="17.25" customHeight="1" x14ac:dyDescent="0.2">
      <c r="A970" s="69">
        <v>2017</v>
      </c>
      <c r="B970" s="70" t="s">
        <v>66</v>
      </c>
      <c r="C970" s="70" t="s">
        <v>4</v>
      </c>
      <c r="D970" s="70" t="s">
        <v>3</v>
      </c>
      <c r="E970" s="70" t="s">
        <v>67</v>
      </c>
      <c r="F970" s="70" t="s">
        <v>67</v>
      </c>
      <c r="G970" s="71">
        <v>19088813719</v>
      </c>
      <c r="H970" s="70" t="s">
        <v>68</v>
      </c>
    </row>
    <row r="971" spans="1:8" ht="17.25" customHeight="1" x14ac:dyDescent="0.2">
      <c r="A971" s="69">
        <v>2017</v>
      </c>
      <c r="B971" s="70" t="s">
        <v>66</v>
      </c>
      <c r="C971" s="70" t="s">
        <v>4</v>
      </c>
      <c r="D971" s="70" t="s">
        <v>3</v>
      </c>
      <c r="E971" s="70" t="s">
        <v>69</v>
      </c>
      <c r="F971" s="70" t="s">
        <v>71</v>
      </c>
      <c r="G971" s="71">
        <v>4378754250</v>
      </c>
      <c r="H971" s="70" t="s">
        <v>68</v>
      </c>
    </row>
    <row r="972" spans="1:8" ht="17.25" customHeight="1" x14ac:dyDescent="0.2">
      <c r="A972" s="69">
        <v>2017</v>
      </c>
      <c r="B972" s="70" t="s">
        <v>66</v>
      </c>
      <c r="C972" s="70" t="s">
        <v>4</v>
      </c>
      <c r="D972" s="70" t="s">
        <v>3</v>
      </c>
      <c r="E972" s="70" t="s">
        <v>69</v>
      </c>
      <c r="F972" s="70" t="s">
        <v>70</v>
      </c>
      <c r="G972" s="71">
        <v>9294957547</v>
      </c>
      <c r="H972" s="70" t="s">
        <v>68</v>
      </c>
    </row>
    <row r="973" spans="1:8" ht="17.25" customHeight="1" x14ac:dyDescent="0.2">
      <c r="A973" s="69">
        <v>2017</v>
      </c>
      <c r="B973" s="70" t="s">
        <v>66</v>
      </c>
      <c r="C973" s="70" t="s">
        <v>4</v>
      </c>
      <c r="D973" s="70" t="s">
        <v>5</v>
      </c>
      <c r="E973" s="70" t="s">
        <v>67</v>
      </c>
      <c r="F973" s="70" t="s">
        <v>67</v>
      </c>
      <c r="G973" s="71">
        <v>83845995775</v>
      </c>
      <c r="H973" s="70" t="s">
        <v>68</v>
      </c>
    </row>
    <row r="974" spans="1:8" ht="17.25" customHeight="1" x14ac:dyDescent="0.2">
      <c r="A974" s="69">
        <v>2017</v>
      </c>
      <c r="B974" s="70" t="s">
        <v>66</v>
      </c>
      <c r="C974" s="70" t="s">
        <v>4</v>
      </c>
      <c r="D974" s="70" t="s">
        <v>5</v>
      </c>
      <c r="E974" s="70" t="s">
        <v>69</v>
      </c>
      <c r="F974" s="70" t="s">
        <v>71</v>
      </c>
      <c r="G974" s="71">
        <v>35280328436</v>
      </c>
      <c r="H974" s="70" t="s">
        <v>68</v>
      </c>
    </row>
    <row r="975" spans="1:8" ht="17.25" customHeight="1" x14ac:dyDescent="0.2">
      <c r="A975" s="69">
        <v>2017</v>
      </c>
      <c r="B975" s="70" t="s">
        <v>66</v>
      </c>
      <c r="C975" s="70" t="s">
        <v>4</v>
      </c>
      <c r="D975" s="70" t="s">
        <v>5</v>
      </c>
      <c r="E975" s="70" t="s">
        <v>69</v>
      </c>
      <c r="F975" s="70" t="s">
        <v>70</v>
      </c>
      <c r="G975" s="71">
        <v>32009994253</v>
      </c>
      <c r="H975" s="70" t="s">
        <v>68</v>
      </c>
    </row>
    <row r="976" spans="1:8" ht="17.25" customHeight="1" x14ac:dyDescent="0.2">
      <c r="A976" s="69">
        <v>2017</v>
      </c>
      <c r="B976" s="70" t="s">
        <v>66</v>
      </c>
      <c r="C976" s="70" t="s">
        <v>4</v>
      </c>
      <c r="D976" s="70" t="s">
        <v>6</v>
      </c>
      <c r="E976" s="70" t="s">
        <v>67</v>
      </c>
      <c r="F976" s="70" t="s">
        <v>67</v>
      </c>
      <c r="G976" s="71">
        <v>10208007936</v>
      </c>
      <c r="H976" s="70" t="s">
        <v>68</v>
      </c>
    </row>
    <row r="977" spans="1:8" ht="17.25" customHeight="1" x14ac:dyDescent="0.2">
      <c r="A977" s="69">
        <v>2017</v>
      </c>
      <c r="B977" s="70" t="s">
        <v>66</v>
      </c>
      <c r="C977" s="70" t="s">
        <v>4</v>
      </c>
      <c r="D977" s="70" t="s">
        <v>6</v>
      </c>
      <c r="E977" s="70" t="s">
        <v>69</v>
      </c>
      <c r="F977" s="70" t="s">
        <v>71</v>
      </c>
      <c r="G977" s="71">
        <v>846625220</v>
      </c>
      <c r="H977" s="70" t="s">
        <v>68</v>
      </c>
    </row>
    <row r="978" spans="1:8" ht="17.25" customHeight="1" x14ac:dyDescent="0.2">
      <c r="A978" s="69">
        <v>2017</v>
      </c>
      <c r="B978" s="70" t="s">
        <v>66</v>
      </c>
      <c r="C978" s="70" t="s">
        <v>4</v>
      </c>
      <c r="D978" s="70" t="s">
        <v>6</v>
      </c>
      <c r="E978" s="70" t="s">
        <v>69</v>
      </c>
      <c r="F978" s="70" t="s">
        <v>70</v>
      </c>
      <c r="G978" s="71">
        <v>1180016041</v>
      </c>
      <c r="H978" s="70" t="s">
        <v>68</v>
      </c>
    </row>
    <row r="979" spans="1:8" ht="17.25" customHeight="1" x14ac:dyDescent="0.2">
      <c r="A979" s="69">
        <v>2017</v>
      </c>
      <c r="B979" s="70" t="s">
        <v>66</v>
      </c>
      <c r="C979" s="70" t="s">
        <v>4</v>
      </c>
      <c r="D979" s="70" t="s">
        <v>7</v>
      </c>
      <c r="E979" s="70" t="s">
        <v>67</v>
      </c>
      <c r="F979" s="70" t="s">
        <v>67</v>
      </c>
      <c r="G979" s="71">
        <v>18735709025</v>
      </c>
      <c r="H979" s="70" t="s">
        <v>68</v>
      </c>
    </row>
    <row r="980" spans="1:8" ht="17.25" customHeight="1" x14ac:dyDescent="0.2">
      <c r="A980" s="69">
        <v>2017</v>
      </c>
      <c r="B980" s="70" t="s">
        <v>66</v>
      </c>
      <c r="C980" s="70" t="s">
        <v>4</v>
      </c>
      <c r="D980" s="70" t="s">
        <v>7</v>
      </c>
      <c r="E980" s="70" t="s">
        <v>69</v>
      </c>
      <c r="F980" s="70" t="s">
        <v>71</v>
      </c>
      <c r="G980" s="71">
        <v>5688625552</v>
      </c>
      <c r="H980" s="70" t="s">
        <v>68</v>
      </c>
    </row>
    <row r="981" spans="1:8" ht="17.25" customHeight="1" x14ac:dyDescent="0.2">
      <c r="A981" s="69">
        <v>2017</v>
      </c>
      <c r="B981" s="70" t="s">
        <v>66</v>
      </c>
      <c r="C981" s="70" t="s">
        <v>4</v>
      </c>
      <c r="D981" s="70" t="s">
        <v>7</v>
      </c>
      <c r="E981" s="70" t="s">
        <v>69</v>
      </c>
      <c r="F981" s="70" t="s">
        <v>70</v>
      </c>
      <c r="G981" s="71">
        <v>6729519398</v>
      </c>
      <c r="H981" s="70" t="s">
        <v>68</v>
      </c>
    </row>
    <row r="982" spans="1:8" ht="17.25" customHeight="1" x14ac:dyDescent="0.2">
      <c r="A982" s="69">
        <v>2017</v>
      </c>
      <c r="B982" s="70" t="s">
        <v>66</v>
      </c>
      <c r="C982" s="70" t="s">
        <v>4</v>
      </c>
      <c r="D982" s="70" t="s">
        <v>8</v>
      </c>
      <c r="E982" s="70" t="s">
        <v>67</v>
      </c>
      <c r="F982" s="70" t="s">
        <v>67</v>
      </c>
      <c r="G982" s="71">
        <v>9380687842</v>
      </c>
      <c r="H982" s="70" t="s">
        <v>68</v>
      </c>
    </row>
    <row r="983" spans="1:8" ht="17.25" customHeight="1" x14ac:dyDescent="0.2">
      <c r="A983" s="69">
        <v>2017</v>
      </c>
      <c r="B983" s="70" t="s">
        <v>66</v>
      </c>
      <c r="C983" s="70" t="s">
        <v>4</v>
      </c>
      <c r="D983" s="70" t="s">
        <v>8</v>
      </c>
      <c r="E983" s="70" t="s">
        <v>69</v>
      </c>
      <c r="F983" s="70" t="s">
        <v>71</v>
      </c>
      <c r="G983" s="71">
        <v>1959753275</v>
      </c>
      <c r="H983" s="70" t="s">
        <v>68</v>
      </c>
    </row>
    <row r="984" spans="1:8" ht="17.25" customHeight="1" x14ac:dyDescent="0.2">
      <c r="A984" s="69">
        <v>2017</v>
      </c>
      <c r="B984" s="70" t="s">
        <v>66</v>
      </c>
      <c r="C984" s="70" t="s">
        <v>4</v>
      </c>
      <c r="D984" s="70" t="s">
        <v>8</v>
      </c>
      <c r="E984" s="70" t="s">
        <v>69</v>
      </c>
      <c r="F984" s="70" t="s">
        <v>70</v>
      </c>
      <c r="G984" s="71">
        <v>1464009797</v>
      </c>
      <c r="H984" s="70" t="s">
        <v>68</v>
      </c>
    </row>
    <row r="985" spans="1:8" ht="17.25" customHeight="1" x14ac:dyDescent="0.2">
      <c r="A985" s="69">
        <v>2017</v>
      </c>
      <c r="B985" s="70" t="s">
        <v>66</v>
      </c>
      <c r="C985" s="70" t="s">
        <v>4</v>
      </c>
      <c r="D985" s="70" t="s">
        <v>9</v>
      </c>
      <c r="E985" s="70" t="s">
        <v>67</v>
      </c>
      <c r="F985" s="70" t="s">
        <v>67</v>
      </c>
      <c r="G985" s="71">
        <v>57566795206</v>
      </c>
      <c r="H985" s="70" t="s">
        <v>68</v>
      </c>
    </row>
    <row r="986" spans="1:8" ht="17.25" customHeight="1" x14ac:dyDescent="0.2">
      <c r="A986" s="69">
        <v>2017</v>
      </c>
      <c r="B986" s="70" t="s">
        <v>66</v>
      </c>
      <c r="C986" s="70" t="s">
        <v>4</v>
      </c>
      <c r="D986" s="70" t="s">
        <v>9</v>
      </c>
      <c r="E986" s="70" t="s">
        <v>69</v>
      </c>
      <c r="F986" s="70" t="s">
        <v>71</v>
      </c>
      <c r="G986" s="71">
        <v>15178636560</v>
      </c>
      <c r="H986" s="70" t="s">
        <v>68</v>
      </c>
    </row>
    <row r="987" spans="1:8" ht="17.25" customHeight="1" x14ac:dyDescent="0.2">
      <c r="A987" s="69">
        <v>2017</v>
      </c>
      <c r="B987" s="70" t="s">
        <v>66</v>
      </c>
      <c r="C987" s="70" t="s">
        <v>4</v>
      </c>
      <c r="D987" s="70" t="s">
        <v>9</v>
      </c>
      <c r="E987" s="70" t="s">
        <v>69</v>
      </c>
      <c r="F987" s="70" t="s">
        <v>70</v>
      </c>
      <c r="G987" s="71">
        <v>22965010237</v>
      </c>
      <c r="H987" s="70" t="s">
        <v>68</v>
      </c>
    </row>
    <row r="988" spans="1:8" ht="17.25" customHeight="1" x14ac:dyDescent="0.2">
      <c r="A988" s="69">
        <v>2017</v>
      </c>
      <c r="B988" s="70" t="s">
        <v>66</v>
      </c>
      <c r="C988" s="70" t="s">
        <v>4</v>
      </c>
      <c r="D988" s="70" t="s">
        <v>10</v>
      </c>
      <c r="E988" s="70" t="s">
        <v>67</v>
      </c>
      <c r="F988" s="70" t="s">
        <v>67</v>
      </c>
      <c r="G988" s="71">
        <v>1532749004</v>
      </c>
      <c r="H988" s="70" t="s">
        <v>68</v>
      </c>
    </row>
    <row r="989" spans="1:8" ht="17.25" customHeight="1" x14ac:dyDescent="0.2">
      <c r="A989" s="69">
        <v>2017</v>
      </c>
      <c r="B989" s="70" t="s">
        <v>66</v>
      </c>
      <c r="C989" s="70" t="s">
        <v>4</v>
      </c>
      <c r="D989" s="70" t="s">
        <v>10</v>
      </c>
      <c r="E989" s="70" t="s">
        <v>69</v>
      </c>
      <c r="F989" s="70" t="s">
        <v>71</v>
      </c>
      <c r="G989" s="71">
        <v>263354147</v>
      </c>
      <c r="H989" s="70" t="s">
        <v>68</v>
      </c>
    </row>
    <row r="990" spans="1:8" ht="17.25" customHeight="1" x14ac:dyDescent="0.2">
      <c r="A990" s="69">
        <v>2017</v>
      </c>
      <c r="B990" s="70" t="s">
        <v>66</v>
      </c>
      <c r="C990" s="70" t="s">
        <v>4</v>
      </c>
      <c r="D990" s="70" t="s">
        <v>10</v>
      </c>
      <c r="E990" s="70" t="s">
        <v>69</v>
      </c>
      <c r="F990" s="70" t="s">
        <v>70</v>
      </c>
      <c r="G990" s="71">
        <v>61774430</v>
      </c>
      <c r="H990" s="70" t="s">
        <v>68</v>
      </c>
    </row>
    <row r="991" spans="1:8" ht="17.25" customHeight="1" x14ac:dyDescent="0.2">
      <c r="A991" s="69">
        <v>2017</v>
      </c>
      <c r="B991" s="70" t="s">
        <v>66</v>
      </c>
      <c r="C991" s="70" t="s">
        <v>4</v>
      </c>
      <c r="D991" s="70" t="s">
        <v>11</v>
      </c>
      <c r="E991" s="70" t="s">
        <v>67</v>
      </c>
      <c r="F991" s="70" t="s">
        <v>67</v>
      </c>
      <c r="G991" s="71">
        <v>5051418133</v>
      </c>
      <c r="H991" s="70" t="s">
        <v>68</v>
      </c>
    </row>
    <row r="992" spans="1:8" ht="17.25" customHeight="1" x14ac:dyDescent="0.2">
      <c r="A992" s="69">
        <v>2017</v>
      </c>
      <c r="B992" s="70" t="s">
        <v>66</v>
      </c>
      <c r="C992" s="70" t="s">
        <v>4</v>
      </c>
      <c r="D992" s="70" t="s">
        <v>11</v>
      </c>
      <c r="E992" s="70" t="s">
        <v>69</v>
      </c>
      <c r="F992" s="70" t="s">
        <v>71</v>
      </c>
      <c r="G992" s="71">
        <v>1281353418</v>
      </c>
      <c r="H992" s="70" t="s">
        <v>68</v>
      </c>
    </row>
    <row r="993" spans="1:8" ht="17.25" customHeight="1" x14ac:dyDescent="0.2">
      <c r="A993" s="69">
        <v>2017</v>
      </c>
      <c r="B993" s="70" t="s">
        <v>66</v>
      </c>
      <c r="C993" s="70" t="s">
        <v>4</v>
      </c>
      <c r="D993" s="70" t="s">
        <v>11</v>
      </c>
      <c r="E993" s="70" t="s">
        <v>69</v>
      </c>
      <c r="F993" s="70" t="s">
        <v>70</v>
      </c>
      <c r="G993" s="71">
        <v>2815754265</v>
      </c>
      <c r="H993" s="70" t="s">
        <v>68</v>
      </c>
    </row>
    <row r="994" spans="1:8" ht="17.25" customHeight="1" x14ac:dyDescent="0.2">
      <c r="A994" s="69">
        <v>2017</v>
      </c>
      <c r="B994" s="70" t="s">
        <v>66</v>
      </c>
      <c r="C994" s="70" t="s">
        <v>4</v>
      </c>
      <c r="D994" s="70" t="s">
        <v>12</v>
      </c>
      <c r="E994" s="70" t="s">
        <v>67</v>
      </c>
      <c r="F994" s="70" t="s">
        <v>67</v>
      </c>
      <c r="G994" s="71">
        <v>7069872206</v>
      </c>
      <c r="H994" s="70" t="s">
        <v>68</v>
      </c>
    </row>
    <row r="995" spans="1:8" ht="17.25" customHeight="1" x14ac:dyDescent="0.2">
      <c r="A995" s="69">
        <v>2017</v>
      </c>
      <c r="B995" s="70" t="s">
        <v>66</v>
      </c>
      <c r="C995" s="70" t="s">
        <v>4</v>
      </c>
      <c r="D995" s="70" t="s">
        <v>12</v>
      </c>
      <c r="E995" s="70" t="s">
        <v>69</v>
      </c>
      <c r="F995" s="70" t="s">
        <v>71</v>
      </c>
      <c r="G995" s="71">
        <v>1330235641</v>
      </c>
      <c r="H995" s="70" t="s">
        <v>68</v>
      </c>
    </row>
    <row r="996" spans="1:8" ht="17.25" customHeight="1" x14ac:dyDescent="0.2">
      <c r="A996" s="69">
        <v>2017</v>
      </c>
      <c r="B996" s="70" t="s">
        <v>66</v>
      </c>
      <c r="C996" s="70" t="s">
        <v>4</v>
      </c>
      <c r="D996" s="70" t="s">
        <v>12</v>
      </c>
      <c r="E996" s="70" t="s">
        <v>69</v>
      </c>
      <c r="F996" s="70" t="s">
        <v>70</v>
      </c>
      <c r="G996" s="71">
        <v>3270380658</v>
      </c>
      <c r="H996" s="70" t="s">
        <v>68</v>
      </c>
    </row>
    <row r="997" spans="1:8" ht="17.25" customHeight="1" x14ac:dyDescent="0.2">
      <c r="A997" s="69">
        <v>2017</v>
      </c>
      <c r="B997" s="70" t="s">
        <v>66</v>
      </c>
      <c r="C997" s="70" t="s">
        <v>4</v>
      </c>
      <c r="D997" s="70" t="s">
        <v>13</v>
      </c>
      <c r="E997" s="70" t="s">
        <v>67</v>
      </c>
      <c r="F997" s="70" t="s">
        <v>67</v>
      </c>
      <c r="G997" s="71">
        <v>9583131426</v>
      </c>
      <c r="H997" s="70" t="s">
        <v>68</v>
      </c>
    </row>
    <row r="998" spans="1:8" ht="17.25" customHeight="1" x14ac:dyDescent="0.2">
      <c r="A998" s="69">
        <v>2017</v>
      </c>
      <c r="B998" s="70" t="s">
        <v>66</v>
      </c>
      <c r="C998" s="70" t="s">
        <v>4</v>
      </c>
      <c r="D998" s="70" t="s">
        <v>13</v>
      </c>
      <c r="E998" s="70" t="s">
        <v>69</v>
      </c>
      <c r="F998" s="70" t="s">
        <v>71</v>
      </c>
      <c r="G998" s="71">
        <v>1446884584</v>
      </c>
      <c r="H998" s="70" t="s">
        <v>68</v>
      </c>
    </row>
    <row r="999" spans="1:8" ht="17.25" customHeight="1" x14ac:dyDescent="0.2">
      <c r="A999" s="69">
        <v>2017</v>
      </c>
      <c r="B999" s="70" t="s">
        <v>66</v>
      </c>
      <c r="C999" s="70" t="s">
        <v>4</v>
      </c>
      <c r="D999" s="70" t="s">
        <v>13</v>
      </c>
      <c r="E999" s="70" t="s">
        <v>69</v>
      </c>
      <c r="F999" s="70" t="s">
        <v>70</v>
      </c>
      <c r="G999" s="71">
        <v>4112249100</v>
      </c>
      <c r="H999" s="70" t="s">
        <v>68</v>
      </c>
    </row>
    <row r="1000" spans="1:8" ht="17.25" customHeight="1" x14ac:dyDescent="0.2">
      <c r="A1000" s="69">
        <v>2017</v>
      </c>
      <c r="B1000" s="70" t="s">
        <v>66</v>
      </c>
      <c r="C1000" s="70" t="s">
        <v>4</v>
      </c>
      <c r="D1000" s="70" t="s">
        <v>14</v>
      </c>
      <c r="E1000" s="70" t="s">
        <v>67</v>
      </c>
      <c r="F1000" s="70" t="s">
        <v>67</v>
      </c>
      <c r="G1000" s="71">
        <v>7920871070</v>
      </c>
      <c r="H1000" s="70" t="s">
        <v>68</v>
      </c>
    </row>
    <row r="1001" spans="1:8" ht="17.25" customHeight="1" x14ac:dyDescent="0.2">
      <c r="A1001" s="69">
        <v>2017</v>
      </c>
      <c r="B1001" s="70" t="s">
        <v>66</v>
      </c>
      <c r="C1001" s="70" t="s">
        <v>4</v>
      </c>
      <c r="D1001" s="70" t="s">
        <v>14</v>
      </c>
      <c r="E1001" s="70" t="s">
        <v>69</v>
      </c>
      <c r="F1001" s="70" t="s">
        <v>71</v>
      </c>
      <c r="G1001" s="71">
        <v>705064303</v>
      </c>
      <c r="H1001" s="70" t="s">
        <v>68</v>
      </c>
    </row>
    <row r="1002" spans="1:8" ht="17.25" customHeight="1" x14ac:dyDescent="0.2">
      <c r="A1002" s="69">
        <v>2017</v>
      </c>
      <c r="B1002" s="70" t="s">
        <v>66</v>
      </c>
      <c r="C1002" s="70" t="s">
        <v>4</v>
      </c>
      <c r="D1002" s="70" t="s">
        <v>14</v>
      </c>
      <c r="E1002" s="70" t="s">
        <v>69</v>
      </c>
      <c r="F1002" s="70" t="s">
        <v>70</v>
      </c>
      <c r="G1002" s="71">
        <v>1413118749</v>
      </c>
      <c r="H1002" s="70" t="s">
        <v>68</v>
      </c>
    </row>
    <row r="1003" spans="1:8" ht="17.25" customHeight="1" x14ac:dyDescent="0.2">
      <c r="A1003" s="69">
        <v>2017</v>
      </c>
      <c r="B1003" s="70" t="s">
        <v>66</v>
      </c>
      <c r="C1003" s="70" t="s">
        <v>4</v>
      </c>
      <c r="D1003" s="70" t="s">
        <v>15</v>
      </c>
      <c r="E1003" s="70" t="s">
        <v>67</v>
      </c>
      <c r="F1003" s="70" t="s">
        <v>67</v>
      </c>
      <c r="G1003" s="71">
        <v>9247195812</v>
      </c>
      <c r="H1003" s="70" t="s">
        <v>68</v>
      </c>
    </row>
    <row r="1004" spans="1:8" ht="17.25" customHeight="1" x14ac:dyDescent="0.2">
      <c r="A1004" s="69">
        <v>2017</v>
      </c>
      <c r="B1004" s="70" t="s">
        <v>66</v>
      </c>
      <c r="C1004" s="70" t="s">
        <v>4</v>
      </c>
      <c r="D1004" s="70" t="s">
        <v>15</v>
      </c>
      <c r="E1004" s="70" t="s">
        <v>69</v>
      </c>
      <c r="F1004" s="70" t="s">
        <v>71</v>
      </c>
      <c r="G1004" s="71">
        <v>2726476734</v>
      </c>
      <c r="H1004" s="70" t="s">
        <v>68</v>
      </c>
    </row>
    <row r="1005" spans="1:8" ht="17.25" customHeight="1" x14ac:dyDescent="0.2">
      <c r="A1005" s="69">
        <v>2017</v>
      </c>
      <c r="B1005" s="70" t="s">
        <v>66</v>
      </c>
      <c r="C1005" s="70" t="s">
        <v>4</v>
      </c>
      <c r="D1005" s="70" t="s">
        <v>15</v>
      </c>
      <c r="E1005" s="70" t="s">
        <v>69</v>
      </c>
      <c r="F1005" s="70" t="s">
        <v>70</v>
      </c>
      <c r="G1005" s="71">
        <v>1962944550</v>
      </c>
      <c r="H1005" s="70" t="s">
        <v>68</v>
      </c>
    </row>
    <row r="1006" spans="1:8" ht="17.25" customHeight="1" x14ac:dyDescent="0.2">
      <c r="A1006" s="69">
        <v>2017</v>
      </c>
      <c r="B1006" s="70" t="s">
        <v>66</v>
      </c>
      <c r="C1006" s="70" t="s">
        <v>17</v>
      </c>
      <c r="D1006" s="70" t="s">
        <v>16</v>
      </c>
      <c r="E1006" s="70" t="s">
        <v>67</v>
      </c>
      <c r="F1006" s="70" t="s">
        <v>67</v>
      </c>
      <c r="G1006" s="71">
        <v>1037178995</v>
      </c>
      <c r="H1006" s="70" t="s">
        <v>68</v>
      </c>
    </row>
    <row r="1007" spans="1:8" ht="17.25" customHeight="1" x14ac:dyDescent="0.2">
      <c r="A1007" s="69">
        <v>2017</v>
      </c>
      <c r="B1007" s="70" t="s">
        <v>66</v>
      </c>
      <c r="C1007" s="70" t="s">
        <v>17</v>
      </c>
      <c r="D1007" s="70" t="s">
        <v>16</v>
      </c>
      <c r="E1007" s="70" t="s">
        <v>69</v>
      </c>
      <c r="F1007" s="70" t="s">
        <v>71</v>
      </c>
      <c r="G1007" s="71">
        <v>226759497</v>
      </c>
      <c r="H1007" s="70" t="s">
        <v>68</v>
      </c>
    </row>
    <row r="1008" spans="1:8" ht="17.25" customHeight="1" x14ac:dyDescent="0.2">
      <c r="A1008" s="69">
        <v>2017</v>
      </c>
      <c r="B1008" s="70" t="s">
        <v>66</v>
      </c>
      <c r="C1008" s="70" t="s">
        <v>17</v>
      </c>
      <c r="D1008" s="70" t="s">
        <v>16</v>
      </c>
      <c r="E1008" s="70" t="s">
        <v>69</v>
      </c>
      <c r="F1008" s="70" t="s">
        <v>70</v>
      </c>
      <c r="G1008" s="71">
        <v>243203831</v>
      </c>
      <c r="H1008" s="70" t="s">
        <v>68</v>
      </c>
    </row>
    <row r="1009" spans="1:8" ht="17.25" customHeight="1" x14ac:dyDescent="0.2">
      <c r="A1009" s="69">
        <v>2017</v>
      </c>
      <c r="B1009" s="70" t="s">
        <v>66</v>
      </c>
      <c r="C1009" s="70" t="s">
        <v>17</v>
      </c>
      <c r="D1009" s="70" t="s">
        <v>18</v>
      </c>
      <c r="E1009" s="70" t="s">
        <v>67</v>
      </c>
      <c r="F1009" s="70" t="s">
        <v>67</v>
      </c>
      <c r="G1009" s="71">
        <v>1548369652</v>
      </c>
      <c r="H1009" s="70" t="s">
        <v>68</v>
      </c>
    </row>
    <row r="1010" spans="1:8" ht="17.25" customHeight="1" x14ac:dyDescent="0.2">
      <c r="A1010" s="69">
        <v>2017</v>
      </c>
      <c r="B1010" s="70" t="s">
        <v>66</v>
      </c>
      <c r="C1010" s="70" t="s">
        <v>17</v>
      </c>
      <c r="D1010" s="70" t="s">
        <v>18</v>
      </c>
      <c r="E1010" s="70" t="s">
        <v>69</v>
      </c>
      <c r="F1010" s="70" t="s">
        <v>71</v>
      </c>
      <c r="G1010" s="71">
        <v>502707910</v>
      </c>
      <c r="H1010" s="70" t="s">
        <v>68</v>
      </c>
    </row>
    <row r="1011" spans="1:8" ht="17.25" customHeight="1" x14ac:dyDescent="0.2">
      <c r="A1011" s="69">
        <v>2017</v>
      </c>
      <c r="B1011" s="70" t="s">
        <v>66</v>
      </c>
      <c r="C1011" s="70" t="s">
        <v>17</v>
      </c>
      <c r="D1011" s="70" t="s">
        <v>18</v>
      </c>
      <c r="E1011" s="70" t="s">
        <v>69</v>
      </c>
      <c r="F1011" s="70" t="s">
        <v>70</v>
      </c>
      <c r="G1011" s="71">
        <v>802115972</v>
      </c>
      <c r="H1011" s="70" t="s">
        <v>68</v>
      </c>
    </row>
    <row r="1012" spans="1:8" ht="17.25" customHeight="1" x14ac:dyDescent="0.2">
      <c r="A1012" s="69">
        <v>2017</v>
      </c>
      <c r="B1012" s="70" t="s">
        <v>66</v>
      </c>
      <c r="C1012" s="70" t="s">
        <v>17</v>
      </c>
      <c r="D1012" s="70" t="s">
        <v>19</v>
      </c>
      <c r="E1012" s="70" t="s">
        <v>67</v>
      </c>
      <c r="F1012" s="70" t="s">
        <v>67</v>
      </c>
      <c r="G1012" s="71">
        <v>3232162890</v>
      </c>
      <c r="H1012" s="70" t="s">
        <v>68</v>
      </c>
    </row>
    <row r="1013" spans="1:8" ht="17.25" customHeight="1" x14ac:dyDescent="0.2">
      <c r="A1013" s="69">
        <v>2017</v>
      </c>
      <c r="B1013" s="70" t="s">
        <v>66</v>
      </c>
      <c r="C1013" s="70" t="s">
        <v>17</v>
      </c>
      <c r="D1013" s="70" t="s">
        <v>19</v>
      </c>
      <c r="E1013" s="70" t="s">
        <v>69</v>
      </c>
      <c r="F1013" s="70" t="s">
        <v>71</v>
      </c>
      <c r="G1013" s="71">
        <v>680420970</v>
      </c>
      <c r="H1013" s="70" t="s">
        <v>68</v>
      </c>
    </row>
    <row r="1014" spans="1:8" ht="17.25" customHeight="1" x14ac:dyDescent="0.2">
      <c r="A1014" s="69">
        <v>2017</v>
      </c>
      <c r="B1014" s="70" t="s">
        <v>66</v>
      </c>
      <c r="C1014" s="70" t="s">
        <v>17</v>
      </c>
      <c r="D1014" s="70" t="s">
        <v>19</v>
      </c>
      <c r="E1014" s="70" t="s">
        <v>69</v>
      </c>
      <c r="F1014" s="70" t="s">
        <v>70</v>
      </c>
      <c r="G1014" s="71">
        <v>579163278</v>
      </c>
      <c r="H1014" s="70" t="s">
        <v>68</v>
      </c>
    </row>
    <row r="1015" spans="1:8" ht="17.25" customHeight="1" x14ac:dyDescent="0.2">
      <c r="A1015" s="69">
        <v>2017</v>
      </c>
      <c r="B1015" s="70" t="s">
        <v>66</v>
      </c>
      <c r="C1015" s="70" t="s">
        <v>17</v>
      </c>
      <c r="D1015" s="70" t="s">
        <v>20</v>
      </c>
      <c r="E1015" s="70" t="s">
        <v>67</v>
      </c>
      <c r="F1015" s="70" t="s">
        <v>67</v>
      </c>
      <c r="G1015" s="71">
        <v>961881965</v>
      </c>
      <c r="H1015" s="70" t="s">
        <v>68</v>
      </c>
    </row>
    <row r="1016" spans="1:8" ht="17.25" customHeight="1" x14ac:dyDescent="0.2">
      <c r="A1016" s="69">
        <v>2017</v>
      </c>
      <c r="B1016" s="70" t="s">
        <v>66</v>
      </c>
      <c r="C1016" s="70" t="s">
        <v>17</v>
      </c>
      <c r="D1016" s="70" t="s">
        <v>20</v>
      </c>
      <c r="E1016" s="70" t="s">
        <v>69</v>
      </c>
      <c r="F1016" s="70" t="s">
        <v>71</v>
      </c>
      <c r="G1016" s="71">
        <v>189406186</v>
      </c>
      <c r="H1016" s="70" t="s">
        <v>68</v>
      </c>
    </row>
    <row r="1017" spans="1:8" ht="17.25" customHeight="1" x14ac:dyDescent="0.2">
      <c r="A1017" s="69">
        <v>2017</v>
      </c>
      <c r="B1017" s="70" t="s">
        <v>66</v>
      </c>
      <c r="C1017" s="70" t="s">
        <v>17</v>
      </c>
      <c r="D1017" s="70" t="s">
        <v>20</v>
      </c>
      <c r="E1017" s="70" t="s">
        <v>69</v>
      </c>
      <c r="F1017" s="70" t="s">
        <v>70</v>
      </c>
      <c r="G1017" s="71">
        <v>860288819</v>
      </c>
      <c r="H1017" s="70" t="s">
        <v>68</v>
      </c>
    </row>
    <row r="1018" spans="1:8" ht="17.25" customHeight="1" x14ac:dyDescent="0.2">
      <c r="A1018" s="69">
        <v>2017</v>
      </c>
      <c r="B1018" s="70" t="s">
        <v>66</v>
      </c>
      <c r="C1018" s="70" t="s">
        <v>17</v>
      </c>
      <c r="D1018" s="70" t="s">
        <v>21</v>
      </c>
      <c r="E1018" s="70" t="s">
        <v>67</v>
      </c>
      <c r="F1018" s="70" t="s">
        <v>67</v>
      </c>
      <c r="G1018" s="71">
        <v>2664335890</v>
      </c>
      <c r="H1018" s="70" t="s">
        <v>68</v>
      </c>
    </row>
    <row r="1019" spans="1:8" ht="17.25" customHeight="1" x14ac:dyDescent="0.2">
      <c r="A1019" s="69">
        <v>2017</v>
      </c>
      <c r="B1019" s="70" t="s">
        <v>66</v>
      </c>
      <c r="C1019" s="70" t="s">
        <v>17</v>
      </c>
      <c r="D1019" s="70" t="s">
        <v>21</v>
      </c>
      <c r="E1019" s="70" t="s">
        <v>69</v>
      </c>
      <c r="F1019" s="70" t="s">
        <v>71</v>
      </c>
      <c r="G1019" s="71">
        <v>699557302</v>
      </c>
      <c r="H1019" s="70" t="s">
        <v>68</v>
      </c>
    </row>
    <row r="1020" spans="1:8" ht="17.25" customHeight="1" x14ac:dyDescent="0.2">
      <c r="A1020" s="69">
        <v>2017</v>
      </c>
      <c r="B1020" s="70" t="s">
        <v>66</v>
      </c>
      <c r="C1020" s="70" t="s">
        <v>17</v>
      </c>
      <c r="D1020" s="70" t="s">
        <v>21</v>
      </c>
      <c r="E1020" s="70" t="s">
        <v>69</v>
      </c>
      <c r="F1020" s="70" t="s">
        <v>70</v>
      </c>
      <c r="G1020" s="71">
        <v>984066889</v>
      </c>
      <c r="H1020" s="70" t="s">
        <v>68</v>
      </c>
    </row>
    <row r="1021" spans="1:8" ht="17.25" customHeight="1" x14ac:dyDescent="0.2">
      <c r="A1021" s="69">
        <v>2017</v>
      </c>
      <c r="B1021" s="70" t="s">
        <v>66</v>
      </c>
      <c r="C1021" s="70" t="s">
        <v>17</v>
      </c>
      <c r="D1021" s="70" t="s">
        <v>22</v>
      </c>
      <c r="E1021" s="70" t="s">
        <v>67</v>
      </c>
      <c r="F1021" s="70" t="s">
        <v>67</v>
      </c>
      <c r="G1021" s="71">
        <v>1076643351</v>
      </c>
      <c r="H1021" s="70" t="s">
        <v>68</v>
      </c>
    </row>
    <row r="1022" spans="1:8" ht="17.25" customHeight="1" x14ac:dyDescent="0.2">
      <c r="A1022" s="69">
        <v>2017</v>
      </c>
      <c r="B1022" s="70" t="s">
        <v>66</v>
      </c>
      <c r="C1022" s="70" t="s">
        <v>17</v>
      </c>
      <c r="D1022" s="70" t="s">
        <v>22</v>
      </c>
      <c r="E1022" s="70" t="s">
        <v>69</v>
      </c>
      <c r="F1022" s="70" t="s">
        <v>71</v>
      </c>
      <c r="G1022" s="71">
        <v>317095716</v>
      </c>
      <c r="H1022" s="70" t="s">
        <v>68</v>
      </c>
    </row>
    <row r="1023" spans="1:8" ht="17.25" customHeight="1" x14ac:dyDescent="0.2">
      <c r="A1023" s="69">
        <v>2017</v>
      </c>
      <c r="B1023" s="70" t="s">
        <v>66</v>
      </c>
      <c r="C1023" s="70" t="s">
        <v>17</v>
      </c>
      <c r="D1023" s="70" t="s">
        <v>22</v>
      </c>
      <c r="E1023" s="70" t="s">
        <v>69</v>
      </c>
      <c r="F1023" s="70" t="s">
        <v>70</v>
      </c>
      <c r="G1023" s="71">
        <v>506034490</v>
      </c>
      <c r="H1023" s="70" t="s">
        <v>68</v>
      </c>
    </row>
    <row r="1024" spans="1:8" ht="17.25" customHeight="1" x14ac:dyDescent="0.2">
      <c r="A1024" s="69">
        <v>2017</v>
      </c>
      <c r="B1024" s="70" t="s">
        <v>66</v>
      </c>
      <c r="C1024" s="70" t="s">
        <v>17</v>
      </c>
      <c r="D1024" s="70" t="s">
        <v>23</v>
      </c>
      <c r="E1024" s="70" t="s">
        <v>67</v>
      </c>
      <c r="F1024" s="70" t="s">
        <v>67</v>
      </c>
      <c r="G1024" s="71">
        <v>1284782155</v>
      </c>
      <c r="H1024" s="70" t="s">
        <v>68</v>
      </c>
    </row>
    <row r="1025" spans="1:8" ht="17.25" customHeight="1" x14ac:dyDescent="0.2">
      <c r="A1025" s="69">
        <v>2017</v>
      </c>
      <c r="B1025" s="70" t="s">
        <v>66</v>
      </c>
      <c r="C1025" s="70" t="s">
        <v>17</v>
      </c>
      <c r="D1025" s="70" t="s">
        <v>23</v>
      </c>
      <c r="E1025" s="70" t="s">
        <v>69</v>
      </c>
      <c r="F1025" s="70" t="s">
        <v>71</v>
      </c>
      <c r="G1025" s="71">
        <v>323323837</v>
      </c>
      <c r="H1025" s="70" t="s">
        <v>68</v>
      </c>
    </row>
    <row r="1026" spans="1:8" ht="17.25" customHeight="1" x14ac:dyDescent="0.2">
      <c r="A1026" s="69">
        <v>2017</v>
      </c>
      <c r="B1026" s="70" t="s">
        <v>66</v>
      </c>
      <c r="C1026" s="70" t="s">
        <v>17</v>
      </c>
      <c r="D1026" s="70" t="s">
        <v>23</v>
      </c>
      <c r="E1026" s="70" t="s">
        <v>69</v>
      </c>
      <c r="F1026" s="70" t="s">
        <v>70</v>
      </c>
      <c r="G1026" s="71">
        <v>618055139</v>
      </c>
      <c r="H1026" s="70" t="s">
        <v>68</v>
      </c>
    </row>
    <row r="1027" spans="1:8" ht="17.25" customHeight="1" x14ac:dyDescent="0.2">
      <c r="A1027" s="69">
        <v>2017</v>
      </c>
      <c r="B1027" s="70" t="s">
        <v>66</v>
      </c>
      <c r="C1027" s="70" t="s">
        <v>17</v>
      </c>
      <c r="D1027" s="70" t="s">
        <v>24</v>
      </c>
      <c r="E1027" s="70" t="s">
        <v>67</v>
      </c>
      <c r="F1027" s="70" t="s">
        <v>67</v>
      </c>
      <c r="G1027" s="71">
        <v>22339041227</v>
      </c>
      <c r="H1027" s="70" t="s">
        <v>68</v>
      </c>
    </row>
    <row r="1028" spans="1:8" ht="17.25" customHeight="1" x14ac:dyDescent="0.2">
      <c r="A1028" s="69">
        <v>2017</v>
      </c>
      <c r="B1028" s="70" t="s">
        <v>66</v>
      </c>
      <c r="C1028" s="70" t="s">
        <v>17</v>
      </c>
      <c r="D1028" s="70" t="s">
        <v>24</v>
      </c>
      <c r="E1028" s="70" t="s">
        <v>69</v>
      </c>
      <c r="F1028" s="70" t="s">
        <v>71</v>
      </c>
      <c r="G1028" s="71">
        <v>4995247753</v>
      </c>
      <c r="H1028" s="70" t="s">
        <v>68</v>
      </c>
    </row>
    <row r="1029" spans="1:8" ht="17.25" customHeight="1" x14ac:dyDescent="0.2">
      <c r="A1029" s="69">
        <v>2017</v>
      </c>
      <c r="B1029" s="70" t="s">
        <v>66</v>
      </c>
      <c r="C1029" s="70" t="s">
        <v>17</v>
      </c>
      <c r="D1029" s="70" t="s">
        <v>24</v>
      </c>
      <c r="E1029" s="70" t="s">
        <v>69</v>
      </c>
      <c r="F1029" s="70" t="s">
        <v>70</v>
      </c>
      <c r="G1029" s="71">
        <v>7338223055</v>
      </c>
      <c r="H1029" s="70" t="s">
        <v>68</v>
      </c>
    </row>
    <row r="1030" spans="1:8" ht="17.25" customHeight="1" x14ac:dyDescent="0.2">
      <c r="A1030" s="69">
        <v>2017</v>
      </c>
      <c r="B1030" s="70" t="s">
        <v>66</v>
      </c>
      <c r="C1030" s="70" t="s">
        <v>17</v>
      </c>
      <c r="D1030" s="70" t="s">
        <v>25</v>
      </c>
      <c r="E1030" s="70" t="s">
        <v>67</v>
      </c>
      <c r="F1030" s="70" t="s">
        <v>67</v>
      </c>
      <c r="G1030" s="71">
        <v>1710307506</v>
      </c>
      <c r="H1030" s="70" t="s">
        <v>68</v>
      </c>
    </row>
    <row r="1031" spans="1:8" ht="17.25" customHeight="1" x14ac:dyDescent="0.2">
      <c r="A1031" s="69">
        <v>2017</v>
      </c>
      <c r="B1031" s="70" t="s">
        <v>66</v>
      </c>
      <c r="C1031" s="70" t="s">
        <v>17</v>
      </c>
      <c r="D1031" s="70" t="s">
        <v>25</v>
      </c>
      <c r="E1031" s="70" t="s">
        <v>69</v>
      </c>
      <c r="F1031" s="70" t="s">
        <v>71</v>
      </c>
      <c r="G1031" s="71">
        <v>279459127</v>
      </c>
      <c r="H1031" s="70" t="s">
        <v>68</v>
      </c>
    </row>
    <row r="1032" spans="1:8" ht="17.25" customHeight="1" x14ac:dyDescent="0.2">
      <c r="A1032" s="69">
        <v>2017</v>
      </c>
      <c r="B1032" s="70" t="s">
        <v>66</v>
      </c>
      <c r="C1032" s="70" t="s">
        <v>17</v>
      </c>
      <c r="D1032" s="70" t="s">
        <v>25</v>
      </c>
      <c r="E1032" s="70" t="s">
        <v>69</v>
      </c>
      <c r="F1032" s="70" t="s">
        <v>70</v>
      </c>
      <c r="G1032" s="71">
        <v>317980471</v>
      </c>
      <c r="H1032" s="70" t="s">
        <v>68</v>
      </c>
    </row>
    <row r="1033" spans="1:8" ht="17.25" customHeight="1" x14ac:dyDescent="0.2">
      <c r="A1033" s="69">
        <v>2017</v>
      </c>
      <c r="B1033" s="70" t="s">
        <v>66</v>
      </c>
      <c r="C1033" s="70" t="s">
        <v>27</v>
      </c>
      <c r="D1033" s="70" t="s">
        <v>26</v>
      </c>
      <c r="E1033" s="70" t="s">
        <v>67</v>
      </c>
      <c r="F1033" s="70" t="s">
        <v>67</v>
      </c>
      <c r="G1033" s="71">
        <v>29163833191</v>
      </c>
      <c r="H1033" s="70" t="s">
        <v>68</v>
      </c>
    </row>
    <row r="1034" spans="1:8" ht="17.25" customHeight="1" x14ac:dyDescent="0.2">
      <c r="A1034" s="69">
        <v>2017</v>
      </c>
      <c r="B1034" s="70" t="s">
        <v>66</v>
      </c>
      <c r="C1034" s="70" t="s">
        <v>27</v>
      </c>
      <c r="D1034" s="70" t="s">
        <v>26</v>
      </c>
      <c r="E1034" s="70" t="s">
        <v>69</v>
      </c>
      <c r="F1034" s="70" t="s">
        <v>71</v>
      </c>
      <c r="G1034" s="71">
        <v>6303499620</v>
      </c>
      <c r="H1034" s="70" t="s">
        <v>68</v>
      </c>
    </row>
    <row r="1035" spans="1:8" ht="17.25" customHeight="1" x14ac:dyDescent="0.2">
      <c r="A1035" s="69">
        <v>2017</v>
      </c>
      <c r="B1035" s="70" t="s">
        <v>66</v>
      </c>
      <c r="C1035" s="70" t="s">
        <v>27</v>
      </c>
      <c r="D1035" s="70" t="s">
        <v>26</v>
      </c>
      <c r="E1035" s="70" t="s">
        <v>69</v>
      </c>
      <c r="F1035" s="70" t="s">
        <v>70</v>
      </c>
      <c r="G1035" s="71">
        <v>15782049816</v>
      </c>
      <c r="H1035" s="70" t="s">
        <v>68</v>
      </c>
    </row>
    <row r="1036" spans="1:8" ht="17.25" customHeight="1" x14ac:dyDescent="0.2">
      <c r="A1036" s="69">
        <v>2017</v>
      </c>
      <c r="B1036" s="70" t="s">
        <v>66</v>
      </c>
      <c r="C1036" s="70" t="s">
        <v>27</v>
      </c>
      <c r="D1036" s="70" t="s">
        <v>28</v>
      </c>
      <c r="E1036" s="70" t="s">
        <v>67</v>
      </c>
      <c r="F1036" s="70" t="s">
        <v>67</v>
      </c>
      <c r="G1036" s="71">
        <v>41968759287</v>
      </c>
      <c r="H1036" s="70" t="s">
        <v>68</v>
      </c>
    </row>
    <row r="1037" spans="1:8" ht="17.25" customHeight="1" x14ac:dyDescent="0.2">
      <c r="A1037" s="69">
        <v>2017</v>
      </c>
      <c r="B1037" s="70" t="s">
        <v>66</v>
      </c>
      <c r="C1037" s="70" t="s">
        <v>27</v>
      </c>
      <c r="D1037" s="70" t="s">
        <v>28</v>
      </c>
      <c r="E1037" s="70" t="s">
        <v>69</v>
      </c>
      <c r="F1037" s="70" t="s">
        <v>71</v>
      </c>
      <c r="G1037" s="71">
        <v>11684353852</v>
      </c>
      <c r="H1037" s="70" t="s">
        <v>68</v>
      </c>
    </row>
    <row r="1038" spans="1:8" ht="17.25" customHeight="1" x14ac:dyDescent="0.2">
      <c r="A1038" s="69">
        <v>2017</v>
      </c>
      <c r="B1038" s="70" t="s">
        <v>66</v>
      </c>
      <c r="C1038" s="70" t="s">
        <v>27</v>
      </c>
      <c r="D1038" s="70" t="s">
        <v>28</v>
      </c>
      <c r="E1038" s="70" t="s">
        <v>69</v>
      </c>
      <c r="F1038" s="70" t="s">
        <v>70</v>
      </c>
      <c r="G1038" s="71">
        <v>18563537565</v>
      </c>
      <c r="H1038" s="70" t="s">
        <v>68</v>
      </c>
    </row>
    <row r="1039" spans="1:8" ht="17.25" customHeight="1" x14ac:dyDescent="0.2">
      <c r="A1039" s="69">
        <v>2017</v>
      </c>
      <c r="B1039" s="70" t="s">
        <v>66</v>
      </c>
      <c r="C1039" s="70" t="s">
        <v>27</v>
      </c>
      <c r="D1039" s="70" t="s">
        <v>29</v>
      </c>
      <c r="E1039" s="70" t="s">
        <v>67</v>
      </c>
      <c r="F1039" s="70" t="s">
        <v>67</v>
      </c>
      <c r="G1039" s="71">
        <v>16109598867</v>
      </c>
      <c r="H1039" s="70" t="s">
        <v>68</v>
      </c>
    </row>
    <row r="1040" spans="1:8" ht="17.25" customHeight="1" x14ac:dyDescent="0.2">
      <c r="A1040" s="69">
        <v>2017</v>
      </c>
      <c r="B1040" s="70" t="s">
        <v>66</v>
      </c>
      <c r="C1040" s="70" t="s">
        <v>27</v>
      </c>
      <c r="D1040" s="70" t="s">
        <v>29</v>
      </c>
      <c r="E1040" s="70" t="s">
        <v>69</v>
      </c>
      <c r="F1040" s="70" t="s">
        <v>71</v>
      </c>
      <c r="G1040" s="71">
        <v>5207859360</v>
      </c>
      <c r="H1040" s="70" t="s">
        <v>68</v>
      </c>
    </row>
    <row r="1041" spans="1:8" ht="17.25" customHeight="1" x14ac:dyDescent="0.2">
      <c r="A1041" s="69">
        <v>2017</v>
      </c>
      <c r="B1041" s="70" t="s">
        <v>66</v>
      </c>
      <c r="C1041" s="70" t="s">
        <v>27</v>
      </c>
      <c r="D1041" s="70" t="s">
        <v>29</v>
      </c>
      <c r="E1041" s="70" t="s">
        <v>69</v>
      </c>
      <c r="F1041" s="70" t="s">
        <v>70</v>
      </c>
      <c r="G1041" s="71">
        <v>4480558934</v>
      </c>
      <c r="H1041" s="70" t="s">
        <v>68</v>
      </c>
    </row>
    <row r="1042" spans="1:8" ht="17.25" customHeight="1" x14ac:dyDescent="0.2">
      <c r="A1042" s="69">
        <v>2017</v>
      </c>
      <c r="B1042" s="70" t="s">
        <v>66</v>
      </c>
      <c r="C1042" s="70" t="s">
        <v>27</v>
      </c>
      <c r="D1042" s="70" t="s">
        <v>30</v>
      </c>
      <c r="E1042" s="70" t="s">
        <v>67</v>
      </c>
      <c r="F1042" s="70" t="s">
        <v>67</v>
      </c>
      <c r="G1042" s="71">
        <v>35224296342</v>
      </c>
      <c r="H1042" s="70" t="s">
        <v>68</v>
      </c>
    </row>
    <row r="1043" spans="1:8" ht="17.25" customHeight="1" x14ac:dyDescent="0.2">
      <c r="A1043" s="69">
        <v>2017</v>
      </c>
      <c r="B1043" s="70" t="s">
        <v>66</v>
      </c>
      <c r="C1043" s="70" t="s">
        <v>27</v>
      </c>
      <c r="D1043" s="70" t="s">
        <v>30</v>
      </c>
      <c r="E1043" s="70" t="s">
        <v>69</v>
      </c>
      <c r="F1043" s="70" t="s">
        <v>71</v>
      </c>
      <c r="G1043" s="71">
        <v>9510340635</v>
      </c>
      <c r="H1043" s="70" t="s">
        <v>68</v>
      </c>
    </row>
    <row r="1044" spans="1:8" ht="17.25" customHeight="1" x14ac:dyDescent="0.2">
      <c r="A1044" s="69">
        <v>2017</v>
      </c>
      <c r="B1044" s="70" t="s">
        <v>66</v>
      </c>
      <c r="C1044" s="70" t="s">
        <v>27</v>
      </c>
      <c r="D1044" s="70" t="s">
        <v>30</v>
      </c>
      <c r="E1044" s="70" t="s">
        <v>69</v>
      </c>
      <c r="F1044" s="70" t="s">
        <v>70</v>
      </c>
      <c r="G1044" s="71">
        <v>18348961493</v>
      </c>
      <c r="H1044" s="70" t="s">
        <v>68</v>
      </c>
    </row>
    <row r="1045" spans="1:8" ht="17.25" customHeight="1" x14ac:dyDescent="0.2">
      <c r="A1045" s="69">
        <v>2017</v>
      </c>
      <c r="B1045" s="70" t="s">
        <v>66</v>
      </c>
      <c r="C1045" s="70" t="s">
        <v>27</v>
      </c>
      <c r="D1045" s="70" t="s">
        <v>31</v>
      </c>
      <c r="E1045" s="70" t="s">
        <v>67</v>
      </c>
      <c r="F1045" s="70" t="s">
        <v>67</v>
      </c>
      <c r="G1045" s="71">
        <v>9599356568</v>
      </c>
      <c r="H1045" s="70" t="s">
        <v>68</v>
      </c>
    </row>
    <row r="1046" spans="1:8" ht="17.25" customHeight="1" x14ac:dyDescent="0.2">
      <c r="A1046" s="69">
        <v>2017</v>
      </c>
      <c r="B1046" s="70" t="s">
        <v>66</v>
      </c>
      <c r="C1046" s="70" t="s">
        <v>27</v>
      </c>
      <c r="D1046" s="70" t="s">
        <v>31</v>
      </c>
      <c r="E1046" s="70" t="s">
        <v>69</v>
      </c>
      <c r="F1046" s="70" t="s">
        <v>71</v>
      </c>
      <c r="G1046" s="71">
        <v>4507548235</v>
      </c>
      <c r="H1046" s="70" t="s">
        <v>68</v>
      </c>
    </row>
    <row r="1047" spans="1:8" ht="17.25" customHeight="1" x14ac:dyDescent="0.2">
      <c r="A1047" s="69">
        <v>2017</v>
      </c>
      <c r="B1047" s="70" t="s">
        <v>66</v>
      </c>
      <c r="C1047" s="70" t="s">
        <v>27</v>
      </c>
      <c r="D1047" s="70" t="s">
        <v>31</v>
      </c>
      <c r="E1047" s="70" t="s">
        <v>69</v>
      </c>
      <c r="F1047" s="70" t="s">
        <v>70</v>
      </c>
      <c r="G1047" s="71">
        <v>9709178171</v>
      </c>
      <c r="H1047" s="70" t="s">
        <v>68</v>
      </c>
    </row>
    <row r="1048" spans="1:8" ht="17.25" customHeight="1" x14ac:dyDescent="0.2">
      <c r="A1048" s="69">
        <v>2017</v>
      </c>
      <c r="B1048" s="70" t="s">
        <v>66</v>
      </c>
      <c r="C1048" s="70" t="s">
        <v>27</v>
      </c>
      <c r="D1048" s="70" t="s">
        <v>32</v>
      </c>
      <c r="E1048" s="70" t="s">
        <v>67</v>
      </c>
      <c r="F1048" s="70" t="s">
        <v>67</v>
      </c>
      <c r="G1048" s="71">
        <v>17088670286</v>
      </c>
      <c r="H1048" s="70" t="s">
        <v>68</v>
      </c>
    </row>
    <row r="1049" spans="1:8" ht="17.25" customHeight="1" x14ac:dyDescent="0.2">
      <c r="A1049" s="69">
        <v>2017</v>
      </c>
      <c r="B1049" s="70" t="s">
        <v>66</v>
      </c>
      <c r="C1049" s="70" t="s">
        <v>27</v>
      </c>
      <c r="D1049" s="70" t="s">
        <v>32</v>
      </c>
      <c r="E1049" s="70" t="s">
        <v>69</v>
      </c>
      <c r="F1049" s="70" t="s">
        <v>71</v>
      </c>
      <c r="G1049" s="71">
        <v>6622036798</v>
      </c>
      <c r="H1049" s="70" t="s">
        <v>68</v>
      </c>
    </row>
    <row r="1050" spans="1:8" ht="17.25" customHeight="1" x14ac:dyDescent="0.2">
      <c r="A1050" s="69">
        <v>2017</v>
      </c>
      <c r="B1050" s="70" t="s">
        <v>66</v>
      </c>
      <c r="C1050" s="70" t="s">
        <v>27</v>
      </c>
      <c r="D1050" s="70" t="s">
        <v>32</v>
      </c>
      <c r="E1050" s="70" t="s">
        <v>69</v>
      </c>
      <c r="F1050" s="70" t="s">
        <v>70</v>
      </c>
      <c r="G1050" s="71">
        <v>6222799245</v>
      </c>
      <c r="H1050" s="70" t="s">
        <v>68</v>
      </c>
    </row>
    <row r="1051" spans="1:8" ht="17.25" customHeight="1" x14ac:dyDescent="0.2">
      <c r="A1051" s="69">
        <v>2017</v>
      </c>
      <c r="B1051" s="70" t="s">
        <v>66</v>
      </c>
      <c r="C1051" s="70" t="s">
        <v>27</v>
      </c>
      <c r="D1051" s="70" t="s">
        <v>33</v>
      </c>
      <c r="E1051" s="70" t="s">
        <v>67</v>
      </c>
      <c r="F1051" s="70" t="s">
        <v>67</v>
      </c>
      <c r="G1051" s="71">
        <v>23894260473</v>
      </c>
      <c r="H1051" s="70" t="s">
        <v>68</v>
      </c>
    </row>
    <row r="1052" spans="1:8" ht="17.25" customHeight="1" x14ac:dyDescent="0.2">
      <c r="A1052" s="69">
        <v>2017</v>
      </c>
      <c r="B1052" s="70" t="s">
        <v>66</v>
      </c>
      <c r="C1052" s="70" t="s">
        <v>27</v>
      </c>
      <c r="D1052" s="70" t="s">
        <v>33</v>
      </c>
      <c r="E1052" s="70" t="s">
        <v>69</v>
      </c>
      <c r="F1052" s="70" t="s">
        <v>71</v>
      </c>
      <c r="G1052" s="71">
        <v>10662950256</v>
      </c>
      <c r="H1052" s="70" t="s">
        <v>68</v>
      </c>
    </row>
    <row r="1053" spans="1:8" ht="17.25" customHeight="1" x14ac:dyDescent="0.2">
      <c r="A1053" s="69">
        <v>2017</v>
      </c>
      <c r="B1053" s="70" t="s">
        <v>66</v>
      </c>
      <c r="C1053" s="70" t="s">
        <v>27</v>
      </c>
      <c r="D1053" s="70" t="s">
        <v>33</v>
      </c>
      <c r="E1053" s="70" t="s">
        <v>69</v>
      </c>
      <c r="F1053" s="70" t="s">
        <v>70</v>
      </c>
      <c r="G1053" s="71">
        <v>27074271330</v>
      </c>
      <c r="H1053" s="70" t="s">
        <v>68</v>
      </c>
    </row>
    <row r="1054" spans="1:8" ht="17.25" customHeight="1" x14ac:dyDescent="0.2">
      <c r="A1054" s="69">
        <v>2017</v>
      </c>
      <c r="B1054" s="70" t="s">
        <v>66</v>
      </c>
      <c r="C1054" s="70" t="s">
        <v>35</v>
      </c>
      <c r="D1054" s="70" t="s">
        <v>34</v>
      </c>
      <c r="E1054" s="70" t="s">
        <v>67</v>
      </c>
      <c r="F1054" s="70" t="s">
        <v>67</v>
      </c>
      <c r="G1054" s="71">
        <v>2620578170</v>
      </c>
      <c r="H1054" s="70" t="s">
        <v>68</v>
      </c>
    </row>
    <row r="1055" spans="1:8" ht="17.25" customHeight="1" x14ac:dyDescent="0.2">
      <c r="A1055" s="69">
        <v>2017</v>
      </c>
      <c r="B1055" s="70" t="s">
        <v>66</v>
      </c>
      <c r="C1055" s="70" t="s">
        <v>35</v>
      </c>
      <c r="D1055" s="70" t="s">
        <v>34</v>
      </c>
      <c r="E1055" s="70" t="s">
        <v>69</v>
      </c>
      <c r="F1055" s="70" t="s">
        <v>71</v>
      </c>
      <c r="G1055" s="71">
        <v>555648356</v>
      </c>
      <c r="H1055" s="70" t="s">
        <v>68</v>
      </c>
    </row>
    <row r="1056" spans="1:8" ht="17.25" customHeight="1" x14ac:dyDescent="0.2">
      <c r="A1056" s="69">
        <v>2017</v>
      </c>
      <c r="B1056" s="70" t="s">
        <v>66</v>
      </c>
      <c r="C1056" s="70" t="s">
        <v>35</v>
      </c>
      <c r="D1056" s="70" t="s">
        <v>34</v>
      </c>
      <c r="E1056" s="70" t="s">
        <v>69</v>
      </c>
      <c r="F1056" s="70" t="s">
        <v>70</v>
      </c>
      <c r="G1056" s="71">
        <v>415059844</v>
      </c>
      <c r="H1056" s="70" t="s">
        <v>68</v>
      </c>
    </row>
    <row r="1057" spans="1:8" ht="17.25" customHeight="1" x14ac:dyDescent="0.2">
      <c r="A1057" s="69">
        <v>2017</v>
      </c>
      <c r="B1057" s="70" t="s">
        <v>66</v>
      </c>
      <c r="C1057" s="70" t="s">
        <v>35</v>
      </c>
      <c r="D1057" s="70" t="s">
        <v>36</v>
      </c>
      <c r="E1057" s="70" t="s">
        <v>67</v>
      </c>
      <c r="F1057" s="70" t="s">
        <v>67</v>
      </c>
      <c r="G1057" s="71">
        <v>11824962165</v>
      </c>
      <c r="H1057" s="70" t="s">
        <v>68</v>
      </c>
    </row>
    <row r="1058" spans="1:8" ht="17.25" customHeight="1" x14ac:dyDescent="0.2">
      <c r="A1058" s="69">
        <v>2017</v>
      </c>
      <c r="B1058" s="70" t="s">
        <v>66</v>
      </c>
      <c r="C1058" s="70" t="s">
        <v>35</v>
      </c>
      <c r="D1058" s="70" t="s">
        <v>36</v>
      </c>
      <c r="E1058" s="70" t="s">
        <v>69</v>
      </c>
      <c r="F1058" s="70" t="s">
        <v>71</v>
      </c>
      <c r="G1058" s="71">
        <v>4789639890</v>
      </c>
      <c r="H1058" s="70" t="s">
        <v>68</v>
      </c>
    </row>
    <row r="1059" spans="1:8" ht="17.25" customHeight="1" x14ac:dyDescent="0.2">
      <c r="A1059" s="69">
        <v>2017</v>
      </c>
      <c r="B1059" s="70" t="s">
        <v>66</v>
      </c>
      <c r="C1059" s="70" t="s">
        <v>35</v>
      </c>
      <c r="D1059" s="70" t="s">
        <v>36</v>
      </c>
      <c r="E1059" s="70" t="s">
        <v>69</v>
      </c>
      <c r="F1059" s="70" t="s">
        <v>70</v>
      </c>
      <c r="G1059" s="71">
        <v>2737406425</v>
      </c>
      <c r="H1059" s="70" t="s">
        <v>68</v>
      </c>
    </row>
    <row r="1060" spans="1:8" ht="17.25" customHeight="1" x14ac:dyDescent="0.2">
      <c r="A1060" s="69">
        <v>2017</v>
      </c>
      <c r="B1060" s="70" t="s">
        <v>66</v>
      </c>
      <c r="C1060" s="70" t="s">
        <v>35</v>
      </c>
      <c r="D1060" s="70" t="s">
        <v>37</v>
      </c>
      <c r="E1060" s="70" t="s">
        <v>67</v>
      </c>
      <c r="F1060" s="70" t="s">
        <v>67</v>
      </c>
      <c r="G1060" s="71">
        <v>3425132976</v>
      </c>
      <c r="H1060" s="70" t="s">
        <v>68</v>
      </c>
    </row>
    <row r="1061" spans="1:8" ht="17.25" customHeight="1" x14ac:dyDescent="0.2">
      <c r="A1061" s="69">
        <v>2017</v>
      </c>
      <c r="B1061" s="70" t="s">
        <v>66</v>
      </c>
      <c r="C1061" s="70" t="s">
        <v>35</v>
      </c>
      <c r="D1061" s="70" t="s">
        <v>37</v>
      </c>
      <c r="E1061" s="70" t="s">
        <v>69</v>
      </c>
      <c r="F1061" s="70" t="s">
        <v>71</v>
      </c>
      <c r="G1061" s="71">
        <v>955877855</v>
      </c>
      <c r="H1061" s="70" t="s">
        <v>68</v>
      </c>
    </row>
    <row r="1062" spans="1:8" ht="17.25" customHeight="1" x14ac:dyDescent="0.2">
      <c r="A1062" s="69">
        <v>2017</v>
      </c>
      <c r="B1062" s="70" t="s">
        <v>66</v>
      </c>
      <c r="C1062" s="70" t="s">
        <v>35</v>
      </c>
      <c r="D1062" s="70" t="s">
        <v>37</v>
      </c>
      <c r="E1062" s="70" t="s">
        <v>69</v>
      </c>
      <c r="F1062" s="70" t="s">
        <v>70</v>
      </c>
      <c r="G1062" s="71">
        <v>962953509</v>
      </c>
      <c r="H1062" s="70" t="s">
        <v>68</v>
      </c>
    </row>
    <row r="1063" spans="1:8" ht="17.25" customHeight="1" x14ac:dyDescent="0.2">
      <c r="A1063" s="69">
        <v>2017</v>
      </c>
      <c r="B1063" s="70" t="s">
        <v>66</v>
      </c>
      <c r="C1063" s="70" t="s">
        <v>35</v>
      </c>
      <c r="D1063" s="70" t="s">
        <v>38</v>
      </c>
      <c r="E1063" s="70" t="s">
        <v>67</v>
      </c>
      <c r="F1063" s="70" t="s">
        <v>67</v>
      </c>
      <c r="G1063" s="71">
        <v>5371850317</v>
      </c>
      <c r="H1063" s="70" t="s">
        <v>68</v>
      </c>
    </row>
    <row r="1064" spans="1:8" ht="17.25" customHeight="1" x14ac:dyDescent="0.2">
      <c r="A1064" s="69">
        <v>2017</v>
      </c>
      <c r="B1064" s="70" t="s">
        <v>66</v>
      </c>
      <c r="C1064" s="70" t="s">
        <v>35</v>
      </c>
      <c r="D1064" s="70" t="s">
        <v>38</v>
      </c>
      <c r="E1064" s="70" t="s">
        <v>69</v>
      </c>
      <c r="F1064" s="70" t="s">
        <v>71</v>
      </c>
      <c r="G1064" s="71">
        <v>1327149595</v>
      </c>
      <c r="H1064" s="70" t="s">
        <v>68</v>
      </c>
    </row>
    <row r="1065" spans="1:8" ht="17.25" customHeight="1" x14ac:dyDescent="0.2">
      <c r="A1065" s="69">
        <v>2017</v>
      </c>
      <c r="B1065" s="70" t="s">
        <v>66</v>
      </c>
      <c r="C1065" s="70" t="s">
        <v>35</v>
      </c>
      <c r="D1065" s="70" t="s">
        <v>38</v>
      </c>
      <c r="E1065" s="70" t="s">
        <v>69</v>
      </c>
      <c r="F1065" s="70" t="s">
        <v>70</v>
      </c>
      <c r="G1065" s="71">
        <v>1322809702</v>
      </c>
      <c r="H1065" s="70" t="s">
        <v>68</v>
      </c>
    </row>
    <row r="1066" spans="1:8" ht="17.25" customHeight="1" x14ac:dyDescent="0.2">
      <c r="A1066" s="69">
        <v>2017</v>
      </c>
      <c r="B1066" s="70" t="s">
        <v>66</v>
      </c>
      <c r="C1066" s="70" t="s">
        <v>35</v>
      </c>
      <c r="D1066" s="70" t="s">
        <v>39</v>
      </c>
      <c r="E1066" s="70" t="s">
        <v>67</v>
      </c>
      <c r="F1066" s="70" t="s">
        <v>67</v>
      </c>
      <c r="G1066" s="71">
        <v>15344714201</v>
      </c>
      <c r="H1066" s="70" t="s">
        <v>68</v>
      </c>
    </row>
    <row r="1067" spans="1:8" ht="17.25" customHeight="1" x14ac:dyDescent="0.2">
      <c r="A1067" s="69">
        <v>2017</v>
      </c>
      <c r="B1067" s="70" t="s">
        <v>66</v>
      </c>
      <c r="C1067" s="70" t="s">
        <v>35</v>
      </c>
      <c r="D1067" s="70" t="s">
        <v>39</v>
      </c>
      <c r="E1067" s="70" t="s">
        <v>69</v>
      </c>
      <c r="F1067" s="70" t="s">
        <v>71</v>
      </c>
      <c r="G1067" s="71">
        <v>4371250393</v>
      </c>
      <c r="H1067" s="70" t="s">
        <v>68</v>
      </c>
    </row>
    <row r="1068" spans="1:8" ht="17.25" customHeight="1" x14ac:dyDescent="0.2">
      <c r="A1068" s="69">
        <v>2017</v>
      </c>
      <c r="B1068" s="70" t="s">
        <v>66</v>
      </c>
      <c r="C1068" s="70" t="s">
        <v>35</v>
      </c>
      <c r="D1068" s="70" t="s">
        <v>39</v>
      </c>
      <c r="E1068" s="70" t="s">
        <v>69</v>
      </c>
      <c r="F1068" s="70" t="s">
        <v>70</v>
      </c>
      <c r="G1068" s="71">
        <v>3346212594</v>
      </c>
      <c r="H1068" s="70" t="s">
        <v>68</v>
      </c>
    </row>
    <row r="1069" spans="1:8" ht="17.25" customHeight="1" x14ac:dyDescent="0.2">
      <c r="A1069" s="69">
        <v>2017</v>
      </c>
      <c r="B1069" s="70" t="s">
        <v>66</v>
      </c>
      <c r="C1069" s="70" t="s">
        <v>41</v>
      </c>
      <c r="D1069" s="70" t="s">
        <v>40</v>
      </c>
      <c r="E1069" s="70" t="s">
        <v>67</v>
      </c>
      <c r="F1069" s="70" t="s">
        <v>67</v>
      </c>
      <c r="G1069" s="71">
        <v>2664157056</v>
      </c>
      <c r="H1069" s="70" t="s">
        <v>68</v>
      </c>
    </row>
    <row r="1070" spans="1:8" ht="17.25" customHeight="1" x14ac:dyDescent="0.2">
      <c r="A1070" s="69">
        <v>2017</v>
      </c>
      <c r="B1070" s="70" t="s">
        <v>66</v>
      </c>
      <c r="C1070" s="70" t="s">
        <v>41</v>
      </c>
      <c r="D1070" s="70" t="s">
        <v>40</v>
      </c>
      <c r="E1070" s="70" t="s">
        <v>69</v>
      </c>
      <c r="F1070" s="70" t="s">
        <v>71</v>
      </c>
      <c r="G1070" s="71">
        <v>223133431</v>
      </c>
      <c r="H1070" s="70" t="s">
        <v>68</v>
      </c>
    </row>
    <row r="1071" spans="1:8" ht="17.25" customHeight="1" x14ac:dyDescent="0.2">
      <c r="A1071" s="69">
        <v>2017</v>
      </c>
      <c r="B1071" s="70" t="s">
        <v>66</v>
      </c>
      <c r="C1071" s="70" t="s">
        <v>41</v>
      </c>
      <c r="D1071" s="70" t="s">
        <v>40</v>
      </c>
      <c r="E1071" s="70" t="s">
        <v>69</v>
      </c>
      <c r="F1071" s="70" t="s">
        <v>70</v>
      </c>
      <c r="G1071" s="71">
        <v>180481491</v>
      </c>
      <c r="H1071" s="70" t="s">
        <v>68</v>
      </c>
    </row>
    <row r="1072" spans="1:8" ht="17.25" customHeight="1" x14ac:dyDescent="0.2">
      <c r="A1072" s="69">
        <v>2017</v>
      </c>
      <c r="B1072" s="70" t="s">
        <v>66</v>
      </c>
      <c r="C1072" s="70" t="s">
        <v>41</v>
      </c>
      <c r="D1072" s="70" t="s">
        <v>42</v>
      </c>
      <c r="E1072" s="70" t="s">
        <v>67</v>
      </c>
      <c r="F1072" s="70" t="s">
        <v>67</v>
      </c>
      <c r="G1072" s="71">
        <v>7915584907</v>
      </c>
      <c r="H1072" s="70" t="s">
        <v>68</v>
      </c>
    </row>
    <row r="1073" spans="1:8" ht="17.25" customHeight="1" x14ac:dyDescent="0.2">
      <c r="A1073" s="69">
        <v>2017</v>
      </c>
      <c r="B1073" s="70" t="s">
        <v>66</v>
      </c>
      <c r="C1073" s="70" t="s">
        <v>41</v>
      </c>
      <c r="D1073" s="70" t="s">
        <v>42</v>
      </c>
      <c r="E1073" s="70" t="s">
        <v>69</v>
      </c>
      <c r="F1073" s="70" t="s">
        <v>71</v>
      </c>
      <c r="G1073" s="71">
        <v>903735065</v>
      </c>
      <c r="H1073" s="70" t="s">
        <v>68</v>
      </c>
    </row>
    <row r="1074" spans="1:8" ht="17.25" customHeight="1" x14ac:dyDescent="0.2">
      <c r="A1074" s="69">
        <v>2017</v>
      </c>
      <c r="B1074" s="70" t="s">
        <v>66</v>
      </c>
      <c r="C1074" s="70" t="s">
        <v>41</v>
      </c>
      <c r="D1074" s="70" t="s">
        <v>42</v>
      </c>
      <c r="E1074" s="70" t="s">
        <v>69</v>
      </c>
      <c r="F1074" s="70" t="s">
        <v>70</v>
      </c>
      <c r="G1074" s="71">
        <v>1942502216</v>
      </c>
      <c r="H1074" s="70" t="s">
        <v>68</v>
      </c>
    </row>
    <row r="1075" spans="1:8" ht="17.25" customHeight="1" x14ac:dyDescent="0.2">
      <c r="A1075" s="69">
        <v>2017</v>
      </c>
      <c r="B1075" s="70" t="s">
        <v>66</v>
      </c>
      <c r="C1075" s="70" t="s">
        <v>41</v>
      </c>
      <c r="D1075" s="70" t="s">
        <v>43</v>
      </c>
      <c r="E1075" s="70" t="s">
        <v>67</v>
      </c>
      <c r="F1075" s="70" t="s">
        <v>67</v>
      </c>
      <c r="G1075" s="71">
        <v>7830860079</v>
      </c>
      <c r="H1075" s="70" t="s">
        <v>68</v>
      </c>
    </row>
    <row r="1076" spans="1:8" ht="17.25" customHeight="1" x14ac:dyDescent="0.2">
      <c r="A1076" s="69">
        <v>2017</v>
      </c>
      <c r="B1076" s="70" t="s">
        <v>66</v>
      </c>
      <c r="C1076" s="70" t="s">
        <v>41</v>
      </c>
      <c r="D1076" s="70" t="s">
        <v>43</v>
      </c>
      <c r="E1076" s="70" t="s">
        <v>69</v>
      </c>
      <c r="F1076" s="70" t="s">
        <v>71</v>
      </c>
      <c r="G1076" s="71">
        <v>1437808821</v>
      </c>
      <c r="H1076" s="70" t="s">
        <v>68</v>
      </c>
    </row>
    <row r="1077" spans="1:8" ht="17.25" customHeight="1" x14ac:dyDescent="0.2">
      <c r="A1077" s="69">
        <v>2017</v>
      </c>
      <c r="B1077" s="70" t="s">
        <v>66</v>
      </c>
      <c r="C1077" s="70" t="s">
        <v>41</v>
      </c>
      <c r="D1077" s="70" t="s">
        <v>43</v>
      </c>
      <c r="E1077" s="70" t="s">
        <v>69</v>
      </c>
      <c r="F1077" s="70" t="s">
        <v>70</v>
      </c>
      <c r="G1077" s="71">
        <v>1287422598</v>
      </c>
      <c r="H1077" s="70" t="s">
        <v>68</v>
      </c>
    </row>
    <row r="1078" spans="1:8" ht="17.25" customHeight="1" x14ac:dyDescent="0.2">
      <c r="A1078" s="69">
        <v>2017</v>
      </c>
      <c r="B1078" s="70" t="s">
        <v>66</v>
      </c>
      <c r="C1078" s="70" t="s">
        <v>41</v>
      </c>
      <c r="D1078" s="70" t="s">
        <v>44</v>
      </c>
      <c r="E1078" s="70" t="s">
        <v>67</v>
      </c>
      <c r="F1078" s="70" t="s">
        <v>67</v>
      </c>
      <c r="G1078" s="71">
        <v>9683481748</v>
      </c>
      <c r="H1078" s="70" t="s">
        <v>68</v>
      </c>
    </row>
    <row r="1079" spans="1:8" ht="17.25" customHeight="1" x14ac:dyDescent="0.2">
      <c r="A1079" s="69">
        <v>2017</v>
      </c>
      <c r="B1079" s="70" t="s">
        <v>66</v>
      </c>
      <c r="C1079" s="70" t="s">
        <v>41</v>
      </c>
      <c r="D1079" s="70" t="s">
        <v>44</v>
      </c>
      <c r="E1079" s="70" t="s">
        <v>69</v>
      </c>
      <c r="F1079" s="70" t="s">
        <v>71</v>
      </c>
      <c r="G1079" s="71">
        <v>1855312752</v>
      </c>
      <c r="H1079" s="70" t="s">
        <v>68</v>
      </c>
    </row>
    <row r="1080" spans="1:8" ht="17.25" customHeight="1" x14ac:dyDescent="0.2">
      <c r="A1080" s="69">
        <v>2017</v>
      </c>
      <c r="B1080" s="70" t="s">
        <v>66</v>
      </c>
      <c r="C1080" s="70" t="s">
        <v>41</v>
      </c>
      <c r="D1080" s="70" t="s">
        <v>44</v>
      </c>
      <c r="E1080" s="70" t="s">
        <v>69</v>
      </c>
      <c r="F1080" s="70" t="s">
        <v>70</v>
      </c>
      <c r="G1080" s="71">
        <v>2027494571</v>
      </c>
      <c r="H1080" s="70" t="s">
        <v>68</v>
      </c>
    </row>
    <row r="1081" spans="1:8" ht="17.25" customHeight="1" x14ac:dyDescent="0.2">
      <c r="A1081" s="69">
        <v>2017</v>
      </c>
      <c r="B1081" s="70" t="s">
        <v>66</v>
      </c>
      <c r="C1081" s="70" t="s">
        <v>41</v>
      </c>
      <c r="D1081" s="70" t="s">
        <v>45</v>
      </c>
      <c r="E1081" s="70" t="s">
        <v>67</v>
      </c>
      <c r="F1081" s="70" t="s">
        <v>67</v>
      </c>
      <c r="G1081" s="71">
        <v>24442246095</v>
      </c>
      <c r="H1081" s="70" t="s">
        <v>68</v>
      </c>
    </row>
    <row r="1082" spans="1:8" ht="17.25" customHeight="1" x14ac:dyDescent="0.2">
      <c r="A1082" s="69">
        <v>2017</v>
      </c>
      <c r="B1082" s="70" t="s">
        <v>66</v>
      </c>
      <c r="C1082" s="70" t="s">
        <v>41</v>
      </c>
      <c r="D1082" s="70" t="s">
        <v>45</v>
      </c>
      <c r="E1082" s="70" t="s">
        <v>69</v>
      </c>
      <c r="F1082" s="70" t="s">
        <v>71</v>
      </c>
      <c r="G1082" s="71">
        <v>4251609786</v>
      </c>
      <c r="H1082" s="70" t="s">
        <v>68</v>
      </c>
    </row>
    <row r="1083" spans="1:8" ht="17.25" customHeight="1" x14ac:dyDescent="0.2">
      <c r="A1083" s="69">
        <v>2017</v>
      </c>
      <c r="B1083" s="70" t="s">
        <v>66</v>
      </c>
      <c r="C1083" s="70" t="s">
        <v>41</v>
      </c>
      <c r="D1083" s="70" t="s">
        <v>45</v>
      </c>
      <c r="E1083" s="70" t="s">
        <v>69</v>
      </c>
      <c r="F1083" s="70" t="s">
        <v>70</v>
      </c>
      <c r="G1083" s="71">
        <v>7992619226</v>
      </c>
      <c r="H1083" s="70" t="s">
        <v>68</v>
      </c>
    </row>
    <row r="1084" spans="1:8" ht="17.25" customHeight="1" x14ac:dyDescent="0.2">
      <c r="A1084" s="69">
        <v>2017</v>
      </c>
      <c r="B1084" s="70" t="s">
        <v>66</v>
      </c>
      <c r="C1084" s="70" t="s">
        <v>47</v>
      </c>
      <c r="D1084" s="70" t="s">
        <v>46</v>
      </c>
      <c r="E1084" s="70" t="s">
        <v>67</v>
      </c>
      <c r="F1084" s="70" t="s">
        <v>67</v>
      </c>
      <c r="G1084" s="71">
        <v>20088599037</v>
      </c>
      <c r="H1084" s="70" t="s">
        <v>68</v>
      </c>
    </row>
    <row r="1085" spans="1:8" ht="17.25" customHeight="1" x14ac:dyDescent="0.2">
      <c r="A1085" s="69">
        <v>2017</v>
      </c>
      <c r="B1085" s="70" t="s">
        <v>66</v>
      </c>
      <c r="C1085" s="70" t="s">
        <v>47</v>
      </c>
      <c r="D1085" s="70" t="s">
        <v>46</v>
      </c>
      <c r="E1085" s="70" t="s">
        <v>69</v>
      </c>
      <c r="F1085" s="70" t="s">
        <v>71</v>
      </c>
      <c r="G1085" s="71">
        <v>5240606469</v>
      </c>
      <c r="H1085" s="70" t="s">
        <v>68</v>
      </c>
    </row>
    <row r="1086" spans="1:8" ht="17.25" customHeight="1" x14ac:dyDescent="0.2">
      <c r="A1086" s="69">
        <v>2017</v>
      </c>
      <c r="B1086" s="70" t="s">
        <v>66</v>
      </c>
      <c r="C1086" s="70" t="s">
        <v>47</v>
      </c>
      <c r="D1086" s="70" t="s">
        <v>46</v>
      </c>
      <c r="E1086" s="70" t="s">
        <v>69</v>
      </c>
      <c r="F1086" s="70" t="s">
        <v>70</v>
      </c>
      <c r="G1086" s="71">
        <v>8992939053</v>
      </c>
      <c r="H1086" s="70" t="s">
        <v>68</v>
      </c>
    </row>
    <row r="1087" spans="1:8" ht="17.25" customHeight="1" x14ac:dyDescent="0.2">
      <c r="A1087" s="69">
        <v>2017</v>
      </c>
      <c r="B1087" s="70" t="s">
        <v>66</v>
      </c>
      <c r="C1087" s="70" t="s">
        <v>47</v>
      </c>
      <c r="D1087" s="70" t="s">
        <v>48</v>
      </c>
      <c r="E1087" s="70" t="s">
        <v>72</v>
      </c>
      <c r="F1087" s="70" t="s">
        <v>73</v>
      </c>
      <c r="G1087" s="71">
        <v>88756076735</v>
      </c>
      <c r="H1087" s="70" t="s">
        <v>68</v>
      </c>
    </row>
    <row r="1088" spans="1:8" ht="17.25" customHeight="1" x14ac:dyDescent="0.2">
      <c r="A1088" s="69">
        <v>2017</v>
      </c>
      <c r="B1088" s="70" t="s">
        <v>66</v>
      </c>
      <c r="C1088" s="70" t="s">
        <v>47</v>
      </c>
      <c r="D1088" s="70" t="s">
        <v>48</v>
      </c>
      <c r="E1088" s="70" t="s">
        <v>67</v>
      </c>
      <c r="F1088" s="70" t="s">
        <v>74</v>
      </c>
      <c r="G1088" s="71">
        <v>99466647142</v>
      </c>
      <c r="H1088" s="70" t="s">
        <v>68</v>
      </c>
    </row>
    <row r="1089" spans="1:8" ht="17.25" customHeight="1" x14ac:dyDescent="0.2">
      <c r="A1089" s="69">
        <v>2017</v>
      </c>
      <c r="B1089" s="70" t="s">
        <v>66</v>
      </c>
      <c r="C1089" s="70" t="s">
        <v>47</v>
      </c>
      <c r="D1089" s="70" t="s">
        <v>48</v>
      </c>
      <c r="E1089" s="70" t="s">
        <v>69</v>
      </c>
      <c r="F1089" s="70" t="s">
        <v>71</v>
      </c>
      <c r="G1089" s="71">
        <v>66578999995</v>
      </c>
      <c r="H1089" s="70" t="s">
        <v>68</v>
      </c>
    </row>
    <row r="1090" spans="1:8" ht="17.25" customHeight="1" x14ac:dyDescent="0.2">
      <c r="A1090" s="69">
        <v>2017</v>
      </c>
      <c r="B1090" s="70" t="s">
        <v>66</v>
      </c>
      <c r="C1090" s="70" t="s">
        <v>47</v>
      </c>
      <c r="D1090" s="70" t="s">
        <v>48</v>
      </c>
      <c r="E1090" s="70" t="s">
        <v>69</v>
      </c>
      <c r="F1090" s="70" t="s">
        <v>70</v>
      </c>
      <c r="G1090" s="71">
        <v>112460055727</v>
      </c>
      <c r="H1090" s="70" t="s">
        <v>68</v>
      </c>
    </row>
    <row r="1091" spans="1:8" ht="17.25" customHeight="1" x14ac:dyDescent="0.2">
      <c r="A1091" s="69">
        <v>2018</v>
      </c>
      <c r="B1091" s="70" t="s">
        <v>66</v>
      </c>
      <c r="C1091" s="70" t="s">
        <v>4</v>
      </c>
      <c r="D1091" s="70" t="s">
        <v>3</v>
      </c>
      <c r="E1091" s="70" t="s">
        <v>67</v>
      </c>
      <c r="F1091" s="70" t="s">
        <v>67</v>
      </c>
      <c r="G1091" s="71">
        <v>19092646617</v>
      </c>
      <c r="H1091" s="70" t="s">
        <v>68</v>
      </c>
    </row>
    <row r="1092" spans="1:8" ht="17.25" customHeight="1" x14ac:dyDescent="0.2">
      <c r="A1092" s="69">
        <v>2018</v>
      </c>
      <c r="B1092" s="70" t="s">
        <v>66</v>
      </c>
      <c r="C1092" s="70" t="s">
        <v>4</v>
      </c>
      <c r="D1092" s="70" t="s">
        <v>3</v>
      </c>
      <c r="E1092" s="70" t="s">
        <v>69</v>
      </c>
      <c r="F1092" s="70" t="s">
        <v>71</v>
      </c>
      <c r="G1092" s="71">
        <v>4698406223</v>
      </c>
      <c r="H1092" s="70" t="s">
        <v>68</v>
      </c>
    </row>
    <row r="1093" spans="1:8" ht="17.25" customHeight="1" x14ac:dyDescent="0.2">
      <c r="A1093" s="69">
        <v>2018</v>
      </c>
      <c r="B1093" s="70" t="s">
        <v>66</v>
      </c>
      <c r="C1093" s="70" t="s">
        <v>4</v>
      </c>
      <c r="D1093" s="70" t="s">
        <v>3</v>
      </c>
      <c r="E1093" s="70" t="s">
        <v>69</v>
      </c>
      <c r="F1093" s="70" t="s">
        <v>70</v>
      </c>
      <c r="G1093" s="71">
        <v>10026705472</v>
      </c>
      <c r="H1093" s="70" t="s">
        <v>68</v>
      </c>
    </row>
    <row r="1094" spans="1:8" ht="17.25" customHeight="1" x14ac:dyDescent="0.2">
      <c r="A1094" s="69">
        <v>2018</v>
      </c>
      <c r="B1094" s="70" t="s">
        <v>66</v>
      </c>
      <c r="C1094" s="70" t="s">
        <v>4</v>
      </c>
      <c r="D1094" s="70" t="s">
        <v>5</v>
      </c>
      <c r="E1094" s="70" t="s">
        <v>67</v>
      </c>
      <c r="F1094" s="70" t="s">
        <v>67</v>
      </c>
      <c r="G1094" s="71">
        <v>85502078828</v>
      </c>
      <c r="H1094" s="70" t="s">
        <v>68</v>
      </c>
    </row>
    <row r="1095" spans="1:8" ht="17.25" customHeight="1" x14ac:dyDescent="0.2">
      <c r="A1095" s="69">
        <v>2018</v>
      </c>
      <c r="B1095" s="70" t="s">
        <v>66</v>
      </c>
      <c r="C1095" s="70" t="s">
        <v>4</v>
      </c>
      <c r="D1095" s="70" t="s">
        <v>5</v>
      </c>
      <c r="E1095" s="70" t="s">
        <v>69</v>
      </c>
      <c r="F1095" s="70" t="s">
        <v>71</v>
      </c>
      <c r="G1095" s="71">
        <v>45674298613</v>
      </c>
      <c r="H1095" s="70" t="s">
        <v>68</v>
      </c>
    </row>
    <row r="1096" spans="1:8" ht="17.25" customHeight="1" x14ac:dyDescent="0.2">
      <c r="A1096" s="69">
        <v>2018</v>
      </c>
      <c r="B1096" s="70" t="s">
        <v>66</v>
      </c>
      <c r="C1096" s="70" t="s">
        <v>4</v>
      </c>
      <c r="D1096" s="70" t="s">
        <v>5</v>
      </c>
      <c r="E1096" s="70" t="s">
        <v>69</v>
      </c>
      <c r="F1096" s="70" t="s">
        <v>70</v>
      </c>
      <c r="G1096" s="71">
        <v>39388901589</v>
      </c>
      <c r="H1096" s="70" t="s">
        <v>68</v>
      </c>
    </row>
    <row r="1097" spans="1:8" ht="17.25" customHeight="1" x14ac:dyDescent="0.2">
      <c r="A1097" s="69">
        <v>2018</v>
      </c>
      <c r="B1097" s="70" t="s">
        <v>66</v>
      </c>
      <c r="C1097" s="70" t="s">
        <v>4</v>
      </c>
      <c r="D1097" s="70" t="s">
        <v>6</v>
      </c>
      <c r="E1097" s="70" t="s">
        <v>67</v>
      </c>
      <c r="F1097" s="70" t="s">
        <v>67</v>
      </c>
      <c r="G1097" s="71">
        <v>10981927255</v>
      </c>
      <c r="H1097" s="70" t="s">
        <v>68</v>
      </c>
    </row>
    <row r="1098" spans="1:8" ht="17.25" customHeight="1" x14ac:dyDescent="0.2">
      <c r="A1098" s="69">
        <v>2018</v>
      </c>
      <c r="B1098" s="70" t="s">
        <v>66</v>
      </c>
      <c r="C1098" s="70" t="s">
        <v>4</v>
      </c>
      <c r="D1098" s="70" t="s">
        <v>6</v>
      </c>
      <c r="E1098" s="70" t="s">
        <v>69</v>
      </c>
      <c r="F1098" s="70" t="s">
        <v>71</v>
      </c>
      <c r="G1098" s="71">
        <v>1101580090</v>
      </c>
      <c r="H1098" s="70" t="s">
        <v>68</v>
      </c>
    </row>
    <row r="1099" spans="1:8" ht="17.25" customHeight="1" x14ac:dyDescent="0.2">
      <c r="A1099" s="69">
        <v>2018</v>
      </c>
      <c r="B1099" s="70" t="s">
        <v>66</v>
      </c>
      <c r="C1099" s="70" t="s">
        <v>4</v>
      </c>
      <c r="D1099" s="70" t="s">
        <v>6</v>
      </c>
      <c r="E1099" s="70" t="s">
        <v>69</v>
      </c>
      <c r="F1099" s="70" t="s">
        <v>70</v>
      </c>
      <c r="G1099" s="71">
        <v>1433127160</v>
      </c>
      <c r="H1099" s="70" t="s">
        <v>68</v>
      </c>
    </row>
    <row r="1100" spans="1:8" ht="17.25" customHeight="1" x14ac:dyDescent="0.2">
      <c r="A1100" s="69">
        <v>2018</v>
      </c>
      <c r="B1100" s="70" t="s">
        <v>66</v>
      </c>
      <c r="C1100" s="70" t="s">
        <v>4</v>
      </c>
      <c r="D1100" s="70" t="s">
        <v>7</v>
      </c>
      <c r="E1100" s="70" t="s">
        <v>67</v>
      </c>
      <c r="F1100" s="70" t="s">
        <v>67</v>
      </c>
      <c r="G1100" s="71">
        <v>18700388507</v>
      </c>
      <c r="H1100" s="70" t="s">
        <v>68</v>
      </c>
    </row>
    <row r="1101" spans="1:8" ht="17.25" customHeight="1" x14ac:dyDescent="0.2">
      <c r="A1101" s="69">
        <v>2018</v>
      </c>
      <c r="B1101" s="70" t="s">
        <v>66</v>
      </c>
      <c r="C1101" s="70" t="s">
        <v>4</v>
      </c>
      <c r="D1101" s="70" t="s">
        <v>7</v>
      </c>
      <c r="E1101" s="70" t="s">
        <v>69</v>
      </c>
      <c r="F1101" s="70" t="s">
        <v>71</v>
      </c>
      <c r="G1101" s="71">
        <v>6534929793</v>
      </c>
      <c r="H1101" s="70" t="s">
        <v>68</v>
      </c>
    </row>
    <row r="1102" spans="1:8" ht="17.25" customHeight="1" x14ac:dyDescent="0.2">
      <c r="A1102" s="69">
        <v>2018</v>
      </c>
      <c r="B1102" s="70" t="s">
        <v>66</v>
      </c>
      <c r="C1102" s="70" t="s">
        <v>4</v>
      </c>
      <c r="D1102" s="70" t="s">
        <v>7</v>
      </c>
      <c r="E1102" s="70" t="s">
        <v>69</v>
      </c>
      <c r="F1102" s="70" t="s">
        <v>70</v>
      </c>
      <c r="G1102" s="71">
        <v>7286815335</v>
      </c>
      <c r="H1102" s="70" t="s">
        <v>68</v>
      </c>
    </row>
    <row r="1103" spans="1:8" ht="17.25" customHeight="1" x14ac:dyDescent="0.2">
      <c r="A1103" s="69">
        <v>2018</v>
      </c>
      <c r="B1103" s="70" t="s">
        <v>66</v>
      </c>
      <c r="C1103" s="70" t="s">
        <v>4</v>
      </c>
      <c r="D1103" s="70" t="s">
        <v>8</v>
      </c>
      <c r="E1103" s="70" t="s">
        <v>67</v>
      </c>
      <c r="F1103" s="70" t="s">
        <v>67</v>
      </c>
      <c r="G1103" s="71">
        <v>9118576060</v>
      </c>
      <c r="H1103" s="70" t="s">
        <v>68</v>
      </c>
    </row>
    <row r="1104" spans="1:8" ht="17.25" customHeight="1" x14ac:dyDescent="0.2">
      <c r="A1104" s="69">
        <v>2018</v>
      </c>
      <c r="B1104" s="70" t="s">
        <v>66</v>
      </c>
      <c r="C1104" s="70" t="s">
        <v>4</v>
      </c>
      <c r="D1104" s="70" t="s">
        <v>8</v>
      </c>
      <c r="E1104" s="70" t="s">
        <v>69</v>
      </c>
      <c r="F1104" s="70" t="s">
        <v>71</v>
      </c>
      <c r="G1104" s="71">
        <v>2680415685</v>
      </c>
      <c r="H1104" s="70" t="s">
        <v>68</v>
      </c>
    </row>
    <row r="1105" spans="1:8" ht="17.25" customHeight="1" x14ac:dyDescent="0.2">
      <c r="A1105" s="69">
        <v>2018</v>
      </c>
      <c r="B1105" s="70" t="s">
        <v>66</v>
      </c>
      <c r="C1105" s="70" t="s">
        <v>4</v>
      </c>
      <c r="D1105" s="70" t="s">
        <v>8</v>
      </c>
      <c r="E1105" s="70" t="s">
        <v>69</v>
      </c>
      <c r="F1105" s="70" t="s">
        <v>70</v>
      </c>
      <c r="G1105" s="71">
        <v>1492717244</v>
      </c>
      <c r="H1105" s="70" t="s">
        <v>68</v>
      </c>
    </row>
    <row r="1106" spans="1:8" ht="17.25" customHeight="1" x14ac:dyDescent="0.2">
      <c r="A1106" s="69">
        <v>2018</v>
      </c>
      <c r="B1106" s="70" t="s">
        <v>66</v>
      </c>
      <c r="C1106" s="70" t="s">
        <v>4</v>
      </c>
      <c r="D1106" s="70" t="s">
        <v>9</v>
      </c>
      <c r="E1106" s="70" t="s">
        <v>67</v>
      </c>
      <c r="F1106" s="70" t="s">
        <v>67</v>
      </c>
      <c r="G1106" s="71">
        <v>58965673725</v>
      </c>
      <c r="H1106" s="70" t="s">
        <v>68</v>
      </c>
    </row>
    <row r="1107" spans="1:8" ht="17.25" customHeight="1" x14ac:dyDescent="0.2">
      <c r="A1107" s="69">
        <v>2018</v>
      </c>
      <c r="B1107" s="70" t="s">
        <v>66</v>
      </c>
      <c r="C1107" s="70" t="s">
        <v>4</v>
      </c>
      <c r="D1107" s="70" t="s">
        <v>9</v>
      </c>
      <c r="E1107" s="70" t="s">
        <v>69</v>
      </c>
      <c r="F1107" s="70" t="s">
        <v>71</v>
      </c>
      <c r="G1107" s="71">
        <v>17057769736</v>
      </c>
      <c r="H1107" s="70" t="s">
        <v>68</v>
      </c>
    </row>
    <row r="1108" spans="1:8" ht="17.25" customHeight="1" x14ac:dyDescent="0.2">
      <c r="A1108" s="69">
        <v>2018</v>
      </c>
      <c r="B1108" s="70" t="s">
        <v>66</v>
      </c>
      <c r="C1108" s="70" t="s">
        <v>4</v>
      </c>
      <c r="D1108" s="70" t="s">
        <v>9</v>
      </c>
      <c r="E1108" s="70" t="s">
        <v>69</v>
      </c>
      <c r="F1108" s="70" t="s">
        <v>70</v>
      </c>
      <c r="G1108" s="71">
        <v>25804143501</v>
      </c>
      <c r="H1108" s="70" t="s">
        <v>68</v>
      </c>
    </row>
    <row r="1109" spans="1:8" ht="17.25" customHeight="1" x14ac:dyDescent="0.2">
      <c r="A1109" s="69">
        <v>2018</v>
      </c>
      <c r="B1109" s="70" t="s">
        <v>66</v>
      </c>
      <c r="C1109" s="70" t="s">
        <v>4</v>
      </c>
      <c r="D1109" s="70" t="s">
        <v>10</v>
      </c>
      <c r="E1109" s="70" t="s">
        <v>67</v>
      </c>
      <c r="F1109" s="70" t="s">
        <v>67</v>
      </c>
      <c r="G1109" s="71">
        <v>1755960482</v>
      </c>
      <c r="H1109" s="70" t="s">
        <v>68</v>
      </c>
    </row>
    <row r="1110" spans="1:8" ht="17.25" customHeight="1" x14ac:dyDescent="0.2">
      <c r="A1110" s="69">
        <v>2018</v>
      </c>
      <c r="B1110" s="70" t="s">
        <v>66</v>
      </c>
      <c r="C1110" s="70" t="s">
        <v>4</v>
      </c>
      <c r="D1110" s="70" t="s">
        <v>10</v>
      </c>
      <c r="E1110" s="70" t="s">
        <v>69</v>
      </c>
      <c r="F1110" s="70" t="s">
        <v>71</v>
      </c>
      <c r="G1110" s="71">
        <v>357776948</v>
      </c>
      <c r="H1110" s="70" t="s">
        <v>68</v>
      </c>
    </row>
    <row r="1111" spans="1:8" ht="17.25" customHeight="1" x14ac:dyDescent="0.2">
      <c r="A1111" s="69">
        <v>2018</v>
      </c>
      <c r="B1111" s="70" t="s">
        <v>66</v>
      </c>
      <c r="C1111" s="70" t="s">
        <v>4</v>
      </c>
      <c r="D1111" s="70" t="s">
        <v>10</v>
      </c>
      <c r="E1111" s="70" t="s">
        <v>69</v>
      </c>
      <c r="F1111" s="70" t="s">
        <v>70</v>
      </c>
      <c r="G1111" s="71">
        <v>81213172</v>
      </c>
      <c r="H1111" s="70" t="s">
        <v>68</v>
      </c>
    </row>
    <row r="1112" spans="1:8" ht="17.25" customHeight="1" x14ac:dyDescent="0.2">
      <c r="A1112" s="69">
        <v>2018</v>
      </c>
      <c r="B1112" s="70" t="s">
        <v>66</v>
      </c>
      <c r="C1112" s="70" t="s">
        <v>4</v>
      </c>
      <c r="D1112" s="70" t="s">
        <v>11</v>
      </c>
      <c r="E1112" s="70" t="s">
        <v>67</v>
      </c>
      <c r="F1112" s="70" t="s">
        <v>67</v>
      </c>
      <c r="G1112" s="71">
        <v>5412091296</v>
      </c>
      <c r="H1112" s="70" t="s">
        <v>68</v>
      </c>
    </row>
    <row r="1113" spans="1:8" ht="17.25" customHeight="1" x14ac:dyDescent="0.2">
      <c r="A1113" s="69">
        <v>2018</v>
      </c>
      <c r="B1113" s="70" t="s">
        <v>66</v>
      </c>
      <c r="C1113" s="70" t="s">
        <v>4</v>
      </c>
      <c r="D1113" s="70" t="s">
        <v>11</v>
      </c>
      <c r="E1113" s="70" t="s">
        <v>69</v>
      </c>
      <c r="F1113" s="70" t="s">
        <v>71</v>
      </c>
      <c r="G1113" s="71">
        <v>1416084807</v>
      </c>
      <c r="H1113" s="70" t="s">
        <v>68</v>
      </c>
    </row>
    <row r="1114" spans="1:8" ht="17.25" customHeight="1" x14ac:dyDescent="0.2">
      <c r="A1114" s="69">
        <v>2018</v>
      </c>
      <c r="B1114" s="70" t="s">
        <v>66</v>
      </c>
      <c r="C1114" s="70" t="s">
        <v>4</v>
      </c>
      <c r="D1114" s="70" t="s">
        <v>11</v>
      </c>
      <c r="E1114" s="70" t="s">
        <v>69</v>
      </c>
      <c r="F1114" s="70" t="s">
        <v>70</v>
      </c>
      <c r="G1114" s="71">
        <v>2309822492</v>
      </c>
      <c r="H1114" s="70" t="s">
        <v>68</v>
      </c>
    </row>
    <row r="1115" spans="1:8" ht="17.25" customHeight="1" x14ac:dyDescent="0.2">
      <c r="A1115" s="69">
        <v>2018</v>
      </c>
      <c r="B1115" s="70" t="s">
        <v>66</v>
      </c>
      <c r="C1115" s="70" t="s">
        <v>4</v>
      </c>
      <c r="D1115" s="70" t="s">
        <v>12</v>
      </c>
      <c r="E1115" s="70" t="s">
        <v>67</v>
      </c>
      <c r="F1115" s="70" t="s">
        <v>67</v>
      </c>
      <c r="G1115" s="71">
        <v>7211448324</v>
      </c>
      <c r="H1115" s="70" t="s">
        <v>68</v>
      </c>
    </row>
    <row r="1116" spans="1:8" ht="17.25" customHeight="1" x14ac:dyDescent="0.2">
      <c r="A1116" s="69">
        <v>2018</v>
      </c>
      <c r="B1116" s="70" t="s">
        <v>66</v>
      </c>
      <c r="C1116" s="70" t="s">
        <v>4</v>
      </c>
      <c r="D1116" s="70" t="s">
        <v>12</v>
      </c>
      <c r="E1116" s="70" t="s">
        <v>69</v>
      </c>
      <c r="F1116" s="70" t="s">
        <v>71</v>
      </c>
      <c r="G1116" s="71">
        <v>1550970355</v>
      </c>
      <c r="H1116" s="70" t="s">
        <v>68</v>
      </c>
    </row>
    <row r="1117" spans="1:8" ht="17.25" customHeight="1" x14ac:dyDescent="0.2">
      <c r="A1117" s="69">
        <v>2018</v>
      </c>
      <c r="B1117" s="70" t="s">
        <v>66</v>
      </c>
      <c r="C1117" s="70" t="s">
        <v>4</v>
      </c>
      <c r="D1117" s="70" t="s">
        <v>12</v>
      </c>
      <c r="E1117" s="70" t="s">
        <v>69</v>
      </c>
      <c r="F1117" s="70" t="s">
        <v>70</v>
      </c>
      <c r="G1117" s="71">
        <v>3694368508</v>
      </c>
      <c r="H1117" s="70" t="s">
        <v>68</v>
      </c>
    </row>
    <row r="1118" spans="1:8" ht="17.25" customHeight="1" x14ac:dyDescent="0.2">
      <c r="A1118" s="69">
        <v>2018</v>
      </c>
      <c r="B1118" s="70" t="s">
        <v>66</v>
      </c>
      <c r="C1118" s="70" t="s">
        <v>4</v>
      </c>
      <c r="D1118" s="70" t="s">
        <v>13</v>
      </c>
      <c r="E1118" s="70" t="s">
        <v>67</v>
      </c>
      <c r="F1118" s="70" t="s">
        <v>67</v>
      </c>
      <c r="G1118" s="71">
        <v>11772758061</v>
      </c>
      <c r="H1118" s="70" t="s">
        <v>68</v>
      </c>
    </row>
    <row r="1119" spans="1:8" ht="17.25" customHeight="1" x14ac:dyDescent="0.2">
      <c r="A1119" s="69">
        <v>2018</v>
      </c>
      <c r="B1119" s="70" t="s">
        <v>66</v>
      </c>
      <c r="C1119" s="70" t="s">
        <v>4</v>
      </c>
      <c r="D1119" s="70" t="s">
        <v>13</v>
      </c>
      <c r="E1119" s="70" t="s">
        <v>69</v>
      </c>
      <c r="F1119" s="70" t="s">
        <v>71</v>
      </c>
      <c r="G1119" s="71">
        <v>2481734608</v>
      </c>
      <c r="H1119" s="70" t="s">
        <v>68</v>
      </c>
    </row>
    <row r="1120" spans="1:8" ht="17.25" customHeight="1" x14ac:dyDescent="0.2">
      <c r="A1120" s="69">
        <v>2018</v>
      </c>
      <c r="B1120" s="70" t="s">
        <v>66</v>
      </c>
      <c r="C1120" s="70" t="s">
        <v>4</v>
      </c>
      <c r="D1120" s="70" t="s">
        <v>13</v>
      </c>
      <c r="E1120" s="70" t="s">
        <v>69</v>
      </c>
      <c r="F1120" s="70" t="s">
        <v>70</v>
      </c>
      <c r="G1120" s="71">
        <v>5834398672</v>
      </c>
      <c r="H1120" s="70" t="s">
        <v>68</v>
      </c>
    </row>
    <row r="1121" spans="1:8" ht="17.25" customHeight="1" x14ac:dyDescent="0.2">
      <c r="A1121" s="69">
        <v>2018</v>
      </c>
      <c r="B1121" s="70" t="s">
        <v>66</v>
      </c>
      <c r="C1121" s="70" t="s">
        <v>4</v>
      </c>
      <c r="D1121" s="70" t="s">
        <v>14</v>
      </c>
      <c r="E1121" s="70" t="s">
        <v>67</v>
      </c>
      <c r="F1121" s="70" t="s">
        <v>67</v>
      </c>
      <c r="G1121" s="71">
        <v>8417785173</v>
      </c>
      <c r="H1121" s="70" t="s">
        <v>68</v>
      </c>
    </row>
    <row r="1122" spans="1:8" ht="17.25" customHeight="1" x14ac:dyDescent="0.2">
      <c r="A1122" s="69">
        <v>2018</v>
      </c>
      <c r="B1122" s="70" t="s">
        <v>66</v>
      </c>
      <c r="C1122" s="70" t="s">
        <v>4</v>
      </c>
      <c r="D1122" s="70" t="s">
        <v>14</v>
      </c>
      <c r="E1122" s="70" t="s">
        <v>69</v>
      </c>
      <c r="F1122" s="70" t="s">
        <v>71</v>
      </c>
      <c r="G1122" s="71">
        <v>970080186</v>
      </c>
      <c r="H1122" s="70" t="s">
        <v>68</v>
      </c>
    </row>
    <row r="1123" spans="1:8" ht="17.25" customHeight="1" x14ac:dyDescent="0.2">
      <c r="A1123" s="69">
        <v>2018</v>
      </c>
      <c r="B1123" s="70" t="s">
        <v>66</v>
      </c>
      <c r="C1123" s="70" t="s">
        <v>4</v>
      </c>
      <c r="D1123" s="70" t="s">
        <v>14</v>
      </c>
      <c r="E1123" s="70" t="s">
        <v>69</v>
      </c>
      <c r="F1123" s="70" t="s">
        <v>70</v>
      </c>
      <c r="G1123" s="71">
        <v>2184042653</v>
      </c>
      <c r="H1123" s="70" t="s">
        <v>68</v>
      </c>
    </row>
    <row r="1124" spans="1:8" ht="17.25" customHeight="1" x14ac:dyDescent="0.2">
      <c r="A1124" s="69">
        <v>2018</v>
      </c>
      <c r="B1124" s="70" t="s">
        <v>66</v>
      </c>
      <c r="C1124" s="70" t="s">
        <v>4</v>
      </c>
      <c r="D1124" s="70" t="s">
        <v>15</v>
      </c>
      <c r="E1124" s="70" t="s">
        <v>67</v>
      </c>
      <c r="F1124" s="70" t="s">
        <v>67</v>
      </c>
      <c r="G1124" s="71">
        <v>11002301518</v>
      </c>
      <c r="H1124" s="70" t="s">
        <v>68</v>
      </c>
    </row>
    <row r="1125" spans="1:8" ht="17.25" customHeight="1" x14ac:dyDescent="0.2">
      <c r="A1125" s="69">
        <v>2018</v>
      </c>
      <c r="B1125" s="70" t="s">
        <v>66</v>
      </c>
      <c r="C1125" s="70" t="s">
        <v>4</v>
      </c>
      <c r="D1125" s="70" t="s">
        <v>15</v>
      </c>
      <c r="E1125" s="70" t="s">
        <v>69</v>
      </c>
      <c r="F1125" s="70" t="s">
        <v>71</v>
      </c>
      <c r="G1125" s="71">
        <v>3590721372</v>
      </c>
      <c r="H1125" s="70" t="s">
        <v>68</v>
      </c>
    </row>
    <row r="1126" spans="1:8" ht="17.25" customHeight="1" x14ac:dyDescent="0.2">
      <c r="A1126" s="69">
        <v>2018</v>
      </c>
      <c r="B1126" s="70" t="s">
        <v>66</v>
      </c>
      <c r="C1126" s="70" t="s">
        <v>4</v>
      </c>
      <c r="D1126" s="70" t="s">
        <v>15</v>
      </c>
      <c r="E1126" s="70" t="s">
        <v>69</v>
      </c>
      <c r="F1126" s="70" t="s">
        <v>70</v>
      </c>
      <c r="G1126" s="71">
        <v>2416173069</v>
      </c>
      <c r="H1126" s="70" t="s">
        <v>68</v>
      </c>
    </row>
    <row r="1127" spans="1:8" ht="17.25" customHeight="1" x14ac:dyDescent="0.2">
      <c r="A1127" s="69">
        <v>2018</v>
      </c>
      <c r="B1127" s="70" t="s">
        <v>66</v>
      </c>
      <c r="C1127" s="70" t="s">
        <v>17</v>
      </c>
      <c r="D1127" s="70" t="s">
        <v>16</v>
      </c>
      <c r="E1127" s="70" t="s">
        <v>67</v>
      </c>
      <c r="F1127" s="70" t="s">
        <v>67</v>
      </c>
      <c r="G1127" s="71">
        <v>852906081</v>
      </c>
      <c r="H1127" s="70" t="s">
        <v>68</v>
      </c>
    </row>
    <row r="1128" spans="1:8" ht="17.25" customHeight="1" x14ac:dyDescent="0.2">
      <c r="A1128" s="69">
        <v>2018</v>
      </c>
      <c r="B1128" s="70" t="s">
        <v>66</v>
      </c>
      <c r="C1128" s="70" t="s">
        <v>17</v>
      </c>
      <c r="D1128" s="70" t="s">
        <v>16</v>
      </c>
      <c r="E1128" s="70" t="s">
        <v>69</v>
      </c>
      <c r="F1128" s="70" t="s">
        <v>71</v>
      </c>
      <c r="G1128" s="71">
        <v>262003544</v>
      </c>
      <c r="H1128" s="70" t="s">
        <v>68</v>
      </c>
    </row>
    <row r="1129" spans="1:8" ht="17.25" customHeight="1" x14ac:dyDescent="0.2">
      <c r="A1129" s="69">
        <v>2018</v>
      </c>
      <c r="B1129" s="70" t="s">
        <v>66</v>
      </c>
      <c r="C1129" s="70" t="s">
        <v>17</v>
      </c>
      <c r="D1129" s="70" t="s">
        <v>16</v>
      </c>
      <c r="E1129" s="70" t="s">
        <v>69</v>
      </c>
      <c r="F1129" s="70" t="s">
        <v>70</v>
      </c>
      <c r="G1129" s="71">
        <v>98618331</v>
      </c>
      <c r="H1129" s="70" t="s">
        <v>68</v>
      </c>
    </row>
    <row r="1130" spans="1:8" ht="17.25" customHeight="1" x14ac:dyDescent="0.2">
      <c r="A1130" s="69">
        <v>2018</v>
      </c>
      <c r="B1130" s="70" t="s">
        <v>66</v>
      </c>
      <c r="C1130" s="70" t="s">
        <v>17</v>
      </c>
      <c r="D1130" s="70" t="s">
        <v>18</v>
      </c>
      <c r="E1130" s="70" t="s">
        <v>67</v>
      </c>
      <c r="F1130" s="70" t="s">
        <v>67</v>
      </c>
      <c r="G1130" s="71">
        <v>1800209098</v>
      </c>
      <c r="H1130" s="70" t="s">
        <v>68</v>
      </c>
    </row>
    <row r="1131" spans="1:8" ht="17.25" customHeight="1" x14ac:dyDescent="0.2">
      <c r="A1131" s="69">
        <v>2018</v>
      </c>
      <c r="B1131" s="70" t="s">
        <v>66</v>
      </c>
      <c r="C1131" s="70" t="s">
        <v>17</v>
      </c>
      <c r="D1131" s="70" t="s">
        <v>18</v>
      </c>
      <c r="E1131" s="70" t="s">
        <v>69</v>
      </c>
      <c r="F1131" s="70" t="s">
        <v>71</v>
      </c>
      <c r="G1131" s="71">
        <v>797565022</v>
      </c>
      <c r="H1131" s="70" t="s">
        <v>68</v>
      </c>
    </row>
    <row r="1132" spans="1:8" ht="17.25" customHeight="1" x14ac:dyDescent="0.2">
      <c r="A1132" s="69">
        <v>2018</v>
      </c>
      <c r="B1132" s="70" t="s">
        <v>66</v>
      </c>
      <c r="C1132" s="70" t="s">
        <v>17</v>
      </c>
      <c r="D1132" s="70" t="s">
        <v>18</v>
      </c>
      <c r="E1132" s="70" t="s">
        <v>69</v>
      </c>
      <c r="F1132" s="70" t="s">
        <v>70</v>
      </c>
      <c r="G1132" s="71">
        <v>1122621634</v>
      </c>
      <c r="H1132" s="70" t="s">
        <v>68</v>
      </c>
    </row>
    <row r="1133" spans="1:8" ht="17.25" customHeight="1" x14ac:dyDescent="0.2">
      <c r="A1133" s="69">
        <v>2018</v>
      </c>
      <c r="B1133" s="70" t="s">
        <v>66</v>
      </c>
      <c r="C1133" s="70" t="s">
        <v>17</v>
      </c>
      <c r="D1133" s="70" t="s">
        <v>19</v>
      </c>
      <c r="E1133" s="70" t="s">
        <v>67</v>
      </c>
      <c r="F1133" s="70" t="s">
        <v>67</v>
      </c>
      <c r="G1133" s="71">
        <v>3879420271</v>
      </c>
      <c r="H1133" s="70" t="s">
        <v>68</v>
      </c>
    </row>
    <row r="1134" spans="1:8" ht="17.25" customHeight="1" x14ac:dyDescent="0.2">
      <c r="A1134" s="69">
        <v>2018</v>
      </c>
      <c r="B1134" s="70" t="s">
        <v>66</v>
      </c>
      <c r="C1134" s="70" t="s">
        <v>17</v>
      </c>
      <c r="D1134" s="70" t="s">
        <v>19</v>
      </c>
      <c r="E1134" s="70" t="s">
        <v>69</v>
      </c>
      <c r="F1134" s="70" t="s">
        <v>71</v>
      </c>
      <c r="G1134" s="71">
        <v>1289845155</v>
      </c>
      <c r="H1134" s="70" t="s">
        <v>68</v>
      </c>
    </row>
    <row r="1135" spans="1:8" ht="17.25" customHeight="1" x14ac:dyDescent="0.2">
      <c r="A1135" s="69">
        <v>2018</v>
      </c>
      <c r="B1135" s="70" t="s">
        <v>66</v>
      </c>
      <c r="C1135" s="70" t="s">
        <v>17</v>
      </c>
      <c r="D1135" s="70" t="s">
        <v>19</v>
      </c>
      <c r="E1135" s="70" t="s">
        <v>69</v>
      </c>
      <c r="F1135" s="70" t="s">
        <v>70</v>
      </c>
      <c r="G1135" s="71">
        <v>780382860</v>
      </c>
      <c r="H1135" s="70" t="s">
        <v>68</v>
      </c>
    </row>
    <row r="1136" spans="1:8" ht="17.25" customHeight="1" x14ac:dyDescent="0.2">
      <c r="A1136" s="69">
        <v>2018</v>
      </c>
      <c r="B1136" s="70" t="s">
        <v>66</v>
      </c>
      <c r="C1136" s="70" t="s">
        <v>17</v>
      </c>
      <c r="D1136" s="70" t="s">
        <v>20</v>
      </c>
      <c r="E1136" s="70" t="s">
        <v>67</v>
      </c>
      <c r="F1136" s="70" t="s">
        <v>67</v>
      </c>
      <c r="G1136" s="71">
        <v>983338052</v>
      </c>
      <c r="H1136" s="70" t="s">
        <v>68</v>
      </c>
    </row>
    <row r="1137" spans="1:8" ht="17.25" customHeight="1" x14ac:dyDescent="0.2">
      <c r="A1137" s="69">
        <v>2018</v>
      </c>
      <c r="B1137" s="70" t="s">
        <v>66</v>
      </c>
      <c r="C1137" s="70" t="s">
        <v>17</v>
      </c>
      <c r="D1137" s="70" t="s">
        <v>20</v>
      </c>
      <c r="E1137" s="70" t="s">
        <v>69</v>
      </c>
      <c r="F1137" s="70" t="s">
        <v>71</v>
      </c>
      <c r="G1137" s="71">
        <v>367187405</v>
      </c>
      <c r="H1137" s="70" t="s">
        <v>68</v>
      </c>
    </row>
    <row r="1138" spans="1:8" ht="17.25" customHeight="1" x14ac:dyDescent="0.2">
      <c r="A1138" s="69">
        <v>2018</v>
      </c>
      <c r="B1138" s="70" t="s">
        <v>66</v>
      </c>
      <c r="C1138" s="70" t="s">
        <v>17</v>
      </c>
      <c r="D1138" s="70" t="s">
        <v>20</v>
      </c>
      <c r="E1138" s="70" t="s">
        <v>69</v>
      </c>
      <c r="F1138" s="70" t="s">
        <v>70</v>
      </c>
      <c r="G1138" s="71">
        <v>2460143011</v>
      </c>
      <c r="H1138" s="70" t="s">
        <v>68</v>
      </c>
    </row>
    <row r="1139" spans="1:8" ht="17.25" customHeight="1" x14ac:dyDescent="0.2">
      <c r="A1139" s="69">
        <v>2018</v>
      </c>
      <c r="B1139" s="70" t="s">
        <v>66</v>
      </c>
      <c r="C1139" s="70" t="s">
        <v>17</v>
      </c>
      <c r="D1139" s="70" t="s">
        <v>21</v>
      </c>
      <c r="E1139" s="70" t="s">
        <v>67</v>
      </c>
      <c r="F1139" s="70" t="s">
        <v>67</v>
      </c>
      <c r="G1139" s="71">
        <v>2846216290</v>
      </c>
      <c r="H1139" s="70" t="s">
        <v>68</v>
      </c>
    </row>
    <row r="1140" spans="1:8" ht="17.25" customHeight="1" x14ac:dyDescent="0.2">
      <c r="A1140" s="69">
        <v>2018</v>
      </c>
      <c r="B1140" s="70" t="s">
        <v>66</v>
      </c>
      <c r="C1140" s="70" t="s">
        <v>17</v>
      </c>
      <c r="D1140" s="70" t="s">
        <v>21</v>
      </c>
      <c r="E1140" s="70" t="s">
        <v>69</v>
      </c>
      <c r="F1140" s="70" t="s">
        <v>71</v>
      </c>
      <c r="G1140" s="71">
        <v>963404175</v>
      </c>
      <c r="H1140" s="70" t="s">
        <v>68</v>
      </c>
    </row>
    <row r="1141" spans="1:8" ht="17.25" customHeight="1" x14ac:dyDescent="0.2">
      <c r="A1141" s="69">
        <v>2018</v>
      </c>
      <c r="B1141" s="70" t="s">
        <v>66</v>
      </c>
      <c r="C1141" s="70" t="s">
        <v>17</v>
      </c>
      <c r="D1141" s="70" t="s">
        <v>21</v>
      </c>
      <c r="E1141" s="70" t="s">
        <v>69</v>
      </c>
      <c r="F1141" s="70" t="s">
        <v>70</v>
      </c>
      <c r="G1141" s="71">
        <v>832154410</v>
      </c>
      <c r="H1141" s="70" t="s">
        <v>68</v>
      </c>
    </row>
    <row r="1142" spans="1:8" ht="17.25" customHeight="1" x14ac:dyDescent="0.2">
      <c r="A1142" s="69">
        <v>2018</v>
      </c>
      <c r="B1142" s="70" t="s">
        <v>66</v>
      </c>
      <c r="C1142" s="70" t="s">
        <v>17</v>
      </c>
      <c r="D1142" s="70" t="s">
        <v>22</v>
      </c>
      <c r="E1142" s="70" t="s">
        <v>67</v>
      </c>
      <c r="F1142" s="70" t="s">
        <v>67</v>
      </c>
      <c r="G1142" s="71">
        <v>1156416967</v>
      </c>
      <c r="H1142" s="70" t="s">
        <v>68</v>
      </c>
    </row>
    <row r="1143" spans="1:8" ht="17.25" customHeight="1" x14ac:dyDescent="0.2">
      <c r="A1143" s="69">
        <v>2018</v>
      </c>
      <c r="B1143" s="70" t="s">
        <v>66</v>
      </c>
      <c r="C1143" s="70" t="s">
        <v>17</v>
      </c>
      <c r="D1143" s="70" t="s">
        <v>22</v>
      </c>
      <c r="E1143" s="70" t="s">
        <v>69</v>
      </c>
      <c r="F1143" s="70" t="s">
        <v>71</v>
      </c>
      <c r="G1143" s="71">
        <v>418177988</v>
      </c>
      <c r="H1143" s="70" t="s">
        <v>68</v>
      </c>
    </row>
    <row r="1144" spans="1:8" ht="17.25" customHeight="1" x14ac:dyDescent="0.2">
      <c r="A1144" s="69">
        <v>2018</v>
      </c>
      <c r="B1144" s="70" t="s">
        <v>66</v>
      </c>
      <c r="C1144" s="70" t="s">
        <v>17</v>
      </c>
      <c r="D1144" s="70" t="s">
        <v>22</v>
      </c>
      <c r="E1144" s="70" t="s">
        <v>69</v>
      </c>
      <c r="F1144" s="70" t="s">
        <v>70</v>
      </c>
      <c r="G1144" s="71">
        <v>493860697</v>
      </c>
      <c r="H1144" s="70" t="s">
        <v>68</v>
      </c>
    </row>
    <row r="1145" spans="1:8" ht="17.25" customHeight="1" x14ac:dyDescent="0.2">
      <c r="A1145" s="69">
        <v>2018</v>
      </c>
      <c r="B1145" s="70" t="s">
        <v>66</v>
      </c>
      <c r="C1145" s="70" t="s">
        <v>17</v>
      </c>
      <c r="D1145" s="70" t="s">
        <v>23</v>
      </c>
      <c r="E1145" s="70" t="s">
        <v>67</v>
      </c>
      <c r="F1145" s="70" t="s">
        <v>67</v>
      </c>
      <c r="G1145" s="71">
        <v>1244750270</v>
      </c>
      <c r="H1145" s="70" t="s">
        <v>68</v>
      </c>
    </row>
    <row r="1146" spans="1:8" ht="17.25" customHeight="1" x14ac:dyDescent="0.2">
      <c r="A1146" s="69">
        <v>2018</v>
      </c>
      <c r="B1146" s="70" t="s">
        <v>66</v>
      </c>
      <c r="C1146" s="70" t="s">
        <v>17</v>
      </c>
      <c r="D1146" s="70" t="s">
        <v>23</v>
      </c>
      <c r="E1146" s="70" t="s">
        <v>69</v>
      </c>
      <c r="F1146" s="70" t="s">
        <v>71</v>
      </c>
      <c r="G1146" s="71">
        <v>327878943</v>
      </c>
      <c r="H1146" s="70" t="s">
        <v>68</v>
      </c>
    </row>
    <row r="1147" spans="1:8" ht="17.25" customHeight="1" x14ac:dyDescent="0.2">
      <c r="A1147" s="69">
        <v>2018</v>
      </c>
      <c r="B1147" s="70" t="s">
        <v>66</v>
      </c>
      <c r="C1147" s="70" t="s">
        <v>17</v>
      </c>
      <c r="D1147" s="70" t="s">
        <v>23</v>
      </c>
      <c r="E1147" s="70" t="s">
        <v>69</v>
      </c>
      <c r="F1147" s="70" t="s">
        <v>70</v>
      </c>
      <c r="G1147" s="71">
        <v>176962522</v>
      </c>
      <c r="H1147" s="70" t="s">
        <v>68</v>
      </c>
    </row>
    <row r="1148" spans="1:8" ht="17.25" customHeight="1" x14ac:dyDescent="0.2">
      <c r="A1148" s="69">
        <v>2018</v>
      </c>
      <c r="B1148" s="70" t="s">
        <v>66</v>
      </c>
      <c r="C1148" s="70" t="s">
        <v>17</v>
      </c>
      <c r="D1148" s="70" t="s">
        <v>24</v>
      </c>
      <c r="E1148" s="70" t="s">
        <v>67</v>
      </c>
      <c r="F1148" s="70" t="s">
        <v>67</v>
      </c>
      <c r="G1148" s="71">
        <v>22239264928</v>
      </c>
      <c r="H1148" s="70" t="s">
        <v>68</v>
      </c>
    </row>
    <row r="1149" spans="1:8" ht="17.25" customHeight="1" x14ac:dyDescent="0.2">
      <c r="A1149" s="69">
        <v>2018</v>
      </c>
      <c r="B1149" s="70" t="s">
        <v>66</v>
      </c>
      <c r="C1149" s="70" t="s">
        <v>17</v>
      </c>
      <c r="D1149" s="70" t="s">
        <v>24</v>
      </c>
      <c r="E1149" s="70" t="s">
        <v>69</v>
      </c>
      <c r="F1149" s="70" t="s">
        <v>71</v>
      </c>
      <c r="G1149" s="71">
        <v>5394057673</v>
      </c>
      <c r="H1149" s="70" t="s">
        <v>68</v>
      </c>
    </row>
    <row r="1150" spans="1:8" ht="17.25" customHeight="1" x14ac:dyDescent="0.2">
      <c r="A1150" s="69">
        <v>2018</v>
      </c>
      <c r="B1150" s="70" t="s">
        <v>66</v>
      </c>
      <c r="C1150" s="70" t="s">
        <v>17</v>
      </c>
      <c r="D1150" s="70" t="s">
        <v>24</v>
      </c>
      <c r="E1150" s="70" t="s">
        <v>69</v>
      </c>
      <c r="F1150" s="70" t="s">
        <v>70</v>
      </c>
      <c r="G1150" s="71">
        <v>7966178698</v>
      </c>
      <c r="H1150" s="70" t="s">
        <v>68</v>
      </c>
    </row>
    <row r="1151" spans="1:8" ht="17.25" customHeight="1" x14ac:dyDescent="0.2">
      <c r="A1151" s="69">
        <v>2018</v>
      </c>
      <c r="B1151" s="70" t="s">
        <v>66</v>
      </c>
      <c r="C1151" s="70" t="s">
        <v>17</v>
      </c>
      <c r="D1151" s="70" t="s">
        <v>25</v>
      </c>
      <c r="E1151" s="70" t="s">
        <v>67</v>
      </c>
      <c r="F1151" s="70" t="s">
        <v>67</v>
      </c>
      <c r="G1151" s="71">
        <v>1652123450</v>
      </c>
      <c r="H1151" s="70" t="s">
        <v>68</v>
      </c>
    </row>
    <row r="1152" spans="1:8" ht="17.25" customHeight="1" x14ac:dyDescent="0.2">
      <c r="A1152" s="69">
        <v>2018</v>
      </c>
      <c r="B1152" s="70" t="s">
        <v>66</v>
      </c>
      <c r="C1152" s="70" t="s">
        <v>17</v>
      </c>
      <c r="D1152" s="70" t="s">
        <v>25</v>
      </c>
      <c r="E1152" s="70" t="s">
        <v>69</v>
      </c>
      <c r="F1152" s="70" t="s">
        <v>71</v>
      </c>
      <c r="G1152" s="71">
        <v>325709481</v>
      </c>
      <c r="H1152" s="70" t="s">
        <v>68</v>
      </c>
    </row>
    <row r="1153" spans="1:8" ht="17.25" customHeight="1" x14ac:dyDescent="0.2">
      <c r="A1153" s="69">
        <v>2018</v>
      </c>
      <c r="B1153" s="70" t="s">
        <v>66</v>
      </c>
      <c r="C1153" s="70" t="s">
        <v>17</v>
      </c>
      <c r="D1153" s="70" t="s">
        <v>25</v>
      </c>
      <c r="E1153" s="70" t="s">
        <v>69</v>
      </c>
      <c r="F1153" s="70" t="s">
        <v>70</v>
      </c>
      <c r="G1153" s="71">
        <v>392076176</v>
      </c>
      <c r="H1153" s="70" t="s">
        <v>68</v>
      </c>
    </row>
    <row r="1154" spans="1:8" ht="17.25" customHeight="1" x14ac:dyDescent="0.2">
      <c r="A1154" s="69">
        <v>2018</v>
      </c>
      <c r="B1154" s="70" t="s">
        <v>66</v>
      </c>
      <c r="C1154" s="70" t="s">
        <v>27</v>
      </c>
      <c r="D1154" s="70" t="s">
        <v>26</v>
      </c>
      <c r="E1154" s="70" t="s">
        <v>67</v>
      </c>
      <c r="F1154" s="70" t="s">
        <v>67</v>
      </c>
      <c r="G1154" s="71">
        <v>31239267741</v>
      </c>
      <c r="H1154" s="70" t="s">
        <v>68</v>
      </c>
    </row>
    <row r="1155" spans="1:8" ht="17.25" customHeight="1" x14ac:dyDescent="0.2">
      <c r="A1155" s="69">
        <v>2018</v>
      </c>
      <c r="B1155" s="70" t="s">
        <v>66</v>
      </c>
      <c r="C1155" s="70" t="s">
        <v>27</v>
      </c>
      <c r="D1155" s="70" t="s">
        <v>26</v>
      </c>
      <c r="E1155" s="70" t="s">
        <v>69</v>
      </c>
      <c r="F1155" s="70" t="s">
        <v>71</v>
      </c>
      <c r="G1155" s="71">
        <v>7184329321</v>
      </c>
      <c r="H1155" s="70" t="s">
        <v>68</v>
      </c>
    </row>
    <row r="1156" spans="1:8" ht="17.25" customHeight="1" x14ac:dyDescent="0.2">
      <c r="A1156" s="69">
        <v>2018</v>
      </c>
      <c r="B1156" s="70" t="s">
        <v>66</v>
      </c>
      <c r="C1156" s="70" t="s">
        <v>27</v>
      </c>
      <c r="D1156" s="70" t="s">
        <v>26</v>
      </c>
      <c r="E1156" s="70" t="s">
        <v>69</v>
      </c>
      <c r="F1156" s="70" t="s">
        <v>70</v>
      </c>
      <c r="G1156" s="71">
        <v>17925174714</v>
      </c>
      <c r="H1156" s="70" t="s">
        <v>68</v>
      </c>
    </row>
    <row r="1157" spans="1:8" ht="17.25" customHeight="1" x14ac:dyDescent="0.2">
      <c r="A1157" s="69">
        <v>2018</v>
      </c>
      <c r="B1157" s="70" t="s">
        <v>66</v>
      </c>
      <c r="C1157" s="70" t="s">
        <v>27</v>
      </c>
      <c r="D1157" s="70" t="s">
        <v>28</v>
      </c>
      <c r="E1157" s="70" t="s">
        <v>67</v>
      </c>
      <c r="F1157" s="70" t="s">
        <v>67</v>
      </c>
      <c r="G1157" s="71">
        <v>42020373352</v>
      </c>
      <c r="H1157" s="70" t="s">
        <v>68</v>
      </c>
    </row>
    <row r="1158" spans="1:8" ht="17.25" customHeight="1" x14ac:dyDescent="0.2">
      <c r="A1158" s="69">
        <v>2018</v>
      </c>
      <c r="B1158" s="70" t="s">
        <v>66</v>
      </c>
      <c r="C1158" s="70" t="s">
        <v>27</v>
      </c>
      <c r="D1158" s="70" t="s">
        <v>28</v>
      </c>
      <c r="E1158" s="70" t="s">
        <v>69</v>
      </c>
      <c r="F1158" s="70" t="s">
        <v>71</v>
      </c>
      <c r="G1158" s="71">
        <v>12206617658</v>
      </c>
      <c r="H1158" s="70" t="s">
        <v>68</v>
      </c>
    </row>
    <row r="1159" spans="1:8" ht="17.25" customHeight="1" x14ac:dyDescent="0.2">
      <c r="A1159" s="69">
        <v>2018</v>
      </c>
      <c r="B1159" s="70" t="s">
        <v>66</v>
      </c>
      <c r="C1159" s="70" t="s">
        <v>27</v>
      </c>
      <c r="D1159" s="70" t="s">
        <v>28</v>
      </c>
      <c r="E1159" s="70" t="s">
        <v>69</v>
      </c>
      <c r="F1159" s="70" t="s">
        <v>70</v>
      </c>
      <c r="G1159" s="71">
        <v>20037432111</v>
      </c>
      <c r="H1159" s="70" t="s">
        <v>68</v>
      </c>
    </row>
    <row r="1160" spans="1:8" ht="17.25" customHeight="1" x14ac:dyDescent="0.2">
      <c r="A1160" s="69">
        <v>2018</v>
      </c>
      <c r="B1160" s="70" t="s">
        <v>66</v>
      </c>
      <c r="C1160" s="70" t="s">
        <v>27</v>
      </c>
      <c r="D1160" s="70" t="s">
        <v>29</v>
      </c>
      <c r="E1160" s="70" t="s">
        <v>67</v>
      </c>
      <c r="F1160" s="70" t="s">
        <v>67</v>
      </c>
      <c r="G1160" s="71">
        <v>16821024271</v>
      </c>
      <c r="H1160" s="70" t="s">
        <v>68</v>
      </c>
    </row>
    <row r="1161" spans="1:8" ht="17.25" customHeight="1" x14ac:dyDescent="0.2">
      <c r="A1161" s="69">
        <v>2018</v>
      </c>
      <c r="B1161" s="70" t="s">
        <v>66</v>
      </c>
      <c r="C1161" s="70" t="s">
        <v>27</v>
      </c>
      <c r="D1161" s="70" t="s">
        <v>29</v>
      </c>
      <c r="E1161" s="70" t="s">
        <v>69</v>
      </c>
      <c r="F1161" s="70" t="s">
        <v>71</v>
      </c>
      <c r="G1161" s="71">
        <v>5793669200</v>
      </c>
      <c r="H1161" s="70" t="s">
        <v>68</v>
      </c>
    </row>
    <row r="1162" spans="1:8" ht="17.25" customHeight="1" x14ac:dyDescent="0.2">
      <c r="A1162" s="69">
        <v>2018</v>
      </c>
      <c r="B1162" s="70" t="s">
        <v>66</v>
      </c>
      <c r="C1162" s="70" t="s">
        <v>27</v>
      </c>
      <c r="D1162" s="70" t="s">
        <v>29</v>
      </c>
      <c r="E1162" s="70" t="s">
        <v>69</v>
      </c>
      <c r="F1162" s="70" t="s">
        <v>70</v>
      </c>
      <c r="G1162" s="71">
        <v>5875271575</v>
      </c>
      <c r="H1162" s="70" t="s">
        <v>68</v>
      </c>
    </row>
    <row r="1163" spans="1:8" ht="17.25" customHeight="1" x14ac:dyDescent="0.2">
      <c r="A1163" s="69">
        <v>2018</v>
      </c>
      <c r="B1163" s="70" t="s">
        <v>66</v>
      </c>
      <c r="C1163" s="70" t="s">
        <v>27</v>
      </c>
      <c r="D1163" s="70" t="s">
        <v>30</v>
      </c>
      <c r="E1163" s="70" t="s">
        <v>67</v>
      </c>
      <c r="F1163" s="70" t="s">
        <v>67</v>
      </c>
      <c r="G1163" s="71">
        <v>36556575764</v>
      </c>
      <c r="H1163" s="70" t="s">
        <v>68</v>
      </c>
    </row>
    <row r="1164" spans="1:8" ht="17.25" customHeight="1" x14ac:dyDescent="0.2">
      <c r="A1164" s="69">
        <v>2018</v>
      </c>
      <c r="B1164" s="70" t="s">
        <v>66</v>
      </c>
      <c r="C1164" s="70" t="s">
        <v>27</v>
      </c>
      <c r="D1164" s="70" t="s">
        <v>30</v>
      </c>
      <c r="E1164" s="70" t="s">
        <v>69</v>
      </c>
      <c r="F1164" s="70" t="s">
        <v>71</v>
      </c>
      <c r="G1164" s="71">
        <v>10609237815</v>
      </c>
      <c r="H1164" s="70" t="s">
        <v>68</v>
      </c>
    </row>
    <row r="1165" spans="1:8" ht="17.25" customHeight="1" x14ac:dyDescent="0.2">
      <c r="A1165" s="69">
        <v>2018</v>
      </c>
      <c r="B1165" s="70" t="s">
        <v>66</v>
      </c>
      <c r="C1165" s="70" t="s">
        <v>27</v>
      </c>
      <c r="D1165" s="70" t="s">
        <v>30</v>
      </c>
      <c r="E1165" s="70" t="s">
        <v>69</v>
      </c>
      <c r="F1165" s="70" t="s">
        <v>70</v>
      </c>
      <c r="G1165" s="71">
        <v>21592442366</v>
      </c>
      <c r="H1165" s="70" t="s">
        <v>68</v>
      </c>
    </row>
    <row r="1166" spans="1:8" ht="17.25" customHeight="1" x14ac:dyDescent="0.2">
      <c r="A1166" s="69">
        <v>2018</v>
      </c>
      <c r="B1166" s="70" t="s">
        <v>66</v>
      </c>
      <c r="C1166" s="70" t="s">
        <v>27</v>
      </c>
      <c r="D1166" s="70" t="s">
        <v>31</v>
      </c>
      <c r="E1166" s="70" t="s">
        <v>67</v>
      </c>
      <c r="F1166" s="70" t="s">
        <v>67</v>
      </c>
      <c r="G1166" s="71">
        <v>10020241450</v>
      </c>
      <c r="H1166" s="70" t="s">
        <v>68</v>
      </c>
    </row>
    <row r="1167" spans="1:8" ht="17.25" customHeight="1" x14ac:dyDescent="0.2">
      <c r="A1167" s="69">
        <v>2018</v>
      </c>
      <c r="B1167" s="70" t="s">
        <v>66</v>
      </c>
      <c r="C1167" s="70" t="s">
        <v>27</v>
      </c>
      <c r="D1167" s="70" t="s">
        <v>31</v>
      </c>
      <c r="E1167" s="70" t="s">
        <v>69</v>
      </c>
      <c r="F1167" s="70" t="s">
        <v>71</v>
      </c>
      <c r="G1167" s="71">
        <v>5110933096</v>
      </c>
      <c r="H1167" s="70" t="s">
        <v>68</v>
      </c>
    </row>
    <row r="1168" spans="1:8" ht="17.25" customHeight="1" x14ac:dyDescent="0.2">
      <c r="A1168" s="69">
        <v>2018</v>
      </c>
      <c r="B1168" s="70" t="s">
        <v>66</v>
      </c>
      <c r="C1168" s="70" t="s">
        <v>27</v>
      </c>
      <c r="D1168" s="70" t="s">
        <v>31</v>
      </c>
      <c r="E1168" s="70" t="s">
        <v>69</v>
      </c>
      <c r="F1168" s="70" t="s">
        <v>70</v>
      </c>
      <c r="G1168" s="71">
        <v>11387839253</v>
      </c>
      <c r="H1168" s="70" t="s">
        <v>68</v>
      </c>
    </row>
    <row r="1169" spans="1:8" ht="17.25" customHeight="1" x14ac:dyDescent="0.2">
      <c r="A1169" s="69">
        <v>2018</v>
      </c>
      <c r="B1169" s="70" t="s">
        <v>66</v>
      </c>
      <c r="C1169" s="70" t="s">
        <v>27</v>
      </c>
      <c r="D1169" s="70" t="s">
        <v>32</v>
      </c>
      <c r="E1169" s="70" t="s">
        <v>67</v>
      </c>
      <c r="F1169" s="70" t="s">
        <v>67</v>
      </c>
      <c r="G1169" s="71">
        <v>18382349370</v>
      </c>
      <c r="H1169" s="70" t="s">
        <v>68</v>
      </c>
    </row>
    <row r="1170" spans="1:8" ht="17.25" customHeight="1" x14ac:dyDescent="0.2">
      <c r="A1170" s="69">
        <v>2018</v>
      </c>
      <c r="B1170" s="70" t="s">
        <v>66</v>
      </c>
      <c r="C1170" s="70" t="s">
        <v>27</v>
      </c>
      <c r="D1170" s="70" t="s">
        <v>32</v>
      </c>
      <c r="E1170" s="70" t="s">
        <v>69</v>
      </c>
      <c r="F1170" s="70" t="s">
        <v>71</v>
      </c>
      <c r="G1170" s="71">
        <v>7360039831</v>
      </c>
      <c r="H1170" s="70" t="s">
        <v>68</v>
      </c>
    </row>
    <row r="1171" spans="1:8" ht="17.25" customHeight="1" x14ac:dyDescent="0.2">
      <c r="A1171" s="69">
        <v>2018</v>
      </c>
      <c r="B1171" s="70" t="s">
        <v>66</v>
      </c>
      <c r="C1171" s="70" t="s">
        <v>27</v>
      </c>
      <c r="D1171" s="70" t="s">
        <v>32</v>
      </c>
      <c r="E1171" s="70" t="s">
        <v>69</v>
      </c>
      <c r="F1171" s="70" t="s">
        <v>70</v>
      </c>
      <c r="G1171" s="71">
        <v>7281819832</v>
      </c>
      <c r="H1171" s="70" t="s">
        <v>68</v>
      </c>
    </row>
    <row r="1172" spans="1:8" ht="17.25" customHeight="1" x14ac:dyDescent="0.2">
      <c r="A1172" s="69">
        <v>2018</v>
      </c>
      <c r="B1172" s="70" t="s">
        <v>66</v>
      </c>
      <c r="C1172" s="70" t="s">
        <v>27</v>
      </c>
      <c r="D1172" s="70" t="s">
        <v>33</v>
      </c>
      <c r="E1172" s="70" t="s">
        <v>67</v>
      </c>
      <c r="F1172" s="70" t="s">
        <v>67</v>
      </c>
      <c r="G1172" s="71">
        <v>21779212344</v>
      </c>
      <c r="H1172" s="70" t="s">
        <v>68</v>
      </c>
    </row>
    <row r="1173" spans="1:8" ht="17.25" customHeight="1" x14ac:dyDescent="0.2">
      <c r="A1173" s="69">
        <v>2018</v>
      </c>
      <c r="B1173" s="70" t="s">
        <v>66</v>
      </c>
      <c r="C1173" s="70" t="s">
        <v>27</v>
      </c>
      <c r="D1173" s="70" t="s">
        <v>33</v>
      </c>
      <c r="E1173" s="70" t="s">
        <v>69</v>
      </c>
      <c r="F1173" s="70" t="s">
        <v>71</v>
      </c>
      <c r="G1173" s="71">
        <v>11297524379</v>
      </c>
      <c r="H1173" s="70" t="s">
        <v>68</v>
      </c>
    </row>
    <row r="1174" spans="1:8" ht="17.25" customHeight="1" x14ac:dyDescent="0.2">
      <c r="A1174" s="69">
        <v>2018</v>
      </c>
      <c r="B1174" s="70" t="s">
        <v>66</v>
      </c>
      <c r="C1174" s="70" t="s">
        <v>27</v>
      </c>
      <c r="D1174" s="70" t="s">
        <v>33</v>
      </c>
      <c r="E1174" s="70" t="s">
        <v>69</v>
      </c>
      <c r="F1174" s="70" t="s">
        <v>70</v>
      </c>
      <c r="G1174" s="71">
        <v>32829812389</v>
      </c>
      <c r="H1174" s="70" t="s">
        <v>68</v>
      </c>
    </row>
    <row r="1175" spans="1:8" ht="17.25" customHeight="1" x14ac:dyDescent="0.2">
      <c r="A1175" s="69">
        <v>2018</v>
      </c>
      <c r="B1175" s="70" t="s">
        <v>66</v>
      </c>
      <c r="C1175" s="70" t="s">
        <v>35</v>
      </c>
      <c r="D1175" s="70" t="s">
        <v>34</v>
      </c>
      <c r="E1175" s="70" t="s">
        <v>67</v>
      </c>
      <c r="F1175" s="70" t="s">
        <v>67</v>
      </c>
      <c r="G1175" s="71">
        <v>3071905115</v>
      </c>
      <c r="H1175" s="70" t="s">
        <v>68</v>
      </c>
    </row>
    <row r="1176" spans="1:8" ht="17.25" customHeight="1" x14ac:dyDescent="0.2">
      <c r="A1176" s="69">
        <v>2018</v>
      </c>
      <c r="B1176" s="70" t="s">
        <v>66</v>
      </c>
      <c r="C1176" s="70" t="s">
        <v>35</v>
      </c>
      <c r="D1176" s="70" t="s">
        <v>34</v>
      </c>
      <c r="E1176" s="70" t="s">
        <v>69</v>
      </c>
      <c r="F1176" s="70" t="s">
        <v>71</v>
      </c>
      <c r="G1176" s="71">
        <v>740546338</v>
      </c>
      <c r="H1176" s="70" t="s">
        <v>68</v>
      </c>
    </row>
    <row r="1177" spans="1:8" ht="17.25" customHeight="1" x14ac:dyDescent="0.2">
      <c r="A1177" s="69">
        <v>2018</v>
      </c>
      <c r="B1177" s="70" t="s">
        <v>66</v>
      </c>
      <c r="C1177" s="70" t="s">
        <v>35</v>
      </c>
      <c r="D1177" s="70" t="s">
        <v>34</v>
      </c>
      <c r="E1177" s="70" t="s">
        <v>69</v>
      </c>
      <c r="F1177" s="70" t="s">
        <v>70</v>
      </c>
      <c r="G1177" s="71">
        <v>620312061</v>
      </c>
      <c r="H1177" s="70" t="s">
        <v>68</v>
      </c>
    </row>
    <row r="1178" spans="1:8" ht="17.25" customHeight="1" x14ac:dyDescent="0.2">
      <c r="A1178" s="69">
        <v>2018</v>
      </c>
      <c r="B1178" s="70" t="s">
        <v>66</v>
      </c>
      <c r="C1178" s="70" t="s">
        <v>35</v>
      </c>
      <c r="D1178" s="70" t="s">
        <v>36</v>
      </c>
      <c r="E1178" s="70" t="s">
        <v>67</v>
      </c>
      <c r="F1178" s="70" t="s">
        <v>67</v>
      </c>
      <c r="G1178" s="71">
        <v>10705833681</v>
      </c>
      <c r="H1178" s="70" t="s">
        <v>68</v>
      </c>
    </row>
    <row r="1179" spans="1:8" ht="17.25" customHeight="1" x14ac:dyDescent="0.2">
      <c r="A1179" s="69">
        <v>2018</v>
      </c>
      <c r="B1179" s="70" t="s">
        <v>66</v>
      </c>
      <c r="C1179" s="70" t="s">
        <v>35</v>
      </c>
      <c r="D1179" s="70" t="s">
        <v>36</v>
      </c>
      <c r="E1179" s="70" t="s">
        <v>69</v>
      </c>
      <c r="F1179" s="70" t="s">
        <v>71</v>
      </c>
      <c r="G1179" s="71">
        <v>4379741278</v>
      </c>
      <c r="H1179" s="70" t="s">
        <v>68</v>
      </c>
    </row>
    <row r="1180" spans="1:8" ht="17.25" customHeight="1" x14ac:dyDescent="0.2">
      <c r="A1180" s="69">
        <v>2018</v>
      </c>
      <c r="B1180" s="70" t="s">
        <v>66</v>
      </c>
      <c r="C1180" s="70" t="s">
        <v>35</v>
      </c>
      <c r="D1180" s="70" t="s">
        <v>36</v>
      </c>
      <c r="E1180" s="70" t="s">
        <v>69</v>
      </c>
      <c r="F1180" s="70" t="s">
        <v>70</v>
      </c>
      <c r="G1180" s="71">
        <v>2903951176</v>
      </c>
      <c r="H1180" s="70" t="s">
        <v>68</v>
      </c>
    </row>
    <row r="1181" spans="1:8" ht="17.25" customHeight="1" x14ac:dyDescent="0.2">
      <c r="A1181" s="69">
        <v>2018</v>
      </c>
      <c r="B1181" s="70" t="s">
        <v>66</v>
      </c>
      <c r="C1181" s="70" t="s">
        <v>35</v>
      </c>
      <c r="D1181" s="70" t="s">
        <v>37</v>
      </c>
      <c r="E1181" s="70" t="s">
        <v>67</v>
      </c>
      <c r="F1181" s="70" t="s">
        <v>67</v>
      </c>
      <c r="G1181" s="71">
        <v>3049332225</v>
      </c>
      <c r="H1181" s="70" t="s">
        <v>68</v>
      </c>
    </row>
    <row r="1182" spans="1:8" ht="17.25" customHeight="1" x14ac:dyDescent="0.2">
      <c r="A1182" s="69">
        <v>2018</v>
      </c>
      <c r="B1182" s="70" t="s">
        <v>66</v>
      </c>
      <c r="C1182" s="70" t="s">
        <v>35</v>
      </c>
      <c r="D1182" s="70" t="s">
        <v>37</v>
      </c>
      <c r="E1182" s="70" t="s">
        <v>69</v>
      </c>
      <c r="F1182" s="70" t="s">
        <v>71</v>
      </c>
      <c r="G1182" s="71">
        <v>938742408</v>
      </c>
      <c r="H1182" s="70" t="s">
        <v>68</v>
      </c>
    </row>
    <row r="1183" spans="1:8" ht="17.25" customHeight="1" x14ac:dyDescent="0.2">
      <c r="A1183" s="69">
        <v>2018</v>
      </c>
      <c r="B1183" s="70" t="s">
        <v>66</v>
      </c>
      <c r="C1183" s="70" t="s">
        <v>35</v>
      </c>
      <c r="D1183" s="70" t="s">
        <v>37</v>
      </c>
      <c r="E1183" s="70" t="s">
        <v>69</v>
      </c>
      <c r="F1183" s="70" t="s">
        <v>70</v>
      </c>
      <c r="G1183" s="71">
        <v>980341615</v>
      </c>
      <c r="H1183" s="70" t="s">
        <v>68</v>
      </c>
    </row>
    <row r="1184" spans="1:8" ht="17.25" customHeight="1" x14ac:dyDescent="0.2">
      <c r="A1184" s="69">
        <v>2018</v>
      </c>
      <c r="B1184" s="70" t="s">
        <v>66</v>
      </c>
      <c r="C1184" s="70" t="s">
        <v>35</v>
      </c>
      <c r="D1184" s="70" t="s">
        <v>38</v>
      </c>
      <c r="E1184" s="70" t="s">
        <v>67</v>
      </c>
      <c r="F1184" s="70" t="s">
        <v>67</v>
      </c>
      <c r="G1184" s="71">
        <v>5185931035</v>
      </c>
      <c r="H1184" s="70" t="s">
        <v>68</v>
      </c>
    </row>
    <row r="1185" spans="1:8" ht="17.25" customHeight="1" x14ac:dyDescent="0.2">
      <c r="A1185" s="69">
        <v>2018</v>
      </c>
      <c r="B1185" s="70" t="s">
        <v>66</v>
      </c>
      <c r="C1185" s="70" t="s">
        <v>35</v>
      </c>
      <c r="D1185" s="70" t="s">
        <v>38</v>
      </c>
      <c r="E1185" s="70" t="s">
        <v>69</v>
      </c>
      <c r="F1185" s="70" t="s">
        <v>71</v>
      </c>
      <c r="G1185" s="71">
        <v>1361848729</v>
      </c>
      <c r="H1185" s="70" t="s">
        <v>68</v>
      </c>
    </row>
    <row r="1186" spans="1:8" ht="17.25" customHeight="1" x14ac:dyDescent="0.2">
      <c r="A1186" s="69">
        <v>2018</v>
      </c>
      <c r="B1186" s="70" t="s">
        <v>66</v>
      </c>
      <c r="C1186" s="70" t="s">
        <v>35</v>
      </c>
      <c r="D1186" s="70" t="s">
        <v>38</v>
      </c>
      <c r="E1186" s="70" t="s">
        <v>69</v>
      </c>
      <c r="F1186" s="70" t="s">
        <v>70</v>
      </c>
      <c r="G1186" s="71">
        <v>1349268812</v>
      </c>
      <c r="H1186" s="70" t="s">
        <v>68</v>
      </c>
    </row>
    <row r="1187" spans="1:8" ht="17.25" customHeight="1" x14ac:dyDescent="0.2">
      <c r="A1187" s="69">
        <v>2018</v>
      </c>
      <c r="B1187" s="70" t="s">
        <v>66</v>
      </c>
      <c r="C1187" s="70" t="s">
        <v>35</v>
      </c>
      <c r="D1187" s="70" t="s">
        <v>39</v>
      </c>
      <c r="E1187" s="70" t="s">
        <v>67</v>
      </c>
      <c r="F1187" s="70" t="s">
        <v>67</v>
      </c>
      <c r="G1187" s="71">
        <v>14754897193</v>
      </c>
      <c r="H1187" s="70" t="s">
        <v>68</v>
      </c>
    </row>
    <row r="1188" spans="1:8" ht="17.25" customHeight="1" x14ac:dyDescent="0.2">
      <c r="A1188" s="69">
        <v>2018</v>
      </c>
      <c r="B1188" s="70" t="s">
        <v>66</v>
      </c>
      <c r="C1188" s="70" t="s">
        <v>35</v>
      </c>
      <c r="D1188" s="70" t="s">
        <v>39</v>
      </c>
      <c r="E1188" s="70" t="s">
        <v>69</v>
      </c>
      <c r="F1188" s="70" t="s">
        <v>71</v>
      </c>
      <c r="G1188" s="71">
        <v>4731110497</v>
      </c>
      <c r="H1188" s="70" t="s">
        <v>68</v>
      </c>
    </row>
    <row r="1189" spans="1:8" ht="17.25" customHeight="1" x14ac:dyDescent="0.2">
      <c r="A1189" s="69">
        <v>2018</v>
      </c>
      <c r="B1189" s="70" t="s">
        <v>66</v>
      </c>
      <c r="C1189" s="70" t="s">
        <v>35</v>
      </c>
      <c r="D1189" s="70" t="s">
        <v>39</v>
      </c>
      <c r="E1189" s="70" t="s">
        <v>69</v>
      </c>
      <c r="F1189" s="70" t="s">
        <v>70</v>
      </c>
      <c r="G1189" s="71">
        <v>3626927587</v>
      </c>
      <c r="H1189" s="70" t="s">
        <v>68</v>
      </c>
    </row>
    <row r="1190" spans="1:8" ht="17.25" customHeight="1" x14ac:dyDescent="0.2">
      <c r="A1190" s="69">
        <v>2018</v>
      </c>
      <c r="B1190" s="70" t="s">
        <v>66</v>
      </c>
      <c r="C1190" s="70" t="s">
        <v>41</v>
      </c>
      <c r="D1190" s="70" t="s">
        <v>40</v>
      </c>
      <c r="E1190" s="70" t="s">
        <v>67</v>
      </c>
      <c r="F1190" s="70" t="s">
        <v>67</v>
      </c>
      <c r="G1190" s="71">
        <v>2960255446</v>
      </c>
      <c r="H1190" s="70" t="s">
        <v>68</v>
      </c>
    </row>
    <row r="1191" spans="1:8" ht="17.25" customHeight="1" x14ac:dyDescent="0.2">
      <c r="A1191" s="69">
        <v>2018</v>
      </c>
      <c r="B1191" s="70" t="s">
        <v>66</v>
      </c>
      <c r="C1191" s="70" t="s">
        <v>41</v>
      </c>
      <c r="D1191" s="70" t="s">
        <v>40</v>
      </c>
      <c r="E1191" s="70" t="s">
        <v>69</v>
      </c>
      <c r="F1191" s="70" t="s">
        <v>71</v>
      </c>
      <c r="G1191" s="71">
        <v>371961132</v>
      </c>
      <c r="H1191" s="70" t="s">
        <v>68</v>
      </c>
    </row>
    <row r="1192" spans="1:8" ht="17.25" customHeight="1" x14ac:dyDescent="0.2">
      <c r="A1192" s="69">
        <v>2018</v>
      </c>
      <c r="B1192" s="70" t="s">
        <v>66</v>
      </c>
      <c r="C1192" s="70" t="s">
        <v>41</v>
      </c>
      <c r="D1192" s="70" t="s">
        <v>40</v>
      </c>
      <c r="E1192" s="70" t="s">
        <v>69</v>
      </c>
      <c r="F1192" s="70" t="s">
        <v>70</v>
      </c>
      <c r="G1192" s="71">
        <v>294682994</v>
      </c>
      <c r="H1192" s="70" t="s">
        <v>68</v>
      </c>
    </row>
    <row r="1193" spans="1:8" ht="17.25" customHeight="1" x14ac:dyDescent="0.2">
      <c r="A1193" s="69">
        <v>2018</v>
      </c>
      <c r="B1193" s="70" t="s">
        <v>66</v>
      </c>
      <c r="C1193" s="70" t="s">
        <v>41</v>
      </c>
      <c r="D1193" s="70" t="s">
        <v>42</v>
      </c>
      <c r="E1193" s="70" t="s">
        <v>67</v>
      </c>
      <c r="F1193" s="70" t="s">
        <v>67</v>
      </c>
      <c r="G1193" s="71">
        <v>7604605210</v>
      </c>
      <c r="H1193" s="70" t="s">
        <v>68</v>
      </c>
    </row>
    <row r="1194" spans="1:8" ht="17.25" customHeight="1" x14ac:dyDescent="0.2">
      <c r="A1194" s="69">
        <v>2018</v>
      </c>
      <c r="B1194" s="70" t="s">
        <v>66</v>
      </c>
      <c r="C1194" s="70" t="s">
        <v>41</v>
      </c>
      <c r="D1194" s="70" t="s">
        <v>42</v>
      </c>
      <c r="E1194" s="70" t="s">
        <v>69</v>
      </c>
      <c r="F1194" s="70" t="s">
        <v>71</v>
      </c>
      <c r="G1194" s="71">
        <v>933986432</v>
      </c>
      <c r="H1194" s="70" t="s">
        <v>68</v>
      </c>
    </row>
    <row r="1195" spans="1:8" ht="17.25" customHeight="1" x14ac:dyDescent="0.2">
      <c r="A1195" s="69">
        <v>2018</v>
      </c>
      <c r="B1195" s="70" t="s">
        <v>66</v>
      </c>
      <c r="C1195" s="70" t="s">
        <v>41</v>
      </c>
      <c r="D1195" s="70" t="s">
        <v>42</v>
      </c>
      <c r="E1195" s="70" t="s">
        <v>69</v>
      </c>
      <c r="F1195" s="70" t="s">
        <v>70</v>
      </c>
      <c r="G1195" s="71">
        <v>2193384102</v>
      </c>
      <c r="H1195" s="70" t="s">
        <v>68</v>
      </c>
    </row>
    <row r="1196" spans="1:8" ht="17.25" customHeight="1" x14ac:dyDescent="0.2">
      <c r="A1196" s="69">
        <v>2018</v>
      </c>
      <c r="B1196" s="70" t="s">
        <v>66</v>
      </c>
      <c r="C1196" s="70" t="s">
        <v>41</v>
      </c>
      <c r="D1196" s="70" t="s">
        <v>43</v>
      </c>
      <c r="E1196" s="70" t="s">
        <v>67</v>
      </c>
      <c r="F1196" s="70" t="s">
        <v>67</v>
      </c>
      <c r="G1196" s="71">
        <v>7963278090</v>
      </c>
      <c r="H1196" s="70" t="s">
        <v>68</v>
      </c>
    </row>
    <row r="1197" spans="1:8" ht="17.25" customHeight="1" x14ac:dyDescent="0.2">
      <c r="A1197" s="69">
        <v>2018</v>
      </c>
      <c r="B1197" s="70" t="s">
        <v>66</v>
      </c>
      <c r="C1197" s="70" t="s">
        <v>41</v>
      </c>
      <c r="D1197" s="70" t="s">
        <v>43</v>
      </c>
      <c r="E1197" s="70" t="s">
        <v>69</v>
      </c>
      <c r="F1197" s="70" t="s">
        <v>71</v>
      </c>
      <c r="G1197" s="71">
        <v>1628116287</v>
      </c>
      <c r="H1197" s="70" t="s">
        <v>68</v>
      </c>
    </row>
    <row r="1198" spans="1:8" ht="17.25" customHeight="1" x14ac:dyDescent="0.2">
      <c r="A1198" s="69">
        <v>2018</v>
      </c>
      <c r="B1198" s="70" t="s">
        <v>66</v>
      </c>
      <c r="C1198" s="70" t="s">
        <v>41</v>
      </c>
      <c r="D1198" s="70" t="s">
        <v>43</v>
      </c>
      <c r="E1198" s="70" t="s">
        <v>69</v>
      </c>
      <c r="F1198" s="70" t="s">
        <v>70</v>
      </c>
      <c r="G1198" s="71">
        <v>1548421041</v>
      </c>
      <c r="H1198" s="70" t="s">
        <v>68</v>
      </c>
    </row>
    <row r="1199" spans="1:8" ht="17.25" customHeight="1" x14ac:dyDescent="0.2">
      <c r="A1199" s="69">
        <v>2018</v>
      </c>
      <c r="B1199" s="70" t="s">
        <v>66</v>
      </c>
      <c r="C1199" s="70" t="s">
        <v>41</v>
      </c>
      <c r="D1199" s="70" t="s">
        <v>44</v>
      </c>
      <c r="E1199" s="70" t="s">
        <v>67</v>
      </c>
      <c r="F1199" s="70" t="s">
        <v>67</v>
      </c>
      <c r="G1199" s="71">
        <v>9706372296</v>
      </c>
      <c r="H1199" s="70" t="s">
        <v>68</v>
      </c>
    </row>
    <row r="1200" spans="1:8" ht="17.25" customHeight="1" x14ac:dyDescent="0.2">
      <c r="A1200" s="69">
        <v>2018</v>
      </c>
      <c r="B1200" s="70" t="s">
        <v>66</v>
      </c>
      <c r="C1200" s="70" t="s">
        <v>41</v>
      </c>
      <c r="D1200" s="70" t="s">
        <v>44</v>
      </c>
      <c r="E1200" s="70" t="s">
        <v>69</v>
      </c>
      <c r="F1200" s="70" t="s">
        <v>71</v>
      </c>
      <c r="G1200" s="71">
        <v>2133936960</v>
      </c>
      <c r="H1200" s="70" t="s">
        <v>68</v>
      </c>
    </row>
    <row r="1201" spans="1:8" ht="17.25" customHeight="1" x14ac:dyDescent="0.2">
      <c r="A1201" s="69">
        <v>2018</v>
      </c>
      <c r="B1201" s="70" t="s">
        <v>66</v>
      </c>
      <c r="C1201" s="70" t="s">
        <v>41</v>
      </c>
      <c r="D1201" s="70" t="s">
        <v>44</v>
      </c>
      <c r="E1201" s="70" t="s">
        <v>69</v>
      </c>
      <c r="F1201" s="70" t="s">
        <v>70</v>
      </c>
      <c r="G1201" s="71">
        <v>2738521446</v>
      </c>
      <c r="H1201" s="70" t="s">
        <v>68</v>
      </c>
    </row>
    <row r="1202" spans="1:8" ht="17.25" customHeight="1" x14ac:dyDescent="0.2">
      <c r="A1202" s="69">
        <v>2018</v>
      </c>
      <c r="B1202" s="70" t="s">
        <v>66</v>
      </c>
      <c r="C1202" s="70" t="s">
        <v>41</v>
      </c>
      <c r="D1202" s="70" t="s">
        <v>45</v>
      </c>
      <c r="E1202" s="70" t="s">
        <v>67</v>
      </c>
      <c r="F1202" s="70" t="s">
        <v>67</v>
      </c>
      <c r="G1202" s="71">
        <v>24631176107</v>
      </c>
      <c r="H1202" s="70" t="s">
        <v>68</v>
      </c>
    </row>
    <row r="1203" spans="1:8" ht="17.25" customHeight="1" x14ac:dyDescent="0.2">
      <c r="A1203" s="69">
        <v>2018</v>
      </c>
      <c r="B1203" s="70" t="s">
        <v>66</v>
      </c>
      <c r="C1203" s="70" t="s">
        <v>41</v>
      </c>
      <c r="D1203" s="70" t="s">
        <v>45</v>
      </c>
      <c r="E1203" s="70" t="s">
        <v>69</v>
      </c>
      <c r="F1203" s="70" t="s">
        <v>71</v>
      </c>
      <c r="G1203" s="71">
        <v>4744170829</v>
      </c>
      <c r="H1203" s="70" t="s">
        <v>68</v>
      </c>
    </row>
    <row r="1204" spans="1:8" ht="17.25" customHeight="1" x14ac:dyDescent="0.2">
      <c r="A1204" s="69">
        <v>2018</v>
      </c>
      <c r="B1204" s="70" t="s">
        <v>66</v>
      </c>
      <c r="C1204" s="70" t="s">
        <v>41</v>
      </c>
      <c r="D1204" s="70" t="s">
        <v>45</v>
      </c>
      <c r="E1204" s="70" t="s">
        <v>69</v>
      </c>
      <c r="F1204" s="70" t="s">
        <v>70</v>
      </c>
      <c r="G1204" s="71">
        <v>9139142044</v>
      </c>
      <c r="H1204" s="70" t="s">
        <v>68</v>
      </c>
    </row>
    <row r="1205" spans="1:8" ht="17.25" customHeight="1" x14ac:dyDescent="0.2">
      <c r="A1205" s="69">
        <v>2018</v>
      </c>
      <c r="B1205" s="70" t="s">
        <v>66</v>
      </c>
      <c r="C1205" s="70" t="s">
        <v>47</v>
      </c>
      <c r="D1205" s="70" t="s">
        <v>46</v>
      </c>
      <c r="E1205" s="70" t="s">
        <v>72</v>
      </c>
      <c r="F1205" s="70" t="s">
        <v>73</v>
      </c>
      <c r="G1205" s="71">
        <v>8711046143</v>
      </c>
      <c r="H1205" s="70" t="s">
        <v>68</v>
      </c>
    </row>
    <row r="1206" spans="1:8" ht="17.25" customHeight="1" x14ac:dyDescent="0.2">
      <c r="A1206" s="69">
        <v>2018</v>
      </c>
      <c r="B1206" s="70" t="s">
        <v>66</v>
      </c>
      <c r="C1206" s="70" t="s">
        <v>47</v>
      </c>
      <c r="D1206" s="70" t="s">
        <v>46</v>
      </c>
      <c r="E1206" s="70" t="s">
        <v>67</v>
      </c>
      <c r="F1206" s="70" t="s">
        <v>74</v>
      </c>
      <c r="G1206" s="71">
        <v>10217505852</v>
      </c>
      <c r="H1206" s="70" t="s">
        <v>68</v>
      </c>
    </row>
    <row r="1207" spans="1:8" ht="17.25" customHeight="1" x14ac:dyDescent="0.2">
      <c r="A1207" s="69">
        <v>2018</v>
      </c>
      <c r="B1207" s="70" t="s">
        <v>66</v>
      </c>
      <c r="C1207" s="70" t="s">
        <v>47</v>
      </c>
      <c r="D1207" s="70" t="s">
        <v>46</v>
      </c>
      <c r="E1207" s="70" t="s">
        <v>69</v>
      </c>
      <c r="F1207" s="70" t="s">
        <v>71</v>
      </c>
      <c r="G1207" s="71">
        <v>8039227733</v>
      </c>
      <c r="H1207" s="70" t="s">
        <v>68</v>
      </c>
    </row>
    <row r="1208" spans="1:8" ht="17.25" customHeight="1" x14ac:dyDescent="0.2">
      <c r="A1208" s="69">
        <v>2018</v>
      </c>
      <c r="B1208" s="70" t="s">
        <v>66</v>
      </c>
      <c r="C1208" s="70" t="s">
        <v>47</v>
      </c>
      <c r="D1208" s="70" t="s">
        <v>46</v>
      </c>
      <c r="E1208" s="70" t="s">
        <v>69</v>
      </c>
      <c r="F1208" s="70" t="s">
        <v>70</v>
      </c>
      <c r="G1208" s="71">
        <v>11094265479</v>
      </c>
      <c r="H1208" s="70" t="s">
        <v>68</v>
      </c>
    </row>
    <row r="1209" spans="1:8" ht="17.25" customHeight="1" x14ac:dyDescent="0.2">
      <c r="A1209" s="69">
        <v>2018</v>
      </c>
      <c r="B1209" s="70" t="s">
        <v>66</v>
      </c>
      <c r="C1209" s="70" t="s">
        <v>47</v>
      </c>
      <c r="D1209" s="70" t="s">
        <v>48</v>
      </c>
      <c r="E1209" s="70" t="s">
        <v>72</v>
      </c>
      <c r="F1209" s="70" t="s">
        <v>73</v>
      </c>
      <c r="G1209" s="71">
        <v>87909936323</v>
      </c>
      <c r="H1209" s="70" t="s">
        <v>68</v>
      </c>
    </row>
    <row r="1210" spans="1:8" ht="17.25" customHeight="1" x14ac:dyDescent="0.2">
      <c r="A1210" s="69">
        <v>2018</v>
      </c>
      <c r="B1210" s="70" t="s">
        <v>66</v>
      </c>
      <c r="C1210" s="70" t="s">
        <v>47</v>
      </c>
      <c r="D1210" s="70" t="s">
        <v>48</v>
      </c>
      <c r="E1210" s="70" t="s">
        <v>67</v>
      </c>
      <c r="F1210" s="70" t="s">
        <v>74</v>
      </c>
      <c r="G1210" s="71">
        <v>103996694371</v>
      </c>
      <c r="H1210" s="70" t="s">
        <v>68</v>
      </c>
    </row>
    <row r="1211" spans="1:8" ht="17.25" customHeight="1" x14ac:dyDescent="0.2">
      <c r="A1211" s="69">
        <v>2018</v>
      </c>
      <c r="B1211" s="70" t="s">
        <v>66</v>
      </c>
      <c r="C1211" s="70" t="s">
        <v>47</v>
      </c>
      <c r="D1211" s="70" t="s">
        <v>48</v>
      </c>
      <c r="E1211" s="70" t="s">
        <v>69</v>
      </c>
      <c r="F1211" s="70" t="s">
        <v>71</v>
      </c>
      <c r="G1211" s="71">
        <v>72428000000</v>
      </c>
      <c r="H1211" s="70" t="s">
        <v>68</v>
      </c>
    </row>
    <row r="1212" spans="1:8" ht="17.25" customHeight="1" x14ac:dyDescent="0.2">
      <c r="A1212" s="69">
        <v>2018</v>
      </c>
      <c r="B1212" s="70" t="s">
        <v>66</v>
      </c>
      <c r="C1212" s="70" t="s">
        <v>47</v>
      </c>
      <c r="D1212" s="70" t="s">
        <v>48</v>
      </c>
      <c r="E1212" s="70" t="s">
        <v>69</v>
      </c>
      <c r="F1212" s="70" t="s">
        <v>70</v>
      </c>
      <c r="G1212" s="71">
        <v>126388787869</v>
      </c>
      <c r="H1212" s="70" t="s">
        <v>68</v>
      </c>
    </row>
    <row r="1213" spans="1:8" ht="17.25" customHeight="1" x14ac:dyDescent="0.2">
      <c r="A1213" s="69">
        <v>2019</v>
      </c>
      <c r="B1213" s="70" t="s">
        <v>66</v>
      </c>
      <c r="C1213" s="70" t="s">
        <v>4</v>
      </c>
      <c r="D1213" s="70" t="s">
        <v>3</v>
      </c>
      <c r="E1213" s="70" t="s">
        <v>67</v>
      </c>
      <c r="F1213" s="70" t="s">
        <v>67</v>
      </c>
      <c r="G1213" s="71">
        <v>17524351863</v>
      </c>
      <c r="H1213" s="70" t="s">
        <v>68</v>
      </c>
    </row>
    <row r="1214" spans="1:8" ht="17.25" customHeight="1" x14ac:dyDescent="0.2">
      <c r="A1214" s="69">
        <v>2019</v>
      </c>
      <c r="B1214" s="70" t="s">
        <v>66</v>
      </c>
      <c r="C1214" s="70" t="s">
        <v>4</v>
      </c>
      <c r="D1214" s="70" t="s">
        <v>3</v>
      </c>
      <c r="E1214" s="70" t="s">
        <v>69</v>
      </c>
      <c r="F1214" s="70" t="s">
        <v>71</v>
      </c>
      <c r="G1214" s="71">
        <v>4675775627</v>
      </c>
      <c r="H1214" s="70" t="s">
        <v>68</v>
      </c>
    </row>
    <row r="1215" spans="1:8" ht="17.25" customHeight="1" x14ac:dyDescent="0.2">
      <c r="A1215" s="69">
        <v>2019</v>
      </c>
      <c r="B1215" s="70" t="s">
        <v>66</v>
      </c>
      <c r="C1215" s="70" t="s">
        <v>4</v>
      </c>
      <c r="D1215" s="70" t="s">
        <v>3</v>
      </c>
      <c r="E1215" s="70" t="s">
        <v>69</v>
      </c>
      <c r="F1215" s="70" t="s">
        <v>70</v>
      </c>
      <c r="G1215" s="71">
        <v>10037010870</v>
      </c>
      <c r="H1215" s="70" t="s">
        <v>68</v>
      </c>
    </row>
    <row r="1216" spans="1:8" ht="17.25" customHeight="1" x14ac:dyDescent="0.2">
      <c r="A1216" s="69">
        <v>2019</v>
      </c>
      <c r="B1216" s="70" t="s">
        <v>66</v>
      </c>
      <c r="C1216" s="70" t="s">
        <v>4</v>
      </c>
      <c r="D1216" s="70" t="s">
        <v>5</v>
      </c>
      <c r="E1216" s="70" t="s">
        <v>67</v>
      </c>
      <c r="F1216" s="70" t="s">
        <v>67</v>
      </c>
      <c r="G1216" s="71">
        <v>78451264948</v>
      </c>
      <c r="H1216" s="70" t="s">
        <v>68</v>
      </c>
    </row>
    <row r="1217" spans="1:8" ht="17.25" customHeight="1" x14ac:dyDescent="0.2">
      <c r="A1217" s="69">
        <v>2019</v>
      </c>
      <c r="B1217" s="70" t="s">
        <v>66</v>
      </c>
      <c r="C1217" s="70" t="s">
        <v>4</v>
      </c>
      <c r="D1217" s="70" t="s">
        <v>5</v>
      </c>
      <c r="E1217" s="70" t="s">
        <v>69</v>
      </c>
      <c r="F1217" s="70" t="s">
        <v>71</v>
      </c>
      <c r="G1217" s="71">
        <v>53030253496</v>
      </c>
      <c r="H1217" s="70" t="s">
        <v>68</v>
      </c>
    </row>
    <row r="1218" spans="1:8" ht="17.25" customHeight="1" x14ac:dyDescent="0.2">
      <c r="A1218" s="69">
        <v>2019</v>
      </c>
      <c r="B1218" s="70" t="s">
        <v>66</v>
      </c>
      <c r="C1218" s="70" t="s">
        <v>4</v>
      </c>
      <c r="D1218" s="70" t="s">
        <v>5</v>
      </c>
      <c r="E1218" s="70" t="s">
        <v>69</v>
      </c>
      <c r="F1218" s="70" t="s">
        <v>70</v>
      </c>
      <c r="G1218" s="71">
        <v>43565300466</v>
      </c>
      <c r="H1218" s="70" t="s">
        <v>68</v>
      </c>
    </row>
    <row r="1219" spans="1:8" ht="17.25" customHeight="1" x14ac:dyDescent="0.2">
      <c r="A1219" s="69">
        <v>2019</v>
      </c>
      <c r="B1219" s="70" t="s">
        <v>66</v>
      </c>
      <c r="C1219" s="70" t="s">
        <v>4</v>
      </c>
      <c r="D1219" s="70" t="s">
        <v>6</v>
      </c>
      <c r="E1219" s="70" t="s">
        <v>67</v>
      </c>
      <c r="F1219" s="70" t="s">
        <v>67</v>
      </c>
      <c r="G1219" s="71">
        <v>10030665758</v>
      </c>
      <c r="H1219" s="70" t="s">
        <v>68</v>
      </c>
    </row>
    <row r="1220" spans="1:8" ht="17.25" customHeight="1" x14ac:dyDescent="0.2">
      <c r="A1220" s="69">
        <v>2019</v>
      </c>
      <c r="B1220" s="70" t="s">
        <v>66</v>
      </c>
      <c r="C1220" s="70" t="s">
        <v>4</v>
      </c>
      <c r="D1220" s="70" t="s">
        <v>6</v>
      </c>
      <c r="E1220" s="70" t="s">
        <v>69</v>
      </c>
      <c r="F1220" s="70" t="s">
        <v>71</v>
      </c>
      <c r="G1220" s="71">
        <v>1115721836</v>
      </c>
      <c r="H1220" s="70" t="s">
        <v>68</v>
      </c>
    </row>
    <row r="1221" spans="1:8" ht="17.25" customHeight="1" x14ac:dyDescent="0.2">
      <c r="A1221" s="69">
        <v>2019</v>
      </c>
      <c r="B1221" s="70" t="s">
        <v>66</v>
      </c>
      <c r="C1221" s="70" t="s">
        <v>4</v>
      </c>
      <c r="D1221" s="70" t="s">
        <v>6</v>
      </c>
      <c r="E1221" s="70" t="s">
        <v>69</v>
      </c>
      <c r="F1221" s="70" t="s">
        <v>70</v>
      </c>
      <c r="G1221" s="71">
        <v>1535244594</v>
      </c>
      <c r="H1221" s="70" t="s">
        <v>68</v>
      </c>
    </row>
    <row r="1222" spans="1:8" ht="17.25" customHeight="1" x14ac:dyDescent="0.2">
      <c r="A1222" s="69">
        <v>2019</v>
      </c>
      <c r="B1222" s="70" t="s">
        <v>66</v>
      </c>
      <c r="C1222" s="70" t="s">
        <v>4</v>
      </c>
      <c r="D1222" s="70" t="s">
        <v>7</v>
      </c>
      <c r="E1222" s="70" t="s">
        <v>67</v>
      </c>
      <c r="F1222" s="70" t="s">
        <v>67</v>
      </c>
      <c r="G1222" s="71">
        <v>17826194918</v>
      </c>
      <c r="H1222" s="70" t="s">
        <v>68</v>
      </c>
    </row>
    <row r="1223" spans="1:8" ht="17.25" customHeight="1" x14ac:dyDescent="0.2">
      <c r="A1223" s="69">
        <v>2019</v>
      </c>
      <c r="B1223" s="70" t="s">
        <v>66</v>
      </c>
      <c r="C1223" s="70" t="s">
        <v>4</v>
      </c>
      <c r="D1223" s="70" t="s">
        <v>7</v>
      </c>
      <c r="E1223" s="70" t="s">
        <v>69</v>
      </c>
      <c r="F1223" s="70" t="s">
        <v>71</v>
      </c>
      <c r="G1223" s="71">
        <v>7515165738</v>
      </c>
      <c r="H1223" s="70" t="s">
        <v>68</v>
      </c>
    </row>
    <row r="1224" spans="1:8" ht="17.25" customHeight="1" x14ac:dyDescent="0.2">
      <c r="A1224" s="69">
        <v>2019</v>
      </c>
      <c r="B1224" s="70" t="s">
        <v>66</v>
      </c>
      <c r="C1224" s="70" t="s">
        <v>4</v>
      </c>
      <c r="D1224" s="70" t="s">
        <v>7</v>
      </c>
      <c r="E1224" s="70" t="s">
        <v>69</v>
      </c>
      <c r="F1224" s="70" t="s">
        <v>70</v>
      </c>
      <c r="G1224" s="71">
        <v>7219108297</v>
      </c>
      <c r="H1224" s="70" t="s">
        <v>68</v>
      </c>
    </row>
    <row r="1225" spans="1:8" ht="17.25" customHeight="1" x14ac:dyDescent="0.2">
      <c r="A1225" s="69">
        <v>2019</v>
      </c>
      <c r="B1225" s="70" t="s">
        <v>66</v>
      </c>
      <c r="C1225" s="70" t="s">
        <v>4</v>
      </c>
      <c r="D1225" s="70" t="s">
        <v>8</v>
      </c>
      <c r="E1225" s="70" t="s">
        <v>67</v>
      </c>
      <c r="F1225" s="70" t="s">
        <v>67</v>
      </c>
      <c r="G1225" s="71">
        <v>8841228798</v>
      </c>
      <c r="H1225" s="70" t="s">
        <v>68</v>
      </c>
    </row>
    <row r="1226" spans="1:8" ht="17.25" customHeight="1" x14ac:dyDescent="0.2">
      <c r="A1226" s="69">
        <v>2019</v>
      </c>
      <c r="B1226" s="70" t="s">
        <v>66</v>
      </c>
      <c r="C1226" s="70" t="s">
        <v>4</v>
      </c>
      <c r="D1226" s="70" t="s">
        <v>8</v>
      </c>
      <c r="E1226" s="70" t="s">
        <v>69</v>
      </c>
      <c r="F1226" s="70" t="s">
        <v>71</v>
      </c>
      <c r="G1226" s="71">
        <v>3615955224</v>
      </c>
      <c r="H1226" s="70" t="s">
        <v>68</v>
      </c>
    </row>
    <row r="1227" spans="1:8" ht="17.25" customHeight="1" x14ac:dyDescent="0.2">
      <c r="A1227" s="69">
        <v>2019</v>
      </c>
      <c r="B1227" s="70" t="s">
        <v>66</v>
      </c>
      <c r="C1227" s="70" t="s">
        <v>4</v>
      </c>
      <c r="D1227" s="70" t="s">
        <v>8</v>
      </c>
      <c r="E1227" s="70" t="s">
        <v>69</v>
      </c>
      <c r="F1227" s="70" t="s">
        <v>70</v>
      </c>
      <c r="G1227" s="71">
        <v>1971433934</v>
      </c>
      <c r="H1227" s="70" t="s">
        <v>68</v>
      </c>
    </row>
    <row r="1228" spans="1:8" ht="17.25" customHeight="1" x14ac:dyDescent="0.2">
      <c r="A1228" s="69">
        <v>2019</v>
      </c>
      <c r="B1228" s="70" t="s">
        <v>66</v>
      </c>
      <c r="C1228" s="70" t="s">
        <v>4</v>
      </c>
      <c r="D1228" s="70" t="s">
        <v>9</v>
      </c>
      <c r="E1228" s="70" t="s">
        <v>67</v>
      </c>
      <c r="F1228" s="70" t="s">
        <v>67</v>
      </c>
      <c r="G1228" s="71">
        <v>60992081051</v>
      </c>
      <c r="H1228" s="70" t="s">
        <v>68</v>
      </c>
    </row>
    <row r="1229" spans="1:8" ht="17.25" customHeight="1" x14ac:dyDescent="0.2">
      <c r="A1229" s="69">
        <v>2019</v>
      </c>
      <c r="B1229" s="70" t="s">
        <v>66</v>
      </c>
      <c r="C1229" s="70" t="s">
        <v>4</v>
      </c>
      <c r="D1229" s="70" t="s">
        <v>9</v>
      </c>
      <c r="E1229" s="70" t="s">
        <v>69</v>
      </c>
      <c r="F1229" s="70" t="s">
        <v>71</v>
      </c>
      <c r="G1229" s="71">
        <v>19299656154</v>
      </c>
      <c r="H1229" s="70" t="s">
        <v>68</v>
      </c>
    </row>
    <row r="1230" spans="1:8" ht="17.25" customHeight="1" x14ac:dyDescent="0.2">
      <c r="A1230" s="69">
        <v>2019</v>
      </c>
      <c r="B1230" s="70" t="s">
        <v>66</v>
      </c>
      <c r="C1230" s="70" t="s">
        <v>4</v>
      </c>
      <c r="D1230" s="70" t="s">
        <v>9</v>
      </c>
      <c r="E1230" s="70" t="s">
        <v>69</v>
      </c>
      <c r="F1230" s="70" t="s">
        <v>70</v>
      </c>
      <c r="G1230" s="71">
        <v>27922055383</v>
      </c>
      <c r="H1230" s="70" t="s">
        <v>68</v>
      </c>
    </row>
    <row r="1231" spans="1:8" ht="17.25" customHeight="1" x14ac:dyDescent="0.2">
      <c r="A1231" s="69">
        <v>2019</v>
      </c>
      <c r="B1231" s="70" t="s">
        <v>66</v>
      </c>
      <c r="C1231" s="70" t="s">
        <v>4</v>
      </c>
      <c r="D1231" s="70" t="s">
        <v>10</v>
      </c>
      <c r="E1231" s="70" t="s">
        <v>67</v>
      </c>
      <c r="F1231" s="70" t="s">
        <v>67</v>
      </c>
      <c r="G1231" s="71">
        <v>1409317030</v>
      </c>
      <c r="H1231" s="70" t="s">
        <v>68</v>
      </c>
    </row>
    <row r="1232" spans="1:8" ht="17.25" customHeight="1" x14ac:dyDescent="0.2">
      <c r="A1232" s="69">
        <v>2019</v>
      </c>
      <c r="B1232" s="70" t="s">
        <v>66</v>
      </c>
      <c r="C1232" s="70" t="s">
        <v>4</v>
      </c>
      <c r="D1232" s="70" t="s">
        <v>10</v>
      </c>
      <c r="E1232" s="70" t="s">
        <v>69</v>
      </c>
      <c r="F1232" s="70" t="s">
        <v>71</v>
      </c>
      <c r="G1232" s="71">
        <v>595329679</v>
      </c>
      <c r="H1232" s="70" t="s">
        <v>68</v>
      </c>
    </row>
    <row r="1233" spans="1:8" ht="17.25" customHeight="1" x14ac:dyDescent="0.2">
      <c r="A1233" s="69">
        <v>2019</v>
      </c>
      <c r="B1233" s="70" t="s">
        <v>66</v>
      </c>
      <c r="C1233" s="70" t="s">
        <v>4</v>
      </c>
      <c r="D1233" s="70" t="s">
        <v>10</v>
      </c>
      <c r="E1233" s="70" t="s">
        <v>69</v>
      </c>
      <c r="F1233" s="70" t="s">
        <v>70</v>
      </c>
      <c r="G1233" s="71">
        <v>130682125</v>
      </c>
      <c r="H1233" s="70" t="s">
        <v>68</v>
      </c>
    </row>
    <row r="1234" spans="1:8" ht="17.25" customHeight="1" x14ac:dyDescent="0.2">
      <c r="A1234" s="69">
        <v>2019</v>
      </c>
      <c r="B1234" s="70" t="s">
        <v>66</v>
      </c>
      <c r="C1234" s="70" t="s">
        <v>4</v>
      </c>
      <c r="D1234" s="70" t="s">
        <v>11</v>
      </c>
      <c r="E1234" s="70" t="s">
        <v>67</v>
      </c>
      <c r="F1234" s="70" t="s">
        <v>67</v>
      </c>
      <c r="G1234" s="71">
        <v>5144269678</v>
      </c>
      <c r="H1234" s="70" t="s">
        <v>68</v>
      </c>
    </row>
    <row r="1235" spans="1:8" ht="17.25" customHeight="1" x14ac:dyDescent="0.2">
      <c r="A1235" s="69">
        <v>2019</v>
      </c>
      <c r="B1235" s="70" t="s">
        <v>66</v>
      </c>
      <c r="C1235" s="70" t="s">
        <v>4</v>
      </c>
      <c r="D1235" s="70" t="s">
        <v>11</v>
      </c>
      <c r="E1235" s="70" t="s">
        <v>69</v>
      </c>
      <c r="F1235" s="70" t="s">
        <v>71</v>
      </c>
      <c r="G1235" s="71">
        <v>1533652890</v>
      </c>
      <c r="H1235" s="70" t="s">
        <v>68</v>
      </c>
    </row>
    <row r="1236" spans="1:8" ht="17.25" customHeight="1" x14ac:dyDescent="0.2">
      <c r="A1236" s="69">
        <v>2019</v>
      </c>
      <c r="B1236" s="70" t="s">
        <v>66</v>
      </c>
      <c r="C1236" s="70" t="s">
        <v>4</v>
      </c>
      <c r="D1236" s="70" t="s">
        <v>11</v>
      </c>
      <c r="E1236" s="70" t="s">
        <v>69</v>
      </c>
      <c r="F1236" s="70" t="s">
        <v>70</v>
      </c>
      <c r="G1236" s="71">
        <v>2659292932</v>
      </c>
      <c r="H1236" s="70" t="s">
        <v>68</v>
      </c>
    </row>
    <row r="1237" spans="1:8" ht="17.25" customHeight="1" x14ac:dyDescent="0.2">
      <c r="A1237" s="69">
        <v>2019</v>
      </c>
      <c r="B1237" s="70" t="s">
        <v>66</v>
      </c>
      <c r="C1237" s="70" t="s">
        <v>4</v>
      </c>
      <c r="D1237" s="70" t="s">
        <v>12</v>
      </c>
      <c r="E1237" s="70" t="s">
        <v>67</v>
      </c>
      <c r="F1237" s="70" t="s">
        <v>67</v>
      </c>
      <c r="G1237" s="71">
        <v>7356876351</v>
      </c>
      <c r="H1237" s="70" t="s">
        <v>68</v>
      </c>
    </row>
    <row r="1238" spans="1:8" ht="17.25" customHeight="1" x14ac:dyDescent="0.2">
      <c r="A1238" s="69">
        <v>2019</v>
      </c>
      <c r="B1238" s="70" t="s">
        <v>66</v>
      </c>
      <c r="C1238" s="70" t="s">
        <v>4</v>
      </c>
      <c r="D1238" s="70" t="s">
        <v>12</v>
      </c>
      <c r="E1238" s="70" t="s">
        <v>69</v>
      </c>
      <c r="F1238" s="70" t="s">
        <v>71</v>
      </c>
      <c r="G1238" s="71">
        <v>1679916197</v>
      </c>
      <c r="H1238" s="70" t="s">
        <v>68</v>
      </c>
    </row>
    <row r="1239" spans="1:8" ht="17.25" customHeight="1" x14ac:dyDescent="0.2">
      <c r="A1239" s="69">
        <v>2019</v>
      </c>
      <c r="B1239" s="70" t="s">
        <v>66</v>
      </c>
      <c r="C1239" s="70" t="s">
        <v>4</v>
      </c>
      <c r="D1239" s="70" t="s">
        <v>12</v>
      </c>
      <c r="E1239" s="70" t="s">
        <v>69</v>
      </c>
      <c r="F1239" s="70" t="s">
        <v>70</v>
      </c>
      <c r="G1239" s="71">
        <v>3965185075</v>
      </c>
      <c r="H1239" s="70" t="s">
        <v>68</v>
      </c>
    </row>
    <row r="1240" spans="1:8" ht="17.25" customHeight="1" x14ac:dyDescent="0.2">
      <c r="A1240" s="69">
        <v>2019</v>
      </c>
      <c r="B1240" s="70" t="s">
        <v>66</v>
      </c>
      <c r="C1240" s="70" t="s">
        <v>4</v>
      </c>
      <c r="D1240" s="70" t="s">
        <v>13</v>
      </c>
      <c r="E1240" s="70" t="s">
        <v>67</v>
      </c>
      <c r="F1240" s="70" t="s">
        <v>67</v>
      </c>
      <c r="G1240" s="71">
        <v>10571229986</v>
      </c>
      <c r="H1240" s="70" t="s">
        <v>68</v>
      </c>
    </row>
    <row r="1241" spans="1:8" ht="17.25" customHeight="1" x14ac:dyDescent="0.2">
      <c r="A1241" s="69">
        <v>2019</v>
      </c>
      <c r="B1241" s="70" t="s">
        <v>66</v>
      </c>
      <c r="C1241" s="70" t="s">
        <v>4</v>
      </c>
      <c r="D1241" s="70" t="s">
        <v>13</v>
      </c>
      <c r="E1241" s="70" t="s">
        <v>69</v>
      </c>
      <c r="F1241" s="70" t="s">
        <v>71</v>
      </c>
      <c r="G1241" s="71">
        <v>2712671877</v>
      </c>
      <c r="H1241" s="70" t="s">
        <v>68</v>
      </c>
    </row>
    <row r="1242" spans="1:8" ht="17.25" customHeight="1" x14ac:dyDescent="0.2">
      <c r="A1242" s="69">
        <v>2019</v>
      </c>
      <c r="B1242" s="70" t="s">
        <v>66</v>
      </c>
      <c r="C1242" s="70" t="s">
        <v>4</v>
      </c>
      <c r="D1242" s="70" t="s">
        <v>13</v>
      </c>
      <c r="E1242" s="70" t="s">
        <v>69</v>
      </c>
      <c r="F1242" s="70" t="s">
        <v>70</v>
      </c>
      <c r="G1242" s="71">
        <v>5958544225</v>
      </c>
      <c r="H1242" s="70" t="s">
        <v>68</v>
      </c>
    </row>
    <row r="1243" spans="1:8" ht="17.25" customHeight="1" x14ac:dyDescent="0.2">
      <c r="A1243" s="69">
        <v>2019</v>
      </c>
      <c r="B1243" s="70" t="s">
        <v>66</v>
      </c>
      <c r="C1243" s="70" t="s">
        <v>4</v>
      </c>
      <c r="D1243" s="70" t="s">
        <v>14</v>
      </c>
      <c r="E1243" s="70" t="s">
        <v>67</v>
      </c>
      <c r="F1243" s="70" t="s">
        <v>67</v>
      </c>
      <c r="G1243" s="71">
        <v>8241041432</v>
      </c>
      <c r="H1243" s="70" t="s">
        <v>68</v>
      </c>
    </row>
    <row r="1244" spans="1:8" ht="17.25" customHeight="1" x14ac:dyDescent="0.2">
      <c r="A1244" s="69">
        <v>2019</v>
      </c>
      <c r="B1244" s="70" t="s">
        <v>66</v>
      </c>
      <c r="C1244" s="70" t="s">
        <v>4</v>
      </c>
      <c r="D1244" s="70" t="s">
        <v>14</v>
      </c>
      <c r="E1244" s="70" t="s">
        <v>69</v>
      </c>
      <c r="F1244" s="70" t="s">
        <v>71</v>
      </c>
      <c r="G1244" s="71">
        <v>1129478730</v>
      </c>
      <c r="H1244" s="70" t="s">
        <v>68</v>
      </c>
    </row>
    <row r="1245" spans="1:8" ht="17.25" customHeight="1" x14ac:dyDescent="0.2">
      <c r="A1245" s="69">
        <v>2019</v>
      </c>
      <c r="B1245" s="70" t="s">
        <v>66</v>
      </c>
      <c r="C1245" s="70" t="s">
        <v>4</v>
      </c>
      <c r="D1245" s="70" t="s">
        <v>14</v>
      </c>
      <c r="E1245" s="70" t="s">
        <v>69</v>
      </c>
      <c r="F1245" s="70" t="s">
        <v>70</v>
      </c>
      <c r="G1245" s="71">
        <v>2400621498</v>
      </c>
      <c r="H1245" s="70" t="s">
        <v>68</v>
      </c>
    </row>
    <row r="1246" spans="1:8" ht="17.25" customHeight="1" x14ac:dyDescent="0.2">
      <c r="A1246" s="69">
        <v>2019</v>
      </c>
      <c r="B1246" s="70" t="s">
        <v>66</v>
      </c>
      <c r="C1246" s="70" t="s">
        <v>4</v>
      </c>
      <c r="D1246" s="70" t="s">
        <v>15</v>
      </c>
      <c r="E1246" s="70" t="s">
        <v>67</v>
      </c>
      <c r="F1246" s="70" t="s">
        <v>67</v>
      </c>
      <c r="G1246" s="71">
        <v>10846513162</v>
      </c>
      <c r="H1246" s="70" t="s">
        <v>68</v>
      </c>
    </row>
    <row r="1247" spans="1:8" ht="17.25" customHeight="1" x14ac:dyDescent="0.2">
      <c r="A1247" s="69">
        <v>2019</v>
      </c>
      <c r="B1247" s="70" t="s">
        <v>66</v>
      </c>
      <c r="C1247" s="70" t="s">
        <v>4</v>
      </c>
      <c r="D1247" s="70" t="s">
        <v>15</v>
      </c>
      <c r="E1247" s="70" t="s">
        <v>69</v>
      </c>
      <c r="F1247" s="70" t="s">
        <v>71</v>
      </c>
      <c r="G1247" s="71">
        <v>3825978515</v>
      </c>
      <c r="H1247" s="70" t="s">
        <v>68</v>
      </c>
    </row>
    <row r="1248" spans="1:8" ht="17.25" customHeight="1" x14ac:dyDescent="0.2">
      <c r="A1248" s="69">
        <v>2019</v>
      </c>
      <c r="B1248" s="70" t="s">
        <v>66</v>
      </c>
      <c r="C1248" s="70" t="s">
        <v>4</v>
      </c>
      <c r="D1248" s="70" t="s">
        <v>15</v>
      </c>
      <c r="E1248" s="70" t="s">
        <v>69</v>
      </c>
      <c r="F1248" s="70" t="s">
        <v>70</v>
      </c>
      <c r="G1248" s="71">
        <v>2365734571</v>
      </c>
      <c r="H1248" s="70" t="s">
        <v>68</v>
      </c>
    </row>
    <row r="1249" spans="1:8" ht="17.25" customHeight="1" x14ac:dyDescent="0.2">
      <c r="A1249" s="69">
        <v>2019</v>
      </c>
      <c r="B1249" s="70" t="s">
        <v>66</v>
      </c>
      <c r="C1249" s="70" t="s">
        <v>17</v>
      </c>
      <c r="D1249" s="70" t="s">
        <v>16</v>
      </c>
      <c r="E1249" s="70" t="s">
        <v>67</v>
      </c>
      <c r="F1249" s="70" t="s">
        <v>67</v>
      </c>
      <c r="G1249" s="71">
        <v>829012464</v>
      </c>
      <c r="H1249" s="70" t="s">
        <v>68</v>
      </c>
    </row>
    <row r="1250" spans="1:8" ht="17.25" customHeight="1" x14ac:dyDescent="0.2">
      <c r="A1250" s="69">
        <v>2019</v>
      </c>
      <c r="B1250" s="70" t="s">
        <v>66</v>
      </c>
      <c r="C1250" s="70" t="s">
        <v>17</v>
      </c>
      <c r="D1250" s="70" t="s">
        <v>16</v>
      </c>
      <c r="E1250" s="70" t="s">
        <v>69</v>
      </c>
      <c r="F1250" s="70" t="s">
        <v>71</v>
      </c>
      <c r="G1250" s="71">
        <v>282529093</v>
      </c>
      <c r="H1250" s="70" t="s">
        <v>68</v>
      </c>
    </row>
    <row r="1251" spans="1:8" ht="17.25" customHeight="1" x14ac:dyDescent="0.2">
      <c r="A1251" s="69">
        <v>2019</v>
      </c>
      <c r="B1251" s="70" t="s">
        <v>66</v>
      </c>
      <c r="C1251" s="70" t="s">
        <v>17</v>
      </c>
      <c r="D1251" s="70" t="s">
        <v>16</v>
      </c>
      <c r="E1251" s="70" t="s">
        <v>69</v>
      </c>
      <c r="F1251" s="70" t="s">
        <v>70</v>
      </c>
      <c r="G1251" s="71">
        <v>115902610</v>
      </c>
      <c r="H1251" s="70" t="s">
        <v>68</v>
      </c>
    </row>
    <row r="1252" spans="1:8" ht="17.25" customHeight="1" x14ac:dyDescent="0.2">
      <c r="A1252" s="69">
        <v>2019</v>
      </c>
      <c r="B1252" s="70" t="s">
        <v>66</v>
      </c>
      <c r="C1252" s="70" t="s">
        <v>17</v>
      </c>
      <c r="D1252" s="70" t="s">
        <v>18</v>
      </c>
      <c r="E1252" s="70" t="s">
        <v>67</v>
      </c>
      <c r="F1252" s="70" t="s">
        <v>67</v>
      </c>
      <c r="G1252" s="71">
        <v>1687677623</v>
      </c>
      <c r="H1252" s="70" t="s">
        <v>68</v>
      </c>
    </row>
    <row r="1253" spans="1:8" ht="17.25" customHeight="1" x14ac:dyDescent="0.2">
      <c r="A1253" s="69">
        <v>2019</v>
      </c>
      <c r="B1253" s="70" t="s">
        <v>66</v>
      </c>
      <c r="C1253" s="70" t="s">
        <v>17</v>
      </c>
      <c r="D1253" s="70" t="s">
        <v>18</v>
      </c>
      <c r="E1253" s="70" t="s">
        <v>69</v>
      </c>
      <c r="F1253" s="70" t="s">
        <v>71</v>
      </c>
      <c r="G1253" s="71">
        <v>798489924</v>
      </c>
      <c r="H1253" s="70" t="s">
        <v>68</v>
      </c>
    </row>
    <row r="1254" spans="1:8" ht="17.25" customHeight="1" x14ac:dyDescent="0.2">
      <c r="A1254" s="69">
        <v>2019</v>
      </c>
      <c r="B1254" s="70" t="s">
        <v>66</v>
      </c>
      <c r="C1254" s="70" t="s">
        <v>17</v>
      </c>
      <c r="D1254" s="70" t="s">
        <v>18</v>
      </c>
      <c r="E1254" s="70" t="s">
        <v>69</v>
      </c>
      <c r="F1254" s="70" t="s">
        <v>70</v>
      </c>
      <c r="G1254" s="71">
        <v>1189083659</v>
      </c>
      <c r="H1254" s="70" t="s">
        <v>68</v>
      </c>
    </row>
    <row r="1255" spans="1:8" ht="17.25" customHeight="1" x14ac:dyDescent="0.2">
      <c r="A1255" s="69">
        <v>2019</v>
      </c>
      <c r="B1255" s="70" t="s">
        <v>66</v>
      </c>
      <c r="C1255" s="70" t="s">
        <v>17</v>
      </c>
      <c r="D1255" s="70" t="s">
        <v>19</v>
      </c>
      <c r="E1255" s="70" t="s">
        <v>67</v>
      </c>
      <c r="F1255" s="70" t="s">
        <v>67</v>
      </c>
      <c r="G1255" s="71">
        <v>3661519557</v>
      </c>
      <c r="H1255" s="70" t="s">
        <v>68</v>
      </c>
    </row>
    <row r="1256" spans="1:8" ht="17.25" customHeight="1" x14ac:dyDescent="0.2">
      <c r="A1256" s="69">
        <v>2019</v>
      </c>
      <c r="B1256" s="70" t="s">
        <v>66</v>
      </c>
      <c r="C1256" s="70" t="s">
        <v>17</v>
      </c>
      <c r="D1256" s="70" t="s">
        <v>19</v>
      </c>
      <c r="E1256" s="70" t="s">
        <v>69</v>
      </c>
      <c r="F1256" s="70" t="s">
        <v>71</v>
      </c>
      <c r="G1256" s="71">
        <v>1344107542</v>
      </c>
      <c r="H1256" s="70" t="s">
        <v>68</v>
      </c>
    </row>
    <row r="1257" spans="1:8" ht="17.25" customHeight="1" x14ac:dyDescent="0.2">
      <c r="A1257" s="69">
        <v>2019</v>
      </c>
      <c r="B1257" s="70" t="s">
        <v>66</v>
      </c>
      <c r="C1257" s="70" t="s">
        <v>17</v>
      </c>
      <c r="D1257" s="70" t="s">
        <v>19</v>
      </c>
      <c r="E1257" s="70" t="s">
        <v>69</v>
      </c>
      <c r="F1257" s="70" t="s">
        <v>70</v>
      </c>
      <c r="G1257" s="71">
        <v>836067045</v>
      </c>
      <c r="H1257" s="70" t="s">
        <v>68</v>
      </c>
    </row>
    <row r="1258" spans="1:8" ht="17.25" customHeight="1" x14ac:dyDescent="0.2">
      <c r="A1258" s="69">
        <v>2019</v>
      </c>
      <c r="B1258" s="70" t="s">
        <v>66</v>
      </c>
      <c r="C1258" s="70" t="s">
        <v>17</v>
      </c>
      <c r="D1258" s="70" t="s">
        <v>20</v>
      </c>
      <c r="E1258" s="70" t="s">
        <v>67</v>
      </c>
      <c r="F1258" s="70" t="s">
        <v>67</v>
      </c>
      <c r="G1258" s="71">
        <v>918332368</v>
      </c>
      <c r="H1258" s="70" t="s">
        <v>68</v>
      </c>
    </row>
    <row r="1259" spans="1:8" ht="17.25" customHeight="1" x14ac:dyDescent="0.2">
      <c r="A1259" s="69">
        <v>2019</v>
      </c>
      <c r="B1259" s="70" t="s">
        <v>66</v>
      </c>
      <c r="C1259" s="70" t="s">
        <v>17</v>
      </c>
      <c r="D1259" s="70" t="s">
        <v>20</v>
      </c>
      <c r="E1259" s="70" t="s">
        <v>69</v>
      </c>
      <c r="F1259" s="70" t="s">
        <v>71</v>
      </c>
      <c r="G1259" s="71">
        <v>444622070</v>
      </c>
      <c r="H1259" s="70" t="s">
        <v>68</v>
      </c>
    </row>
    <row r="1260" spans="1:8" ht="17.25" customHeight="1" x14ac:dyDescent="0.2">
      <c r="A1260" s="69">
        <v>2019</v>
      </c>
      <c r="B1260" s="70" t="s">
        <v>66</v>
      </c>
      <c r="C1260" s="70" t="s">
        <v>17</v>
      </c>
      <c r="D1260" s="70" t="s">
        <v>20</v>
      </c>
      <c r="E1260" s="70" t="s">
        <v>69</v>
      </c>
      <c r="F1260" s="70" t="s">
        <v>70</v>
      </c>
      <c r="G1260" s="71">
        <v>3193403932</v>
      </c>
      <c r="H1260" s="70" t="s">
        <v>68</v>
      </c>
    </row>
    <row r="1261" spans="1:8" ht="17.25" customHeight="1" x14ac:dyDescent="0.2">
      <c r="A1261" s="69">
        <v>2019</v>
      </c>
      <c r="B1261" s="70" t="s">
        <v>66</v>
      </c>
      <c r="C1261" s="70" t="s">
        <v>17</v>
      </c>
      <c r="D1261" s="70" t="s">
        <v>21</v>
      </c>
      <c r="E1261" s="70" t="s">
        <v>67</v>
      </c>
      <c r="F1261" s="70" t="s">
        <v>67</v>
      </c>
      <c r="G1261" s="71">
        <v>2828078750</v>
      </c>
      <c r="H1261" s="70" t="s">
        <v>68</v>
      </c>
    </row>
    <row r="1262" spans="1:8" ht="17.25" customHeight="1" x14ac:dyDescent="0.2">
      <c r="A1262" s="69">
        <v>2019</v>
      </c>
      <c r="B1262" s="70" t="s">
        <v>66</v>
      </c>
      <c r="C1262" s="70" t="s">
        <v>17</v>
      </c>
      <c r="D1262" s="70" t="s">
        <v>21</v>
      </c>
      <c r="E1262" s="70" t="s">
        <v>69</v>
      </c>
      <c r="F1262" s="70" t="s">
        <v>71</v>
      </c>
      <c r="G1262" s="71">
        <v>1060439907</v>
      </c>
      <c r="H1262" s="70" t="s">
        <v>68</v>
      </c>
    </row>
    <row r="1263" spans="1:8" ht="17.25" customHeight="1" x14ac:dyDescent="0.2">
      <c r="A1263" s="69">
        <v>2019</v>
      </c>
      <c r="B1263" s="70" t="s">
        <v>66</v>
      </c>
      <c r="C1263" s="70" t="s">
        <v>17</v>
      </c>
      <c r="D1263" s="70" t="s">
        <v>21</v>
      </c>
      <c r="E1263" s="70" t="s">
        <v>69</v>
      </c>
      <c r="F1263" s="70" t="s">
        <v>70</v>
      </c>
      <c r="G1263" s="71">
        <v>1002333516</v>
      </c>
      <c r="H1263" s="70" t="s">
        <v>68</v>
      </c>
    </row>
    <row r="1264" spans="1:8" ht="17.25" customHeight="1" x14ac:dyDescent="0.2">
      <c r="A1264" s="69">
        <v>2019</v>
      </c>
      <c r="B1264" s="70" t="s">
        <v>66</v>
      </c>
      <c r="C1264" s="70" t="s">
        <v>17</v>
      </c>
      <c r="D1264" s="70" t="s">
        <v>22</v>
      </c>
      <c r="E1264" s="70" t="s">
        <v>67</v>
      </c>
      <c r="F1264" s="70" t="s">
        <v>67</v>
      </c>
      <c r="G1264" s="71">
        <v>1049086015</v>
      </c>
      <c r="H1264" s="70" t="s">
        <v>68</v>
      </c>
    </row>
    <row r="1265" spans="1:8" ht="17.25" customHeight="1" x14ac:dyDescent="0.2">
      <c r="A1265" s="69">
        <v>2019</v>
      </c>
      <c r="B1265" s="70" t="s">
        <v>66</v>
      </c>
      <c r="C1265" s="70" t="s">
        <v>17</v>
      </c>
      <c r="D1265" s="70" t="s">
        <v>22</v>
      </c>
      <c r="E1265" s="70" t="s">
        <v>69</v>
      </c>
      <c r="F1265" s="70" t="s">
        <v>71</v>
      </c>
      <c r="G1265" s="71">
        <v>439394444</v>
      </c>
      <c r="H1265" s="70" t="s">
        <v>68</v>
      </c>
    </row>
    <row r="1266" spans="1:8" ht="17.25" customHeight="1" x14ac:dyDescent="0.2">
      <c r="A1266" s="69">
        <v>2019</v>
      </c>
      <c r="B1266" s="70" t="s">
        <v>66</v>
      </c>
      <c r="C1266" s="70" t="s">
        <v>17</v>
      </c>
      <c r="D1266" s="70" t="s">
        <v>22</v>
      </c>
      <c r="E1266" s="70" t="s">
        <v>69</v>
      </c>
      <c r="F1266" s="70" t="s">
        <v>70</v>
      </c>
      <c r="G1266" s="71">
        <v>597422628</v>
      </c>
      <c r="H1266" s="70" t="s">
        <v>68</v>
      </c>
    </row>
    <row r="1267" spans="1:8" ht="17.25" customHeight="1" x14ac:dyDescent="0.2">
      <c r="A1267" s="69">
        <v>2019</v>
      </c>
      <c r="B1267" s="70" t="s">
        <v>66</v>
      </c>
      <c r="C1267" s="70" t="s">
        <v>17</v>
      </c>
      <c r="D1267" s="70" t="s">
        <v>23</v>
      </c>
      <c r="E1267" s="70" t="s">
        <v>67</v>
      </c>
      <c r="F1267" s="70" t="s">
        <v>67</v>
      </c>
      <c r="G1267" s="71">
        <v>1232655508</v>
      </c>
      <c r="H1267" s="70" t="s">
        <v>68</v>
      </c>
    </row>
    <row r="1268" spans="1:8" ht="17.25" customHeight="1" x14ac:dyDescent="0.2">
      <c r="A1268" s="69">
        <v>2019</v>
      </c>
      <c r="B1268" s="70" t="s">
        <v>66</v>
      </c>
      <c r="C1268" s="70" t="s">
        <v>17</v>
      </c>
      <c r="D1268" s="70" t="s">
        <v>23</v>
      </c>
      <c r="E1268" s="70" t="s">
        <v>69</v>
      </c>
      <c r="F1268" s="70" t="s">
        <v>71</v>
      </c>
      <c r="G1268" s="71">
        <v>404404684</v>
      </c>
      <c r="H1268" s="70" t="s">
        <v>68</v>
      </c>
    </row>
    <row r="1269" spans="1:8" ht="17.25" customHeight="1" x14ac:dyDescent="0.2">
      <c r="A1269" s="69">
        <v>2019</v>
      </c>
      <c r="B1269" s="70" t="s">
        <v>66</v>
      </c>
      <c r="C1269" s="70" t="s">
        <v>17</v>
      </c>
      <c r="D1269" s="70" t="s">
        <v>23</v>
      </c>
      <c r="E1269" s="70" t="s">
        <v>69</v>
      </c>
      <c r="F1269" s="70" t="s">
        <v>70</v>
      </c>
      <c r="G1269" s="71">
        <v>192231941</v>
      </c>
      <c r="H1269" s="70" t="s">
        <v>68</v>
      </c>
    </row>
    <row r="1270" spans="1:8" ht="17.25" customHeight="1" x14ac:dyDescent="0.2">
      <c r="A1270" s="69">
        <v>2019</v>
      </c>
      <c r="B1270" s="70" t="s">
        <v>66</v>
      </c>
      <c r="C1270" s="70" t="s">
        <v>17</v>
      </c>
      <c r="D1270" s="70" t="s">
        <v>24</v>
      </c>
      <c r="E1270" s="70" t="s">
        <v>67</v>
      </c>
      <c r="F1270" s="70" t="s">
        <v>67</v>
      </c>
      <c r="G1270" s="71">
        <v>22825228796</v>
      </c>
      <c r="H1270" s="70" t="s">
        <v>68</v>
      </c>
    </row>
    <row r="1271" spans="1:8" ht="17.25" customHeight="1" x14ac:dyDescent="0.2">
      <c r="A1271" s="69">
        <v>2019</v>
      </c>
      <c r="B1271" s="70" t="s">
        <v>66</v>
      </c>
      <c r="C1271" s="70" t="s">
        <v>17</v>
      </c>
      <c r="D1271" s="70" t="s">
        <v>24</v>
      </c>
      <c r="E1271" s="70" t="s">
        <v>69</v>
      </c>
      <c r="F1271" s="70" t="s">
        <v>71</v>
      </c>
      <c r="G1271" s="71">
        <v>5353171471</v>
      </c>
      <c r="H1271" s="70" t="s">
        <v>68</v>
      </c>
    </row>
    <row r="1272" spans="1:8" ht="17.25" customHeight="1" x14ac:dyDescent="0.2">
      <c r="A1272" s="69">
        <v>2019</v>
      </c>
      <c r="B1272" s="70" t="s">
        <v>66</v>
      </c>
      <c r="C1272" s="70" t="s">
        <v>17</v>
      </c>
      <c r="D1272" s="70" t="s">
        <v>24</v>
      </c>
      <c r="E1272" s="70" t="s">
        <v>69</v>
      </c>
      <c r="F1272" s="70" t="s">
        <v>70</v>
      </c>
      <c r="G1272" s="71">
        <v>8532453800</v>
      </c>
      <c r="H1272" s="70" t="s">
        <v>68</v>
      </c>
    </row>
    <row r="1273" spans="1:8" ht="17.25" customHeight="1" x14ac:dyDescent="0.2">
      <c r="A1273" s="69">
        <v>2019</v>
      </c>
      <c r="B1273" s="70" t="s">
        <v>66</v>
      </c>
      <c r="C1273" s="70" t="s">
        <v>17</v>
      </c>
      <c r="D1273" s="70" t="s">
        <v>25</v>
      </c>
      <c r="E1273" s="70" t="s">
        <v>67</v>
      </c>
      <c r="F1273" s="70" t="s">
        <v>67</v>
      </c>
      <c r="G1273" s="71">
        <v>1679201182</v>
      </c>
      <c r="H1273" s="70" t="s">
        <v>68</v>
      </c>
    </row>
    <row r="1274" spans="1:8" ht="17.25" customHeight="1" x14ac:dyDescent="0.2">
      <c r="A1274" s="69">
        <v>2019</v>
      </c>
      <c r="B1274" s="70" t="s">
        <v>66</v>
      </c>
      <c r="C1274" s="70" t="s">
        <v>17</v>
      </c>
      <c r="D1274" s="70" t="s">
        <v>25</v>
      </c>
      <c r="E1274" s="70" t="s">
        <v>69</v>
      </c>
      <c r="F1274" s="70" t="s">
        <v>71</v>
      </c>
      <c r="G1274" s="71">
        <v>363028117</v>
      </c>
      <c r="H1274" s="70" t="s">
        <v>68</v>
      </c>
    </row>
    <row r="1275" spans="1:8" ht="17.25" customHeight="1" x14ac:dyDescent="0.2">
      <c r="A1275" s="69">
        <v>2019</v>
      </c>
      <c r="B1275" s="70" t="s">
        <v>66</v>
      </c>
      <c r="C1275" s="70" t="s">
        <v>17</v>
      </c>
      <c r="D1275" s="70" t="s">
        <v>25</v>
      </c>
      <c r="E1275" s="70" t="s">
        <v>69</v>
      </c>
      <c r="F1275" s="70" t="s">
        <v>70</v>
      </c>
      <c r="G1275" s="71">
        <v>524039478</v>
      </c>
      <c r="H1275" s="70" t="s">
        <v>68</v>
      </c>
    </row>
    <row r="1276" spans="1:8" ht="17.25" customHeight="1" x14ac:dyDescent="0.2">
      <c r="A1276" s="69">
        <v>2019</v>
      </c>
      <c r="B1276" s="70" t="s">
        <v>66</v>
      </c>
      <c r="C1276" s="70" t="s">
        <v>27</v>
      </c>
      <c r="D1276" s="70" t="s">
        <v>26</v>
      </c>
      <c r="E1276" s="70" t="s">
        <v>67</v>
      </c>
      <c r="F1276" s="70" t="s">
        <v>67</v>
      </c>
      <c r="G1276" s="71">
        <v>29652758692</v>
      </c>
      <c r="H1276" s="70" t="s">
        <v>68</v>
      </c>
    </row>
    <row r="1277" spans="1:8" ht="17.25" customHeight="1" x14ac:dyDescent="0.2">
      <c r="A1277" s="69">
        <v>2019</v>
      </c>
      <c r="B1277" s="70" t="s">
        <v>66</v>
      </c>
      <c r="C1277" s="70" t="s">
        <v>27</v>
      </c>
      <c r="D1277" s="70" t="s">
        <v>26</v>
      </c>
      <c r="E1277" s="70" t="s">
        <v>69</v>
      </c>
      <c r="F1277" s="70" t="s">
        <v>71</v>
      </c>
      <c r="G1277" s="71">
        <v>7088955354</v>
      </c>
      <c r="H1277" s="70" t="s">
        <v>68</v>
      </c>
    </row>
    <row r="1278" spans="1:8" ht="17.25" customHeight="1" x14ac:dyDescent="0.2">
      <c r="A1278" s="69">
        <v>2019</v>
      </c>
      <c r="B1278" s="70" t="s">
        <v>66</v>
      </c>
      <c r="C1278" s="70" t="s">
        <v>27</v>
      </c>
      <c r="D1278" s="70" t="s">
        <v>26</v>
      </c>
      <c r="E1278" s="70" t="s">
        <v>69</v>
      </c>
      <c r="F1278" s="70" t="s">
        <v>70</v>
      </c>
      <c r="G1278" s="71">
        <v>18308550640</v>
      </c>
      <c r="H1278" s="70" t="s">
        <v>68</v>
      </c>
    </row>
    <row r="1279" spans="1:8" ht="17.25" customHeight="1" x14ac:dyDescent="0.2">
      <c r="A1279" s="69">
        <v>2019</v>
      </c>
      <c r="B1279" s="70" t="s">
        <v>66</v>
      </c>
      <c r="C1279" s="70" t="s">
        <v>27</v>
      </c>
      <c r="D1279" s="70" t="s">
        <v>28</v>
      </c>
      <c r="E1279" s="70" t="s">
        <v>67</v>
      </c>
      <c r="F1279" s="70" t="s">
        <v>67</v>
      </c>
      <c r="G1279" s="71">
        <v>36509533759</v>
      </c>
      <c r="H1279" s="70" t="s">
        <v>68</v>
      </c>
    </row>
    <row r="1280" spans="1:8" ht="17.25" customHeight="1" x14ac:dyDescent="0.2">
      <c r="A1280" s="69">
        <v>2019</v>
      </c>
      <c r="B1280" s="70" t="s">
        <v>66</v>
      </c>
      <c r="C1280" s="70" t="s">
        <v>27</v>
      </c>
      <c r="D1280" s="70" t="s">
        <v>28</v>
      </c>
      <c r="E1280" s="70" t="s">
        <v>69</v>
      </c>
      <c r="F1280" s="70" t="s">
        <v>71</v>
      </c>
      <c r="G1280" s="71">
        <v>14280455390</v>
      </c>
      <c r="H1280" s="70" t="s">
        <v>68</v>
      </c>
    </row>
    <row r="1281" spans="1:8" ht="17.25" customHeight="1" x14ac:dyDescent="0.2">
      <c r="A1281" s="69">
        <v>2019</v>
      </c>
      <c r="B1281" s="70" t="s">
        <v>66</v>
      </c>
      <c r="C1281" s="70" t="s">
        <v>27</v>
      </c>
      <c r="D1281" s="70" t="s">
        <v>28</v>
      </c>
      <c r="E1281" s="70" t="s">
        <v>69</v>
      </c>
      <c r="F1281" s="70" t="s">
        <v>70</v>
      </c>
      <c r="G1281" s="71">
        <v>20914919763</v>
      </c>
      <c r="H1281" s="70" t="s">
        <v>68</v>
      </c>
    </row>
    <row r="1282" spans="1:8" ht="17.25" customHeight="1" x14ac:dyDescent="0.2">
      <c r="A1282" s="69">
        <v>2019</v>
      </c>
      <c r="B1282" s="70" t="s">
        <v>66</v>
      </c>
      <c r="C1282" s="70" t="s">
        <v>27</v>
      </c>
      <c r="D1282" s="70" t="s">
        <v>29</v>
      </c>
      <c r="E1282" s="70" t="s">
        <v>67</v>
      </c>
      <c r="F1282" s="70" t="s">
        <v>67</v>
      </c>
      <c r="G1282" s="71">
        <v>15554866889</v>
      </c>
      <c r="H1282" s="70" t="s">
        <v>68</v>
      </c>
    </row>
    <row r="1283" spans="1:8" ht="17.25" customHeight="1" x14ac:dyDescent="0.2">
      <c r="A1283" s="69">
        <v>2019</v>
      </c>
      <c r="B1283" s="70" t="s">
        <v>66</v>
      </c>
      <c r="C1283" s="70" t="s">
        <v>27</v>
      </c>
      <c r="D1283" s="70" t="s">
        <v>29</v>
      </c>
      <c r="E1283" s="70" t="s">
        <v>69</v>
      </c>
      <c r="F1283" s="70" t="s">
        <v>71</v>
      </c>
      <c r="G1283" s="71">
        <v>5582040505</v>
      </c>
      <c r="H1283" s="70" t="s">
        <v>68</v>
      </c>
    </row>
    <row r="1284" spans="1:8" ht="17.25" customHeight="1" x14ac:dyDescent="0.2">
      <c r="A1284" s="69">
        <v>2019</v>
      </c>
      <c r="B1284" s="70" t="s">
        <v>66</v>
      </c>
      <c r="C1284" s="70" t="s">
        <v>27</v>
      </c>
      <c r="D1284" s="70" t="s">
        <v>29</v>
      </c>
      <c r="E1284" s="70" t="s">
        <v>69</v>
      </c>
      <c r="F1284" s="70" t="s">
        <v>70</v>
      </c>
      <c r="G1284" s="71">
        <v>6087702408</v>
      </c>
      <c r="H1284" s="70" t="s">
        <v>68</v>
      </c>
    </row>
    <row r="1285" spans="1:8" ht="17.25" customHeight="1" x14ac:dyDescent="0.2">
      <c r="A1285" s="69">
        <v>2019</v>
      </c>
      <c r="B1285" s="70" t="s">
        <v>66</v>
      </c>
      <c r="C1285" s="70" t="s">
        <v>27</v>
      </c>
      <c r="D1285" s="70" t="s">
        <v>30</v>
      </c>
      <c r="E1285" s="70" t="s">
        <v>67</v>
      </c>
      <c r="F1285" s="70" t="s">
        <v>67</v>
      </c>
      <c r="G1285" s="71">
        <v>32377290783</v>
      </c>
      <c r="H1285" s="70" t="s">
        <v>68</v>
      </c>
    </row>
    <row r="1286" spans="1:8" ht="17.25" customHeight="1" x14ac:dyDescent="0.2">
      <c r="A1286" s="69">
        <v>2019</v>
      </c>
      <c r="B1286" s="70" t="s">
        <v>66</v>
      </c>
      <c r="C1286" s="70" t="s">
        <v>27</v>
      </c>
      <c r="D1286" s="70" t="s">
        <v>30</v>
      </c>
      <c r="E1286" s="70" t="s">
        <v>69</v>
      </c>
      <c r="F1286" s="70" t="s">
        <v>71</v>
      </c>
      <c r="G1286" s="71">
        <v>10483273630</v>
      </c>
      <c r="H1286" s="70" t="s">
        <v>68</v>
      </c>
    </row>
    <row r="1287" spans="1:8" ht="17.25" customHeight="1" x14ac:dyDescent="0.2">
      <c r="A1287" s="69">
        <v>2019</v>
      </c>
      <c r="B1287" s="70" t="s">
        <v>66</v>
      </c>
      <c r="C1287" s="70" t="s">
        <v>27</v>
      </c>
      <c r="D1287" s="70" t="s">
        <v>30</v>
      </c>
      <c r="E1287" s="70" t="s">
        <v>69</v>
      </c>
      <c r="F1287" s="70" t="s">
        <v>70</v>
      </c>
      <c r="G1287" s="71">
        <v>24361823119</v>
      </c>
      <c r="H1287" s="70" t="s">
        <v>68</v>
      </c>
    </row>
    <row r="1288" spans="1:8" ht="17.25" customHeight="1" x14ac:dyDescent="0.2">
      <c r="A1288" s="69">
        <v>2019</v>
      </c>
      <c r="B1288" s="70" t="s">
        <v>66</v>
      </c>
      <c r="C1288" s="70" t="s">
        <v>27</v>
      </c>
      <c r="D1288" s="70" t="s">
        <v>31</v>
      </c>
      <c r="E1288" s="70" t="s">
        <v>67</v>
      </c>
      <c r="F1288" s="70" t="s">
        <v>67</v>
      </c>
      <c r="G1288" s="71">
        <v>6428196829</v>
      </c>
      <c r="H1288" s="70" t="s">
        <v>68</v>
      </c>
    </row>
    <row r="1289" spans="1:8" ht="17.25" customHeight="1" x14ac:dyDescent="0.2">
      <c r="A1289" s="69">
        <v>2019</v>
      </c>
      <c r="B1289" s="70" t="s">
        <v>66</v>
      </c>
      <c r="C1289" s="70" t="s">
        <v>27</v>
      </c>
      <c r="D1289" s="70" t="s">
        <v>31</v>
      </c>
      <c r="E1289" s="70" t="s">
        <v>69</v>
      </c>
      <c r="F1289" s="70" t="s">
        <v>71</v>
      </c>
      <c r="G1289" s="71">
        <v>4002104846</v>
      </c>
      <c r="H1289" s="70" t="s">
        <v>68</v>
      </c>
    </row>
    <row r="1290" spans="1:8" ht="17.25" customHeight="1" x14ac:dyDescent="0.2">
      <c r="A1290" s="69">
        <v>2019</v>
      </c>
      <c r="B1290" s="70" t="s">
        <v>66</v>
      </c>
      <c r="C1290" s="70" t="s">
        <v>27</v>
      </c>
      <c r="D1290" s="70" t="s">
        <v>31</v>
      </c>
      <c r="E1290" s="70" t="s">
        <v>69</v>
      </c>
      <c r="F1290" s="70" t="s">
        <v>70</v>
      </c>
      <c r="G1290" s="71">
        <v>10765556097</v>
      </c>
      <c r="H1290" s="70" t="s">
        <v>68</v>
      </c>
    </row>
    <row r="1291" spans="1:8" ht="17.25" customHeight="1" x14ac:dyDescent="0.2">
      <c r="A1291" s="69">
        <v>2019</v>
      </c>
      <c r="B1291" s="70" t="s">
        <v>66</v>
      </c>
      <c r="C1291" s="70" t="s">
        <v>27</v>
      </c>
      <c r="D1291" s="70" t="s">
        <v>32</v>
      </c>
      <c r="E1291" s="70" t="s">
        <v>67</v>
      </c>
      <c r="F1291" s="70" t="s">
        <v>67</v>
      </c>
      <c r="G1291" s="71">
        <v>18056256570</v>
      </c>
      <c r="H1291" s="70" t="s">
        <v>68</v>
      </c>
    </row>
    <row r="1292" spans="1:8" ht="17.25" customHeight="1" x14ac:dyDescent="0.2">
      <c r="A1292" s="69">
        <v>2019</v>
      </c>
      <c r="B1292" s="70" t="s">
        <v>66</v>
      </c>
      <c r="C1292" s="70" t="s">
        <v>27</v>
      </c>
      <c r="D1292" s="70" t="s">
        <v>32</v>
      </c>
      <c r="E1292" s="70" t="s">
        <v>69</v>
      </c>
      <c r="F1292" s="70" t="s">
        <v>71</v>
      </c>
      <c r="G1292" s="71">
        <v>7425131412</v>
      </c>
      <c r="H1292" s="70" t="s">
        <v>68</v>
      </c>
    </row>
    <row r="1293" spans="1:8" ht="17.25" customHeight="1" x14ac:dyDescent="0.2">
      <c r="A1293" s="69">
        <v>2019</v>
      </c>
      <c r="B1293" s="70" t="s">
        <v>66</v>
      </c>
      <c r="C1293" s="70" t="s">
        <v>27</v>
      </c>
      <c r="D1293" s="70" t="s">
        <v>32</v>
      </c>
      <c r="E1293" s="70" t="s">
        <v>69</v>
      </c>
      <c r="F1293" s="70" t="s">
        <v>70</v>
      </c>
      <c r="G1293" s="71">
        <v>7699613413</v>
      </c>
      <c r="H1293" s="70" t="s">
        <v>68</v>
      </c>
    </row>
    <row r="1294" spans="1:8" ht="17.25" customHeight="1" x14ac:dyDescent="0.2">
      <c r="A1294" s="69">
        <v>2019</v>
      </c>
      <c r="B1294" s="70" t="s">
        <v>66</v>
      </c>
      <c r="C1294" s="70" t="s">
        <v>27</v>
      </c>
      <c r="D1294" s="70" t="s">
        <v>33</v>
      </c>
      <c r="E1294" s="70" t="s">
        <v>67</v>
      </c>
      <c r="F1294" s="70" t="s">
        <v>67</v>
      </c>
      <c r="G1294" s="71">
        <v>16486360496</v>
      </c>
      <c r="H1294" s="70" t="s">
        <v>68</v>
      </c>
    </row>
    <row r="1295" spans="1:8" ht="17.25" customHeight="1" x14ac:dyDescent="0.2">
      <c r="A1295" s="69">
        <v>2019</v>
      </c>
      <c r="B1295" s="70" t="s">
        <v>66</v>
      </c>
      <c r="C1295" s="70" t="s">
        <v>27</v>
      </c>
      <c r="D1295" s="70" t="s">
        <v>33</v>
      </c>
      <c r="E1295" s="70" t="s">
        <v>69</v>
      </c>
      <c r="F1295" s="70" t="s">
        <v>71</v>
      </c>
      <c r="G1295" s="71">
        <v>10081862465</v>
      </c>
      <c r="H1295" s="70" t="s">
        <v>68</v>
      </c>
    </row>
    <row r="1296" spans="1:8" ht="17.25" customHeight="1" x14ac:dyDescent="0.2">
      <c r="A1296" s="69">
        <v>2019</v>
      </c>
      <c r="B1296" s="70" t="s">
        <v>66</v>
      </c>
      <c r="C1296" s="70" t="s">
        <v>27</v>
      </c>
      <c r="D1296" s="70" t="s">
        <v>33</v>
      </c>
      <c r="E1296" s="70" t="s">
        <v>69</v>
      </c>
      <c r="F1296" s="70" t="s">
        <v>70</v>
      </c>
      <c r="G1296" s="71">
        <v>34328014040</v>
      </c>
      <c r="H1296" s="70" t="s">
        <v>68</v>
      </c>
    </row>
    <row r="1297" spans="1:8" ht="17.25" customHeight="1" x14ac:dyDescent="0.2">
      <c r="A1297" s="69">
        <v>2019</v>
      </c>
      <c r="B1297" s="70" t="s">
        <v>66</v>
      </c>
      <c r="C1297" s="70" t="s">
        <v>35</v>
      </c>
      <c r="D1297" s="70" t="s">
        <v>34</v>
      </c>
      <c r="E1297" s="70" t="s">
        <v>67</v>
      </c>
      <c r="F1297" s="70" t="s">
        <v>67</v>
      </c>
      <c r="G1297" s="71">
        <v>3380562040</v>
      </c>
      <c r="H1297" s="70" t="s">
        <v>68</v>
      </c>
    </row>
    <row r="1298" spans="1:8" ht="17.25" customHeight="1" x14ac:dyDescent="0.2">
      <c r="A1298" s="69">
        <v>2019</v>
      </c>
      <c r="B1298" s="70" t="s">
        <v>66</v>
      </c>
      <c r="C1298" s="70" t="s">
        <v>35</v>
      </c>
      <c r="D1298" s="70" t="s">
        <v>34</v>
      </c>
      <c r="E1298" s="70" t="s">
        <v>69</v>
      </c>
      <c r="F1298" s="70" t="s">
        <v>71</v>
      </c>
      <c r="G1298" s="71">
        <v>906249730</v>
      </c>
      <c r="H1298" s="70" t="s">
        <v>68</v>
      </c>
    </row>
    <row r="1299" spans="1:8" ht="17.25" customHeight="1" x14ac:dyDescent="0.2">
      <c r="A1299" s="69">
        <v>2019</v>
      </c>
      <c r="B1299" s="70" t="s">
        <v>66</v>
      </c>
      <c r="C1299" s="70" t="s">
        <v>35</v>
      </c>
      <c r="D1299" s="70" t="s">
        <v>34</v>
      </c>
      <c r="E1299" s="70" t="s">
        <v>69</v>
      </c>
      <c r="F1299" s="70" t="s">
        <v>70</v>
      </c>
      <c r="G1299" s="71">
        <v>650813191</v>
      </c>
      <c r="H1299" s="70" t="s">
        <v>68</v>
      </c>
    </row>
    <row r="1300" spans="1:8" ht="17.25" customHeight="1" x14ac:dyDescent="0.2">
      <c r="A1300" s="69">
        <v>2019</v>
      </c>
      <c r="B1300" s="70" t="s">
        <v>66</v>
      </c>
      <c r="C1300" s="70" t="s">
        <v>35</v>
      </c>
      <c r="D1300" s="70" t="s">
        <v>36</v>
      </c>
      <c r="E1300" s="70" t="s">
        <v>67</v>
      </c>
      <c r="F1300" s="70" t="s">
        <v>67</v>
      </c>
      <c r="G1300" s="71">
        <v>10906134348</v>
      </c>
      <c r="H1300" s="70" t="s">
        <v>68</v>
      </c>
    </row>
    <row r="1301" spans="1:8" ht="17.25" customHeight="1" x14ac:dyDescent="0.2">
      <c r="A1301" s="69">
        <v>2019</v>
      </c>
      <c r="B1301" s="70" t="s">
        <v>66</v>
      </c>
      <c r="C1301" s="70" t="s">
        <v>35</v>
      </c>
      <c r="D1301" s="70" t="s">
        <v>36</v>
      </c>
      <c r="E1301" s="70" t="s">
        <v>69</v>
      </c>
      <c r="F1301" s="70" t="s">
        <v>71</v>
      </c>
      <c r="G1301" s="71">
        <v>4935636030</v>
      </c>
      <c r="H1301" s="70" t="s">
        <v>68</v>
      </c>
    </row>
    <row r="1302" spans="1:8" ht="17.25" customHeight="1" x14ac:dyDescent="0.2">
      <c r="A1302" s="69">
        <v>2019</v>
      </c>
      <c r="B1302" s="70" t="s">
        <v>66</v>
      </c>
      <c r="C1302" s="70" t="s">
        <v>35</v>
      </c>
      <c r="D1302" s="70" t="s">
        <v>36</v>
      </c>
      <c r="E1302" s="70" t="s">
        <v>69</v>
      </c>
      <c r="F1302" s="70" t="s">
        <v>70</v>
      </c>
      <c r="G1302" s="71">
        <v>3278838812</v>
      </c>
      <c r="H1302" s="70" t="s">
        <v>68</v>
      </c>
    </row>
    <row r="1303" spans="1:8" ht="17.25" customHeight="1" x14ac:dyDescent="0.2">
      <c r="A1303" s="69">
        <v>2019</v>
      </c>
      <c r="B1303" s="70" t="s">
        <v>66</v>
      </c>
      <c r="C1303" s="70" t="s">
        <v>35</v>
      </c>
      <c r="D1303" s="70" t="s">
        <v>37</v>
      </c>
      <c r="E1303" s="70" t="s">
        <v>67</v>
      </c>
      <c r="F1303" s="70" t="s">
        <v>67</v>
      </c>
      <c r="G1303" s="71">
        <v>2752406165</v>
      </c>
      <c r="H1303" s="70" t="s">
        <v>68</v>
      </c>
    </row>
    <row r="1304" spans="1:8" ht="17.25" customHeight="1" x14ac:dyDescent="0.2">
      <c r="A1304" s="69">
        <v>2019</v>
      </c>
      <c r="B1304" s="70" t="s">
        <v>66</v>
      </c>
      <c r="C1304" s="70" t="s">
        <v>35</v>
      </c>
      <c r="D1304" s="70" t="s">
        <v>37</v>
      </c>
      <c r="E1304" s="70" t="s">
        <v>69</v>
      </c>
      <c r="F1304" s="70" t="s">
        <v>71</v>
      </c>
      <c r="G1304" s="71">
        <v>937240081</v>
      </c>
      <c r="H1304" s="70" t="s">
        <v>68</v>
      </c>
    </row>
    <row r="1305" spans="1:8" ht="17.25" customHeight="1" x14ac:dyDescent="0.2">
      <c r="A1305" s="69">
        <v>2019</v>
      </c>
      <c r="B1305" s="70" t="s">
        <v>66</v>
      </c>
      <c r="C1305" s="70" t="s">
        <v>35</v>
      </c>
      <c r="D1305" s="70" t="s">
        <v>37</v>
      </c>
      <c r="E1305" s="70" t="s">
        <v>69</v>
      </c>
      <c r="F1305" s="70" t="s">
        <v>70</v>
      </c>
      <c r="G1305" s="71">
        <v>943497548</v>
      </c>
      <c r="H1305" s="70" t="s">
        <v>68</v>
      </c>
    </row>
    <row r="1306" spans="1:8" ht="17.25" customHeight="1" x14ac:dyDescent="0.2">
      <c r="A1306" s="69">
        <v>2019</v>
      </c>
      <c r="B1306" s="70" t="s">
        <v>66</v>
      </c>
      <c r="C1306" s="70" t="s">
        <v>35</v>
      </c>
      <c r="D1306" s="70" t="s">
        <v>38</v>
      </c>
      <c r="E1306" s="70" t="s">
        <v>67</v>
      </c>
      <c r="F1306" s="70" t="s">
        <v>67</v>
      </c>
      <c r="G1306" s="71">
        <v>5212880100</v>
      </c>
      <c r="H1306" s="70" t="s">
        <v>68</v>
      </c>
    </row>
    <row r="1307" spans="1:8" ht="17.25" customHeight="1" x14ac:dyDescent="0.2">
      <c r="A1307" s="69">
        <v>2019</v>
      </c>
      <c r="B1307" s="70" t="s">
        <v>66</v>
      </c>
      <c r="C1307" s="70" t="s">
        <v>35</v>
      </c>
      <c r="D1307" s="70" t="s">
        <v>38</v>
      </c>
      <c r="E1307" s="70" t="s">
        <v>69</v>
      </c>
      <c r="F1307" s="70" t="s">
        <v>71</v>
      </c>
      <c r="G1307" s="71">
        <v>1620256838</v>
      </c>
      <c r="H1307" s="70" t="s">
        <v>68</v>
      </c>
    </row>
    <row r="1308" spans="1:8" ht="17.25" customHeight="1" x14ac:dyDescent="0.2">
      <c r="A1308" s="69">
        <v>2019</v>
      </c>
      <c r="B1308" s="70" t="s">
        <v>66</v>
      </c>
      <c r="C1308" s="70" t="s">
        <v>35</v>
      </c>
      <c r="D1308" s="70" t="s">
        <v>38</v>
      </c>
      <c r="E1308" s="70" t="s">
        <v>69</v>
      </c>
      <c r="F1308" s="70" t="s">
        <v>70</v>
      </c>
      <c r="G1308" s="71">
        <v>1444466327</v>
      </c>
      <c r="H1308" s="70" t="s">
        <v>68</v>
      </c>
    </row>
    <row r="1309" spans="1:8" ht="17.25" customHeight="1" x14ac:dyDescent="0.2">
      <c r="A1309" s="69">
        <v>2019</v>
      </c>
      <c r="B1309" s="70" t="s">
        <v>66</v>
      </c>
      <c r="C1309" s="70" t="s">
        <v>35</v>
      </c>
      <c r="D1309" s="70" t="s">
        <v>39</v>
      </c>
      <c r="E1309" s="70" t="s">
        <v>67</v>
      </c>
      <c r="F1309" s="70" t="s">
        <v>67</v>
      </c>
      <c r="G1309" s="71">
        <v>15381702672</v>
      </c>
      <c r="H1309" s="70" t="s">
        <v>68</v>
      </c>
    </row>
    <row r="1310" spans="1:8" ht="17.25" customHeight="1" x14ac:dyDescent="0.2">
      <c r="A1310" s="69">
        <v>2019</v>
      </c>
      <c r="B1310" s="70" t="s">
        <v>66</v>
      </c>
      <c r="C1310" s="70" t="s">
        <v>35</v>
      </c>
      <c r="D1310" s="70" t="s">
        <v>39</v>
      </c>
      <c r="E1310" s="70" t="s">
        <v>69</v>
      </c>
      <c r="F1310" s="70" t="s">
        <v>71</v>
      </c>
      <c r="G1310" s="71">
        <v>4919433828</v>
      </c>
      <c r="H1310" s="70" t="s">
        <v>68</v>
      </c>
    </row>
    <row r="1311" spans="1:8" ht="17.25" customHeight="1" x14ac:dyDescent="0.2">
      <c r="A1311" s="69">
        <v>2019</v>
      </c>
      <c r="B1311" s="70" t="s">
        <v>66</v>
      </c>
      <c r="C1311" s="70" t="s">
        <v>35</v>
      </c>
      <c r="D1311" s="70" t="s">
        <v>39</v>
      </c>
      <c r="E1311" s="70" t="s">
        <v>69</v>
      </c>
      <c r="F1311" s="70" t="s">
        <v>70</v>
      </c>
      <c r="G1311" s="71">
        <v>4058362906</v>
      </c>
      <c r="H1311" s="70" t="s">
        <v>68</v>
      </c>
    </row>
    <row r="1312" spans="1:8" ht="17.25" customHeight="1" x14ac:dyDescent="0.2">
      <c r="A1312" s="69">
        <v>2019</v>
      </c>
      <c r="B1312" s="70" t="s">
        <v>66</v>
      </c>
      <c r="C1312" s="70" t="s">
        <v>41</v>
      </c>
      <c r="D1312" s="70" t="s">
        <v>40</v>
      </c>
      <c r="E1312" s="70" t="s">
        <v>67</v>
      </c>
      <c r="F1312" s="70" t="s">
        <v>67</v>
      </c>
      <c r="G1312" s="71">
        <v>3236888074</v>
      </c>
      <c r="H1312" s="70" t="s">
        <v>68</v>
      </c>
    </row>
    <row r="1313" spans="1:8" ht="17.25" customHeight="1" x14ac:dyDescent="0.2">
      <c r="A1313" s="69">
        <v>2019</v>
      </c>
      <c r="B1313" s="70" t="s">
        <v>66</v>
      </c>
      <c r="C1313" s="70" t="s">
        <v>41</v>
      </c>
      <c r="D1313" s="70" t="s">
        <v>40</v>
      </c>
      <c r="E1313" s="70" t="s">
        <v>69</v>
      </c>
      <c r="F1313" s="70" t="s">
        <v>71</v>
      </c>
      <c r="G1313" s="71">
        <v>520609994</v>
      </c>
      <c r="H1313" s="70" t="s">
        <v>68</v>
      </c>
    </row>
    <row r="1314" spans="1:8" ht="17.25" customHeight="1" x14ac:dyDescent="0.2">
      <c r="A1314" s="69">
        <v>2019</v>
      </c>
      <c r="B1314" s="70" t="s">
        <v>66</v>
      </c>
      <c r="C1314" s="70" t="s">
        <v>41</v>
      </c>
      <c r="D1314" s="70" t="s">
        <v>40</v>
      </c>
      <c r="E1314" s="70" t="s">
        <v>69</v>
      </c>
      <c r="F1314" s="70" t="s">
        <v>70</v>
      </c>
      <c r="G1314" s="71">
        <v>534502429</v>
      </c>
      <c r="H1314" s="70" t="s">
        <v>68</v>
      </c>
    </row>
    <row r="1315" spans="1:8" ht="17.25" customHeight="1" x14ac:dyDescent="0.2">
      <c r="A1315" s="69">
        <v>2019</v>
      </c>
      <c r="B1315" s="70" t="s">
        <v>66</v>
      </c>
      <c r="C1315" s="70" t="s">
        <v>41</v>
      </c>
      <c r="D1315" s="70" t="s">
        <v>42</v>
      </c>
      <c r="E1315" s="70" t="s">
        <v>67</v>
      </c>
      <c r="F1315" s="70" t="s">
        <v>67</v>
      </c>
      <c r="G1315" s="71">
        <v>7660683228</v>
      </c>
      <c r="H1315" s="70" t="s">
        <v>68</v>
      </c>
    </row>
    <row r="1316" spans="1:8" ht="17.25" customHeight="1" x14ac:dyDescent="0.2">
      <c r="A1316" s="69">
        <v>2019</v>
      </c>
      <c r="B1316" s="70" t="s">
        <v>66</v>
      </c>
      <c r="C1316" s="70" t="s">
        <v>41</v>
      </c>
      <c r="D1316" s="70" t="s">
        <v>42</v>
      </c>
      <c r="E1316" s="70" t="s">
        <v>69</v>
      </c>
      <c r="F1316" s="70" t="s">
        <v>71</v>
      </c>
      <c r="G1316" s="71">
        <v>1024416277</v>
      </c>
      <c r="H1316" s="70" t="s">
        <v>68</v>
      </c>
    </row>
    <row r="1317" spans="1:8" ht="17.25" customHeight="1" x14ac:dyDescent="0.2">
      <c r="A1317" s="69">
        <v>2019</v>
      </c>
      <c r="B1317" s="70" t="s">
        <v>66</v>
      </c>
      <c r="C1317" s="70" t="s">
        <v>41</v>
      </c>
      <c r="D1317" s="70" t="s">
        <v>42</v>
      </c>
      <c r="E1317" s="70" t="s">
        <v>69</v>
      </c>
      <c r="F1317" s="70" t="s">
        <v>70</v>
      </c>
      <c r="G1317" s="71">
        <v>2717049760</v>
      </c>
      <c r="H1317" s="70" t="s">
        <v>68</v>
      </c>
    </row>
    <row r="1318" spans="1:8" ht="17.25" customHeight="1" x14ac:dyDescent="0.2">
      <c r="A1318" s="69">
        <v>2019</v>
      </c>
      <c r="B1318" s="70" t="s">
        <v>66</v>
      </c>
      <c r="C1318" s="70" t="s">
        <v>41</v>
      </c>
      <c r="D1318" s="70" t="s">
        <v>43</v>
      </c>
      <c r="E1318" s="70" t="s">
        <v>67</v>
      </c>
      <c r="F1318" s="70" t="s">
        <v>67</v>
      </c>
      <c r="G1318" s="71">
        <v>8332915478</v>
      </c>
      <c r="H1318" s="70" t="s">
        <v>68</v>
      </c>
    </row>
    <row r="1319" spans="1:8" ht="17.25" customHeight="1" x14ac:dyDescent="0.2">
      <c r="A1319" s="69">
        <v>2019</v>
      </c>
      <c r="B1319" s="70" t="s">
        <v>66</v>
      </c>
      <c r="C1319" s="70" t="s">
        <v>41</v>
      </c>
      <c r="D1319" s="70" t="s">
        <v>43</v>
      </c>
      <c r="E1319" s="70" t="s">
        <v>69</v>
      </c>
      <c r="F1319" s="70" t="s">
        <v>71</v>
      </c>
      <c r="G1319" s="71">
        <v>1931510115</v>
      </c>
      <c r="H1319" s="70" t="s">
        <v>68</v>
      </c>
    </row>
    <row r="1320" spans="1:8" ht="17.25" customHeight="1" x14ac:dyDescent="0.2">
      <c r="A1320" s="69">
        <v>2019</v>
      </c>
      <c r="B1320" s="70" t="s">
        <v>66</v>
      </c>
      <c r="C1320" s="70" t="s">
        <v>41</v>
      </c>
      <c r="D1320" s="70" t="s">
        <v>43</v>
      </c>
      <c r="E1320" s="70" t="s">
        <v>69</v>
      </c>
      <c r="F1320" s="70" t="s">
        <v>70</v>
      </c>
      <c r="G1320" s="71">
        <v>1936412930</v>
      </c>
      <c r="H1320" s="70" t="s">
        <v>68</v>
      </c>
    </row>
    <row r="1321" spans="1:8" ht="17.25" customHeight="1" x14ac:dyDescent="0.2">
      <c r="A1321" s="69">
        <v>2019</v>
      </c>
      <c r="B1321" s="70" t="s">
        <v>66</v>
      </c>
      <c r="C1321" s="70" t="s">
        <v>41</v>
      </c>
      <c r="D1321" s="70" t="s">
        <v>44</v>
      </c>
      <c r="E1321" s="70" t="s">
        <v>67</v>
      </c>
      <c r="F1321" s="70" t="s">
        <v>67</v>
      </c>
      <c r="G1321" s="71">
        <v>10276922655</v>
      </c>
      <c r="H1321" s="70" t="s">
        <v>68</v>
      </c>
    </row>
    <row r="1322" spans="1:8" ht="17.25" customHeight="1" x14ac:dyDescent="0.2">
      <c r="A1322" s="69">
        <v>2019</v>
      </c>
      <c r="B1322" s="70" t="s">
        <v>66</v>
      </c>
      <c r="C1322" s="70" t="s">
        <v>41</v>
      </c>
      <c r="D1322" s="70" t="s">
        <v>44</v>
      </c>
      <c r="E1322" s="70" t="s">
        <v>69</v>
      </c>
      <c r="F1322" s="70" t="s">
        <v>71</v>
      </c>
      <c r="G1322" s="71">
        <v>2594804519</v>
      </c>
      <c r="H1322" s="70" t="s">
        <v>68</v>
      </c>
    </row>
    <row r="1323" spans="1:8" ht="17.25" customHeight="1" x14ac:dyDescent="0.2">
      <c r="A1323" s="69">
        <v>2019</v>
      </c>
      <c r="B1323" s="70" t="s">
        <v>66</v>
      </c>
      <c r="C1323" s="70" t="s">
        <v>41</v>
      </c>
      <c r="D1323" s="70" t="s">
        <v>44</v>
      </c>
      <c r="E1323" s="70" t="s">
        <v>69</v>
      </c>
      <c r="F1323" s="70" t="s">
        <v>70</v>
      </c>
      <c r="G1323" s="71">
        <v>3354380764</v>
      </c>
      <c r="H1323" s="70" t="s">
        <v>68</v>
      </c>
    </row>
    <row r="1324" spans="1:8" ht="17.25" customHeight="1" x14ac:dyDescent="0.2">
      <c r="A1324" s="69">
        <v>2019</v>
      </c>
      <c r="B1324" s="70" t="s">
        <v>66</v>
      </c>
      <c r="C1324" s="70" t="s">
        <v>41</v>
      </c>
      <c r="D1324" s="70" t="s">
        <v>45</v>
      </c>
      <c r="E1324" s="70" t="s">
        <v>67</v>
      </c>
      <c r="F1324" s="70" t="s">
        <v>67</v>
      </c>
      <c r="G1324" s="71">
        <v>23479798040</v>
      </c>
      <c r="H1324" s="70" t="s">
        <v>68</v>
      </c>
    </row>
    <row r="1325" spans="1:8" ht="17.25" customHeight="1" x14ac:dyDescent="0.2">
      <c r="A1325" s="69">
        <v>2019</v>
      </c>
      <c r="B1325" s="70" t="s">
        <v>66</v>
      </c>
      <c r="C1325" s="70" t="s">
        <v>41</v>
      </c>
      <c r="D1325" s="70" t="s">
        <v>45</v>
      </c>
      <c r="E1325" s="70" t="s">
        <v>69</v>
      </c>
      <c r="F1325" s="70" t="s">
        <v>71</v>
      </c>
      <c r="G1325" s="71">
        <v>4805320803</v>
      </c>
      <c r="H1325" s="70" t="s">
        <v>68</v>
      </c>
    </row>
    <row r="1326" spans="1:8" ht="17.25" customHeight="1" x14ac:dyDescent="0.2">
      <c r="A1326" s="69">
        <v>2019</v>
      </c>
      <c r="B1326" s="70" t="s">
        <v>66</v>
      </c>
      <c r="C1326" s="70" t="s">
        <v>41</v>
      </c>
      <c r="D1326" s="70" t="s">
        <v>45</v>
      </c>
      <c r="E1326" s="70" t="s">
        <v>69</v>
      </c>
      <c r="F1326" s="70" t="s">
        <v>70</v>
      </c>
      <c r="G1326" s="71">
        <v>9600296520</v>
      </c>
      <c r="H1326" s="70" t="s">
        <v>68</v>
      </c>
    </row>
    <row r="1327" spans="1:8" ht="17.25" customHeight="1" x14ac:dyDescent="0.2">
      <c r="A1327" s="69">
        <v>2019</v>
      </c>
      <c r="B1327" s="70" t="s">
        <v>66</v>
      </c>
      <c r="C1327" s="70" t="s">
        <v>47</v>
      </c>
      <c r="D1327" s="70" t="s">
        <v>46</v>
      </c>
      <c r="E1327" s="70" t="s">
        <v>72</v>
      </c>
      <c r="F1327" s="70" t="s">
        <v>73</v>
      </c>
      <c r="G1327" s="71">
        <v>9281401869</v>
      </c>
      <c r="H1327" s="70" t="s">
        <v>68</v>
      </c>
    </row>
    <row r="1328" spans="1:8" ht="17.25" customHeight="1" x14ac:dyDescent="0.2">
      <c r="A1328" s="69">
        <v>2019</v>
      </c>
      <c r="B1328" s="70" t="s">
        <v>66</v>
      </c>
      <c r="C1328" s="70" t="s">
        <v>47</v>
      </c>
      <c r="D1328" s="70" t="s">
        <v>46</v>
      </c>
      <c r="E1328" s="70" t="s">
        <v>67</v>
      </c>
      <c r="F1328" s="70" t="s">
        <v>74</v>
      </c>
      <c r="G1328" s="71">
        <v>9077728558</v>
      </c>
      <c r="H1328" s="70" t="s">
        <v>68</v>
      </c>
    </row>
    <row r="1329" spans="1:8" ht="17.25" customHeight="1" x14ac:dyDescent="0.2">
      <c r="A1329" s="69">
        <v>2019</v>
      </c>
      <c r="B1329" s="70" t="s">
        <v>66</v>
      </c>
      <c r="C1329" s="70" t="s">
        <v>47</v>
      </c>
      <c r="D1329" s="70" t="s">
        <v>46</v>
      </c>
      <c r="E1329" s="70" t="s">
        <v>69</v>
      </c>
      <c r="F1329" s="70" t="s">
        <v>71</v>
      </c>
      <c r="G1329" s="71">
        <v>8950927204</v>
      </c>
      <c r="H1329" s="70" t="s">
        <v>68</v>
      </c>
    </row>
    <row r="1330" spans="1:8" ht="17.25" customHeight="1" x14ac:dyDescent="0.2">
      <c r="A1330" s="69">
        <v>2019</v>
      </c>
      <c r="B1330" s="70" t="s">
        <v>66</v>
      </c>
      <c r="C1330" s="70" t="s">
        <v>47</v>
      </c>
      <c r="D1330" s="70" t="s">
        <v>46</v>
      </c>
      <c r="E1330" s="70" t="s">
        <v>69</v>
      </c>
      <c r="F1330" s="70" t="s">
        <v>70</v>
      </c>
      <c r="G1330" s="71">
        <v>11994056912</v>
      </c>
      <c r="H1330" s="70" t="s">
        <v>68</v>
      </c>
    </row>
    <row r="1331" spans="1:8" ht="17.25" customHeight="1" x14ac:dyDescent="0.2">
      <c r="A1331" s="69">
        <v>2019</v>
      </c>
      <c r="B1331" s="70" t="s">
        <v>66</v>
      </c>
      <c r="C1331" s="70" t="s">
        <v>47</v>
      </c>
      <c r="D1331" s="70" t="s">
        <v>48</v>
      </c>
      <c r="E1331" s="70" t="s">
        <v>72</v>
      </c>
      <c r="F1331" s="70" t="s">
        <v>73</v>
      </c>
      <c r="G1331" s="71">
        <v>87704014651</v>
      </c>
      <c r="H1331" s="70" t="s">
        <v>68</v>
      </c>
    </row>
    <row r="1332" spans="1:8" ht="17.25" customHeight="1" x14ac:dyDescent="0.2">
      <c r="A1332" s="69">
        <v>2019</v>
      </c>
      <c r="B1332" s="70" t="s">
        <v>66</v>
      </c>
      <c r="C1332" s="70" t="s">
        <v>47</v>
      </c>
      <c r="D1332" s="70" t="s">
        <v>48</v>
      </c>
      <c r="E1332" s="70" t="s">
        <v>67</v>
      </c>
      <c r="F1332" s="70" t="s">
        <v>74</v>
      </c>
      <c r="G1332" s="71">
        <v>103269768630</v>
      </c>
      <c r="H1332" s="70" t="s">
        <v>68</v>
      </c>
    </row>
    <row r="1333" spans="1:8" ht="17.25" customHeight="1" x14ac:dyDescent="0.2">
      <c r="A1333" s="69">
        <v>2019</v>
      </c>
      <c r="B1333" s="70" t="s">
        <v>66</v>
      </c>
      <c r="C1333" s="70" t="s">
        <v>47</v>
      </c>
      <c r="D1333" s="70" t="s">
        <v>48</v>
      </c>
      <c r="E1333" s="70" t="s">
        <v>69</v>
      </c>
      <c r="F1333" s="70" t="s">
        <v>71</v>
      </c>
      <c r="G1333" s="71">
        <v>75689045800</v>
      </c>
      <c r="H1333" s="70" t="s">
        <v>68</v>
      </c>
    </row>
    <row r="1334" spans="1:8" ht="17.25" customHeight="1" x14ac:dyDescent="0.2">
      <c r="A1334" s="69">
        <v>2019</v>
      </c>
      <c r="B1334" s="70" t="s">
        <v>66</v>
      </c>
      <c r="C1334" s="70" t="s">
        <v>47</v>
      </c>
      <c r="D1334" s="70" t="s">
        <v>48</v>
      </c>
      <c r="E1334" s="70" t="s">
        <v>69</v>
      </c>
      <c r="F1334" s="70" t="s">
        <v>70</v>
      </c>
      <c r="G1334" s="71">
        <v>139289270174</v>
      </c>
      <c r="H1334" s="70" t="s">
        <v>68</v>
      </c>
    </row>
    <row r="1335" spans="1:8" ht="17.25" customHeight="1" x14ac:dyDescent="0.2">
      <c r="A1335" s="69">
        <v>2020</v>
      </c>
      <c r="B1335" s="70" t="s">
        <v>66</v>
      </c>
      <c r="C1335" s="70" t="s">
        <v>4</v>
      </c>
      <c r="D1335" s="70" t="s">
        <v>3</v>
      </c>
      <c r="E1335" s="70" t="s">
        <v>67</v>
      </c>
      <c r="F1335" s="70" t="s">
        <v>67</v>
      </c>
      <c r="G1335" s="71">
        <v>7128677020</v>
      </c>
      <c r="H1335" s="70" t="s">
        <v>68</v>
      </c>
    </row>
    <row r="1336" spans="1:8" ht="17.25" customHeight="1" x14ac:dyDescent="0.2">
      <c r="A1336" s="69">
        <v>2020</v>
      </c>
      <c r="B1336" s="70" t="s">
        <v>66</v>
      </c>
      <c r="C1336" s="70" t="s">
        <v>4</v>
      </c>
      <c r="D1336" s="70" t="s">
        <v>3</v>
      </c>
      <c r="E1336" s="70" t="s">
        <v>69</v>
      </c>
      <c r="F1336" s="70" t="s">
        <v>71</v>
      </c>
      <c r="G1336" s="71">
        <v>2486063527</v>
      </c>
      <c r="H1336" s="70" t="s">
        <v>68</v>
      </c>
    </row>
    <row r="1337" spans="1:8" ht="17.25" customHeight="1" x14ac:dyDescent="0.2">
      <c r="A1337" s="69">
        <v>2020</v>
      </c>
      <c r="B1337" s="70" t="s">
        <v>66</v>
      </c>
      <c r="C1337" s="70" t="s">
        <v>4</v>
      </c>
      <c r="D1337" s="70" t="s">
        <v>3</v>
      </c>
      <c r="E1337" s="70" t="s">
        <v>69</v>
      </c>
      <c r="F1337" s="70" t="s">
        <v>70</v>
      </c>
      <c r="G1337" s="71">
        <v>4753546664</v>
      </c>
      <c r="H1337" s="70" t="s">
        <v>68</v>
      </c>
    </row>
    <row r="1338" spans="1:8" ht="17.25" customHeight="1" x14ac:dyDescent="0.2">
      <c r="A1338" s="69">
        <v>2020</v>
      </c>
      <c r="B1338" s="70" t="s">
        <v>66</v>
      </c>
      <c r="C1338" s="70" t="s">
        <v>4</v>
      </c>
      <c r="D1338" s="70" t="s">
        <v>5</v>
      </c>
      <c r="E1338" s="70" t="s">
        <v>67</v>
      </c>
      <c r="F1338" s="70" t="s">
        <v>67</v>
      </c>
      <c r="G1338" s="71">
        <v>44145429399</v>
      </c>
      <c r="H1338" s="70" t="s">
        <v>68</v>
      </c>
    </row>
    <row r="1339" spans="1:8" ht="17.25" customHeight="1" x14ac:dyDescent="0.2">
      <c r="A1339" s="69">
        <v>2020</v>
      </c>
      <c r="B1339" s="70" t="s">
        <v>66</v>
      </c>
      <c r="C1339" s="70" t="s">
        <v>4</v>
      </c>
      <c r="D1339" s="70" t="s">
        <v>5</v>
      </c>
      <c r="E1339" s="70" t="s">
        <v>69</v>
      </c>
      <c r="F1339" s="70" t="s">
        <v>71</v>
      </c>
      <c r="G1339" s="71">
        <v>36420924649</v>
      </c>
      <c r="H1339" s="70" t="s">
        <v>68</v>
      </c>
    </row>
    <row r="1340" spans="1:8" ht="17.25" customHeight="1" x14ac:dyDescent="0.2">
      <c r="A1340" s="69">
        <v>2020</v>
      </c>
      <c r="B1340" s="70" t="s">
        <v>66</v>
      </c>
      <c r="C1340" s="70" t="s">
        <v>4</v>
      </c>
      <c r="D1340" s="70" t="s">
        <v>5</v>
      </c>
      <c r="E1340" s="70" t="s">
        <v>69</v>
      </c>
      <c r="F1340" s="70" t="s">
        <v>70</v>
      </c>
      <c r="G1340" s="71">
        <v>36581157547</v>
      </c>
      <c r="H1340" s="70" t="s">
        <v>68</v>
      </c>
    </row>
    <row r="1341" spans="1:8" ht="17.25" customHeight="1" x14ac:dyDescent="0.2">
      <c r="A1341" s="69">
        <v>2020</v>
      </c>
      <c r="B1341" s="70" t="s">
        <v>66</v>
      </c>
      <c r="C1341" s="70" t="s">
        <v>4</v>
      </c>
      <c r="D1341" s="70" t="s">
        <v>6</v>
      </c>
      <c r="E1341" s="70" t="s">
        <v>67</v>
      </c>
      <c r="F1341" s="70" t="s">
        <v>67</v>
      </c>
      <c r="G1341" s="71">
        <v>2036024214</v>
      </c>
      <c r="H1341" s="70" t="s">
        <v>68</v>
      </c>
    </row>
    <row r="1342" spans="1:8" ht="17.25" customHeight="1" x14ac:dyDescent="0.2">
      <c r="A1342" s="69">
        <v>2020</v>
      </c>
      <c r="B1342" s="70" t="s">
        <v>66</v>
      </c>
      <c r="C1342" s="70" t="s">
        <v>4</v>
      </c>
      <c r="D1342" s="70" t="s">
        <v>6</v>
      </c>
      <c r="E1342" s="70" t="s">
        <v>69</v>
      </c>
      <c r="F1342" s="70" t="s">
        <v>71</v>
      </c>
      <c r="G1342" s="71">
        <v>351169308</v>
      </c>
      <c r="H1342" s="70" t="s">
        <v>68</v>
      </c>
    </row>
    <row r="1343" spans="1:8" ht="17.25" customHeight="1" x14ac:dyDescent="0.2">
      <c r="A1343" s="69">
        <v>2020</v>
      </c>
      <c r="B1343" s="70" t="s">
        <v>66</v>
      </c>
      <c r="C1343" s="70" t="s">
        <v>4</v>
      </c>
      <c r="D1343" s="70" t="s">
        <v>6</v>
      </c>
      <c r="E1343" s="70" t="s">
        <v>69</v>
      </c>
      <c r="F1343" s="70" t="s">
        <v>70</v>
      </c>
      <c r="G1343" s="71">
        <v>302104236</v>
      </c>
      <c r="H1343" s="70" t="s">
        <v>68</v>
      </c>
    </row>
    <row r="1344" spans="1:8" ht="17.25" customHeight="1" x14ac:dyDescent="0.2">
      <c r="A1344" s="69">
        <v>2020</v>
      </c>
      <c r="B1344" s="70" t="s">
        <v>66</v>
      </c>
      <c r="C1344" s="70" t="s">
        <v>4</v>
      </c>
      <c r="D1344" s="70" t="s">
        <v>7</v>
      </c>
      <c r="E1344" s="70" t="s">
        <v>67</v>
      </c>
      <c r="F1344" s="70" t="s">
        <v>67</v>
      </c>
      <c r="G1344" s="71">
        <v>5318363414</v>
      </c>
      <c r="H1344" s="70" t="s">
        <v>68</v>
      </c>
    </row>
    <row r="1345" spans="1:8" ht="17.25" customHeight="1" x14ac:dyDescent="0.2">
      <c r="A1345" s="69">
        <v>2020</v>
      </c>
      <c r="B1345" s="70" t="s">
        <v>66</v>
      </c>
      <c r="C1345" s="70" t="s">
        <v>4</v>
      </c>
      <c r="D1345" s="70" t="s">
        <v>7</v>
      </c>
      <c r="E1345" s="70" t="s">
        <v>69</v>
      </c>
      <c r="F1345" s="70" t="s">
        <v>71</v>
      </c>
      <c r="G1345" s="71">
        <v>2549625757</v>
      </c>
      <c r="H1345" s="70" t="s">
        <v>68</v>
      </c>
    </row>
    <row r="1346" spans="1:8" ht="17.25" customHeight="1" x14ac:dyDescent="0.2">
      <c r="A1346" s="69">
        <v>2020</v>
      </c>
      <c r="B1346" s="70" t="s">
        <v>66</v>
      </c>
      <c r="C1346" s="70" t="s">
        <v>4</v>
      </c>
      <c r="D1346" s="70" t="s">
        <v>7</v>
      </c>
      <c r="E1346" s="70" t="s">
        <v>69</v>
      </c>
      <c r="F1346" s="70" t="s">
        <v>70</v>
      </c>
      <c r="G1346" s="71">
        <v>2341185164</v>
      </c>
      <c r="H1346" s="70" t="s">
        <v>68</v>
      </c>
    </row>
    <row r="1347" spans="1:8" ht="17.25" customHeight="1" x14ac:dyDescent="0.2">
      <c r="A1347" s="69">
        <v>2020</v>
      </c>
      <c r="B1347" s="70" t="s">
        <v>66</v>
      </c>
      <c r="C1347" s="70" t="s">
        <v>4</v>
      </c>
      <c r="D1347" s="70" t="s">
        <v>8</v>
      </c>
      <c r="E1347" s="70" t="s">
        <v>67</v>
      </c>
      <c r="F1347" s="70" t="s">
        <v>67</v>
      </c>
      <c r="G1347" s="71">
        <v>2915237149</v>
      </c>
      <c r="H1347" s="70" t="s">
        <v>68</v>
      </c>
    </row>
    <row r="1348" spans="1:8" ht="17.25" customHeight="1" x14ac:dyDescent="0.2">
      <c r="A1348" s="69">
        <v>2020</v>
      </c>
      <c r="B1348" s="70" t="s">
        <v>66</v>
      </c>
      <c r="C1348" s="70" t="s">
        <v>4</v>
      </c>
      <c r="D1348" s="70" t="s">
        <v>8</v>
      </c>
      <c r="E1348" s="70" t="s">
        <v>69</v>
      </c>
      <c r="F1348" s="70" t="s">
        <v>71</v>
      </c>
      <c r="G1348" s="71">
        <v>1568187156</v>
      </c>
      <c r="H1348" s="70" t="s">
        <v>68</v>
      </c>
    </row>
    <row r="1349" spans="1:8" ht="17.25" customHeight="1" x14ac:dyDescent="0.2">
      <c r="A1349" s="69">
        <v>2020</v>
      </c>
      <c r="B1349" s="70" t="s">
        <v>66</v>
      </c>
      <c r="C1349" s="70" t="s">
        <v>4</v>
      </c>
      <c r="D1349" s="70" t="s">
        <v>8</v>
      </c>
      <c r="E1349" s="70" t="s">
        <v>69</v>
      </c>
      <c r="F1349" s="70" t="s">
        <v>70</v>
      </c>
      <c r="G1349" s="71">
        <v>594693666</v>
      </c>
      <c r="H1349" s="70" t="s">
        <v>68</v>
      </c>
    </row>
    <row r="1350" spans="1:8" ht="17.25" customHeight="1" x14ac:dyDescent="0.2">
      <c r="A1350" s="69">
        <v>2020</v>
      </c>
      <c r="B1350" s="70" t="s">
        <v>66</v>
      </c>
      <c r="C1350" s="70" t="s">
        <v>4</v>
      </c>
      <c r="D1350" s="70" t="s">
        <v>9</v>
      </c>
      <c r="E1350" s="70" t="s">
        <v>67</v>
      </c>
      <c r="F1350" s="70" t="s">
        <v>67</v>
      </c>
      <c r="G1350" s="71">
        <v>27113920159</v>
      </c>
      <c r="H1350" s="70" t="s">
        <v>68</v>
      </c>
    </row>
    <row r="1351" spans="1:8" ht="17.25" customHeight="1" x14ac:dyDescent="0.2">
      <c r="A1351" s="69">
        <v>2020</v>
      </c>
      <c r="B1351" s="70" t="s">
        <v>66</v>
      </c>
      <c r="C1351" s="70" t="s">
        <v>4</v>
      </c>
      <c r="D1351" s="70" t="s">
        <v>9</v>
      </c>
      <c r="E1351" s="70" t="s">
        <v>69</v>
      </c>
      <c r="F1351" s="70" t="s">
        <v>71</v>
      </c>
      <c r="G1351" s="71">
        <v>10441803972</v>
      </c>
      <c r="H1351" s="70" t="s">
        <v>68</v>
      </c>
    </row>
    <row r="1352" spans="1:8" ht="17.25" customHeight="1" x14ac:dyDescent="0.2">
      <c r="A1352" s="69">
        <v>2020</v>
      </c>
      <c r="B1352" s="70" t="s">
        <v>66</v>
      </c>
      <c r="C1352" s="70" t="s">
        <v>4</v>
      </c>
      <c r="D1352" s="70" t="s">
        <v>9</v>
      </c>
      <c r="E1352" s="70" t="s">
        <v>69</v>
      </c>
      <c r="F1352" s="70" t="s">
        <v>70</v>
      </c>
      <c r="G1352" s="71">
        <v>12844613367</v>
      </c>
      <c r="H1352" s="70" t="s">
        <v>68</v>
      </c>
    </row>
    <row r="1353" spans="1:8" ht="17.25" customHeight="1" x14ac:dyDescent="0.2">
      <c r="A1353" s="69">
        <v>2020</v>
      </c>
      <c r="B1353" s="70" t="s">
        <v>66</v>
      </c>
      <c r="C1353" s="70" t="s">
        <v>4</v>
      </c>
      <c r="D1353" s="70" t="s">
        <v>10</v>
      </c>
      <c r="E1353" s="70" t="s">
        <v>67</v>
      </c>
      <c r="F1353" s="70" t="s">
        <v>67</v>
      </c>
      <c r="G1353" s="71">
        <v>274112980</v>
      </c>
      <c r="H1353" s="70" t="s">
        <v>68</v>
      </c>
    </row>
    <row r="1354" spans="1:8" ht="17.25" customHeight="1" x14ac:dyDescent="0.2">
      <c r="A1354" s="69">
        <v>2020</v>
      </c>
      <c r="B1354" s="70" t="s">
        <v>66</v>
      </c>
      <c r="C1354" s="70" t="s">
        <v>4</v>
      </c>
      <c r="D1354" s="70" t="s">
        <v>10</v>
      </c>
      <c r="E1354" s="70" t="s">
        <v>69</v>
      </c>
      <c r="F1354" s="70" t="s">
        <v>71</v>
      </c>
      <c r="G1354" s="71">
        <v>151646086</v>
      </c>
      <c r="H1354" s="70" t="s">
        <v>68</v>
      </c>
    </row>
    <row r="1355" spans="1:8" ht="17.25" customHeight="1" x14ac:dyDescent="0.2">
      <c r="A1355" s="69">
        <v>2020</v>
      </c>
      <c r="B1355" s="70" t="s">
        <v>66</v>
      </c>
      <c r="C1355" s="70" t="s">
        <v>4</v>
      </c>
      <c r="D1355" s="70" t="s">
        <v>10</v>
      </c>
      <c r="E1355" s="70" t="s">
        <v>69</v>
      </c>
      <c r="F1355" s="70" t="s">
        <v>70</v>
      </c>
      <c r="G1355" s="71">
        <v>20679012</v>
      </c>
      <c r="H1355" s="70" t="s">
        <v>68</v>
      </c>
    </row>
    <row r="1356" spans="1:8" ht="17.25" customHeight="1" x14ac:dyDescent="0.2">
      <c r="A1356" s="69">
        <v>2020</v>
      </c>
      <c r="B1356" s="70" t="s">
        <v>66</v>
      </c>
      <c r="C1356" s="70" t="s">
        <v>4</v>
      </c>
      <c r="D1356" s="70" t="s">
        <v>11</v>
      </c>
      <c r="E1356" s="70" t="s">
        <v>67</v>
      </c>
      <c r="F1356" s="70" t="s">
        <v>67</v>
      </c>
      <c r="G1356" s="71">
        <v>1678364938</v>
      </c>
      <c r="H1356" s="70" t="s">
        <v>68</v>
      </c>
    </row>
    <row r="1357" spans="1:8" ht="17.25" customHeight="1" x14ac:dyDescent="0.2">
      <c r="A1357" s="69">
        <v>2020</v>
      </c>
      <c r="B1357" s="70" t="s">
        <v>66</v>
      </c>
      <c r="C1357" s="70" t="s">
        <v>4</v>
      </c>
      <c r="D1357" s="70" t="s">
        <v>11</v>
      </c>
      <c r="E1357" s="70" t="s">
        <v>69</v>
      </c>
      <c r="F1357" s="70" t="s">
        <v>71</v>
      </c>
      <c r="G1357" s="71">
        <v>549808333</v>
      </c>
      <c r="H1357" s="70" t="s">
        <v>68</v>
      </c>
    </row>
    <row r="1358" spans="1:8" ht="17.25" customHeight="1" x14ac:dyDescent="0.2">
      <c r="A1358" s="69">
        <v>2020</v>
      </c>
      <c r="B1358" s="70" t="s">
        <v>66</v>
      </c>
      <c r="C1358" s="70" t="s">
        <v>4</v>
      </c>
      <c r="D1358" s="70" t="s">
        <v>11</v>
      </c>
      <c r="E1358" s="70" t="s">
        <v>69</v>
      </c>
      <c r="F1358" s="70" t="s">
        <v>70</v>
      </c>
      <c r="G1358" s="71">
        <v>691158057</v>
      </c>
      <c r="H1358" s="70" t="s">
        <v>68</v>
      </c>
    </row>
    <row r="1359" spans="1:8" ht="17.25" customHeight="1" x14ac:dyDescent="0.2">
      <c r="A1359" s="69">
        <v>2020</v>
      </c>
      <c r="B1359" s="70" t="s">
        <v>66</v>
      </c>
      <c r="C1359" s="70" t="s">
        <v>4</v>
      </c>
      <c r="D1359" s="70" t="s">
        <v>12</v>
      </c>
      <c r="E1359" s="70" t="s">
        <v>67</v>
      </c>
      <c r="F1359" s="70" t="s">
        <v>67</v>
      </c>
      <c r="G1359" s="71">
        <v>1346702154</v>
      </c>
      <c r="H1359" s="70" t="s">
        <v>68</v>
      </c>
    </row>
    <row r="1360" spans="1:8" ht="17.25" customHeight="1" x14ac:dyDescent="0.2">
      <c r="A1360" s="69">
        <v>2020</v>
      </c>
      <c r="B1360" s="70" t="s">
        <v>66</v>
      </c>
      <c r="C1360" s="70" t="s">
        <v>4</v>
      </c>
      <c r="D1360" s="70" t="s">
        <v>12</v>
      </c>
      <c r="E1360" s="70" t="s">
        <v>69</v>
      </c>
      <c r="F1360" s="70" t="s">
        <v>71</v>
      </c>
      <c r="G1360" s="71">
        <v>605129094</v>
      </c>
      <c r="H1360" s="70" t="s">
        <v>68</v>
      </c>
    </row>
    <row r="1361" spans="1:8" ht="17.25" customHeight="1" x14ac:dyDescent="0.2">
      <c r="A1361" s="69">
        <v>2020</v>
      </c>
      <c r="B1361" s="70" t="s">
        <v>66</v>
      </c>
      <c r="C1361" s="70" t="s">
        <v>4</v>
      </c>
      <c r="D1361" s="70" t="s">
        <v>12</v>
      </c>
      <c r="E1361" s="70" t="s">
        <v>69</v>
      </c>
      <c r="F1361" s="70" t="s">
        <v>70</v>
      </c>
      <c r="G1361" s="71">
        <v>883940880</v>
      </c>
      <c r="H1361" s="70" t="s">
        <v>68</v>
      </c>
    </row>
    <row r="1362" spans="1:8" ht="17.25" customHeight="1" x14ac:dyDescent="0.2">
      <c r="A1362" s="69">
        <v>2020</v>
      </c>
      <c r="B1362" s="70" t="s">
        <v>66</v>
      </c>
      <c r="C1362" s="70" t="s">
        <v>4</v>
      </c>
      <c r="D1362" s="70" t="s">
        <v>13</v>
      </c>
      <c r="E1362" s="70" t="s">
        <v>67</v>
      </c>
      <c r="F1362" s="70" t="s">
        <v>67</v>
      </c>
      <c r="G1362" s="71">
        <v>3089998732</v>
      </c>
      <c r="H1362" s="70" t="s">
        <v>68</v>
      </c>
    </row>
    <row r="1363" spans="1:8" ht="17.25" customHeight="1" x14ac:dyDescent="0.2">
      <c r="A1363" s="69">
        <v>2020</v>
      </c>
      <c r="B1363" s="70" t="s">
        <v>66</v>
      </c>
      <c r="C1363" s="70" t="s">
        <v>4</v>
      </c>
      <c r="D1363" s="70" t="s">
        <v>13</v>
      </c>
      <c r="E1363" s="70" t="s">
        <v>69</v>
      </c>
      <c r="F1363" s="70" t="s">
        <v>71</v>
      </c>
      <c r="G1363" s="71">
        <v>873047087</v>
      </c>
      <c r="H1363" s="70" t="s">
        <v>68</v>
      </c>
    </row>
    <row r="1364" spans="1:8" ht="17.25" customHeight="1" x14ac:dyDescent="0.2">
      <c r="A1364" s="69">
        <v>2020</v>
      </c>
      <c r="B1364" s="70" t="s">
        <v>66</v>
      </c>
      <c r="C1364" s="70" t="s">
        <v>4</v>
      </c>
      <c r="D1364" s="70" t="s">
        <v>13</v>
      </c>
      <c r="E1364" s="70" t="s">
        <v>69</v>
      </c>
      <c r="F1364" s="70" t="s">
        <v>70</v>
      </c>
      <c r="G1364" s="71">
        <v>2632816368</v>
      </c>
      <c r="H1364" s="70" t="s">
        <v>68</v>
      </c>
    </row>
    <row r="1365" spans="1:8" ht="17.25" customHeight="1" x14ac:dyDescent="0.2">
      <c r="A1365" s="69">
        <v>2020</v>
      </c>
      <c r="B1365" s="70" t="s">
        <v>66</v>
      </c>
      <c r="C1365" s="70" t="s">
        <v>4</v>
      </c>
      <c r="D1365" s="70" t="s">
        <v>14</v>
      </c>
      <c r="E1365" s="70" t="s">
        <v>67</v>
      </c>
      <c r="F1365" s="70" t="s">
        <v>67</v>
      </c>
      <c r="G1365" s="71">
        <v>3644935232</v>
      </c>
      <c r="H1365" s="70" t="s">
        <v>68</v>
      </c>
    </row>
    <row r="1366" spans="1:8" ht="17.25" customHeight="1" x14ac:dyDescent="0.2">
      <c r="A1366" s="69">
        <v>2020</v>
      </c>
      <c r="B1366" s="70" t="s">
        <v>66</v>
      </c>
      <c r="C1366" s="70" t="s">
        <v>4</v>
      </c>
      <c r="D1366" s="70" t="s">
        <v>14</v>
      </c>
      <c r="E1366" s="70" t="s">
        <v>69</v>
      </c>
      <c r="F1366" s="70" t="s">
        <v>71</v>
      </c>
      <c r="G1366" s="71">
        <v>612097221</v>
      </c>
      <c r="H1366" s="70" t="s">
        <v>68</v>
      </c>
    </row>
    <row r="1367" spans="1:8" ht="17.25" customHeight="1" x14ac:dyDescent="0.2">
      <c r="A1367" s="69">
        <v>2020</v>
      </c>
      <c r="B1367" s="70" t="s">
        <v>66</v>
      </c>
      <c r="C1367" s="70" t="s">
        <v>4</v>
      </c>
      <c r="D1367" s="70" t="s">
        <v>14</v>
      </c>
      <c r="E1367" s="70" t="s">
        <v>69</v>
      </c>
      <c r="F1367" s="70" t="s">
        <v>70</v>
      </c>
      <c r="G1367" s="71">
        <v>1505303356</v>
      </c>
      <c r="H1367" s="70" t="s">
        <v>68</v>
      </c>
    </row>
    <row r="1368" spans="1:8" ht="17.25" customHeight="1" x14ac:dyDescent="0.2">
      <c r="A1368" s="69">
        <v>2020</v>
      </c>
      <c r="B1368" s="70" t="s">
        <v>66</v>
      </c>
      <c r="C1368" s="70" t="s">
        <v>4</v>
      </c>
      <c r="D1368" s="70" t="s">
        <v>15</v>
      </c>
      <c r="E1368" s="70" t="s">
        <v>67</v>
      </c>
      <c r="F1368" s="70" t="s">
        <v>67</v>
      </c>
      <c r="G1368" s="71">
        <v>2875625670</v>
      </c>
      <c r="H1368" s="70" t="s">
        <v>68</v>
      </c>
    </row>
    <row r="1369" spans="1:8" ht="17.25" customHeight="1" x14ac:dyDescent="0.2">
      <c r="A1369" s="69">
        <v>2020</v>
      </c>
      <c r="B1369" s="70" t="s">
        <v>66</v>
      </c>
      <c r="C1369" s="70" t="s">
        <v>4</v>
      </c>
      <c r="D1369" s="70" t="s">
        <v>15</v>
      </c>
      <c r="E1369" s="70" t="s">
        <v>69</v>
      </c>
      <c r="F1369" s="70" t="s">
        <v>71</v>
      </c>
      <c r="G1369" s="71">
        <v>1300086163</v>
      </c>
      <c r="H1369" s="70" t="s">
        <v>68</v>
      </c>
    </row>
    <row r="1370" spans="1:8" ht="17.25" customHeight="1" x14ac:dyDescent="0.2">
      <c r="A1370" s="69">
        <v>2020</v>
      </c>
      <c r="B1370" s="70" t="s">
        <v>66</v>
      </c>
      <c r="C1370" s="70" t="s">
        <v>4</v>
      </c>
      <c r="D1370" s="70" t="s">
        <v>15</v>
      </c>
      <c r="E1370" s="70" t="s">
        <v>69</v>
      </c>
      <c r="F1370" s="70" t="s">
        <v>70</v>
      </c>
      <c r="G1370" s="71">
        <v>596957997</v>
      </c>
      <c r="H1370" s="70" t="s">
        <v>68</v>
      </c>
    </row>
    <row r="1371" spans="1:8" ht="17.25" customHeight="1" x14ac:dyDescent="0.2">
      <c r="A1371" s="69">
        <v>2020</v>
      </c>
      <c r="B1371" s="70" t="s">
        <v>66</v>
      </c>
      <c r="C1371" s="70" t="s">
        <v>17</v>
      </c>
      <c r="D1371" s="70" t="s">
        <v>16</v>
      </c>
      <c r="E1371" s="70" t="s">
        <v>67</v>
      </c>
      <c r="F1371" s="70" t="s">
        <v>67</v>
      </c>
      <c r="G1371" s="71">
        <v>293350546</v>
      </c>
      <c r="H1371" s="70" t="s">
        <v>68</v>
      </c>
    </row>
    <row r="1372" spans="1:8" ht="17.25" customHeight="1" x14ac:dyDescent="0.2">
      <c r="A1372" s="69">
        <v>2020</v>
      </c>
      <c r="B1372" s="70" t="s">
        <v>66</v>
      </c>
      <c r="C1372" s="70" t="s">
        <v>17</v>
      </c>
      <c r="D1372" s="70" t="s">
        <v>16</v>
      </c>
      <c r="E1372" s="70" t="s">
        <v>69</v>
      </c>
      <c r="F1372" s="70" t="s">
        <v>71</v>
      </c>
      <c r="G1372" s="71">
        <v>122200885</v>
      </c>
      <c r="H1372" s="70" t="s">
        <v>68</v>
      </c>
    </row>
    <row r="1373" spans="1:8" ht="17.25" customHeight="1" x14ac:dyDescent="0.2">
      <c r="A1373" s="69">
        <v>2020</v>
      </c>
      <c r="B1373" s="70" t="s">
        <v>66</v>
      </c>
      <c r="C1373" s="70" t="s">
        <v>17</v>
      </c>
      <c r="D1373" s="70" t="s">
        <v>16</v>
      </c>
      <c r="E1373" s="70" t="s">
        <v>69</v>
      </c>
      <c r="F1373" s="70" t="s">
        <v>70</v>
      </c>
      <c r="G1373" s="71">
        <v>52756917</v>
      </c>
      <c r="H1373" s="70" t="s">
        <v>68</v>
      </c>
    </row>
    <row r="1374" spans="1:8" ht="17.25" customHeight="1" x14ac:dyDescent="0.2">
      <c r="A1374" s="69">
        <v>2020</v>
      </c>
      <c r="B1374" s="70" t="s">
        <v>66</v>
      </c>
      <c r="C1374" s="70" t="s">
        <v>17</v>
      </c>
      <c r="D1374" s="70" t="s">
        <v>18</v>
      </c>
      <c r="E1374" s="70" t="s">
        <v>67</v>
      </c>
      <c r="F1374" s="70" t="s">
        <v>67</v>
      </c>
      <c r="G1374" s="71">
        <v>828193750</v>
      </c>
      <c r="H1374" s="70" t="s">
        <v>68</v>
      </c>
    </row>
    <row r="1375" spans="1:8" ht="17.25" customHeight="1" x14ac:dyDescent="0.2">
      <c r="A1375" s="69">
        <v>2020</v>
      </c>
      <c r="B1375" s="70" t="s">
        <v>66</v>
      </c>
      <c r="C1375" s="70" t="s">
        <v>17</v>
      </c>
      <c r="D1375" s="70" t="s">
        <v>18</v>
      </c>
      <c r="E1375" s="70" t="s">
        <v>69</v>
      </c>
      <c r="F1375" s="70" t="s">
        <v>71</v>
      </c>
      <c r="G1375" s="71">
        <v>401981275</v>
      </c>
      <c r="H1375" s="70" t="s">
        <v>68</v>
      </c>
    </row>
    <row r="1376" spans="1:8" ht="17.25" customHeight="1" x14ac:dyDescent="0.2">
      <c r="A1376" s="69">
        <v>2020</v>
      </c>
      <c r="B1376" s="70" t="s">
        <v>66</v>
      </c>
      <c r="C1376" s="70" t="s">
        <v>17</v>
      </c>
      <c r="D1376" s="70" t="s">
        <v>18</v>
      </c>
      <c r="E1376" s="70" t="s">
        <v>69</v>
      </c>
      <c r="F1376" s="70" t="s">
        <v>70</v>
      </c>
      <c r="G1376" s="71">
        <v>435278612</v>
      </c>
      <c r="H1376" s="70" t="s">
        <v>68</v>
      </c>
    </row>
    <row r="1377" spans="1:8" ht="17.25" customHeight="1" x14ac:dyDescent="0.2">
      <c r="A1377" s="69">
        <v>2020</v>
      </c>
      <c r="B1377" s="70" t="s">
        <v>66</v>
      </c>
      <c r="C1377" s="70" t="s">
        <v>17</v>
      </c>
      <c r="D1377" s="70" t="s">
        <v>19</v>
      </c>
      <c r="E1377" s="70" t="s">
        <v>67</v>
      </c>
      <c r="F1377" s="70" t="s">
        <v>67</v>
      </c>
      <c r="G1377" s="71">
        <v>1238763466</v>
      </c>
      <c r="H1377" s="70" t="s">
        <v>68</v>
      </c>
    </row>
    <row r="1378" spans="1:8" ht="17.25" customHeight="1" x14ac:dyDescent="0.2">
      <c r="A1378" s="69">
        <v>2020</v>
      </c>
      <c r="B1378" s="70" t="s">
        <v>66</v>
      </c>
      <c r="C1378" s="70" t="s">
        <v>17</v>
      </c>
      <c r="D1378" s="70" t="s">
        <v>19</v>
      </c>
      <c r="E1378" s="70" t="s">
        <v>69</v>
      </c>
      <c r="F1378" s="70" t="s">
        <v>71</v>
      </c>
      <c r="G1378" s="71">
        <v>496976294</v>
      </c>
      <c r="H1378" s="70" t="s">
        <v>68</v>
      </c>
    </row>
    <row r="1379" spans="1:8" ht="17.25" customHeight="1" x14ac:dyDescent="0.2">
      <c r="A1379" s="69">
        <v>2020</v>
      </c>
      <c r="B1379" s="70" t="s">
        <v>66</v>
      </c>
      <c r="C1379" s="70" t="s">
        <v>17</v>
      </c>
      <c r="D1379" s="70" t="s">
        <v>19</v>
      </c>
      <c r="E1379" s="70" t="s">
        <v>69</v>
      </c>
      <c r="F1379" s="70" t="s">
        <v>70</v>
      </c>
      <c r="G1379" s="71">
        <v>301826281</v>
      </c>
      <c r="H1379" s="70" t="s">
        <v>68</v>
      </c>
    </row>
    <row r="1380" spans="1:8" ht="17.25" customHeight="1" x14ac:dyDescent="0.2">
      <c r="A1380" s="69">
        <v>2020</v>
      </c>
      <c r="B1380" s="70" t="s">
        <v>66</v>
      </c>
      <c r="C1380" s="70" t="s">
        <v>17</v>
      </c>
      <c r="D1380" s="70" t="s">
        <v>20</v>
      </c>
      <c r="E1380" s="70" t="s">
        <v>67</v>
      </c>
      <c r="F1380" s="70" t="s">
        <v>67</v>
      </c>
      <c r="G1380" s="71">
        <v>351839630</v>
      </c>
      <c r="H1380" s="70" t="s">
        <v>68</v>
      </c>
    </row>
    <row r="1381" spans="1:8" ht="17.25" customHeight="1" x14ac:dyDescent="0.2">
      <c r="A1381" s="69">
        <v>2020</v>
      </c>
      <c r="B1381" s="70" t="s">
        <v>66</v>
      </c>
      <c r="C1381" s="70" t="s">
        <v>17</v>
      </c>
      <c r="D1381" s="70" t="s">
        <v>20</v>
      </c>
      <c r="E1381" s="70" t="s">
        <v>69</v>
      </c>
      <c r="F1381" s="70" t="s">
        <v>71</v>
      </c>
      <c r="G1381" s="71">
        <v>230900967</v>
      </c>
      <c r="H1381" s="70" t="s">
        <v>68</v>
      </c>
    </row>
    <row r="1382" spans="1:8" ht="17.25" customHeight="1" x14ac:dyDescent="0.2">
      <c r="A1382" s="69">
        <v>2020</v>
      </c>
      <c r="B1382" s="70" t="s">
        <v>66</v>
      </c>
      <c r="C1382" s="70" t="s">
        <v>17</v>
      </c>
      <c r="D1382" s="70" t="s">
        <v>20</v>
      </c>
      <c r="E1382" s="70" t="s">
        <v>69</v>
      </c>
      <c r="F1382" s="70" t="s">
        <v>70</v>
      </c>
      <c r="G1382" s="71">
        <v>1246703177</v>
      </c>
      <c r="H1382" s="70" t="s">
        <v>68</v>
      </c>
    </row>
    <row r="1383" spans="1:8" ht="17.25" customHeight="1" x14ac:dyDescent="0.2">
      <c r="A1383" s="69">
        <v>2020</v>
      </c>
      <c r="B1383" s="70" t="s">
        <v>66</v>
      </c>
      <c r="C1383" s="70" t="s">
        <v>17</v>
      </c>
      <c r="D1383" s="70" t="s">
        <v>21</v>
      </c>
      <c r="E1383" s="70" t="s">
        <v>67</v>
      </c>
      <c r="F1383" s="70" t="s">
        <v>67</v>
      </c>
      <c r="G1383" s="71">
        <v>1434385879</v>
      </c>
      <c r="H1383" s="70" t="s">
        <v>68</v>
      </c>
    </row>
    <row r="1384" spans="1:8" ht="17.25" customHeight="1" x14ac:dyDescent="0.2">
      <c r="A1384" s="69">
        <v>2020</v>
      </c>
      <c r="B1384" s="70" t="s">
        <v>66</v>
      </c>
      <c r="C1384" s="70" t="s">
        <v>17</v>
      </c>
      <c r="D1384" s="70" t="s">
        <v>21</v>
      </c>
      <c r="E1384" s="70" t="s">
        <v>69</v>
      </c>
      <c r="F1384" s="70" t="s">
        <v>71</v>
      </c>
      <c r="G1384" s="71">
        <v>481738230</v>
      </c>
      <c r="H1384" s="70" t="s">
        <v>68</v>
      </c>
    </row>
    <row r="1385" spans="1:8" ht="17.25" customHeight="1" x14ac:dyDescent="0.2">
      <c r="A1385" s="69">
        <v>2020</v>
      </c>
      <c r="B1385" s="70" t="s">
        <v>66</v>
      </c>
      <c r="C1385" s="70" t="s">
        <v>17</v>
      </c>
      <c r="D1385" s="70" t="s">
        <v>21</v>
      </c>
      <c r="E1385" s="70" t="s">
        <v>69</v>
      </c>
      <c r="F1385" s="70" t="s">
        <v>70</v>
      </c>
      <c r="G1385" s="71">
        <v>498532316</v>
      </c>
      <c r="H1385" s="70" t="s">
        <v>68</v>
      </c>
    </row>
    <row r="1386" spans="1:8" ht="17.25" customHeight="1" x14ac:dyDescent="0.2">
      <c r="A1386" s="69">
        <v>2020</v>
      </c>
      <c r="B1386" s="70" t="s">
        <v>66</v>
      </c>
      <c r="C1386" s="70" t="s">
        <v>17</v>
      </c>
      <c r="D1386" s="70" t="s">
        <v>22</v>
      </c>
      <c r="E1386" s="70" t="s">
        <v>67</v>
      </c>
      <c r="F1386" s="70" t="s">
        <v>67</v>
      </c>
      <c r="G1386" s="71">
        <v>444357388</v>
      </c>
      <c r="H1386" s="70" t="s">
        <v>68</v>
      </c>
    </row>
    <row r="1387" spans="1:8" ht="17.25" customHeight="1" x14ac:dyDescent="0.2">
      <c r="A1387" s="69">
        <v>2020</v>
      </c>
      <c r="B1387" s="70" t="s">
        <v>66</v>
      </c>
      <c r="C1387" s="70" t="s">
        <v>17</v>
      </c>
      <c r="D1387" s="70" t="s">
        <v>22</v>
      </c>
      <c r="E1387" s="70" t="s">
        <v>69</v>
      </c>
      <c r="F1387" s="70" t="s">
        <v>71</v>
      </c>
      <c r="G1387" s="71">
        <v>249856241</v>
      </c>
      <c r="H1387" s="70" t="s">
        <v>68</v>
      </c>
    </row>
    <row r="1388" spans="1:8" ht="17.25" customHeight="1" x14ac:dyDescent="0.2">
      <c r="A1388" s="69">
        <v>2020</v>
      </c>
      <c r="B1388" s="70" t="s">
        <v>66</v>
      </c>
      <c r="C1388" s="70" t="s">
        <v>17</v>
      </c>
      <c r="D1388" s="70" t="s">
        <v>22</v>
      </c>
      <c r="E1388" s="70" t="s">
        <v>69</v>
      </c>
      <c r="F1388" s="70" t="s">
        <v>70</v>
      </c>
      <c r="G1388" s="71">
        <v>220097053</v>
      </c>
      <c r="H1388" s="70" t="s">
        <v>68</v>
      </c>
    </row>
    <row r="1389" spans="1:8" ht="17.25" customHeight="1" x14ac:dyDescent="0.2">
      <c r="A1389" s="69">
        <v>2020</v>
      </c>
      <c r="B1389" s="70" t="s">
        <v>66</v>
      </c>
      <c r="C1389" s="70" t="s">
        <v>17</v>
      </c>
      <c r="D1389" s="70" t="s">
        <v>23</v>
      </c>
      <c r="E1389" s="70" t="s">
        <v>67</v>
      </c>
      <c r="F1389" s="70" t="s">
        <v>67</v>
      </c>
      <c r="G1389" s="71">
        <v>437900969</v>
      </c>
      <c r="H1389" s="70" t="s">
        <v>68</v>
      </c>
    </row>
    <row r="1390" spans="1:8" ht="17.25" customHeight="1" x14ac:dyDescent="0.2">
      <c r="A1390" s="69">
        <v>2020</v>
      </c>
      <c r="B1390" s="70" t="s">
        <v>66</v>
      </c>
      <c r="C1390" s="70" t="s">
        <v>17</v>
      </c>
      <c r="D1390" s="70" t="s">
        <v>23</v>
      </c>
      <c r="E1390" s="70" t="s">
        <v>69</v>
      </c>
      <c r="F1390" s="70" t="s">
        <v>71</v>
      </c>
      <c r="G1390" s="71">
        <v>185408209</v>
      </c>
      <c r="H1390" s="70" t="s">
        <v>68</v>
      </c>
    </row>
    <row r="1391" spans="1:8" ht="17.25" customHeight="1" x14ac:dyDescent="0.2">
      <c r="A1391" s="69">
        <v>2020</v>
      </c>
      <c r="B1391" s="70" t="s">
        <v>66</v>
      </c>
      <c r="C1391" s="70" t="s">
        <v>17</v>
      </c>
      <c r="D1391" s="70" t="s">
        <v>23</v>
      </c>
      <c r="E1391" s="70" t="s">
        <v>69</v>
      </c>
      <c r="F1391" s="70" t="s">
        <v>70</v>
      </c>
      <c r="G1391" s="71">
        <v>109137434</v>
      </c>
      <c r="H1391" s="70" t="s">
        <v>68</v>
      </c>
    </row>
    <row r="1392" spans="1:8" ht="17.25" customHeight="1" x14ac:dyDescent="0.2">
      <c r="A1392" s="69">
        <v>2020</v>
      </c>
      <c r="B1392" s="70" t="s">
        <v>66</v>
      </c>
      <c r="C1392" s="70" t="s">
        <v>17</v>
      </c>
      <c r="D1392" s="70" t="s">
        <v>24</v>
      </c>
      <c r="E1392" s="70" t="s">
        <v>67</v>
      </c>
      <c r="F1392" s="70" t="s">
        <v>67</v>
      </c>
      <c r="G1392" s="71">
        <v>9173998627</v>
      </c>
      <c r="H1392" s="70" t="s">
        <v>68</v>
      </c>
    </row>
    <row r="1393" spans="1:8" ht="17.25" customHeight="1" x14ac:dyDescent="0.2">
      <c r="A1393" s="69">
        <v>2020</v>
      </c>
      <c r="B1393" s="70" t="s">
        <v>66</v>
      </c>
      <c r="C1393" s="70" t="s">
        <v>17</v>
      </c>
      <c r="D1393" s="70" t="s">
        <v>24</v>
      </c>
      <c r="E1393" s="70" t="s">
        <v>69</v>
      </c>
      <c r="F1393" s="70" t="s">
        <v>71</v>
      </c>
      <c r="G1393" s="71">
        <v>3913154941</v>
      </c>
      <c r="H1393" s="70" t="s">
        <v>68</v>
      </c>
    </row>
    <row r="1394" spans="1:8" ht="17.25" customHeight="1" x14ac:dyDescent="0.2">
      <c r="A1394" s="69">
        <v>2020</v>
      </c>
      <c r="B1394" s="70" t="s">
        <v>66</v>
      </c>
      <c r="C1394" s="70" t="s">
        <v>17</v>
      </c>
      <c r="D1394" s="70" t="s">
        <v>24</v>
      </c>
      <c r="E1394" s="70" t="s">
        <v>69</v>
      </c>
      <c r="F1394" s="70" t="s">
        <v>70</v>
      </c>
      <c r="G1394" s="71">
        <v>4131333189</v>
      </c>
      <c r="H1394" s="70" t="s">
        <v>68</v>
      </c>
    </row>
    <row r="1395" spans="1:8" ht="17.25" customHeight="1" x14ac:dyDescent="0.2">
      <c r="A1395" s="69">
        <v>2020</v>
      </c>
      <c r="B1395" s="70" t="s">
        <v>66</v>
      </c>
      <c r="C1395" s="70" t="s">
        <v>17</v>
      </c>
      <c r="D1395" s="70" t="s">
        <v>25</v>
      </c>
      <c r="E1395" s="70" t="s">
        <v>67</v>
      </c>
      <c r="F1395" s="70" t="s">
        <v>67</v>
      </c>
      <c r="G1395" s="71">
        <v>802707917</v>
      </c>
      <c r="H1395" s="70" t="s">
        <v>68</v>
      </c>
    </row>
    <row r="1396" spans="1:8" ht="17.25" customHeight="1" x14ac:dyDescent="0.2">
      <c r="A1396" s="69">
        <v>2020</v>
      </c>
      <c r="B1396" s="70" t="s">
        <v>66</v>
      </c>
      <c r="C1396" s="70" t="s">
        <v>17</v>
      </c>
      <c r="D1396" s="70" t="s">
        <v>25</v>
      </c>
      <c r="E1396" s="70" t="s">
        <v>69</v>
      </c>
      <c r="F1396" s="70" t="s">
        <v>71</v>
      </c>
      <c r="G1396" s="71">
        <v>260669162</v>
      </c>
      <c r="H1396" s="70" t="s">
        <v>68</v>
      </c>
    </row>
    <row r="1397" spans="1:8" ht="17.25" customHeight="1" x14ac:dyDescent="0.2">
      <c r="A1397" s="69">
        <v>2020</v>
      </c>
      <c r="B1397" s="70" t="s">
        <v>66</v>
      </c>
      <c r="C1397" s="70" t="s">
        <v>17</v>
      </c>
      <c r="D1397" s="70" t="s">
        <v>25</v>
      </c>
      <c r="E1397" s="70" t="s">
        <v>69</v>
      </c>
      <c r="F1397" s="70" t="s">
        <v>70</v>
      </c>
      <c r="G1397" s="71">
        <v>227954034</v>
      </c>
      <c r="H1397" s="70" t="s">
        <v>68</v>
      </c>
    </row>
    <row r="1398" spans="1:8" ht="17.25" customHeight="1" x14ac:dyDescent="0.2">
      <c r="A1398" s="69">
        <v>2020</v>
      </c>
      <c r="B1398" s="70" t="s">
        <v>66</v>
      </c>
      <c r="C1398" s="70" t="s">
        <v>27</v>
      </c>
      <c r="D1398" s="70" t="s">
        <v>26</v>
      </c>
      <c r="E1398" s="70" t="s">
        <v>67</v>
      </c>
      <c r="F1398" s="70" t="s">
        <v>67</v>
      </c>
      <c r="G1398" s="71">
        <v>12764954057</v>
      </c>
      <c r="H1398" s="70" t="s">
        <v>68</v>
      </c>
    </row>
    <row r="1399" spans="1:8" ht="17.25" customHeight="1" x14ac:dyDescent="0.2">
      <c r="A1399" s="69">
        <v>2020</v>
      </c>
      <c r="B1399" s="70" t="s">
        <v>66</v>
      </c>
      <c r="C1399" s="70" t="s">
        <v>27</v>
      </c>
      <c r="D1399" s="70" t="s">
        <v>26</v>
      </c>
      <c r="E1399" s="70" t="s">
        <v>69</v>
      </c>
      <c r="F1399" s="70" t="s">
        <v>71</v>
      </c>
      <c r="G1399" s="71">
        <v>2866719347</v>
      </c>
      <c r="H1399" s="70" t="s">
        <v>68</v>
      </c>
    </row>
    <row r="1400" spans="1:8" ht="17.25" customHeight="1" x14ac:dyDescent="0.2">
      <c r="A1400" s="69">
        <v>2020</v>
      </c>
      <c r="B1400" s="70" t="s">
        <v>66</v>
      </c>
      <c r="C1400" s="70" t="s">
        <v>27</v>
      </c>
      <c r="D1400" s="70" t="s">
        <v>26</v>
      </c>
      <c r="E1400" s="70" t="s">
        <v>69</v>
      </c>
      <c r="F1400" s="70" t="s">
        <v>70</v>
      </c>
      <c r="G1400" s="71">
        <v>8443382175</v>
      </c>
      <c r="H1400" s="70" t="s">
        <v>68</v>
      </c>
    </row>
    <row r="1401" spans="1:8" ht="17.25" customHeight="1" x14ac:dyDescent="0.2">
      <c r="A1401" s="69">
        <v>2020</v>
      </c>
      <c r="B1401" s="70" t="s">
        <v>66</v>
      </c>
      <c r="C1401" s="70" t="s">
        <v>27</v>
      </c>
      <c r="D1401" s="70" t="s">
        <v>28</v>
      </c>
      <c r="E1401" s="70" t="s">
        <v>67</v>
      </c>
      <c r="F1401" s="70" t="s">
        <v>67</v>
      </c>
      <c r="G1401" s="71">
        <v>14293254169</v>
      </c>
      <c r="H1401" s="70" t="s">
        <v>68</v>
      </c>
    </row>
    <row r="1402" spans="1:8" ht="17.25" customHeight="1" x14ac:dyDescent="0.2">
      <c r="A1402" s="69">
        <v>2020</v>
      </c>
      <c r="B1402" s="70" t="s">
        <v>66</v>
      </c>
      <c r="C1402" s="70" t="s">
        <v>27</v>
      </c>
      <c r="D1402" s="70" t="s">
        <v>28</v>
      </c>
      <c r="E1402" s="70" t="s">
        <v>69</v>
      </c>
      <c r="F1402" s="70" t="s">
        <v>71</v>
      </c>
      <c r="G1402" s="71">
        <v>6269937470</v>
      </c>
      <c r="H1402" s="70" t="s">
        <v>68</v>
      </c>
    </row>
    <row r="1403" spans="1:8" ht="17.25" customHeight="1" x14ac:dyDescent="0.2">
      <c r="A1403" s="69">
        <v>2020</v>
      </c>
      <c r="B1403" s="70" t="s">
        <v>66</v>
      </c>
      <c r="C1403" s="70" t="s">
        <v>27</v>
      </c>
      <c r="D1403" s="70" t="s">
        <v>28</v>
      </c>
      <c r="E1403" s="70" t="s">
        <v>69</v>
      </c>
      <c r="F1403" s="70" t="s">
        <v>70</v>
      </c>
      <c r="G1403" s="71">
        <v>9968570251</v>
      </c>
      <c r="H1403" s="70" t="s">
        <v>68</v>
      </c>
    </row>
    <row r="1404" spans="1:8" ht="17.25" customHeight="1" x14ac:dyDescent="0.2">
      <c r="A1404" s="69">
        <v>2020</v>
      </c>
      <c r="B1404" s="70" t="s">
        <v>66</v>
      </c>
      <c r="C1404" s="70" t="s">
        <v>27</v>
      </c>
      <c r="D1404" s="70" t="s">
        <v>29</v>
      </c>
      <c r="E1404" s="70" t="s">
        <v>67</v>
      </c>
      <c r="F1404" s="70" t="s">
        <v>67</v>
      </c>
      <c r="G1404" s="71">
        <v>4175886607</v>
      </c>
      <c r="H1404" s="70" t="s">
        <v>68</v>
      </c>
    </row>
    <row r="1405" spans="1:8" ht="17.25" customHeight="1" x14ac:dyDescent="0.2">
      <c r="A1405" s="69">
        <v>2020</v>
      </c>
      <c r="B1405" s="70" t="s">
        <v>66</v>
      </c>
      <c r="C1405" s="70" t="s">
        <v>27</v>
      </c>
      <c r="D1405" s="70" t="s">
        <v>29</v>
      </c>
      <c r="E1405" s="70" t="s">
        <v>69</v>
      </c>
      <c r="F1405" s="70" t="s">
        <v>71</v>
      </c>
      <c r="G1405" s="71">
        <v>1516254741</v>
      </c>
      <c r="H1405" s="70" t="s">
        <v>68</v>
      </c>
    </row>
    <row r="1406" spans="1:8" ht="17.25" customHeight="1" x14ac:dyDescent="0.2">
      <c r="A1406" s="69">
        <v>2020</v>
      </c>
      <c r="B1406" s="70" t="s">
        <v>66</v>
      </c>
      <c r="C1406" s="70" t="s">
        <v>27</v>
      </c>
      <c r="D1406" s="70" t="s">
        <v>29</v>
      </c>
      <c r="E1406" s="70" t="s">
        <v>69</v>
      </c>
      <c r="F1406" s="70" t="s">
        <v>70</v>
      </c>
      <c r="G1406" s="71">
        <v>2412523124</v>
      </c>
      <c r="H1406" s="70" t="s">
        <v>68</v>
      </c>
    </row>
    <row r="1407" spans="1:8" ht="17.25" customHeight="1" x14ac:dyDescent="0.2">
      <c r="A1407" s="69">
        <v>2020</v>
      </c>
      <c r="B1407" s="70" t="s">
        <v>66</v>
      </c>
      <c r="C1407" s="70" t="s">
        <v>27</v>
      </c>
      <c r="D1407" s="70" t="s">
        <v>30</v>
      </c>
      <c r="E1407" s="70" t="s">
        <v>67</v>
      </c>
      <c r="F1407" s="70" t="s">
        <v>67</v>
      </c>
      <c r="G1407" s="71">
        <v>14440085423</v>
      </c>
      <c r="H1407" s="70" t="s">
        <v>68</v>
      </c>
    </row>
    <row r="1408" spans="1:8" ht="17.25" customHeight="1" x14ac:dyDescent="0.2">
      <c r="A1408" s="69">
        <v>2020</v>
      </c>
      <c r="B1408" s="70" t="s">
        <v>66</v>
      </c>
      <c r="C1408" s="70" t="s">
        <v>27</v>
      </c>
      <c r="D1408" s="70" t="s">
        <v>30</v>
      </c>
      <c r="E1408" s="70" t="s">
        <v>69</v>
      </c>
      <c r="F1408" s="70" t="s">
        <v>71</v>
      </c>
      <c r="G1408" s="71">
        <v>5412495267</v>
      </c>
      <c r="H1408" s="70" t="s">
        <v>68</v>
      </c>
    </row>
    <row r="1409" spans="1:8" ht="17.25" customHeight="1" x14ac:dyDescent="0.2">
      <c r="A1409" s="69">
        <v>2020</v>
      </c>
      <c r="B1409" s="70" t="s">
        <v>66</v>
      </c>
      <c r="C1409" s="70" t="s">
        <v>27</v>
      </c>
      <c r="D1409" s="70" t="s">
        <v>30</v>
      </c>
      <c r="E1409" s="70" t="s">
        <v>69</v>
      </c>
      <c r="F1409" s="70" t="s">
        <v>70</v>
      </c>
      <c r="G1409" s="71">
        <v>9519065666</v>
      </c>
      <c r="H1409" s="70" t="s">
        <v>68</v>
      </c>
    </row>
    <row r="1410" spans="1:8" ht="17.25" customHeight="1" x14ac:dyDescent="0.2">
      <c r="A1410" s="69">
        <v>2020</v>
      </c>
      <c r="B1410" s="70" t="s">
        <v>66</v>
      </c>
      <c r="C1410" s="70" t="s">
        <v>27</v>
      </c>
      <c r="D1410" s="70" t="s">
        <v>31</v>
      </c>
      <c r="E1410" s="70" t="s">
        <v>67</v>
      </c>
      <c r="F1410" s="70" t="s">
        <v>67</v>
      </c>
      <c r="G1410" s="71">
        <v>2606043074</v>
      </c>
      <c r="H1410" s="70" t="s">
        <v>68</v>
      </c>
    </row>
    <row r="1411" spans="1:8" ht="17.25" customHeight="1" x14ac:dyDescent="0.2">
      <c r="A1411" s="69">
        <v>2020</v>
      </c>
      <c r="B1411" s="70" t="s">
        <v>66</v>
      </c>
      <c r="C1411" s="70" t="s">
        <v>27</v>
      </c>
      <c r="D1411" s="70" t="s">
        <v>31</v>
      </c>
      <c r="E1411" s="70" t="s">
        <v>69</v>
      </c>
      <c r="F1411" s="70" t="s">
        <v>71</v>
      </c>
      <c r="G1411" s="71">
        <v>1870461368</v>
      </c>
      <c r="H1411" s="70" t="s">
        <v>68</v>
      </c>
    </row>
    <row r="1412" spans="1:8" ht="17.25" customHeight="1" x14ac:dyDescent="0.2">
      <c r="A1412" s="69">
        <v>2020</v>
      </c>
      <c r="B1412" s="70" t="s">
        <v>66</v>
      </c>
      <c r="C1412" s="70" t="s">
        <v>27</v>
      </c>
      <c r="D1412" s="70" t="s">
        <v>31</v>
      </c>
      <c r="E1412" s="70" t="s">
        <v>69</v>
      </c>
      <c r="F1412" s="70" t="s">
        <v>70</v>
      </c>
      <c r="G1412" s="71">
        <v>4715318098</v>
      </c>
      <c r="H1412" s="70" t="s">
        <v>68</v>
      </c>
    </row>
    <row r="1413" spans="1:8" ht="17.25" customHeight="1" x14ac:dyDescent="0.2">
      <c r="A1413" s="69">
        <v>2020</v>
      </c>
      <c r="B1413" s="70" t="s">
        <v>66</v>
      </c>
      <c r="C1413" s="70" t="s">
        <v>27</v>
      </c>
      <c r="D1413" s="70" t="s">
        <v>32</v>
      </c>
      <c r="E1413" s="70" t="s">
        <v>67</v>
      </c>
      <c r="F1413" s="70" t="s">
        <v>67</v>
      </c>
      <c r="G1413" s="71">
        <v>4569697632</v>
      </c>
      <c r="H1413" s="70" t="s">
        <v>68</v>
      </c>
    </row>
    <row r="1414" spans="1:8" ht="17.25" customHeight="1" x14ac:dyDescent="0.2">
      <c r="A1414" s="69">
        <v>2020</v>
      </c>
      <c r="B1414" s="70" t="s">
        <v>66</v>
      </c>
      <c r="C1414" s="70" t="s">
        <v>27</v>
      </c>
      <c r="D1414" s="70" t="s">
        <v>32</v>
      </c>
      <c r="E1414" s="70" t="s">
        <v>69</v>
      </c>
      <c r="F1414" s="70" t="s">
        <v>71</v>
      </c>
      <c r="G1414" s="71">
        <v>1998145396</v>
      </c>
      <c r="H1414" s="70" t="s">
        <v>68</v>
      </c>
    </row>
    <row r="1415" spans="1:8" ht="17.25" customHeight="1" x14ac:dyDescent="0.2">
      <c r="A1415" s="69">
        <v>2020</v>
      </c>
      <c r="B1415" s="70" t="s">
        <v>66</v>
      </c>
      <c r="C1415" s="70" t="s">
        <v>27</v>
      </c>
      <c r="D1415" s="70" t="s">
        <v>32</v>
      </c>
      <c r="E1415" s="70" t="s">
        <v>69</v>
      </c>
      <c r="F1415" s="70" t="s">
        <v>70</v>
      </c>
      <c r="G1415" s="71">
        <v>2720525237</v>
      </c>
      <c r="H1415" s="70" t="s">
        <v>68</v>
      </c>
    </row>
    <row r="1416" spans="1:8" ht="17.25" customHeight="1" x14ac:dyDescent="0.2">
      <c r="A1416" s="69">
        <v>2020</v>
      </c>
      <c r="B1416" s="70" t="s">
        <v>66</v>
      </c>
      <c r="C1416" s="70" t="s">
        <v>27</v>
      </c>
      <c r="D1416" s="70" t="s">
        <v>33</v>
      </c>
      <c r="E1416" s="70" t="s">
        <v>67</v>
      </c>
      <c r="F1416" s="70" t="s">
        <v>67</v>
      </c>
      <c r="G1416" s="71">
        <v>4836007759</v>
      </c>
      <c r="H1416" s="70" t="s">
        <v>68</v>
      </c>
    </row>
    <row r="1417" spans="1:8" ht="17.25" customHeight="1" x14ac:dyDescent="0.2">
      <c r="A1417" s="69">
        <v>2020</v>
      </c>
      <c r="B1417" s="70" t="s">
        <v>66</v>
      </c>
      <c r="C1417" s="70" t="s">
        <v>27</v>
      </c>
      <c r="D1417" s="70" t="s">
        <v>33</v>
      </c>
      <c r="E1417" s="70" t="s">
        <v>69</v>
      </c>
      <c r="F1417" s="70" t="s">
        <v>71</v>
      </c>
      <c r="G1417" s="71">
        <v>3384883757</v>
      </c>
      <c r="H1417" s="70" t="s">
        <v>68</v>
      </c>
    </row>
    <row r="1418" spans="1:8" ht="17.25" customHeight="1" x14ac:dyDescent="0.2">
      <c r="A1418" s="69">
        <v>2020</v>
      </c>
      <c r="B1418" s="70" t="s">
        <v>66</v>
      </c>
      <c r="C1418" s="70" t="s">
        <v>27</v>
      </c>
      <c r="D1418" s="70" t="s">
        <v>33</v>
      </c>
      <c r="E1418" s="70" t="s">
        <v>69</v>
      </c>
      <c r="F1418" s="70" t="s">
        <v>70</v>
      </c>
      <c r="G1418" s="71">
        <v>10330874825</v>
      </c>
      <c r="H1418" s="70" t="s">
        <v>68</v>
      </c>
    </row>
    <row r="1419" spans="1:8" ht="17.25" customHeight="1" x14ac:dyDescent="0.2">
      <c r="A1419" s="69">
        <v>2020</v>
      </c>
      <c r="B1419" s="70" t="s">
        <v>66</v>
      </c>
      <c r="C1419" s="70" t="s">
        <v>35</v>
      </c>
      <c r="D1419" s="70" t="s">
        <v>34</v>
      </c>
      <c r="E1419" s="70" t="s">
        <v>67</v>
      </c>
      <c r="F1419" s="70" t="s">
        <v>67</v>
      </c>
      <c r="G1419" s="71">
        <v>1053777217</v>
      </c>
      <c r="H1419" s="70" t="s">
        <v>68</v>
      </c>
    </row>
    <row r="1420" spans="1:8" ht="17.25" customHeight="1" x14ac:dyDescent="0.2">
      <c r="A1420" s="69">
        <v>2020</v>
      </c>
      <c r="B1420" s="70" t="s">
        <v>66</v>
      </c>
      <c r="C1420" s="70" t="s">
        <v>35</v>
      </c>
      <c r="D1420" s="70" t="s">
        <v>34</v>
      </c>
      <c r="E1420" s="70" t="s">
        <v>69</v>
      </c>
      <c r="F1420" s="70" t="s">
        <v>71</v>
      </c>
      <c r="G1420" s="71">
        <v>277446938</v>
      </c>
      <c r="H1420" s="70" t="s">
        <v>68</v>
      </c>
    </row>
    <row r="1421" spans="1:8" ht="17.25" customHeight="1" x14ac:dyDescent="0.2">
      <c r="A1421" s="69">
        <v>2020</v>
      </c>
      <c r="B1421" s="70" t="s">
        <v>66</v>
      </c>
      <c r="C1421" s="70" t="s">
        <v>35</v>
      </c>
      <c r="D1421" s="70" t="s">
        <v>34</v>
      </c>
      <c r="E1421" s="70" t="s">
        <v>69</v>
      </c>
      <c r="F1421" s="70" t="s">
        <v>70</v>
      </c>
      <c r="G1421" s="71">
        <v>258017281</v>
      </c>
      <c r="H1421" s="70" t="s">
        <v>68</v>
      </c>
    </row>
    <row r="1422" spans="1:8" ht="17.25" customHeight="1" x14ac:dyDescent="0.2">
      <c r="A1422" s="69">
        <v>2020</v>
      </c>
      <c r="B1422" s="70" t="s">
        <v>66</v>
      </c>
      <c r="C1422" s="70" t="s">
        <v>35</v>
      </c>
      <c r="D1422" s="70" t="s">
        <v>36</v>
      </c>
      <c r="E1422" s="70" t="s">
        <v>67</v>
      </c>
      <c r="F1422" s="70" t="s">
        <v>67</v>
      </c>
      <c r="G1422" s="71">
        <v>3889647429</v>
      </c>
      <c r="H1422" s="70" t="s">
        <v>68</v>
      </c>
    </row>
    <row r="1423" spans="1:8" ht="17.25" customHeight="1" x14ac:dyDescent="0.2">
      <c r="A1423" s="69">
        <v>2020</v>
      </c>
      <c r="B1423" s="70" t="s">
        <v>66</v>
      </c>
      <c r="C1423" s="70" t="s">
        <v>35</v>
      </c>
      <c r="D1423" s="70" t="s">
        <v>36</v>
      </c>
      <c r="E1423" s="70" t="s">
        <v>69</v>
      </c>
      <c r="F1423" s="70" t="s">
        <v>71</v>
      </c>
      <c r="G1423" s="71">
        <v>1987911351</v>
      </c>
      <c r="H1423" s="70" t="s">
        <v>68</v>
      </c>
    </row>
    <row r="1424" spans="1:8" ht="17.25" customHeight="1" x14ac:dyDescent="0.2">
      <c r="A1424" s="69">
        <v>2020</v>
      </c>
      <c r="B1424" s="70" t="s">
        <v>66</v>
      </c>
      <c r="C1424" s="70" t="s">
        <v>35</v>
      </c>
      <c r="D1424" s="70" t="s">
        <v>36</v>
      </c>
      <c r="E1424" s="70" t="s">
        <v>69</v>
      </c>
      <c r="F1424" s="70" t="s">
        <v>70</v>
      </c>
      <c r="G1424" s="71">
        <v>1430683431</v>
      </c>
      <c r="H1424" s="70" t="s">
        <v>68</v>
      </c>
    </row>
    <row r="1425" spans="1:8" ht="17.25" customHeight="1" x14ac:dyDescent="0.2">
      <c r="A1425" s="69">
        <v>2020</v>
      </c>
      <c r="B1425" s="70" t="s">
        <v>66</v>
      </c>
      <c r="C1425" s="70" t="s">
        <v>35</v>
      </c>
      <c r="D1425" s="70" t="s">
        <v>37</v>
      </c>
      <c r="E1425" s="70" t="s">
        <v>67</v>
      </c>
      <c r="F1425" s="70" t="s">
        <v>67</v>
      </c>
      <c r="G1425" s="71">
        <v>1339510120</v>
      </c>
      <c r="H1425" s="70" t="s">
        <v>68</v>
      </c>
    </row>
    <row r="1426" spans="1:8" ht="17.25" customHeight="1" x14ac:dyDescent="0.2">
      <c r="A1426" s="69">
        <v>2020</v>
      </c>
      <c r="B1426" s="70" t="s">
        <v>66</v>
      </c>
      <c r="C1426" s="70" t="s">
        <v>35</v>
      </c>
      <c r="D1426" s="70" t="s">
        <v>37</v>
      </c>
      <c r="E1426" s="70" t="s">
        <v>69</v>
      </c>
      <c r="F1426" s="70" t="s">
        <v>71</v>
      </c>
      <c r="G1426" s="71">
        <v>467783402</v>
      </c>
      <c r="H1426" s="70" t="s">
        <v>68</v>
      </c>
    </row>
    <row r="1427" spans="1:8" ht="17.25" customHeight="1" x14ac:dyDescent="0.2">
      <c r="A1427" s="69">
        <v>2020</v>
      </c>
      <c r="B1427" s="70" t="s">
        <v>66</v>
      </c>
      <c r="C1427" s="70" t="s">
        <v>35</v>
      </c>
      <c r="D1427" s="70" t="s">
        <v>37</v>
      </c>
      <c r="E1427" s="70" t="s">
        <v>69</v>
      </c>
      <c r="F1427" s="70" t="s">
        <v>70</v>
      </c>
      <c r="G1427" s="71">
        <v>503388251</v>
      </c>
      <c r="H1427" s="70" t="s">
        <v>68</v>
      </c>
    </row>
    <row r="1428" spans="1:8" ht="17.25" customHeight="1" x14ac:dyDescent="0.2">
      <c r="A1428" s="69">
        <v>2020</v>
      </c>
      <c r="B1428" s="70" t="s">
        <v>66</v>
      </c>
      <c r="C1428" s="70" t="s">
        <v>35</v>
      </c>
      <c r="D1428" s="70" t="s">
        <v>38</v>
      </c>
      <c r="E1428" s="70" t="s">
        <v>67</v>
      </c>
      <c r="F1428" s="70" t="s">
        <v>67</v>
      </c>
      <c r="G1428" s="71">
        <v>1324312828</v>
      </c>
      <c r="H1428" s="70" t="s">
        <v>68</v>
      </c>
    </row>
    <row r="1429" spans="1:8" ht="17.25" customHeight="1" x14ac:dyDescent="0.2">
      <c r="A1429" s="69">
        <v>2020</v>
      </c>
      <c r="B1429" s="70" t="s">
        <v>66</v>
      </c>
      <c r="C1429" s="70" t="s">
        <v>35</v>
      </c>
      <c r="D1429" s="70" t="s">
        <v>38</v>
      </c>
      <c r="E1429" s="70" t="s">
        <v>69</v>
      </c>
      <c r="F1429" s="70" t="s">
        <v>71</v>
      </c>
      <c r="G1429" s="71">
        <v>468985286</v>
      </c>
      <c r="H1429" s="70" t="s">
        <v>68</v>
      </c>
    </row>
    <row r="1430" spans="1:8" ht="17.25" customHeight="1" x14ac:dyDescent="0.2">
      <c r="A1430" s="69">
        <v>2020</v>
      </c>
      <c r="B1430" s="70" t="s">
        <v>66</v>
      </c>
      <c r="C1430" s="70" t="s">
        <v>35</v>
      </c>
      <c r="D1430" s="70" t="s">
        <v>38</v>
      </c>
      <c r="E1430" s="70" t="s">
        <v>69</v>
      </c>
      <c r="F1430" s="70" t="s">
        <v>70</v>
      </c>
      <c r="G1430" s="71">
        <v>471505355</v>
      </c>
      <c r="H1430" s="70" t="s">
        <v>68</v>
      </c>
    </row>
    <row r="1431" spans="1:8" ht="17.25" customHeight="1" x14ac:dyDescent="0.2">
      <c r="A1431" s="69">
        <v>2020</v>
      </c>
      <c r="B1431" s="70" t="s">
        <v>66</v>
      </c>
      <c r="C1431" s="70" t="s">
        <v>35</v>
      </c>
      <c r="D1431" s="70" t="s">
        <v>39</v>
      </c>
      <c r="E1431" s="70" t="s">
        <v>67</v>
      </c>
      <c r="F1431" s="70" t="s">
        <v>67</v>
      </c>
      <c r="G1431" s="71">
        <v>6529425075</v>
      </c>
      <c r="H1431" s="70" t="s">
        <v>68</v>
      </c>
    </row>
    <row r="1432" spans="1:8" ht="17.25" customHeight="1" x14ac:dyDescent="0.2">
      <c r="A1432" s="69">
        <v>2020</v>
      </c>
      <c r="B1432" s="70" t="s">
        <v>66</v>
      </c>
      <c r="C1432" s="70" t="s">
        <v>35</v>
      </c>
      <c r="D1432" s="70" t="s">
        <v>39</v>
      </c>
      <c r="E1432" s="70" t="s">
        <v>69</v>
      </c>
      <c r="F1432" s="70" t="s">
        <v>71</v>
      </c>
      <c r="G1432" s="71">
        <v>2618162523</v>
      </c>
      <c r="H1432" s="70" t="s">
        <v>68</v>
      </c>
    </row>
    <row r="1433" spans="1:8" ht="17.25" customHeight="1" x14ac:dyDescent="0.2">
      <c r="A1433" s="69">
        <v>2020</v>
      </c>
      <c r="B1433" s="70" t="s">
        <v>66</v>
      </c>
      <c r="C1433" s="70" t="s">
        <v>35</v>
      </c>
      <c r="D1433" s="70" t="s">
        <v>39</v>
      </c>
      <c r="E1433" s="70" t="s">
        <v>69</v>
      </c>
      <c r="F1433" s="70" t="s">
        <v>70</v>
      </c>
      <c r="G1433" s="71">
        <v>2213563068</v>
      </c>
      <c r="H1433" s="70" t="s">
        <v>68</v>
      </c>
    </row>
    <row r="1434" spans="1:8" ht="17.25" customHeight="1" x14ac:dyDescent="0.2">
      <c r="A1434" s="69">
        <v>2020</v>
      </c>
      <c r="B1434" s="70" t="s">
        <v>66</v>
      </c>
      <c r="C1434" s="70" t="s">
        <v>41</v>
      </c>
      <c r="D1434" s="70" t="s">
        <v>40</v>
      </c>
      <c r="E1434" s="70" t="s">
        <v>67</v>
      </c>
      <c r="F1434" s="70" t="s">
        <v>67</v>
      </c>
      <c r="G1434" s="71">
        <v>1567240222</v>
      </c>
      <c r="H1434" s="70" t="s">
        <v>68</v>
      </c>
    </row>
    <row r="1435" spans="1:8" ht="17.25" customHeight="1" x14ac:dyDescent="0.2">
      <c r="A1435" s="69">
        <v>2020</v>
      </c>
      <c r="B1435" s="70" t="s">
        <v>66</v>
      </c>
      <c r="C1435" s="70" t="s">
        <v>41</v>
      </c>
      <c r="D1435" s="70" t="s">
        <v>40</v>
      </c>
      <c r="E1435" s="70" t="s">
        <v>69</v>
      </c>
      <c r="F1435" s="70" t="s">
        <v>71</v>
      </c>
      <c r="G1435" s="71">
        <v>279010236</v>
      </c>
      <c r="H1435" s="70" t="s">
        <v>68</v>
      </c>
    </row>
    <row r="1436" spans="1:8" ht="17.25" customHeight="1" x14ac:dyDescent="0.2">
      <c r="A1436" s="69">
        <v>2020</v>
      </c>
      <c r="B1436" s="70" t="s">
        <v>66</v>
      </c>
      <c r="C1436" s="70" t="s">
        <v>41</v>
      </c>
      <c r="D1436" s="70" t="s">
        <v>40</v>
      </c>
      <c r="E1436" s="70" t="s">
        <v>69</v>
      </c>
      <c r="F1436" s="70" t="s">
        <v>70</v>
      </c>
      <c r="G1436" s="71">
        <v>485909187</v>
      </c>
      <c r="H1436" s="70" t="s">
        <v>68</v>
      </c>
    </row>
    <row r="1437" spans="1:8" ht="17.25" customHeight="1" x14ac:dyDescent="0.2">
      <c r="A1437" s="69">
        <v>2020</v>
      </c>
      <c r="B1437" s="70" t="s">
        <v>66</v>
      </c>
      <c r="C1437" s="70" t="s">
        <v>41</v>
      </c>
      <c r="D1437" s="70" t="s">
        <v>42</v>
      </c>
      <c r="E1437" s="70" t="s">
        <v>67</v>
      </c>
      <c r="F1437" s="70" t="s">
        <v>67</v>
      </c>
      <c r="G1437" s="71">
        <v>1751894655</v>
      </c>
      <c r="H1437" s="70" t="s">
        <v>68</v>
      </c>
    </row>
    <row r="1438" spans="1:8" ht="17.25" customHeight="1" x14ac:dyDescent="0.2">
      <c r="A1438" s="69">
        <v>2020</v>
      </c>
      <c r="B1438" s="70" t="s">
        <v>66</v>
      </c>
      <c r="C1438" s="70" t="s">
        <v>41</v>
      </c>
      <c r="D1438" s="70" t="s">
        <v>42</v>
      </c>
      <c r="E1438" s="70" t="s">
        <v>69</v>
      </c>
      <c r="F1438" s="70" t="s">
        <v>71</v>
      </c>
      <c r="G1438" s="71">
        <v>294004305</v>
      </c>
      <c r="H1438" s="70" t="s">
        <v>68</v>
      </c>
    </row>
    <row r="1439" spans="1:8" ht="17.25" customHeight="1" x14ac:dyDescent="0.2">
      <c r="A1439" s="69">
        <v>2020</v>
      </c>
      <c r="B1439" s="70" t="s">
        <v>66</v>
      </c>
      <c r="C1439" s="70" t="s">
        <v>41</v>
      </c>
      <c r="D1439" s="70" t="s">
        <v>42</v>
      </c>
      <c r="E1439" s="70" t="s">
        <v>69</v>
      </c>
      <c r="F1439" s="70" t="s">
        <v>70</v>
      </c>
      <c r="G1439" s="71">
        <v>736525695</v>
      </c>
      <c r="H1439" s="70" t="s">
        <v>68</v>
      </c>
    </row>
    <row r="1440" spans="1:8" ht="17.25" customHeight="1" x14ac:dyDescent="0.2">
      <c r="A1440" s="69">
        <v>2020</v>
      </c>
      <c r="B1440" s="70" t="s">
        <v>66</v>
      </c>
      <c r="C1440" s="70" t="s">
        <v>41</v>
      </c>
      <c r="D1440" s="70" t="s">
        <v>43</v>
      </c>
      <c r="E1440" s="70" t="s">
        <v>67</v>
      </c>
      <c r="F1440" s="70" t="s">
        <v>67</v>
      </c>
      <c r="G1440" s="71">
        <v>2424035308</v>
      </c>
      <c r="H1440" s="70" t="s">
        <v>68</v>
      </c>
    </row>
    <row r="1441" spans="1:8" ht="17.25" customHeight="1" x14ac:dyDescent="0.2">
      <c r="A1441" s="69">
        <v>2020</v>
      </c>
      <c r="B1441" s="70" t="s">
        <v>66</v>
      </c>
      <c r="C1441" s="70" t="s">
        <v>41</v>
      </c>
      <c r="D1441" s="70" t="s">
        <v>43</v>
      </c>
      <c r="E1441" s="70" t="s">
        <v>69</v>
      </c>
      <c r="F1441" s="70" t="s">
        <v>71</v>
      </c>
      <c r="G1441" s="71">
        <v>632584985</v>
      </c>
      <c r="H1441" s="70" t="s">
        <v>68</v>
      </c>
    </row>
    <row r="1442" spans="1:8" ht="17.25" customHeight="1" x14ac:dyDescent="0.2">
      <c r="A1442" s="69">
        <v>2020</v>
      </c>
      <c r="B1442" s="70" t="s">
        <v>66</v>
      </c>
      <c r="C1442" s="70" t="s">
        <v>41</v>
      </c>
      <c r="D1442" s="70" t="s">
        <v>43</v>
      </c>
      <c r="E1442" s="70" t="s">
        <v>69</v>
      </c>
      <c r="F1442" s="70" t="s">
        <v>70</v>
      </c>
      <c r="G1442" s="71">
        <v>649622619</v>
      </c>
      <c r="H1442" s="70" t="s">
        <v>68</v>
      </c>
    </row>
    <row r="1443" spans="1:8" ht="17.25" customHeight="1" x14ac:dyDescent="0.2">
      <c r="A1443" s="69">
        <v>2020</v>
      </c>
      <c r="B1443" s="70" t="s">
        <v>66</v>
      </c>
      <c r="C1443" s="70" t="s">
        <v>41</v>
      </c>
      <c r="D1443" s="70" t="s">
        <v>44</v>
      </c>
      <c r="E1443" s="70" t="s">
        <v>67</v>
      </c>
      <c r="F1443" s="70" t="s">
        <v>67</v>
      </c>
      <c r="G1443" s="71">
        <v>3326376126</v>
      </c>
      <c r="H1443" s="70" t="s">
        <v>68</v>
      </c>
    </row>
    <row r="1444" spans="1:8" ht="17.25" customHeight="1" x14ac:dyDescent="0.2">
      <c r="A1444" s="69">
        <v>2020</v>
      </c>
      <c r="B1444" s="70" t="s">
        <v>66</v>
      </c>
      <c r="C1444" s="70" t="s">
        <v>41</v>
      </c>
      <c r="D1444" s="70" t="s">
        <v>44</v>
      </c>
      <c r="E1444" s="70" t="s">
        <v>69</v>
      </c>
      <c r="F1444" s="70" t="s">
        <v>71</v>
      </c>
      <c r="G1444" s="71">
        <v>1068629496</v>
      </c>
      <c r="H1444" s="70" t="s">
        <v>68</v>
      </c>
    </row>
    <row r="1445" spans="1:8" ht="17.25" customHeight="1" x14ac:dyDescent="0.2">
      <c r="A1445" s="69">
        <v>2020</v>
      </c>
      <c r="B1445" s="70" t="s">
        <v>66</v>
      </c>
      <c r="C1445" s="70" t="s">
        <v>41</v>
      </c>
      <c r="D1445" s="70" t="s">
        <v>44</v>
      </c>
      <c r="E1445" s="70" t="s">
        <v>69</v>
      </c>
      <c r="F1445" s="70" t="s">
        <v>70</v>
      </c>
      <c r="G1445" s="71">
        <v>1094490106</v>
      </c>
      <c r="H1445" s="70" t="s">
        <v>68</v>
      </c>
    </row>
    <row r="1446" spans="1:8" ht="17.25" customHeight="1" x14ac:dyDescent="0.2">
      <c r="A1446" s="69">
        <v>2020</v>
      </c>
      <c r="B1446" s="70" t="s">
        <v>66</v>
      </c>
      <c r="C1446" s="70" t="s">
        <v>41</v>
      </c>
      <c r="D1446" s="70" t="s">
        <v>45</v>
      </c>
      <c r="E1446" s="70" t="s">
        <v>67</v>
      </c>
      <c r="F1446" s="70" t="s">
        <v>67</v>
      </c>
      <c r="G1446" s="71">
        <v>5675723168</v>
      </c>
      <c r="H1446" s="70" t="s">
        <v>68</v>
      </c>
    </row>
    <row r="1447" spans="1:8" ht="17.25" customHeight="1" x14ac:dyDescent="0.2">
      <c r="A1447" s="69">
        <v>2020</v>
      </c>
      <c r="B1447" s="70" t="s">
        <v>66</v>
      </c>
      <c r="C1447" s="70" t="s">
        <v>41</v>
      </c>
      <c r="D1447" s="70" t="s">
        <v>45</v>
      </c>
      <c r="E1447" s="70" t="s">
        <v>69</v>
      </c>
      <c r="F1447" s="70" t="s">
        <v>71</v>
      </c>
      <c r="G1447" s="71">
        <v>1881261588</v>
      </c>
      <c r="H1447" s="70" t="s">
        <v>68</v>
      </c>
    </row>
    <row r="1448" spans="1:8" ht="17.25" customHeight="1" x14ac:dyDescent="0.2">
      <c r="A1448" s="69">
        <v>2020</v>
      </c>
      <c r="B1448" s="70" t="s">
        <v>66</v>
      </c>
      <c r="C1448" s="70" t="s">
        <v>41</v>
      </c>
      <c r="D1448" s="70" t="s">
        <v>45</v>
      </c>
      <c r="E1448" s="70" t="s">
        <v>69</v>
      </c>
      <c r="F1448" s="70" t="s">
        <v>70</v>
      </c>
      <c r="G1448" s="71">
        <v>2670271671</v>
      </c>
      <c r="H1448" s="70" t="s">
        <v>68</v>
      </c>
    </row>
    <row r="1449" spans="1:8" ht="17.25" customHeight="1" x14ac:dyDescent="0.2">
      <c r="A1449" s="69">
        <v>2020</v>
      </c>
      <c r="B1449" s="70" t="s">
        <v>66</v>
      </c>
      <c r="C1449" s="70" t="s">
        <v>47</v>
      </c>
      <c r="D1449" s="70" t="s">
        <v>46</v>
      </c>
      <c r="E1449" s="70" t="s">
        <v>72</v>
      </c>
      <c r="F1449" s="70" t="s">
        <v>73</v>
      </c>
      <c r="G1449" s="71">
        <v>4955054216</v>
      </c>
      <c r="H1449" s="70" t="s">
        <v>68</v>
      </c>
    </row>
    <row r="1450" spans="1:8" ht="17.25" customHeight="1" x14ac:dyDescent="0.2">
      <c r="A1450" s="69">
        <v>2020</v>
      </c>
      <c r="B1450" s="70" t="s">
        <v>66</v>
      </c>
      <c r="C1450" s="70" t="s">
        <v>47</v>
      </c>
      <c r="D1450" s="70" t="s">
        <v>46</v>
      </c>
      <c r="E1450" s="70" t="s">
        <v>67</v>
      </c>
      <c r="F1450" s="70" t="s">
        <v>74</v>
      </c>
      <c r="G1450" s="71">
        <v>2292809339</v>
      </c>
      <c r="H1450" s="70" t="s">
        <v>68</v>
      </c>
    </row>
    <row r="1451" spans="1:8" ht="17.25" customHeight="1" x14ac:dyDescent="0.2">
      <c r="A1451" s="69">
        <v>2020</v>
      </c>
      <c r="B1451" s="70" t="s">
        <v>66</v>
      </c>
      <c r="C1451" s="70" t="s">
        <v>47</v>
      </c>
      <c r="D1451" s="70" t="s">
        <v>46</v>
      </c>
      <c r="E1451" s="70" t="s">
        <v>69</v>
      </c>
      <c r="F1451" s="70" t="s">
        <v>71</v>
      </c>
      <c r="G1451" s="71">
        <v>3633998647</v>
      </c>
      <c r="H1451" s="70" t="s">
        <v>68</v>
      </c>
    </row>
    <row r="1452" spans="1:8" ht="17.25" customHeight="1" x14ac:dyDescent="0.2">
      <c r="A1452" s="69">
        <v>2020</v>
      </c>
      <c r="B1452" s="70" t="s">
        <v>66</v>
      </c>
      <c r="C1452" s="70" t="s">
        <v>47</v>
      </c>
      <c r="D1452" s="70" t="s">
        <v>46</v>
      </c>
      <c r="E1452" s="70" t="s">
        <v>69</v>
      </c>
      <c r="F1452" s="70" t="s">
        <v>70</v>
      </c>
      <c r="G1452" s="71">
        <v>4083763845</v>
      </c>
      <c r="H1452" s="70" t="s">
        <v>68</v>
      </c>
    </row>
    <row r="1453" spans="1:8" ht="17.25" customHeight="1" x14ac:dyDescent="0.2">
      <c r="A1453" s="69">
        <v>2020</v>
      </c>
      <c r="B1453" s="70" t="s">
        <v>66</v>
      </c>
      <c r="C1453" s="70" t="s">
        <v>47</v>
      </c>
      <c r="D1453" s="70" t="s">
        <v>48</v>
      </c>
      <c r="E1453" s="70" t="s">
        <v>72</v>
      </c>
      <c r="F1453" s="70" t="s">
        <v>73</v>
      </c>
      <c r="G1453" s="71">
        <v>44143412023</v>
      </c>
      <c r="H1453" s="70" t="s">
        <v>68</v>
      </c>
    </row>
    <row r="1454" spans="1:8" ht="17.25" customHeight="1" x14ac:dyDescent="0.2">
      <c r="A1454" s="69">
        <v>2020</v>
      </c>
      <c r="B1454" s="70" t="s">
        <v>66</v>
      </c>
      <c r="C1454" s="70" t="s">
        <v>47</v>
      </c>
      <c r="D1454" s="70" t="s">
        <v>48</v>
      </c>
      <c r="E1454" s="70" t="s">
        <v>67</v>
      </c>
      <c r="F1454" s="70" t="s">
        <v>74</v>
      </c>
      <c r="G1454" s="71">
        <v>24664446105</v>
      </c>
      <c r="H1454" s="70" t="s">
        <v>68</v>
      </c>
    </row>
    <row r="1455" spans="1:8" ht="17.25" customHeight="1" x14ac:dyDescent="0.2">
      <c r="A1455" s="69">
        <v>2020</v>
      </c>
      <c r="B1455" s="70" t="s">
        <v>66</v>
      </c>
      <c r="C1455" s="70" t="s">
        <v>47</v>
      </c>
      <c r="D1455" s="70" t="s">
        <v>48</v>
      </c>
      <c r="E1455" s="70" t="s">
        <v>69</v>
      </c>
      <c r="F1455" s="70" t="s">
        <v>71</v>
      </c>
      <c r="G1455" s="71">
        <v>31882971871</v>
      </c>
      <c r="H1455" s="70" t="s">
        <v>68</v>
      </c>
    </row>
    <row r="1456" spans="1:8" ht="17.25" customHeight="1" x14ac:dyDescent="0.2">
      <c r="A1456" s="69">
        <v>2020</v>
      </c>
      <c r="B1456" s="70" t="s">
        <v>66</v>
      </c>
      <c r="C1456" s="70" t="s">
        <v>47</v>
      </c>
      <c r="D1456" s="70" t="s">
        <v>48</v>
      </c>
      <c r="E1456" s="70" t="s">
        <v>69</v>
      </c>
      <c r="F1456" s="70" t="s">
        <v>70</v>
      </c>
      <c r="G1456" s="71">
        <v>62525117593</v>
      </c>
      <c r="H1456" s="70" t="s">
        <v>68</v>
      </c>
    </row>
    <row r="1457" spans="1:8" ht="17.25" customHeight="1" x14ac:dyDescent="0.2">
      <c r="A1457" s="69">
        <v>2021</v>
      </c>
      <c r="B1457" s="70" t="s">
        <v>66</v>
      </c>
      <c r="C1457" s="70" t="s">
        <v>4</v>
      </c>
      <c r="D1457" s="70" t="s">
        <v>3</v>
      </c>
      <c r="E1457" s="70" t="s">
        <v>67</v>
      </c>
      <c r="F1457" s="70" t="s">
        <v>67</v>
      </c>
      <c r="G1457" s="71">
        <v>7249457809</v>
      </c>
      <c r="H1457" s="70" t="s">
        <v>68</v>
      </c>
    </row>
    <row r="1458" spans="1:8" ht="17.25" customHeight="1" x14ac:dyDescent="0.2">
      <c r="A1458" s="69">
        <v>2021</v>
      </c>
      <c r="B1458" s="70" t="s">
        <v>66</v>
      </c>
      <c r="C1458" s="70" t="s">
        <v>4</v>
      </c>
      <c r="D1458" s="70" t="s">
        <v>3</v>
      </c>
      <c r="E1458" s="70" t="s">
        <v>69</v>
      </c>
      <c r="F1458" s="70" t="s">
        <v>71</v>
      </c>
      <c r="G1458" s="71">
        <v>3130485679</v>
      </c>
      <c r="H1458" s="70" t="s">
        <v>68</v>
      </c>
    </row>
    <row r="1459" spans="1:8" ht="17.25" customHeight="1" x14ac:dyDescent="0.2">
      <c r="A1459" s="69">
        <v>2021</v>
      </c>
      <c r="B1459" s="70" t="s">
        <v>66</v>
      </c>
      <c r="C1459" s="70" t="s">
        <v>4</v>
      </c>
      <c r="D1459" s="70" t="s">
        <v>3</v>
      </c>
      <c r="E1459" s="70" t="s">
        <v>69</v>
      </c>
      <c r="F1459" s="70" t="s">
        <v>70</v>
      </c>
      <c r="G1459" s="71">
        <v>5543727580</v>
      </c>
      <c r="H1459" s="70" t="s">
        <v>68</v>
      </c>
    </row>
    <row r="1460" spans="1:8" ht="17.25" customHeight="1" x14ac:dyDescent="0.2">
      <c r="A1460" s="69">
        <v>2021</v>
      </c>
      <c r="B1460" s="70" t="s">
        <v>66</v>
      </c>
      <c r="C1460" s="70" t="s">
        <v>4</v>
      </c>
      <c r="D1460" s="70" t="s">
        <v>5</v>
      </c>
      <c r="E1460" s="70" t="s">
        <v>67</v>
      </c>
      <c r="F1460" s="70" t="s">
        <v>67</v>
      </c>
      <c r="G1460" s="71">
        <v>40209564241</v>
      </c>
      <c r="H1460" s="70" t="s">
        <v>68</v>
      </c>
    </row>
    <row r="1461" spans="1:8" ht="17.25" customHeight="1" x14ac:dyDescent="0.2">
      <c r="A1461" s="69">
        <v>2021</v>
      </c>
      <c r="B1461" s="70" t="s">
        <v>66</v>
      </c>
      <c r="C1461" s="70" t="s">
        <v>4</v>
      </c>
      <c r="D1461" s="70" t="s">
        <v>5</v>
      </c>
      <c r="E1461" s="70" t="s">
        <v>69</v>
      </c>
      <c r="F1461" s="70" t="s">
        <v>71</v>
      </c>
      <c r="G1461" s="71">
        <v>37224296462</v>
      </c>
      <c r="H1461" s="70" t="s">
        <v>68</v>
      </c>
    </row>
    <row r="1462" spans="1:8" ht="17.25" customHeight="1" x14ac:dyDescent="0.2">
      <c r="A1462" s="69">
        <v>2021</v>
      </c>
      <c r="B1462" s="70" t="s">
        <v>66</v>
      </c>
      <c r="C1462" s="70" t="s">
        <v>4</v>
      </c>
      <c r="D1462" s="70" t="s">
        <v>5</v>
      </c>
      <c r="E1462" s="70" t="s">
        <v>69</v>
      </c>
      <c r="F1462" s="70" t="s">
        <v>70</v>
      </c>
      <c r="G1462" s="71">
        <v>36570851715</v>
      </c>
      <c r="H1462" s="70" t="s">
        <v>68</v>
      </c>
    </row>
    <row r="1463" spans="1:8" ht="17.25" customHeight="1" x14ac:dyDescent="0.2">
      <c r="A1463" s="69">
        <v>2021</v>
      </c>
      <c r="B1463" s="70" t="s">
        <v>66</v>
      </c>
      <c r="C1463" s="70" t="s">
        <v>4</v>
      </c>
      <c r="D1463" s="70" t="s">
        <v>6</v>
      </c>
      <c r="E1463" s="70" t="s">
        <v>67</v>
      </c>
      <c r="F1463" s="70" t="s">
        <v>67</v>
      </c>
      <c r="G1463" s="71">
        <v>1712972447</v>
      </c>
      <c r="H1463" s="70" t="s">
        <v>68</v>
      </c>
    </row>
    <row r="1464" spans="1:8" ht="17.25" customHeight="1" x14ac:dyDescent="0.2">
      <c r="A1464" s="69">
        <v>2021</v>
      </c>
      <c r="B1464" s="70" t="s">
        <v>66</v>
      </c>
      <c r="C1464" s="70" t="s">
        <v>4</v>
      </c>
      <c r="D1464" s="70" t="s">
        <v>6</v>
      </c>
      <c r="E1464" s="70" t="s">
        <v>69</v>
      </c>
      <c r="F1464" s="70" t="s">
        <v>71</v>
      </c>
      <c r="G1464" s="71">
        <v>380523877</v>
      </c>
      <c r="H1464" s="70" t="s">
        <v>68</v>
      </c>
    </row>
    <row r="1465" spans="1:8" ht="17.25" customHeight="1" x14ac:dyDescent="0.2">
      <c r="A1465" s="69">
        <v>2021</v>
      </c>
      <c r="B1465" s="70" t="s">
        <v>66</v>
      </c>
      <c r="C1465" s="70" t="s">
        <v>4</v>
      </c>
      <c r="D1465" s="70" t="s">
        <v>6</v>
      </c>
      <c r="E1465" s="70" t="s">
        <v>69</v>
      </c>
      <c r="F1465" s="70" t="s">
        <v>70</v>
      </c>
      <c r="G1465" s="71">
        <v>220287224</v>
      </c>
      <c r="H1465" s="70" t="s">
        <v>68</v>
      </c>
    </row>
    <row r="1466" spans="1:8" ht="17.25" customHeight="1" x14ac:dyDescent="0.2">
      <c r="A1466" s="69">
        <v>2021</v>
      </c>
      <c r="B1466" s="70" t="s">
        <v>66</v>
      </c>
      <c r="C1466" s="70" t="s">
        <v>4</v>
      </c>
      <c r="D1466" s="70" t="s">
        <v>7</v>
      </c>
      <c r="E1466" s="70" t="s">
        <v>67</v>
      </c>
      <c r="F1466" s="70" t="s">
        <v>67</v>
      </c>
      <c r="G1466" s="71">
        <v>9065567488</v>
      </c>
      <c r="H1466" s="70" t="s">
        <v>68</v>
      </c>
    </row>
    <row r="1467" spans="1:8" ht="17.25" customHeight="1" x14ac:dyDescent="0.2">
      <c r="A1467" s="69">
        <v>2021</v>
      </c>
      <c r="B1467" s="70" t="s">
        <v>66</v>
      </c>
      <c r="C1467" s="70" t="s">
        <v>4</v>
      </c>
      <c r="D1467" s="70" t="s">
        <v>7</v>
      </c>
      <c r="E1467" s="70" t="s">
        <v>69</v>
      </c>
      <c r="F1467" s="70" t="s">
        <v>71</v>
      </c>
      <c r="G1467" s="71">
        <v>5463647151</v>
      </c>
      <c r="H1467" s="70" t="s">
        <v>68</v>
      </c>
    </row>
    <row r="1468" spans="1:8" ht="17.25" customHeight="1" x14ac:dyDescent="0.2">
      <c r="A1468" s="69">
        <v>2021</v>
      </c>
      <c r="B1468" s="70" t="s">
        <v>66</v>
      </c>
      <c r="C1468" s="70" t="s">
        <v>4</v>
      </c>
      <c r="D1468" s="70" t="s">
        <v>7</v>
      </c>
      <c r="E1468" s="70" t="s">
        <v>69</v>
      </c>
      <c r="F1468" s="70" t="s">
        <v>70</v>
      </c>
      <c r="G1468" s="71">
        <v>5129276625</v>
      </c>
      <c r="H1468" s="70" t="s">
        <v>68</v>
      </c>
    </row>
    <row r="1469" spans="1:8" ht="17.25" customHeight="1" x14ac:dyDescent="0.2">
      <c r="A1469" s="69">
        <v>2021</v>
      </c>
      <c r="B1469" s="70" t="s">
        <v>66</v>
      </c>
      <c r="C1469" s="70" t="s">
        <v>4</v>
      </c>
      <c r="D1469" s="70" t="s">
        <v>8</v>
      </c>
      <c r="E1469" s="70" t="s">
        <v>67</v>
      </c>
      <c r="F1469" s="70" t="s">
        <v>67</v>
      </c>
      <c r="G1469" s="71">
        <v>2345969688</v>
      </c>
      <c r="H1469" s="70" t="s">
        <v>68</v>
      </c>
    </row>
    <row r="1470" spans="1:8" ht="17.25" customHeight="1" x14ac:dyDescent="0.2">
      <c r="A1470" s="69">
        <v>2021</v>
      </c>
      <c r="B1470" s="70" t="s">
        <v>66</v>
      </c>
      <c r="C1470" s="70" t="s">
        <v>4</v>
      </c>
      <c r="D1470" s="70" t="s">
        <v>8</v>
      </c>
      <c r="E1470" s="70" t="s">
        <v>69</v>
      </c>
      <c r="F1470" s="70" t="s">
        <v>71</v>
      </c>
      <c r="G1470" s="71">
        <v>1381879196</v>
      </c>
      <c r="H1470" s="70" t="s">
        <v>68</v>
      </c>
    </row>
    <row r="1471" spans="1:8" ht="17.25" customHeight="1" x14ac:dyDescent="0.2">
      <c r="A1471" s="69">
        <v>2021</v>
      </c>
      <c r="B1471" s="70" t="s">
        <v>66</v>
      </c>
      <c r="C1471" s="70" t="s">
        <v>4</v>
      </c>
      <c r="D1471" s="70" t="s">
        <v>8</v>
      </c>
      <c r="E1471" s="70" t="s">
        <v>69</v>
      </c>
      <c r="F1471" s="70" t="s">
        <v>70</v>
      </c>
      <c r="G1471" s="71">
        <v>538901083</v>
      </c>
      <c r="H1471" s="70" t="s">
        <v>68</v>
      </c>
    </row>
    <row r="1472" spans="1:8" ht="17.25" customHeight="1" x14ac:dyDescent="0.2">
      <c r="A1472" s="69">
        <v>2021</v>
      </c>
      <c r="B1472" s="70" t="s">
        <v>66</v>
      </c>
      <c r="C1472" s="70" t="s">
        <v>4</v>
      </c>
      <c r="D1472" s="70" t="s">
        <v>9</v>
      </c>
      <c r="E1472" s="70" t="s">
        <v>67</v>
      </c>
      <c r="F1472" s="70" t="s">
        <v>67</v>
      </c>
      <c r="G1472" s="71">
        <v>20636219924</v>
      </c>
      <c r="H1472" s="70" t="s">
        <v>68</v>
      </c>
    </row>
    <row r="1473" spans="1:8" ht="17.25" customHeight="1" x14ac:dyDescent="0.2">
      <c r="A1473" s="69">
        <v>2021</v>
      </c>
      <c r="B1473" s="70" t="s">
        <v>66</v>
      </c>
      <c r="C1473" s="70" t="s">
        <v>4</v>
      </c>
      <c r="D1473" s="70" t="s">
        <v>9</v>
      </c>
      <c r="E1473" s="70" t="s">
        <v>69</v>
      </c>
      <c r="F1473" s="70" t="s">
        <v>71</v>
      </c>
      <c r="G1473" s="71">
        <v>8547014422</v>
      </c>
      <c r="H1473" s="70" t="s">
        <v>68</v>
      </c>
    </row>
    <row r="1474" spans="1:8" ht="17.25" customHeight="1" x14ac:dyDescent="0.2">
      <c r="A1474" s="69">
        <v>2021</v>
      </c>
      <c r="B1474" s="70" t="s">
        <v>66</v>
      </c>
      <c r="C1474" s="70" t="s">
        <v>4</v>
      </c>
      <c r="D1474" s="70" t="s">
        <v>9</v>
      </c>
      <c r="E1474" s="70" t="s">
        <v>69</v>
      </c>
      <c r="F1474" s="70" t="s">
        <v>70</v>
      </c>
      <c r="G1474" s="71">
        <v>11798173167</v>
      </c>
      <c r="H1474" s="70" t="s">
        <v>68</v>
      </c>
    </row>
    <row r="1475" spans="1:8" ht="17.25" customHeight="1" x14ac:dyDescent="0.2">
      <c r="A1475" s="69">
        <v>2021</v>
      </c>
      <c r="B1475" s="70" t="s">
        <v>66</v>
      </c>
      <c r="C1475" s="70" t="s">
        <v>4</v>
      </c>
      <c r="D1475" s="70" t="s">
        <v>10</v>
      </c>
      <c r="E1475" s="70" t="s">
        <v>67</v>
      </c>
      <c r="F1475" s="70" t="s">
        <v>67</v>
      </c>
      <c r="G1475" s="71">
        <v>414388763</v>
      </c>
      <c r="H1475" s="70" t="s">
        <v>68</v>
      </c>
    </row>
    <row r="1476" spans="1:8" ht="17.25" customHeight="1" x14ac:dyDescent="0.2">
      <c r="A1476" s="69">
        <v>2021</v>
      </c>
      <c r="B1476" s="70" t="s">
        <v>66</v>
      </c>
      <c r="C1476" s="70" t="s">
        <v>4</v>
      </c>
      <c r="D1476" s="70" t="s">
        <v>10</v>
      </c>
      <c r="E1476" s="70" t="s">
        <v>69</v>
      </c>
      <c r="F1476" s="70" t="s">
        <v>71</v>
      </c>
      <c r="G1476" s="71">
        <v>279617237</v>
      </c>
      <c r="H1476" s="70" t="s">
        <v>68</v>
      </c>
    </row>
    <row r="1477" spans="1:8" ht="17.25" customHeight="1" x14ac:dyDescent="0.2">
      <c r="A1477" s="69">
        <v>2021</v>
      </c>
      <c r="B1477" s="70" t="s">
        <v>66</v>
      </c>
      <c r="C1477" s="70" t="s">
        <v>4</v>
      </c>
      <c r="D1477" s="70" t="s">
        <v>10</v>
      </c>
      <c r="E1477" s="70" t="s">
        <v>69</v>
      </c>
      <c r="F1477" s="70" t="s">
        <v>70</v>
      </c>
      <c r="G1477" s="71">
        <v>38129623</v>
      </c>
      <c r="H1477" s="70" t="s">
        <v>68</v>
      </c>
    </row>
    <row r="1478" spans="1:8" ht="17.25" customHeight="1" x14ac:dyDescent="0.2">
      <c r="A1478" s="69">
        <v>2021</v>
      </c>
      <c r="B1478" s="70" t="s">
        <v>66</v>
      </c>
      <c r="C1478" s="70" t="s">
        <v>4</v>
      </c>
      <c r="D1478" s="70" t="s">
        <v>11</v>
      </c>
      <c r="E1478" s="70" t="s">
        <v>67</v>
      </c>
      <c r="F1478" s="70" t="s">
        <v>67</v>
      </c>
      <c r="G1478" s="71">
        <v>1106204565</v>
      </c>
      <c r="H1478" s="70" t="s">
        <v>68</v>
      </c>
    </row>
    <row r="1479" spans="1:8" ht="17.25" customHeight="1" x14ac:dyDescent="0.2">
      <c r="A1479" s="69">
        <v>2021</v>
      </c>
      <c r="B1479" s="70" t="s">
        <v>66</v>
      </c>
      <c r="C1479" s="70" t="s">
        <v>4</v>
      </c>
      <c r="D1479" s="70" t="s">
        <v>11</v>
      </c>
      <c r="E1479" s="70" t="s">
        <v>69</v>
      </c>
      <c r="F1479" s="70" t="s">
        <v>71</v>
      </c>
      <c r="G1479" s="71">
        <v>478699435</v>
      </c>
      <c r="H1479" s="70" t="s">
        <v>68</v>
      </c>
    </row>
    <row r="1480" spans="1:8" ht="17.25" customHeight="1" x14ac:dyDescent="0.2">
      <c r="A1480" s="69">
        <v>2021</v>
      </c>
      <c r="B1480" s="70" t="s">
        <v>66</v>
      </c>
      <c r="C1480" s="70" t="s">
        <v>4</v>
      </c>
      <c r="D1480" s="70" t="s">
        <v>11</v>
      </c>
      <c r="E1480" s="70" t="s">
        <v>69</v>
      </c>
      <c r="F1480" s="70" t="s">
        <v>70</v>
      </c>
      <c r="G1480" s="71">
        <v>356723035</v>
      </c>
      <c r="H1480" s="70" t="s">
        <v>68</v>
      </c>
    </row>
    <row r="1481" spans="1:8" ht="17.25" customHeight="1" x14ac:dyDescent="0.2">
      <c r="A1481" s="69">
        <v>2021</v>
      </c>
      <c r="B1481" s="70" t="s">
        <v>66</v>
      </c>
      <c r="C1481" s="70" t="s">
        <v>4</v>
      </c>
      <c r="D1481" s="70" t="s">
        <v>12</v>
      </c>
      <c r="E1481" s="70" t="s">
        <v>67</v>
      </c>
      <c r="F1481" s="70" t="s">
        <v>67</v>
      </c>
      <c r="G1481" s="71">
        <v>952836392</v>
      </c>
      <c r="H1481" s="70" t="s">
        <v>68</v>
      </c>
    </row>
    <row r="1482" spans="1:8" ht="17.25" customHeight="1" x14ac:dyDescent="0.2">
      <c r="A1482" s="69">
        <v>2021</v>
      </c>
      <c r="B1482" s="70" t="s">
        <v>66</v>
      </c>
      <c r="C1482" s="70" t="s">
        <v>4</v>
      </c>
      <c r="D1482" s="70" t="s">
        <v>12</v>
      </c>
      <c r="E1482" s="70" t="s">
        <v>69</v>
      </c>
      <c r="F1482" s="70" t="s">
        <v>71</v>
      </c>
      <c r="G1482" s="71">
        <v>548326950</v>
      </c>
      <c r="H1482" s="70" t="s">
        <v>68</v>
      </c>
    </row>
    <row r="1483" spans="1:8" ht="17.25" customHeight="1" x14ac:dyDescent="0.2">
      <c r="A1483" s="69">
        <v>2021</v>
      </c>
      <c r="B1483" s="70" t="s">
        <v>66</v>
      </c>
      <c r="C1483" s="70" t="s">
        <v>4</v>
      </c>
      <c r="D1483" s="70" t="s">
        <v>12</v>
      </c>
      <c r="E1483" s="70" t="s">
        <v>69</v>
      </c>
      <c r="F1483" s="70" t="s">
        <v>70</v>
      </c>
      <c r="G1483" s="71">
        <v>660422611</v>
      </c>
      <c r="H1483" s="70" t="s">
        <v>68</v>
      </c>
    </row>
    <row r="1484" spans="1:8" ht="17.25" customHeight="1" x14ac:dyDescent="0.2">
      <c r="A1484" s="69">
        <v>2021</v>
      </c>
      <c r="B1484" s="70" t="s">
        <v>66</v>
      </c>
      <c r="C1484" s="70" t="s">
        <v>4</v>
      </c>
      <c r="D1484" s="70" t="s">
        <v>13</v>
      </c>
      <c r="E1484" s="70" t="s">
        <v>67</v>
      </c>
      <c r="F1484" s="70" t="s">
        <v>67</v>
      </c>
      <c r="G1484" s="71">
        <v>2843620291</v>
      </c>
      <c r="H1484" s="70" t="s">
        <v>68</v>
      </c>
    </row>
    <row r="1485" spans="1:8" ht="17.25" customHeight="1" x14ac:dyDescent="0.2">
      <c r="A1485" s="69">
        <v>2021</v>
      </c>
      <c r="B1485" s="70" t="s">
        <v>66</v>
      </c>
      <c r="C1485" s="70" t="s">
        <v>4</v>
      </c>
      <c r="D1485" s="70" t="s">
        <v>13</v>
      </c>
      <c r="E1485" s="70" t="s">
        <v>69</v>
      </c>
      <c r="F1485" s="70" t="s">
        <v>71</v>
      </c>
      <c r="G1485" s="71">
        <v>1011604699</v>
      </c>
      <c r="H1485" s="70" t="s">
        <v>68</v>
      </c>
    </row>
    <row r="1486" spans="1:8" ht="17.25" customHeight="1" x14ac:dyDescent="0.2">
      <c r="A1486" s="69">
        <v>2021</v>
      </c>
      <c r="B1486" s="70" t="s">
        <v>66</v>
      </c>
      <c r="C1486" s="70" t="s">
        <v>4</v>
      </c>
      <c r="D1486" s="70" t="s">
        <v>13</v>
      </c>
      <c r="E1486" s="70" t="s">
        <v>69</v>
      </c>
      <c r="F1486" s="70" t="s">
        <v>70</v>
      </c>
      <c r="G1486" s="71">
        <v>2701419514</v>
      </c>
      <c r="H1486" s="70" t="s">
        <v>68</v>
      </c>
    </row>
    <row r="1487" spans="1:8" ht="17.25" customHeight="1" x14ac:dyDescent="0.2">
      <c r="A1487" s="69">
        <v>2021</v>
      </c>
      <c r="B1487" s="70" t="s">
        <v>66</v>
      </c>
      <c r="C1487" s="70" t="s">
        <v>4</v>
      </c>
      <c r="D1487" s="70" t="s">
        <v>14</v>
      </c>
      <c r="E1487" s="70" t="s">
        <v>67</v>
      </c>
      <c r="F1487" s="70" t="s">
        <v>67</v>
      </c>
      <c r="G1487" s="71">
        <v>1043323792</v>
      </c>
      <c r="H1487" s="70" t="s">
        <v>68</v>
      </c>
    </row>
    <row r="1488" spans="1:8" ht="17.25" customHeight="1" x14ac:dyDescent="0.2">
      <c r="A1488" s="69">
        <v>2021</v>
      </c>
      <c r="B1488" s="70" t="s">
        <v>66</v>
      </c>
      <c r="C1488" s="70" t="s">
        <v>4</v>
      </c>
      <c r="D1488" s="70" t="s">
        <v>14</v>
      </c>
      <c r="E1488" s="70" t="s">
        <v>69</v>
      </c>
      <c r="F1488" s="70" t="s">
        <v>71</v>
      </c>
      <c r="G1488" s="71">
        <v>110625736</v>
      </c>
      <c r="H1488" s="70" t="s">
        <v>68</v>
      </c>
    </row>
    <row r="1489" spans="1:8" ht="17.25" customHeight="1" x14ac:dyDescent="0.2">
      <c r="A1489" s="69">
        <v>2021</v>
      </c>
      <c r="B1489" s="70" t="s">
        <v>66</v>
      </c>
      <c r="C1489" s="70" t="s">
        <v>4</v>
      </c>
      <c r="D1489" s="70" t="s">
        <v>14</v>
      </c>
      <c r="E1489" s="70" t="s">
        <v>69</v>
      </c>
      <c r="F1489" s="70" t="s">
        <v>70</v>
      </c>
      <c r="G1489" s="71">
        <v>999408648</v>
      </c>
      <c r="H1489" s="70" t="s">
        <v>68</v>
      </c>
    </row>
    <row r="1490" spans="1:8" ht="17.25" customHeight="1" x14ac:dyDescent="0.2">
      <c r="A1490" s="69">
        <v>2021</v>
      </c>
      <c r="B1490" s="70" t="s">
        <v>66</v>
      </c>
      <c r="C1490" s="70" t="s">
        <v>4</v>
      </c>
      <c r="D1490" s="70" t="s">
        <v>15</v>
      </c>
      <c r="E1490" s="70" t="s">
        <v>67</v>
      </c>
      <c r="F1490" s="70" t="s">
        <v>67</v>
      </c>
      <c r="G1490" s="71">
        <v>691219602</v>
      </c>
      <c r="H1490" s="70" t="s">
        <v>68</v>
      </c>
    </row>
    <row r="1491" spans="1:8" ht="17.25" customHeight="1" x14ac:dyDescent="0.2">
      <c r="A1491" s="69">
        <v>2021</v>
      </c>
      <c r="B1491" s="70" t="s">
        <v>66</v>
      </c>
      <c r="C1491" s="70" t="s">
        <v>4</v>
      </c>
      <c r="D1491" s="70" t="s">
        <v>15</v>
      </c>
      <c r="E1491" s="70" t="s">
        <v>69</v>
      </c>
      <c r="F1491" s="70" t="s">
        <v>71</v>
      </c>
      <c r="G1491" s="71">
        <v>427329276</v>
      </c>
      <c r="H1491" s="70" t="s">
        <v>68</v>
      </c>
    </row>
    <row r="1492" spans="1:8" ht="17.25" customHeight="1" x14ac:dyDescent="0.2">
      <c r="A1492" s="69">
        <v>2021</v>
      </c>
      <c r="B1492" s="70" t="s">
        <v>66</v>
      </c>
      <c r="C1492" s="70" t="s">
        <v>4</v>
      </c>
      <c r="D1492" s="70" t="s">
        <v>15</v>
      </c>
      <c r="E1492" s="70" t="s">
        <v>69</v>
      </c>
      <c r="F1492" s="70" t="s">
        <v>70</v>
      </c>
      <c r="G1492" s="71">
        <v>191321406</v>
      </c>
      <c r="H1492" s="70" t="s">
        <v>68</v>
      </c>
    </row>
    <row r="1493" spans="1:8" ht="17.25" customHeight="1" x14ac:dyDescent="0.2">
      <c r="A1493" s="69">
        <v>2021</v>
      </c>
      <c r="B1493" s="70" t="s">
        <v>66</v>
      </c>
      <c r="C1493" s="70" t="s">
        <v>17</v>
      </c>
      <c r="D1493" s="70" t="s">
        <v>16</v>
      </c>
      <c r="E1493" s="70" t="s">
        <v>67</v>
      </c>
      <c r="F1493" s="70" t="s">
        <v>67</v>
      </c>
      <c r="G1493" s="71">
        <v>388983991</v>
      </c>
      <c r="H1493" s="70" t="s">
        <v>68</v>
      </c>
    </row>
    <row r="1494" spans="1:8" ht="17.25" customHeight="1" x14ac:dyDescent="0.2">
      <c r="A1494" s="69">
        <v>2021</v>
      </c>
      <c r="B1494" s="70" t="s">
        <v>66</v>
      </c>
      <c r="C1494" s="70" t="s">
        <v>17</v>
      </c>
      <c r="D1494" s="70" t="s">
        <v>16</v>
      </c>
      <c r="E1494" s="70" t="s">
        <v>69</v>
      </c>
      <c r="F1494" s="70" t="s">
        <v>71</v>
      </c>
      <c r="G1494" s="71">
        <v>195508054</v>
      </c>
      <c r="H1494" s="70" t="s">
        <v>68</v>
      </c>
    </row>
    <row r="1495" spans="1:8" ht="17.25" customHeight="1" x14ac:dyDescent="0.2">
      <c r="A1495" s="69">
        <v>2021</v>
      </c>
      <c r="B1495" s="70" t="s">
        <v>66</v>
      </c>
      <c r="C1495" s="70" t="s">
        <v>17</v>
      </c>
      <c r="D1495" s="70" t="s">
        <v>16</v>
      </c>
      <c r="E1495" s="70" t="s">
        <v>69</v>
      </c>
      <c r="F1495" s="70" t="s">
        <v>70</v>
      </c>
      <c r="G1495" s="71">
        <v>81007719</v>
      </c>
      <c r="H1495" s="70" t="s">
        <v>68</v>
      </c>
    </row>
    <row r="1496" spans="1:8" ht="17.25" customHeight="1" x14ac:dyDescent="0.2">
      <c r="A1496" s="69">
        <v>2021</v>
      </c>
      <c r="B1496" s="70" t="s">
        <v>66</v>
      </c>
      <c r="C1496" s="70" t="s">
        <v>17</v>
      </c>
      <c r="D1496" s="70" t="s">
        <v>18</v>
      </c>
      <c r="E1496" s="70" t="s">
        <v>67</v>
      </c>
      <c r="F1496" s="70" t="s">
        <v>67</v>
      </c>
      <c r="G1496" s="71">
        <v>760499298</v>
      </c>
      <c r="H1496" s="70" t="s">
        <v>68</v>
      </c>
    </row>
    <row r="1497" spans="1:8" ht="17.25" customHeight="1" x14ac:dyDescent="0.2">
      <c r="A1497" s="69">
        <v>2021</v>
      </c>
      <c r="B1497" s="70" t="s">
        <v>66</v>
      </c>
      <c r="C1497" s="70" t="s">
        <v>17</v>
      </c>
      <c r="D1497" s="70" t="s">
        <v>18</v>
      </c>
      <c r="E1497" s="70" t="s">
        <v>69</v>
      </c>
      <c r="F1497" s="70" t="s">
        <v>71</v>
      </c>
      <c r="G1497" s="71">
        <v>488580461</v>
      </c>
      <c r="H1497" s="70" t="s">
        <v>68</v>
      </c>
    </row>
    <row r="1498" spans="1:8" ht="17.25" customHeight="1" x14ac:dyDescent="0.2">
      <c r="A1498" s="69">
        <v>2021</v>
      </c>
      <c r="B1498" s="70" t="s">
        <v>66</v>
      </c>
      <c r="C1498" s="70" t="s">
        <v>17</v>
      </c>
      <c r="D1498" s="70" t="s">
        <v>18</v>
      </c>
      <c r="E1498" s="70" t="s">
        <v>69</v>
      </c>
      <c r="F1498" s="70" t="s">
        <v>70</v>
      </c>
      <c r="G1498" s="71">
        <v>557653115</v>
      </c>
      <c r="H1498" s="70" t="s">
        <v>68</v>
      </c>
    </row>
    <row r="1499" spans="1:8" ht="17.25" customHeight="1" x14ac:dyDescent="0.2">
      <c r="A1499" s="69">
        <v>2021</v>
      </c>
      <c r="B1499" s="70" t="s">
        <v>66</v>
      </c>
      <c r="C1499" s="70" t="s">
        <v>17</v>
      </c>
      <c r="D1499" s="70" t="s">
        <v>19</v>
      </c>
      <c r="E1499" s="70" t="s">
        <v>67</v>
      </c>
      <c r="F1499" s="70" t="s">
        <v>67</v>
      </c>
      <c r="G1499" s="71">
        <v>2112508004</v>
      </c>
      <c r="H1499" s="70" t="s">
        <v>68</v>
      </c>
    </row>
    <row r="1500" spans="1:8" ht="17.25" customHeight="1" x14ac:dyDescent="0.2">
      <c r="A1500" s="69">
        <v>2021</v>
      </c>
      <c r="B1500" s="70" t="s">
        <v>66</v>
      </c>
      <c r="C1500" s="70" t="s">
        <v>17</v>
      </c>
      <c r="D1500" s="70" t="s">
        <v>19</v>
      </c>
      <c r="E1500" s="70" t="s">
        <v>69</v>
      </c>
      <c r="F1500" s="70" t="s">
        <v>71</v>
      </c>
      <c r="G1500" s="71">
        <v>1171651634</v>
      </c>
      <c r="H1500" s="70" t="s">
        <v>68</v>
      </c>
    </row>
    <row r="1501" spans="1:8" ht="17.25" customHeight="1" x14ac:dyDescent="0.2">
      <c r="A1501" s="69">
        <v>2021</v>
      </c>
      <c r="B1501" s="70" t="s">
        <v>66</v>
      </c>
      <c r="C1501" s="70" t="s">
        <v>17</v>
      </c>
      <c r="D1501" s="70" t="s">
        <v>19</v>
      </c>
      <c r="E1501" s="70" t="s">
        <v>69</v>
      </c>
      <c r="F1501" s="70" t="s">
        <v>70</v>
      </c>
      <c r="G1501" s="71">
        <v>681031418</v>
      </c>
      <c r="H1501" s="70" t="s">
        <v>68</v>
      </c>
    </row>
    <row r="1502" spans="1:8" ht="17.25" customHeight="1" x14ac:dyDescent="0.2">
      <c r="A1502" s="69">
        <v>2021</v>
      </c>
      <c r="B1502" s="70" t="s">
        <v>66</v>
      </c>
      <c r="C1502" s="70" t="s">
        <v>17</v>
      </c>
      <c r="D1502" s="70" t="s">
        <v>20</v>
      </c>
      <c r="E1502" s="70" t="s">
        <v>67</v>
      </c>
      <c r="F1502" s="70" t="s">
        <v>67</v>
      </c>
      <c r="G1502" s="71">
        <v>419275273</v>
      </c>
      <c r="H1502" s="70" t="s">
        <v>68</v>
      </c>
    </row>
    <row r="1503" spans="1:8" ht="17.25" customHeight="1" x14ac:dyDescent="0.2">
      <c r="A1503" s="69">
        <v>2021</v>
      </c>
      <c r="B1503" s="70" t="s">
        <v>66</v>
      </c>
      <c r="C1503" s="70" t="s">
        <v>17</v>
      </c>
      <c r="D1503" s="70" t="s">
        <v>20</v>
      </c>
      <c r="E1503" s="70" t="s">
        <v>69</v>
      </c>
      <c r="F1503" s="70" t="s">
        <v>71</v>
      </c>
      <c r="G1503" s="71">
        <v>338221693</v>
      </c>
      <c r="H1503" s="70" t="s">
        <v>68</v>
      </c>
    </row>
    <row r="1504" spans="1:8" ht="17.25" customHeight="1" x14ac:dyDescent="0.2">
      <c r="A1504" s="69">
        <v>2021</v>
      </c>
      <c r="B1504" s="70" t="s">
        <v>66</v>
      </c>
      <c r="C1504" s="70" t="s">
        <v>17</v>
      </c>
      <c r="D1504" s="70" t="s">
        <v>20</v>
      </c>
      <c r="E1504" s="70" t="s">
        <v>69</v>
      </c>
      <c r="F1504" s="70" t="s">
        <v>70</v>
      </c>
      <c r="G1504" s="71">
        <v>1794106616</v>
      </c>
      <c r="H1504" s="70" t="s">
        <v>68</v>
      </c>
    </row>
    <row r="1505" spans="1:8" ht="17.25" customHeight="1" x14ac:dyDescent="0.2">
      <c r="A1505" s="69">
        <v>2021</v>
      </c>
      <c r="B1505" s="70" t="s">
        <v>66</v>
      </c>
      <c r="C1505" s="70" t="s">
        <v>17</v>
      </c>
      <c r="D1505" s="70" t="s">
        <v>21</v>
      </c>
      <c r="E1505" s="70" t="s">
        <v>67</v>
      </c>
      <c r="F1505" s="70" t="s">
        <v>67</v>
      </c>
      <c r="G1505" s="71">
        <v>1593735190</v>
      </c>
      <c r="H1505" s="70" t="s">
        <v>68</v>
      </c>
    </row>
    <row r="1506" spans="1:8" ht="17.25" customHeight="1" x14ac:dyDescent="0.2">
      <c r="A1506" s="69">
        <v>2021</v>
      </c>
      <c r="B1506" s="70" t="s">
        <v>66</v>
      </c>
      <c r="C1506" s="70" t="s">
        <v>17</v>
      </c>
      <c r="D1506" s="70" t="s">
        <v>21</v>
      </c>
      <c r="E1506" s="70" t="s">
        <v>69</v>
      </c>
      <c r="F1506" s="70" t="s">
        <v>71</v>
      </c>
      <c r="G1506" s="71">
        <v>638054890</v>
      </c>
      <c r="H1506" s="70" t="s">
        <v>68</v>
      </c>
    </row>
    <row r="1507" spans="1:8" ht="17.25" customHeight="1" x14ac:dyDescent="0.2">
      <c r="A1507" s="69">
        <v>2021</v>
      </c>
      <c r="B1507" s="70" t="s">
        <v>66</v>
      </c>
      <c r="C1507" s="70" t="s">
        <v>17</v>
      </c>
      <c r="D1507" s="70" t="s">
        <v>21</v>
      </c>
      <c r="E1507" s="70" t="s">
        <v>69</v>
      </c>
      <c r="F1507" s="70" t="s">
        <v>70</v>
      </c>
      <c r="G1507" s="71">
        <v>714687044</v>
      </c>
      <c r="H1507" s="70" t="s">
        <v>68</v>
      </c>
    </row>
    <row r="1508" spans="1:8" ht="17.25" customHeight="1" x14ac:dyDescent="0.2">
      <c r="A1508" s="69">
        <v>2021</v>
      </c>
      <c r="B1508" s="70" t="s">
        <v>66</v>
      </c>
      <c r="C1508" s="70" t="s">
        <v>17</v>
      </c>
      <c r="D1508" s="70" t="s">
        <v>22</v>
      </c>
      <c r="E1508" s="70" t="s">
        <v>67</v>
      </c>
      <c r="F1508" s="70" t="s">
        <v>67</v>
      </c>
      <c r="G1508" s="71">
        <v>509904404</v>
      </c>
      <c r="H1508" s="70" t="s">
        <v>68</v>
      </c>
    </row>
    <row r="1509" spans="1:8" ht="17.25" customHeight="1" x14ac:dyDescent="0.2">
      <c r="A1509" s="69">
        <v>2021</v>
      </c>
      <c r="B1509" s="70" t="s">
        <v>66</v>
      </c>
      <c r="C1509" s="70" t="s">
        <v>17</v>
      </c>
      <c r="D1509" s="70" t="s">
        <v>22</v>
      </c>
      <c r="E1509" s="70" t="s">
        <v>69</v>
      </c>
      <c r="F1509" s="70" t="s">
        <v>71</v>
      </c>
      <c r="G1509" s="71">
        <v>319192037</v>
      </c>
      <c r="H1509" s="70" t="s">
        <v>68</v>
      </c>
    </row>
    <row r="1510" spans="1:8" ht="17.25" customHeight="1" x14ac:dyDescent="0.2">
      <c r="A1510" s="69">
        <v>2021</v>
      </c>
      <c r="B1510" s="70" t="s">
        <v>66</v>
      </c>
      <c r="C1510" s="70" t="s">
        <v>17</v>
      </c>
      <c r="D1510" s="70" t="s">
        <v>22</v>
      </c>
      <c r="E1510" s="70" t="s">
        <v>69</v>
      </c>
      <c r="F1510" s="70" t="s">
        <v>70</v>
      </c>
      <c r="G1510" s="71">
        <v>347871673</v>
      </c>
      <c r="H1510" s="70" t="s">
        <v>68</v>
      </c>
    </row>
    <row r="1511" spans="1:8" ht="17.25" customHeight="1" x14ac:dyDescent="0.2">
      <c r="A1511" s="69">
        <v>2021</v>
      </c>
      <c r="B1511" s="70" t="s">
        <v>66</v>
      </c>
      <c r="C1511" s="70" t="s">
        <v>17</v>
      </c>
      <c r="D1511" s="70" t="s">
        <v>23</v>
      </c>
      <c r="E1511" s="70" t="s">
        <v>67</v>
      </c>
      <c r="F1511" s="70" t="s">
        <v>67</v>
      </c>
      <c r="G1511" s="71">
        <v>630378755</v>
      </c>
      <c r="H1511" s="70" t="s">
        <v>68</v>
      </c>
    </row>
    <row r="1512" spans="1:8" ht="17.25" customHeight="1" x14ac:dyDescent="0.2">
      <c r="A1512" s="69">
        <v>2021</v>
      </c>
      <c r="B1512" s="70" t="s">
        <v>66</v>
      </c>
      <c r="C1512" s="70" t="s">
        <v>17</v>
      </c>
      <c r="D1512" s="70" t="s">
        <v>23</v>
      </c>
      <c r="E1512" s="70" t="s">
        <v>69</v>
      </c>
      <c r="F1512" s="70" t="s">
        <v>71</v>
      </c>
      <c r="G1512" s="71">
        <v>364017060</v>
      </c>
      <c r="H1512" s="70" t="s">
        <v>68</v>
      </c>
    </row>
    <row r="1513" spans="1:8" ht="17.25" customHeight="1" x14ac:dyDescent="0.2">
      <c r="A1513" s="69">
        <v>2021</v>
      </c>
      <c r="B1513" s="70" t="s">
        <v>66</v>
      </c>
      <c r="C1513" s="70" t="s">
        <v>17</v>
      </c>
      <c r="D1513" s="70" t="s">
        <v>23</v>
      </c>
      <c r="E1513" s="70" t="s">
        <v>69</v>
      </c>
      <c r="F1513" s="70" t="s">
        <v>70</v>
      </c>
      <c r="G1513" s="71">
        <v>219647915</v>
      </c>
      <c r="H1513" s="70" t="s">
        <v>68</v>
      </c>
    </row>
    <row r="1514" spans="1:8" ht="17.25" customHeight="1" x14ac:dyDescent="0.2">
      <c r="A1514" s="69">
        <v>2021</v>
      </c>
      <c r="B1514" s="70" t="s">
        <v>66</v>
      </c>
      <c r="C1514" s="70" t="s">
        <v>17</v>
      </c>
      <c r="D1514" s="70" t="s">
        <v>24</v>
      </c>
      <c r="E1514" s="70" t="s">
        <v>67</v>
      </c>
      <c r="F1514" s="70" t="s">
        <v>67</v>
      </c>
      <c r="G1514" s="71">
        <v>12796684634</v>
      </c>
      <c r="H1514" s="70" t="s">
        <v>68</v>
      </c>
    </row>
    <row r="1515" spans="1:8" ht="17.25" customHeight="1" x14ac:dyDescent="0.2">
      <c r="A1515" s="69">
        <v>2021</v>
      </c>
      <c r="B1515" s="70" t="s">
        <v>66</v>
      </c>
      <c r="C1515" s="70" t="s">
        <v>17</v>
      </c>
      <c r="D1515" s="70" t="s">
        <v>24</v>
      </c>
      <c r="E1515" s="70" t="s">
        <v>69</v>
      </c>
      <c r="F1515" s="70" t="s">
        <v>71</v>
      </c>
      <c r="G1515" s="71">
        <v>5039488735</v>
      </c>
      <c r="H1515" s="70" t="s">
        <v>68</v>
      </c>
    </row>
    <row r="1516" spans="1:8" ht="17.25" customHeight="1" x14ac:dyDescent="0.2">
      <c r="A1516" s="69">
        <v>2021</v>
      </c>
      <c r="B1516" s="70" t="s">
        <v>66</v>
      </c>
      <c r="C1516" s="70" t="s">
        <v>17</v>
      </c>
      <c r="D1516" s="70" t="s">
        <v>24</v>
      </c>
      <c r="E1516" s="70" t="s">
        <v>69</v>
      </c>
      <c r="F1516" s="70" t="s">
        <v>70</v>
      </c>
      <c r="G1516" s="71">
        <v>7124103279</v>
      </c>
      <c r="H1516" s="70" t="s">
        <v>68</v>
      </c>
    </row>
    <row r="1517" spans="1:8" ht="17.25" customHeight="1" x14ac:dyDescent="0.2">
      <c r="A1517" s="69">
        <v>2021</v>
      </c>
      <c r="B1517" s="70" t="s">
        <v>66</v>
      </c>
      <c r="C1517" s="70" t="s">
        <v>17</v>
      </c>
      <c r="D1517" s="70" t="s">
        <v>25</v>
      </c>
      <c r="E1517" s="70" t="s">
        <v>67</v>
      </c>
      <c r="F1517" s="70" t="s">
        <v>67</v>
      </c>
      <c r="G1517" s="71">
        <v>839885852</v>
      </c>
      <c r="H1517" s="70" t="s">
        <v>68</v>
      </c>
    </row>
    <row r="1518" spans="1:8" ht="17.25" customHeight="1" x14ac:dyDescent="0.2">
      <c r="A1518" s="69">
        <v>2021</v>
      </c>
      <c r="B1518" s="70" t="s">
        <v>66</v>
      </c>
      <c r="C1518" s="70" t="s">
        <v>17</v>
      </c>
      <c r="D1518" s="70" t="s">
        <v>25</v>
      </c>
      <c r="E1518" s="70" t="s">
        <v>69</v>
      </c>
      <c r="F1518" s="70" t="s">
        <v>71</v>
      </c>
      <c r="G1518" s="71">
        <v>293033685</v>
      </c>
      <c r="H1518" s="70" t="s">
        <v>68</v>
      </c>
    </row>
    <row r="1519" spans="1:8" ht="17.25" customHeight="1" x14ac:dyDescent="0.2">
      <c r="A1519" s="69">
        <v>2021</v>
      </c>
      <c r="B1519" s="70" t="s">
        <v>66</v>
      </c>
      <c r="C1519" s="70" t="s">
        <v>17</v>
      </c>
      <c r="D1519" s="70" t="s">
        <v>25</v>
      </c>
      <c r="E1519" s="70" t="s">
        <v>69</v>
      </c>
      <c r="F1519" s="70" t="s">
        <v>70</v>
      </c>
      <c r="G1519" s="71">
        <v>274100700</v>
      </c>
      <c r="H1519" s="70" t="s">
        <v>68</v>
      </c>
    </row>
    <row r="1520" spans="1:8" ht="17.25" customHeight="1" x14ac:dyDescent="0.2">
      <c r="A1520" s="69">
        <v>2021</v>
      </c>
      <c r="B1520" s="70" t="s">
        <v>66</v>
      </c>
      <c r="C1520" s="70" t="s">
        <v>27</v>
      </c>
      <c r="D1520" s="70" t="s">
        <v>26</v>
      </c>
      <c r="E1520" s="70" t="s">
        <v>67</v>
      </c>
      <c r="F1520" s="70" t="s">
        <v>67</v>
      </c>
      <c r="G1520" s="71">
        <v>18821891574</v>
      </c>
      <c r="H1520" s="70" t="s">
        <v>68</v>
      </c>
    </row>
    <row r="1521" spans="1:8" ht="17.25" customHeight="1" x14ac:dyDescent="0.2">
      <c r="A1521" s="69">
        <v>2021</v>
      </c>
      <c r="B1521" s="70" t="s">
        <v>66</v>
      </c>
      <c r="C1521" s="70" t="s">
        <v>27</v>
      </c>
      <c r="D1521" s="70" t="s">
        <v>26</v>
      </c>
      <c r="E1521" s="70" t="s">
        <v>69</v>
      </c>
      <c r="F1521" s="70" t="s">
        <v>71</v>
      </c>
      <c r="G1521" s="71">
        <v>4307716500</v>
      </c>
      <c r="H1521" s="70" t="s">
        <v>68</v>
      </c>
    </row>
    <row r="1522" spans="1:8" ht="17.25" customHeight="1" x14ac:dyDescent="0.2">
      <c r="A1522" s="69">
        <v>2021</v>
      </c>
      <c r="B1522" s="70" t="s">
        <v>66</v>
      </c>
      <c r="C1522" s="70" t="s">
        <v>27</v>
      </c>
      <c r="D1522" s="70" t="s">
        <v>26</v>
      </c>
      <c r="E1522" s="70" t="s">
        <v>69</v>
      </c>
      <c r="F1522" s="70" t="s">
        <v>70</v>
      </c>
      <c r="G1522" s="71">
        <v>12597616885</v>
      </c>
      <c r="H1522" s="70" t="s">
        <v>68</v>
      </c>
    </row>
    <row r="1523" spans="1:8" ht="17.25" customHeight="1" x14ac:dyDescent="0.2">
      <c r="A1523" s="69">
        <v>2021</v>
      </c>
      <c r="B1523" s="70" t="s">
        <v>66</v>
      </c>
      <c r="C1523" s="70" t="s">
        <v>27</v>
      </c>
      <c r="D1523" s="70" t="s">
        <v>28</v>
      </c>
      <c r="E1523" s="70" t="s">
        <v>67</v>
      </c>
      <c r="F1523" s="70" t="s">
        <v>67</v>
      </c>
      <c r="G1523" s="71">
        <v>15242555552</v>
      </c>
      <c r="H1523" s="70" t="s">
        <v>68</v>
      </c>
    </row>
    <row r="1524" spans="1:8" ht="17.25" customHeight="1" x14ac:dyDescent="0.2">
      <c r="A1524" s="69">
        <v>2021</v>
      </c>
      <c r="B1524" s="70" t="s">
        <v>66</v>
      </c>
      <c r="C1524" s="70" t="s">
        <v>27</v>
      </c>
      <c r="D1524" s="70" t="s">
        <v>28</v>
      </c>
      <c r="E1524" s="70" t="s">
        <v>69</v>
      </c>
      <c r="F1524" s="70" t="s">
        <v>71</v>
      </c>
      <c r="G1524" s="71">
        <v>6887097009</v>
      </c>
      <c r="H1524" s="70" t="s">
        <v>68</v>
      </c>
    </row>
    <row r="1525" spans="1:8" ht="17.25" customHeight="1" x14ac:dyDescent="0.2">
      <c r="A1525" s="69">
        <v>2021</v>
      </c>
      <c r="B1525" s="70" t="s">
        <v>66</v>
      </c>
      <c r="C1525" s="70" t="s">
        <v>27</v>
      </c>
      <c r="D1525" s="70" t="s">
        <v>28</v>
      </c>
      <c r="E1525" s="70" t="s">
        <v>69</v>
      </c>
      <c r="F1525" s="70" t="s">
        <v>70</v>
      </c>
      <c r="G1525" s="71">
        <v>12436641849</v>
      </c>
      <c r="H1525" s="70" t="s">
        <v>68</v>
      </c>
    </row>
    <row r="1526" spans="1:8" ht="17.25" customHeight="1" x14ac:dyDescent="0.2">
      <c r="A1526" s="69">
        <v>2021</v>
      </c>
      <c r="B1526" s="70" t="s">
        <v>66</v>
      </c>
      <c r="C1526" s="70" t="s">
        <v>27</v>
      </c>
      <c r="D1526" s="70" t="s">
        <v>29</v>
      </c>
      <c r="E1526" s="70" t="s">
        <v>67</v>
      </c>
      <c r="F1526" s="70" t="s">
        <v>67</v>
      </c>
      <c r="G1526" s="71">
        <v>6969188992</v>
      </c>
      <c r="H1526" s="70" t="s">
        <v>68</v>
      </c>
    </row>
    <row r="1527" spans="1:8" ht="17.25" customHeight="1" x14ac:dyDescent="0.2">
      <c r="A1527" s="69">
        <v>2021</v>
      </c>
      <c r="B1527" s="70" t="s">
        <v>66</v>
      </c>
      <c r="C1527" s="70" t="s">
        <v>27</v>
      </c>
      <c r="D1527" s="70" t="s">
        <v>29</v>
      </c>
      <c r="E1527" s="70" t="s">
        <v>69</v>
      </c>
      <c r="F1527" s="70" t="s">
        <v>71</v>
      </c>
      <c r="G1527" s="71">
        <v>3062564104</v>
      </c>
      <c r="H1527" s="70" t="s">
        <v>68</v>
      </c>
    </row>
    <row r="1528" spans="1:8" ht="17.25" customHeight="1" x14ac:dyDescent="0.2">
      <c r="A1528" s="69">
        <v>2021</v>
      </c>
      <c r="B1528" s="70" t="s">
        <v>66</v>
      </c>
      <c r="C1528" s="70" t="s">
        <v>27</v>
      </c>
      <c r="D1528" s="70" t="s">
        <v>29</v>
      </c>
      <c r="E1528" s="70" t="s">
        <v>69</v>
      </c>
      <c r="F1528" s="70" t="s">
        <v>70</v>
      </c>
      <c r="G1528" s="71">
        <v>4222546878</v>
      </c>
      <c r="H1528" s="70" t="s">
        <v>68</v>
      </c>
    </row>
    <row r="1529" spans="1:8" ht="17.25" customHeight="1" x14ac:dyDescent="0.2">
      <c r="A1529" s="69">
        <v>2021</v>
      </c>
      <c r="B1529" s="70" t="s">
        <v>66</v>
      </c>
      <c r="C1529" s="70" t="s">
        <v>27</v>
      </c>
      <c r="D1529" s="70" t="s">
        <v>30</v>
      </c>
      <c r="E1529" s="70" t="s">
        <v>67</v>
      </c>
      <c r="F1529" s="70" t="s">
        <v>67</v>
      </c>
      <c r="G1529" s="71">
        <v>16131237927</v>
      </c>
      <c r="H1529" s="70" t="s">
        <v>68</v>
      </c>
    </row>
    <row r="1530" spans="1:8" ht="17.25" customHeight="1" x14ac:dyDescent="0.2">
      <c r="A1530" s="69">
        <v>2021</v>
      </c>
      <c r="B1530" s="70" t="s">
        <v>66</v>
      </c>
      <c r="C1530" s="70" t="s">
        <v>27</v>
      </c>
      <c r="D1530" s="70" t="s">
        <v>30</v>
      </c>
      <c r="E1530" s="70" t="s">
        <v>69</v>
      </c>
      <c r="F1530" s="70" t="s">
        <v>71</v>
      </c>
      <c r="G1530" s="71">
        <v>6319916871</v>
      </c>
      <c r="H1530" s="70" t="s">
        <v>68</v>
      </c>
    </row>
    <row r="1531" spans="1:8" ht="17.25" customHeight="1" x14ac:dyDescent="0.2">
      <c r="A1531" s="69">
        <v>2021</v>
      </c>
      <c r="B1531" s="70" t="s">
        <v>66</v>
      </c>
      <c r="C1531" s="70" t="s">
        <v>27</v>
      </c>
      <c r="D1531" s="70" t="s">
        <v>30</v>
      </c>
      <c r="E1531" s="70" t="s">
        <v>69</v>
      </c>
      <c r="F1531" s="70" t="s">
        <v>70</v>
      </c>
      <c r="G1531" s="71">
        <v>15949684126</v>
      </c>
      <c r="H1531" s="70" t="s">
        <v>68</v>
      </c>
    </row>
    <row r="1532" spans="1:8" ht="17.25" customHeight="1" x14ac:dyDescent="0.2">
      <c r="A1532" s="69">
        <v>2021</v>
      </c>
      <c r="B1532" s="70" t="s">
        <v>66</v>
      </c>
      <c r="C1532" s="70" t="s">
        <v>27</v>
      </c>
      <c r="D1532" s="70" t="s">
        <v>31</v>
      </c>
      <c r="E1532" s="70" t="s">
        <v>67</v>
      </c>
      <c r="F1532" s="70" t="s">
        <v>67</v>
      </c>
      <c r="G1532" s="71">
        <v>3234216991</v>
      </c>
      <c r="H1532" s="70" t="s">
        <v>68</v>
      </c>
    </row>
    <row r="1533" spans="1:8" ht="17.25" customHeight="1" x14ac:dyDescent="0.2">
      <c r="A1533" s="69">
        <v>2021</v>
      </c>
      <c r="B1533" s="70" t="s">
        <v>66</v>
      </c>
      <c r="C1533" s="70" t="s">
        <v>27</v>
      </c>
      <c r="D1533" s="70" t="s">
        <v>31</v>
      </c>
      <c r="E1533" s="70" t="s">
        <v>69</v>
      </c>
      <c r="F1533" s="70" t="s">
        <v>71</v>
      </c>
      <c r="G1533" s="71">
        <v>2272964270</v>
      </c>
      <c r="H1533" s="70" t="s">
        <v>68</v>
      </c>
    </row>
    <row r="1534" spans="1:8" ht="17.25" customHeight="1" x14ac:dyDescent="0.2">
      <c r="A1534" s="69">
        <v>2021</v>
      </c>
      <c r="B1534" s="70" t="s">
        <v>66</v>
      </c>
      <c r="C1534" s="70" t="s">
        <v>27</v>
      </c>
      <c r="D1534" s="70" t="s">
        <v>31</v>
      </c>
      <c r="E1534" s="70" t="s">
        <v>69</v>
      </c>
      <c r="F1534" s="70" t="s">
        <v>70</v>
      </c>
      <c r="G1534" s="71">
        <v>4778083528</v>
      </c>
      <c r="H1534" s="70" t="s">
        <v>68</v>
      </c>
    </row>
    <row r="1535" spans="1:8" ht="17.25" customHeight="1" x14ac:dyDescent="0.2">
      <c r="A1535" s="69">
        <v>2021</v>
      </c>
      <c r="B1535" s="70" t="s">
        <v>66</v>
      </c>
      <c r="C1535" s="70" t="s">
        <v>27</v>
      </c>
      <c r="D1535" s="70" t="s">
        <v>32</v>
      </c>
      <c r="E1535" s="70" t="s">
        <v>67</v>
      </c>
      <c r="F1535" s="70" t="s">
        <v>67</v>
      </c>
      <c r="G1535" s="71">
        <v>7506945531</v>
      </c>
      <c r="H1535" s="70" t="s">
        <v>68</v>
      </c>
    </row>
    <row r="1536" spans="1:8" ht="17.25" customHeight="1" x14ac:dyDescent="0.2">
      <c r="A1536" s="69">
        <v>2021</v>
      </c>
      <c r="B1536" s="70" t="s">
        <v>66</v>
      </c>
      <c r="C1536" s="70" t="s">
        <v>27</v>
      </c>
      <c r="D1536" s="70" t="s">
        <v>32</v>
      </c>
      <c r="E1536" s="70" t="s">
        <v>69</v>
      </c>
      <c r="F1536" s="70" t="s">
        <v>71</v>
      </c>
      <c r="G1536" s="71">
        <v>4032385477</v>
      </c>
      <c r="H1536" s="70" t="s">
        <v>68</v>
      </c>
    </row>
    <row r="1537" spans="1:8" ht="17.25" customHeight="1" x14ac:dyDescent="0.2">
      <c r="A1537" s="69">
        <v>2021</v>
      </c>
      <c r="B1537" s="70" t="s">
        <v>66</v>
      </c>
      <c r="C1537" s="70" t="s">
        <v>27</v>
      </c>
      <c r="D1537" s="70" t="s">
        <v>32</v>
      </c>
      <c r="E1537" s="70" t="s">
        <v>69</v>
      </c>
      <c r="F1537" s="70" t="s">
        <v>70</v>
      </c>
      <c r="G1537" s="71">
        <v>4748332684</v>
      </c>
      <c r="H1537" s="70" t="s">
        <v>68</v>
      </c>
    </row>
    <row r="1538" spans="1:8" ht="17.25" customHeight="1" x14ac:dyDescent="0.2">
      <c r="A1538" s="69">
        <v>2021</v>
      </c>
      <c r="B1538" s="70" t="s">
        <v>66</v>
      </c>
      <c r="C1538" s="70" t="s">
        <v>27</v>
      </c>
      <c r="D1538" s="70" t="s">
        <v>33</v>
      </c>
      <c r="E1538" s="70" t="s">
        <v>67</v>
      </c>
      <c r="F1538" s="70" t="s">
        <v>67</v>
      </c>
      <c r="G1538" s="71">
        <v>6930935488</v>
      </c>
      <c r="H1538" s="70" t="s">
        <v>68</v>
      </c>
    </row>
    <row r="1539" spans="1:8" ht="17.25" customHeight="1" x14ac:dyDescent="0.2">
      <c r="A1539" s="69">
        <v>2021</v>
      </c>
      <c r="B1539" s="70" t="s">
        <v>66</v>
      </c>
      <c r="C1539" s="70" t="s">
        <v>27</v>
      </c>
      <c r="D1539" s="70" t="s">
        <v>33</v>
      </c>
      <c r="E1539" s="70" t="s">
        <v>69</v>
      </c>
      <c r="F1539" s="70" t="s">
        <v>71</v>
      </c>
      <c r="G1539" s="71">
        <v>5726751049</v>
      </c>
      <c r="H1539" s="70" t="s">
        <v>68</v>
      </c>
    </row>
    <row r="1540" spans="1:8" ht="17.25" customHeight="1" x14ac:dyDescent="0.2">
      <c r="A1540" s="69">
        <v>2021</v>
      </c>
      <c r="B1540" s="70" t="s">
        <v>66</v>
      </c>
      <c r="C1540" s="70" t="s">
        <v>27</v>
      </c>
      <c r="D1540" s="70" t="s">
        <v>33</v>
      </c>
      <c r="E1540" s="70" t="s">
        <v>69</v>
      </c>
      <c r="F1540" s="70" t="s">
        <v>70</v>
      </c>
      <c r="G1540" s="71">
        <v>12463135337</v>
      </c>
      <c r="H1540" s="70" t="s">
        <v>68</v>
      </c>
    </row>
    <row r="1541" spans="1:8" ht="17.25" customHeight="1" x14ac:dyDescent="0.2">
      <c r="A1541" s="69">
        <v>2021</v>
      </c>
      <c r="B1541" s="70" t="s">
        <v>66</v>
      </c>
      <c r="C1541" s="70" t="s">
        <v>35</v>
      </c>
      <c r="D1541" s="70" t="s">
        <v>34</v>
      </c>
      <c r="E1541" s="70" t="s">
        <v>67</v>
      </c>
      <c r="F1541" s="70" t="s">
        <v>67</v>
      </c>
      <c r="G1541" s="71">
        <v>1750507356</v>
      </c>
      <c r="H1541" s="70" t="s">
        <v>68</v>
      </c>
    </row>
    <row r="1542" spans="1:8" ht="17.25" customHeight="1" x14ac:dyDescent="0.2">
      <c r="A1542" s="69">
        <v>2021</v>
      </c>
      <c r="B1542" s="70" t="s">
        <v>66</v>
      </c>
      <c r="C1542" s="70" t="s">
        <v>35</v>
      </c>
      <c r="D1542" s="70" t="s">
        <v>34</v>
      </c>
      <c r="E1542" s="70" t="s">
        <v>69</v>
      </c>
      <c r="F1542" s="70" t="s">
        <v>71</v>
      </c>
      <c r="G1542" s="71">
        <v>490471631</v>
      </c>
      <c r="H1542" s="70" t="s">
        <v>68</v>
      </c>
    </row>
    <row r="1543" spans="1:8" ht="17.25" customHeight="1" x14ac:dyDescent="0.2">
      <c r="A1543" s="69">
        <v>2021</v>
      </c>
      <c r="B1543" s="70" t="s">
        <v>66</v>
      </c>
      <c r="C1543" s="70" t="s">
        <v>35</v>
      </c>
      <c r="D1543" s="70" t="s">
        <v>34</v>
      </c>
      <c r="E1543" s="70" t="s">
        <v>69</v>
      </c>
      <c r="F1543" s="70" t="s">
        <v>70</v>
      </c>
      <c r="G1543" s="71">
        <v>460421254</v>
      </c>
      <c r="H1543" s="70" t="s">
        <v>68</v>
      </c>
    </row>
    <row r="1544" spans="1:8" ht="17.25" customHeight="1" x14ac:dyDescent="0.2">
      <c r="A1544" s="69">
        <v>2021</v>
      </c>
      <c r="B1544" s="70" t="s">
        <v>66</v>
      </c>
      <c r="C1544" s="70" t="s">
        <v>35</v>
      </c>
      <c r="D1544" s="70" t="s">
        <v>36</v>
      </c>
      <c r="E1544" s="70" t="s">
        <v>67</v>
      </c>
      <c r="F1544" s="70" t="s">
        <v>67</v>
      </c>
      <c r="G1544" s="71">
        <v>5154123250</v>
      </c>
      <c r="H1544" s="70" t="s">
        <v>68</v>
      </c>
    </row>
    <row r="1545" spans="1:8" ht="17.25" customHeight="1" x14ac:dyDescent="0.2">
      <c r="A1545" s="69">
        <v>2021</v>
      </c>
      <c r="B1545" s="70" t="s">
        <v>66</v>
      </c>
      <c r="C1545" s="70" t="s">
        <v>35</v>
      </c>
      <c r="D1545" s="70" t="s">
        <v>36</v>
      </c>
      <c r="E1545" s="70" t="s">
        <v>69</v>
      </c>
      <c r="F1545" s="70" t="s">
        <v>71</v>
      </c>
      <c r="G1545" s="71">
        <v>2612156135</v>
      </c>
      <c r="H1545" s="70" t="s">
        <v>68</v>
      </c>
    </row>
    <row r="1546" spans="1:8" ht="17.25" customHeight="1" x14ac:dyDescent="0.2">
      <c r="A1546" s="69">
        <v>2021</v>
      </c>
      <c r="B1546" s="70" t="s">
        <v>66</v>
      </c>
      <c r="C1546" s="70" t="s">
        <v>35</v>
      </c>
      <c r="D1546" s="70" t="s">
        <v>36</v>
      </c>
      <c r="E1546" s="70" t="s">
        <v>69</v>
      </c>
      <c r="F1546" s="70" t="s">
        <v>70</v>
      </c>
      <c r="G1546" s="71">
        <v>2025932140</v>
      </c>
      <c r="H1546" s="70" t="s">
        <v>68</v>
      </c>
    </row>
    <row r="1547" spans="1:8" ht="17.25" customHeight="1" x14ac:dyDescent="0.2">
      <c r="A1547" s="69">
        <v>2021</v>
      </c>
      <c r="B1547" s="70" t="s">
        <v>66</v>
      </c>
      <c r="C1547" s="70" t="s">
        <v>35</v>
      </c>
      <c r="D1547" s="70" t="s">
        <v>37</v>
      </c>
      <c r="E1547" s="70" t="s">
        <v>67</v>
      </c>
      <c r="F1547" s="70" t="s">
        <v>67</v>
      </c>
      <c r="G1547" s="71">
        <v>1469751589</v>
      </c>
      <c r="H1547" s="70" t="s">
        <v>68</v>
      </c>
    </row>
    <row r="1548" spans="1:8" ht="17.25" customHeight="1" x14ac:dyDescent="0.2">
      <c r="A1548" s="69">
        <v>2021</v>
      </c>
      <c r="B1548" s="70" t="s">
        <v>66</v>
      </c>
      <c r="C1548" s="70" t="s">
        <v>35</v>
      </c>
      <c r="D1548" s="70" t="s">
        <v>37</v>
      </c>
      <c r="E1548" s="70" t="s">
        <v>69</v>
      </c>
      <c r="F1548" s="70" t="s">
        <v>71</v>
      </c>
      <c r="G1548" s="71">
        <v>538053460</v>
      </c>
      <c r="H1548" s="70" t="s">
        <v>68</v>
      </c>
    </row>
    <row r="1549" spans="1:8" ht="17.25" customHeight="1" x14ac:dyDescent="0.2">
      <c r="A1549" s="69">
        <v>2021</v>
      </c>
      <c r="B1549" s="70" t="s">
        <v>66</v>
      </c>
      <c r="C1549" s="70" t="s">
        <v>35</v>
      </c>
      <c r="D1549" s="70" t="s">
        <v>37</v>
      </c>
      <c r="E1549" s="70" t="s">
        <v>69</v>
      </c>
      <c r="F1549" s="70" t="s">
        <v>70</v>
      </c>
      <c r="G1549" s="71">
        <v>578826046</v>
      </c>
      <c r="H1549" s="70" t="s">
        <v>68</v>
      </c>
    </row>
    <row r="1550" spans="1:8" ht="17.25" customHeight="1" x14ac:dyDescent="0.2">
      <c r="A1550" s="69">
        <v>2021</v>
      </c>
      <c r="B1550" s="70" t="s">
        <v>66</v>
      </c>
      <c r="C1550" s="70" t="s">
        <v>35</v>
      </c>
      <c r="D1550" s="70" t="s">
        <v>38</v>
      </c>
      <c r="E1550" s="70" t="s">
        <v>67</v>
      </c>
      <c r="F1550" s="70" t="s">
        <v>67</v>
      </c>
      <c r="G1550" s="71">
        <v>2006015002</v>
      </c>
      <c r="H1550" s="70" t="s">
        <v>68</v>
      </c>
    </row>
    <row r="1551" spans="1:8" ht="17.25" customHeight="1" x14ac:dyDescent="0.2">
      <c r="A1551" s="69">
        <v>2021</v>
      </c>
      <c r="B1551" s="70" t="s">
        <v>66</v>
      </c>
      <c r="C1551" s="70" t="s">
        <v>35</v>
      </c>
      <c r="D1551" s="70" t="s">
        <v>38</v>
      </c>
      <c r="E1551" s="70" t="s">
        <v>69</v>
      </c>
      <c r="F1551" s="70" t="s">
        <v>71</v>
      </c>
      <c r="G1551" s="71">
        <v>682595516</v>
      </c>
      <c r="H1551" s="70" t="s">
        <v>68</v>
      </c>
    </row>
    <row r="1552" spans="1:8" ht="17.25" customHeight="1" x14ac:dyDescent="0.2">
      <c r="A1552" s="69">
        <v>2021</v>
      </c>
      <c r="B1552" s="70" t="s">
        <v>66</v>
      </c>
      <c r="C1552" s="70" t="s">
        <v>35</v>
      </c>
      <c r="D1552" s="70" t="s">
        <v>38</v>
      </c>
      <c r="E1552" s="70" t="s">
        <v>69</v>
      </c>
      <c r="F1552" s="70" t="s">
        <v>70</v>
      </c>
      <c r="G1552" s="71">
        <v>791299486</v>
      </c>
      <c r="H1552" s="70" t="s">
        <v>68</v>
      </c>
    </row>
    <row r="1553" spans="1:8" ht="17.25" customHeight="1" x14ac:dyDescent="0.2">
      <c r="A1553" s="69">
        <v>2021</v>
      </c>
      <c r="B1553" s="70" t="s">
        <v>66</v>
      </c>
      <c r="C1553" s="70" t="s">
        <v>35</v>
      </c>
      <c r="D1553" s="70" t="s">
        <v>39</v>
      </c>
      <c r="E1553" s="70" t="s">
        <v>67</v>
      </c>
      <c r="F1553" s="70" t="s">
        <v>67</v>
      </c>
      <c r="G1553" s="71">
        <v>10331268148</v>
      </c>
      <c r="H1553" s="70" t="s">
        <v>68</v>
      </c>
    </row>
    <row r="1554" spans="1:8" ht="17.25" customHeight="1" x14ac:dyDescent="0.2">
      <c r="A1554" s="69">
        <v>2021</v>
      </c>
      <c r="B1554" s="70" t="s">
        <v>66</v>
      </c>
      <c r="C1554" s="70" t="s">
        <v>35</v>
      </c>
      <c r="D1554" s="70" t="s">
        <v>39</v>
      </c>
      <c r="E1554" s="70" t="s">
        <v>69</v>
      </c>
      <c r="F1554" s="70" t="s">
        <v>71</v>
      </c>
      <c r="G1554" s="71">
        <v>4719493922</v>
      </c>
      <c r="H1554" s="70" t="s">
        <v>68</v>
      </c>
    </row>
    <row r="1555" spans="1:8" ht="17.25" customHeight="1" x14ac:dyDescent="0.2">
      <c r="A1555" s="69">
        <v>2021</v>
      </c>
      <c r="B1555" s="70" t="s">
        <v>66</v>
      </c>
      <c r="C1555" s="70" t="s">
        <v>35</v>
      </c>
      <c r="D1555" s="70" t="s">
        <v>39</v>
      </c>
      <c r="E1555" s="70" t="s">
        <v>69</v>
      </c>
      <c r="F1555" s="70" t="s">
        <v>70</v>
      </c>
      <c r="G1555" s="71">
        <v>4132944722</v>
      </c>
      <c r="H1555" s="70" t="s">
        <v>68</v>
      </c>
    </row>
    <row r="1556" spans="1:8" ht="17.25" customHeight="1" x14ac:dyDescent="0.2">
      <c r="A1556" s="69">
        <v>2021</v>
      </c>
      <c r="B1556" s="70" t="s">
        <v>66</v>
      </c>
      <c r="C1556" s="70" t="s">
        <v>41</v>
      </c>
      <c r="D1556" s="70" t="s">
        <v>40</v>
      </c>
      <c r="E1556" s="70" t="s">
        <v>67</v>
      </c>
      <c r="F1556" s="70" t="s">
        <v>67</v>
      </c>
      <c r="G1556" s="71">
        <v>1257720109</v>
      </c>
      <c r="H1556" s="70" t="s">
        <v>68</v>
      </c>
    </row>
    <row r="1557" spans="1:8" ht="17.25" customHeight="1" x14ac:dyDescent="0.2">
      <c r="A1557" s="69">
        <v>2021</v>
      </c>
      <c r="B1557" s="70" t="s">
        <v>66</v>
      </c>
      <c r="C1557" s="70" t="s">
        <v>41</v>
      </c>
      <c r="D1557" s="70" t="s">
        <v>40</v>
      </c>
      <c r="E1557" s="70" t="s">
        <v>69</v>
      </c>
      <c r="F1557" s="70" t="s">
        <v>71</v>
      </c>
      <c r="G1557" s="71">
        <v>276974680</v>
      </c>
      <c r="H1557" s="70" t="s">
        <v>68</v>
      </c>
    </row>
    <row r="1558" spans="1:8" ht="17.25" customHeight="1" x14ac:dyDescent="0.2">
      <c r="A1558" s="69">
        <v>2021</v>
      </c>
      <c r="B1558" s="70" t="s">
        <v>66</v>
      </c>
      <c r="C1558" s="70" t="s">
        <v>41</v>
      </c>
      <c r="D1558" s="70" t="s">
        <v>40</v>
      </c>
      <c r="E1558" s="70" t="s">
        <v>69</v>
      </c>
      <c r="F1558" s="70" t="s">
        <v>70</v>
      </c>
      <c r="G1558" s="71">
        <v>302687968</v>
      </c>
      <c r="H1558" s="70" t="s">
        <v>68</v>
      </c>
    </row>
    <row r="1559" spans="1:8" ht="17.25" customHeight="1" x14ac:dyDescent="0.2">
      <c r="A1559" s="69">
        <v>2021</v>
      </c>
      <c r="B1559" s="70" t="s">
        <v>66</v>
      </c>
      <c r="C1559" s="70" t="s">
        <v>41</v>
      </c>
      <c r="D1559" s="70" t="s">
        <v>42</v>
      </c>
      <c r="E1559" s="70" t="s">
        <v>67</v>
      </c>
      <c r="F1559" s="70" t="s">
        <v>67</v>
      </c>
      <c r="G1559" s="71">
        <v>4561149107</v>
      </c>
      <c r="H1559" s="70" t="s">
        <v>68</v>
      </c>
    </row>
    <row r="1560" spans="1:8" ht="17.25" customHeight="1" x14ac:dyDescent="0.2">
      <c r="A1560" s="69">
        <v>2021</v>
      </c>
      <c r="B1560" s="70" t="s">
        <v>66</v>
      </c>
      <c r="C1560" s="70" t="s">
        <v>41</v>
      </c>
      <c r="D1560" s="70" t="s">
        <v>42</v>
      </c>
      <c r="E1560" s="70" t="s">
        <v>69</v>
      </c>
      <c r="F1560" s="70" t="s">
        <v>71</v>
      </c>
      <c r="G1560" s="71">
        <v>707657423</v>
      </c>
      <c r="H1560" s="70" t="s">
        <v>68</v>
      </c>
    </row>
    <row r="1561" spans="1:8" ht="17.25" customHeight="1" x14ac:dyDescent="0.2">
      <c r="A1561" s="69">
        <v>2021</v>
      </c>
      <c r="B1561" s="70" t="s">
        <v>66</v>
      </c>
      <c r="C1561" s="70" t="s">
        <v>41</v>
      </c>
      <c r="D1561" s="70" t="s">
        <v>42</v>
      </c>
      <c r="E1561" s="70" t="s">
        <v>69</v>
      </c>
      <c r="F1561" s="70" t="s">
        <v>70</v>
      </c>
      <c r="G1561" s="71">
        <v>2244004809</v>
      </c>
      <c r="H1561" s="70" t="s">
        <v>68</v>
      </c>
    </row>
    <row r="1562" spans="1:8" ht="17.25" customHeight="1" x14ac:dyDescent="0.2">
      <c r="A1562" s="69">
        <v>2021</v>
      </c>
      <c r="B1562" s="70" t="s">
        <v>66</v>
      </c>
      <c r="C1562" s="70" t="s">
        <v>41</v>
      </c>
      <c r="D1562" s="70" t="s">
        <v>43</v>
      </c>
      <c r="E1562" s="70" t="s">
        <v>67</v>
      </c>
      <c r="F1562" s="70" t="s">
        <v>67</v>
      </c>
      <c r="G1562" s="71">
        <v>3439849020</v>
      </c>
      <c r="H1562" s="70" t="s">
        <v>68</v>
      </c>
    </row>
    <row r="1563" spans="1:8" ht="17.25" customHeight="1" x14ac:dyDescent="0.2">
      <c r="A1563" s="69">
        <v>2021</v>
      </c>
      <c r="B1563" s="70" t="s">
        <v>66</v>
      </c>
      <c r="C1563" s="70" t="s">
        <v>41</v>
      </c>
      <c r="D1563" s="70" t="s">
        <v>43</v>
      </c>
      <c r="E1563" s="70" t="s">
        <v>69</v>
      </c>
      <c r="F1563" s="70" t="s">
        <v>71</v>
      </c>
      <c r="G1563" s="71">
        <v>923491422</v>
      </c>
      <c r="H1563" s="70" t="s">
        <v>68</v>
      </c>
    </row>
    <row r="1564" spans="1:8" ht="17.25" customHeight="1" x14ac:dyDescent="0.2">
      <c r="A1564" s="69">
        <v>2021</v>
      </c>
      <c r="B1564" s="70" t="s">
        <v>66</v>
      </c>
      <c r="C1564" s="70" t="s">
        <v>41</v>
      </c>
      <c r="D1564" s="70" t="s">
        <v>43</v>
      </c>
      <c r="E1564" s="70" t="s">
        <v>69</v>
      </c>
      <c r="F1564" s="70" t="s">
        <v>70</v>
      </c>
      <c r="G1564" s="71">
        <v>1091099803</v>
      </c>
      <c r="H1564" s="70" t="s">
        <v>68</v>
      </c>
    </row>
    <row r="1565" spans="1:8" ht="17.25" customHeight="1" x14ac:dyDescent="0.2">
      <c r="A1565" s="69">
        <v>2021</v>
      </c>
      <c r="B1565" s="70" t="s">
        <v>66</v>
      </c>
      <c r="C1565" s="70" t="s">
        <v>41</v>
      </c>
      <c r="D1565" s="70" t="s">
        <v>44</v>
      </c>
      <c r="E1565" s="70" t="s">
        <v>67</v>
      </c>
      <c r="F1565" s="70" t="s">
        <v>67</v>
      </c>
      <c r="G1565" s="71">
        <v>4231019362</v>
      </c>
      <c r="H1565" s="70" t="s">
        <v>68</v>
      </c>
    </row>
    <row r="1566" spans="1:8" ht="17.25" customHeight="1" x14ac:dyDescent="0.2">
      <c r="A1566" s="69">
        <v>2021</v>
      </c>
      <c r="B1566" s="70" t="s">
        <v>66</v>
      </c>
      <c r="C1566" s="70" t="s">
        <v>41</v>
      </c>
      <c r="D1566" s="70" t="s">
        <v>44</v>
      </c>
      <c r="E1566" s="70" t="s">
        <v>69</v>
      </c>
      <c r="F1566" s="70" t="s">
        <v>71</v>
      </c>
      <c r="G1566" s="71">
        <v>1506231450</v>
      </c>
      <c r="H1566" s="70" t="s">
        <v>68</v>
      </c>
    </row>
    <row r="1567" spans="1:8" ht="17.25" customHeight="1" x14ac:dyDescent="0.2">
      <c r="A1567" s="69">
        <v>2021</v>
      </c>
      <c r="B1567" s="70" t="s">
        <v>66</v>
      </c>
      <c r="C1567" s="70" t="s">
        <v>41</v>
      </c>
      <c r="D1567" s="70" t="s">
        <v>44</v>
      </c>
      <c r="E1567" s="70" t="s">
        <v>69</v>
      </c>
      <c r="F1567" s="70" t="s">
        <v>70</v>
      </c>
      <c r="G1567" s="71">
        <v>1377359005</v>
      </c>
      <c r="H1567" s="70" t="s">
        <v>68</v>
      </c>
    </row>
    <row r="1568" spans="1:8" ht="17.25" customHeight="1" x14ac:dyDescent="0.2">
      <c r="A1568" s="69">
        <v>2021</v>
      </c>
      <c r="B1568" s="70" t="s">
        <v>66</v>
      </c>
      <c r="C1568" s="70" t="s">
        <v>41</v>
      </c>
      <c r="D1568" s="70" t="s">
        <v>45</v>
      </c>
      <c r="E1568" s="70" t="s">
        <v>67</v>
      </c>
      <c r="F1568" s="70" t="s">
        <v>67</v>
      </c>
      <c r="G1568" s="71">
        <v>10891714658</v>
      </c>
      <c r="H1568" s="70" t="s">
        <v>68</v>
      </c>
    </row>
    <row r="1569" spans="1:8" ht="17.25" customHeight="1" x14ac:dyDescent="0.2">
      <c r="A1569" s="69">
        <v>2021</v>
      </c>
      <c r="B1569" s="70" t="s">
        <v>66</v>
      </c>
      <c r="C1569" s="70" t="s">
        <v>41</v>
      </c>
      <c r="D1569" s="70" t="s">
        <v>45</v>
      </c>
      <c r="E1569" s="70" t="s">
        <v>69</v>
      </c>
      <c r="F1569" s="70" t="s">
        <v>71</v>
      </c>
      <c r="G1569" s="71">
        <v>3443036641</v>
      </c>
      <c r="H1569" s="70" t="s">
        <v>68</v>
      </c>
    </row>
    <row r="1570" spans="1:8" ht="17.25" customHeight="1" x14ac:dyDescent="0.2">
      <c r="A1570" s="69">
        <v>2021</v>
      </c>
      <c r="B1570" s="70" t="s">
        <v>66</v>
      </c>
      <c r="C1570" s="70" t="s">
        <v>41</v>
      </c>
      <c r="D1570" s="70" t="s">
        <v>45</v>
      </c>
      <c r="E1570" s="70" t="s">
        <v>69</v>
      </c>
      <c r="F1570" s="70" t="s">
        <v>70</v>
      </c>
      <c r="G1570" s="71">
        <v>5683378981</v>
      </c>
      <c r="H1570" s="70" t="s">
        <v>68</v>
      </c>
    </row>
    <row r="1571" spans="1:8" ht="17.25" customHeight="1" x14ac:dyDescent="0.2">
      <c r="A1571" s="69">
        <v>2021</v>
      </c>
      <c r="B1571" s="70" t="s">
        <v>66</v>
      </c>
      <c r="C1571" s="70" t="s">
        <v>47</v>
      </c>
      <c r="D1571" s="70" t="s">
        <v>46</v>
      </c>
      <c r="E1571" s="70" t="s">
        <v>72</v>
      </c>
      <c r="F1571" s="70" t="s">
        <v>73</v>
      </c>
      <c r="G1571" s="71">
        <v>5721941494</v>
      </c>
      <c r="H1571" s="70" t="s">
        <v>68</v>
      </c>
    </row>
    <row r="1572" spans="1:8" ht="17.25" customHeight="1" x14ac:dyDescent="0.2">
      <c r="A1572" s="69">
        <v>2021</v>
      </c>
      <c r="B1572" s="70" t="s">
        <v>66</v>
      </c>
      <c r="C1572" s="70" t="s">
        <v>47</v>
      </c>
      <c r="D1572" s="70" t="s">
        <v>46</v>
      </c>
      <c r="E1572" s="70" t="s">
        <v>67</v>
      </c>
      <c r="F1572" s="70" t="s">
        <v>74</v>
      </c>
      <c r="G1572" s="71">
        <v>1381302295</v>
      </c>
      <c r="H1572" s="70" t="s">
        <v>68</v>
      </c>
    </row>
    <row r="1573" spans="1:8" ht="17.25" customHeight="1" x14ac:dyDescent="0.2">
      <c r="A1573" s="69">
        <v>2021</v>
      </c>
      <c r="B1573" s="70" t="s">
        <v>66</v>
      </c>
      <c r="C1573" s="70" t="s">
        <v>47</v>
      </c>
      <c r="D1573" s="70" t="s">
        <v>46</v>
      </c>
      <c r="E1573" s="70" t="s">
        <v>69</v>
      </c>
      <c r="F1573" s="70" t="s">
        <v>71</v>
      </c>
      <c r="G1573" s="71">
        <v>3975668896</v>
      </c>
      <c r="H1573" s="70" t="s">
        <v>68</v>
      </c>
    </row>
    <row r="1574" spans="1:8" ht="17.25" customHeight="1" x14ac:dyDescent="0.2">
      <c r="A1574" s="69">
        <v>2021</v>
      </c>
      <c r="B1574" s="70" t="s">
        <v>66</v>
      </c>
      <c r="C1574" s="70" t="s">
        <v>47</v>
      </c>
      <c r="D1574" s="70" t="s">
        <v>46</v>
      </c>
      <c r="E1574" s="70" t="s">
        <v>69</v>
      </c>
      <c r="F1574" s="70" t="s">
        <v>70</v>
      </c>
      <c r="G1574" s="71">
        <v>4768089696</v>
      </c>
      <c r="H1574" s="70" t="s">
        <v>68</v>
      </c>
    </row>
    <row r="1575" spans="1:8" ht="17.25" customHeight="1" x14ac:dyDescent="0.2">
      <c r="A1575" s="69">
        <v>2021</v>
      </c>
      <c r="B1575" s="70" t="s">
        <v>66</v>
      </c>
      <c r="C1575" s="70" t="s">
        <v>47</v>
      </c>
      <c r="D1575" s="70" t="s">
        <v>48</v>
      </c>
      <c r="E1575" s="70" t="s">
        <v>72</v>
      </c>
      <c r="F1575" s="70" t="s">
        <v>73</v>
      </c>
      <c r="G1575" s="71">
        <v>63845616683</v>
      </c>
      <c r="H1575" s="70" t="s">
        <v>68</v>
      </c>
    </row>
    <row r="1576" spans="1:8" ht="17.25" customHeight="1" x14ac:dyDescent="0.2">
      <c r="A1576" s="69">
        <v>2021</v>
      </c>
      <c r="B1576" s="70" t="s">
        <v>66</v>
      </c>
      <c r="C1576" s="70" t="s">
        <v>47</v>
      </c>
      <c r="D1576" s="70" t="s">
        <v>48</v>
      </c>
      <c r="E1576" s="70" t="s">
        <v>67</v>
      </c>
      <c r="F1576" s="70" t="s">
        <v>74</v>
      </c>
      <c r="G1576" s="71">
        <v>33480458169</v>
      </c>
      <c r="H1576" s="70" t="s">
        <v>68</v>
      </c>
    </row>
    <row r="1577" spans="1:8" ht="17.25" customHeight="1" x14ac:dyDescent="0.2">
      <c r="A1577" s="69">
        <v>2021</v>
      </c>
      <c r="B1577" s="70" t="s">
        <v>66</v>
      </c>
      <c r="C1577" s="70" t="s">
        <v>47</v>
      </c>
      <c r="D1577" s="70" t="s">
        <v>48</v>
      </c>
      <c r="E1577" s="70" t="s">
        <v>69</v>
      </c>
      <c r="F1577" s="70" t="s">
        <v>71</v>
      </c>
      <c r="G1577" s="71">
        <v>65982013184</v>
      </c>
      <c r="H1577" s="70" t="s">
        <v>68</v>
      </c>
    </row>
    <row r="1578" spans="1:8" ht="17.25" customHeight="1" x14ac:dyDescent="0.2">
      <c r="A1578" s="69">
        <v>2021</v>
      </c>
      <c r="B1578" s="70" t="s">
        <v>66</v>
      </c>
      <c r="C1578" s="70" t="s">
        <v>47</v>
      </c>
      <c r="D1578" s="70" t="s">
        <v>48</v>
      </c>
      <c r="E1578" s="70" t="s">
        <v>69</v>
      </c>
      <c r="F1578" s="70" t="s">
        <v>70</v>
      </c>
      <c r="G1578" s="71">
        <v>117684379994</v>
      </c>
      <c r="H1578" s="70" t="s">
        <v>68</v>
      </c>
    </row>
    <row r="1579" spans="1:8" ht="17.25" customHeight="1" x14ac:dyDescent="0.2">
      <c r="A1579" s="69">
        <v>2022</v>
      </c>
      <c r="B1579" s="70" t="s">
        <v>66</v>
      </c>
      <c r="C1579" s="70" t="s">
        <v>4</v>
      </c>
      <c r="D1579" s="70" t="s">
        <v>3</v>
      </c>
      <c r="E1579" s="70" t="s">
        <v>67</v>
      </c>
      <c r="F1579" s="70" t="s">
        <v>67</v>
      </c>
      <c r="G1579" s="71">
        <v>13036667811</v>
      </c>
      <c r="H1579" s="70" t="s">
        <v>68</v>
      </c>
    </row>
    <row r="1580" spans="1:8" ht="17.25" customHeight="1" x14ac:dyDescent="0.2">
      <c r="A1580" s="69">
        <v>2022</v>
      </c>
      <c r="B1580" s="70" t="s">
        <v>66</v>
      </c>
      <c r="C1580" s="70" t="s">
        <v>4</v>
      </c>
      <c r="D1580" s="70" t="s">
        <v>3</v>
      </c>
      <c r="E1580" s="70" t="s">
        <v>69</v>
      </c>
      <c r="F1580" s="70" t="s">
        <v>71</v>
      </c>
      <c r="G1580" s="71">
        <v>5361592621</v>
      </c>
      <c r="H1580" s="70" t="s">
        <v>68</v>
      </c>
    </row>
    <row r="1581" spans="1:8" ht="17.25" customHeight="1" x14ac:dyDescent="0.2">
      <c r="A1581" s="69">
        <v>2022</v>
      </c>
      <c r="B1581" s="70" t="s">
        <v>66</v>
      </c>
      <c r="C1581" s="70" t="s">
        <v>4</v>
      </c>
      <c r="D1581" s="70" t="s">
        <v>3</v>
      </c>
      <c r="E1581" s="70" t="s">
        <v>69</v>
      </c>
      <c r="F1581" s="70" t="s">
        <v>70</v>
      </c>
      <c r="G1581" s="71">
        <v>11063249217</v>
      </c>
      <c r="H1581" s="70" t="s">
        <v>68</v>
      </c>
    </row>
    <row r="1582" spans="1:8" ht="17.25" customHeight="1" x14ac:dyDescent="0.2">
      <c r="A1582" s="69">
        <v>2022</v>
      </c>
      <c r="B1582" s="70" t="s">
        <v>66</v>
      </c>
      <c r="C1582" s="70" t="s">
        <v>4</v>
      </c>
      <c r="D1582" s="70" t="s">
        <v>5</v>
      </c>
      <c r="E1582" s="70" t="s">
        <v>67</v>
      </c>
      <c r="F1582" s="70" t="s">
        <v>67</v>
      </c>
      <c r="G1582" s="71">
        <v>29010156863</v>
      </c>
      <c r="H1582" s="70" t="s">
        <v>68</v>
      </c>
    </row>
    <row r="1583" spans="1:8" ht="17.25" customHeight="1" x14ac:dyDescent="0.2">
      <c r="A1583" s="69">
        <v>2022</v>
      </c>
      <c r="B1583" s="70" t="s">
        <v>66</v>
      </c>
      <c r="C1583" s="70" t="s">
        <v>4</v>
      </c>
      <c r="D1583" s="70" t="s">
        <v>5</v>
      </c>
      <c r="E1583" s="70" t="s">
        <v>69</v>
      </c>
      <c r="F1583" s="70" t="s">
        <v>71</v>
      </c>
      <c r="G1583" s="71">
        <v>31225214470</v>
      </c>
      <c r="H1583" s="70" t="s">
        <v>68</v>
      </c>
    </row>
    <row r="1584" spans="1:8" ht="17.25" customHeight="1" x14ac:dyDescent="0.2">
      <c r="A1584" s="69">
        <v>2022</v>
      </c>
      <c r="B1584" s="70" t="s">
        <v>66</v>
      </c>
      <c r="C1584" s="70" t="s">
        <v>4</v>
      </c>
      <c r="D1584" s="70" t="s">
        <v>5</v>
      </c>
      <c r="E1584" s="70" t="s">
        <v>69</v>
      </c>
      <c r="F1584" s="70" t="s">
        <v>70</v>
      </c>
      <c r="G1584" s="71">
        <v>29270105325</v>
      </c>
      <c r="H1584" s="70" t="s">
        <v>68</v>
      </c>
    </row>
    <row r="1585" spans="1:8" ht="17.25" customHeight="1" x14ac:dyDescent="0.2">
      <c r="A1585" s="69">
        <v>2022</v>
      </c>
      <c r="B1585" s="70" t="s">
        <v>66</v>
      </c>
      <c r="C1585" s="70" t="s">
        <v>4</v>
      </c>
      <c r="D1585" s="70" t="s">
        <v>6</v>
      </c>
      <c r="E1585" s="70" t="s">
        <v>67</v>
      </c>
      <c r="F1585" s="70" t="s">
        <v>67</v>
      </c>
      <c r="G1585" s="71">
        <v>3002000443</v>
      </c>
      <c r="H1585" s="70" t="s">
        <v>68</v>
      </c>
    </row>
    <row r="1586" spans="1:8" ht="17.25" customHeight="1" x14ac:dyDescent="0.2">
      <c r="A1586" s="69">
        <v>2022</v>
      </c>
      <c r="B1586" s="70" t="s">
        <v>66</v>
      </c>
      <c r="C1586" s="70" t="s">
        <v>4</v>
      </c>
      <c r="D1586" s="70" t="s">
        <v>6</v>
      </c>
      <c r="E1586" s="70" t="s">
        <v>69</v>
      </c>
      <c r="F1586" s="70" t="s">
        <v>71</v>
      </c>
      <c r="G1586" s="71">
        <v>717051335</v>
      </c>
      <c r="H1586" s="70" t="s">
        <v>68</v>
      </c>
    </row>
    <row r="1587" spans="1:8" ht="17.25" customHeight="1" x14ac:dyDescent="0.2">
      <c r="A1587" s="69">
        <v>2022</v>
      </c>
      <c r="B1587" s="70" t="s">
        <v>66</v>
      </c>
      <c r="C1587" s="70" t="s">
        <v>4</v>
      </c>
      <c r="D1587" s="70" t="s">
        <v>6</v>
      </c>
      <c r="E1587" s="70" t="s">
        <v>69</v>
      </c>
      <c r="F1587" s="70" t="s">
        <v>70</v>
      </c>
      <c r="G1587" s="71">
        <v>501014074</v>
      </c>
      <c r="H1587" s="70" t="s">
        <v>68</v>
      </c>
    </row>
    <row r="1588" spans="1:8" ht="17.25" customHeight="1" x14ac:dyDescent="0.2">
      <c r="A1588" s="69">
        <v>2022</v>
      </c>
      <c r="B1588" s="70" t="s">
        <v>66</v>
      </c>
      <c r="C1588" s="70" t="s">
        <v>4</v>
      </c>
      <c r="D1588" s="70" t="s">
        <v>7</v>
      </c>
      <c r="E1588" s="70" t="s">
        <v>67</v>
      </c>
      <c r="F1588" s="70" t="s">
        <v>67</v>
      </c>
      <c r="G1588" s="71">
        <v>15554061326</v>
      </c>
      <c r="H1588" s="70" t="s">
        <v>68</v>
      </c>
    </row>
    <row r="1589" spans="1:8" ht="17.25" customHeight="1" x14ac:dyDescent="0.2">
      <c r="A1589" s="69">
        <v>2022</v>
      </c>
      <c r="B1589" s="70" t="s">
        <v>66</v>
      </c>
      <c r="C1589" s="70" t="s">
        <v>4</v>
      </c>
      <c r="D1589" s="70" t="s">
        <v>7</v>
      </c>
      <c r="E1589" s="70" t="s">
        <v>69</v>
      </c>
      <c r="F1589" s="70" t="s">
        <v>71</v>
      </c>
      <c r="G1589" s="71">
        <v>10067518272</v>
      </c>
      <c r="H1589" s="70" t="s">
        <v>68</v>
      </c>
    </row>
    <row r="1590" spans="1:8" ht="17.25" customHeight="1" x14ac:dyDescent="0.2">
      <c r="A1590" s="69">
        <v>2022</v>
      </c>
      <c r="B1590" s="70" t="s">
        <v>66</v>
      </c>
      <c r="C1590" s="70" t="s">
        <v>4</v>
      </c>
      <c r="D1590" s="70" t="s">
        <v>7</v>
      </c>
      <c r="E1590" s="70" t="s">
        <v>69</v>
      </c>
      <c r="F1590" s="70" t="s">
        <v>70</v>
      </c>
      <c r="G1590" s="71">
        <v>8260008169</v>
      </c>
      <c r="H1590" s="70" t="s">
        <v>68</v>
      </c>
    </row>
    <row r="1591" spans="1:8" ht="17.25" customHeight="1" x14ac:dyDescent="0.2">
      <c r="A1591" s="69">
        <v>2022</v>
      </c>
      <c r="B1591" s="70" t="s">
        <v>66</v>
      </c>
      <c r="C1591" s="70" t="s">
        <v>4</v>
      </c>
      <c r="D1591" s="70" t="s">
        <v>8</v>
      </c>
      <c r="E1591" s="70" t="s">
        <v>67</v>
      </c>
      <c r="F1591" s="70" t="s">
        <v>67</v>
      </c>
      <c r="G1591" s="71">
        <v>3758081631</v>
      </c>
      <c r="H1591" s="70" t="s">
        <v>68</v>
      </c>
    </row>
    <row r="1592" spans="1:8" ht="17.25" customHeight="1" x14ac:dyDescent="0.2">
      <c r="A1592" s="69">
        <v>2022</v>
      </c>
      <c r="B1592" s="70" t="s">
        <v>66</v>
      </c>
      <c r="C1592" s="70" t="s">
        <v>4</v>
      </c>
      <c r="D1592" s="70" t="s">
        <v>8</v>
      </c>
      <c r="E1592" s="70" t="s">
        <v>69</v>
      </c>
      <c r="F1592" s="70" t="s">
        <v>71</v>
      </c>
      <c r="G1592" s="71">
        <v>3157773947</v>
      </c>
      <c r="H1592" s="70" t="s">
        <v>68</v>
      </c>
    </row>
    <row r="1593" spans="1:8" ht="17.25" customHeight="1" x14ac:dyDescent="0.2">
      <c r="A1593" s="69">
        <v>2022</v>
      </c>
      <c r="B1593" s="70" t="s">
        <v>66</v>
      </c>
      <c r="C1593" s="70" t="s">
        <v>4</v>
      </c>
      <c r="D1593" s="70" t="s">
        <v>8</v>
      </c>
      <c r="E1593" s="70" t="s">
        <v>69</v>
      </c>
      <c r="F1593" s="70" t="s">
        <v>70</v>
      </c>
      <c r="G1593" s="71">
        <v>1225977682</v>
      </c>
      <c r="H1593" s="70" t="s">
        <v>68</v>
      </c>
    </row>
    <row r="1594" spans="1:8" ht="17.25" customHeight="1" x14ac:dyDescent="0.2">
      <c r="A1594" s="69">
        <v>2022</v>
      </c>
      <c r="B1594" s="70" t="s">
        <v>66</v>
      </c>
      <c r="C1594" s="70" t="s">
        <v>4</v>
      </c>
      <c r="D1594" s="70" t="s">
        <v>9</v>
      </c>
      <c r="E1594" s="70" t="s">
        <v>67</v>
      </c>
      <c r="F1594" s="70" t="s">
        <v>67</v>
      </c>
      <c r="G1594" s="71">
        <v>29613786916</v>
      </c>
      <c r="H1594" s="70" t="s">
        <v>68</v>
      </c>
    </row>
    <row r="1595" spans="1:8" ht="17.25" customHeight="1" x14ac:dyDescent="0.2">
      <c r="A1595" s="69">
        <v>2022</v>
      </c>
      <c r="B1595" s="70" t="s">
        <v>66</v>
      </c>
      <c r="C1595" s="70" t="s">
        <v>4</v>
      </c>
      <c r="D1595" s="70" t="s">
        <v>9</v>
      </c>
      <c r="E1595" s="70" t="s">
        <v>69</v>
      </c>
      <c r="F1595" s="70" t="s">
        <v>71</v>
      </c>
      <c r="G1595" s="71">
        <v>14492063898</v>
      </c>
      <c r="H1595" s="70" t="s">
        <v>68</v>
      </c>
    </row>
    <row r="1596" spans="1:8" ht="17.25" customHeight="1" x14ac:dyDescent="0.2">
      <c r="A1596" s="69">
        <v>2022</v>
      </c>
      <c r="B1596" s="70" t="s">
        <v>66</v>
      </c>
      <c r="C1596" s="70" t="s">
        <v>4</v>
      </c>
      <c r="D1596" s="70" t="s">
        <v>9</v>
      </c>
      <c r="E1596" s="70" t="s">
        <v>69</v>
      </c>
      <c r="F1596" s="70" t="s">
        <v>70</v>
      </c>
      <c r="G1596" s="71">
        <v>18675898437</v>
      </c>
      <c r="H1596" s="70" t="s">
        <v>68</v>
      </c>
    </row>
    <row r="1597" spans="1:8" ht="17.25" customHeight="1" x14ac:dyDescent="0.2">
      <c r="A1597" s="69">
        <v>2022</v>
      </c>
      <c r="B1597" s="70" t="s">
        <v>66</v>
      </c>
      <c r="C1597" s="70" t="s">
        <v>4</v>
      </c>
      <c r="D1597" s="70" t="s">
        <v>10</v>
      </c>
      <c r="E1597" s="70" t="s">
        <v>67</v>
      </c>
      <c r="F1597" s="70" t="s">
        <v>67</v>
      </c>
      <c r="G1597" s="71">
        <v>232718340</v>
      </c>
      <c r="H1597" s="70" t="s">
        <v>68</v>
      </c>
    </row>
    <row r="1598" spans="1:8" ht="17.25" customHeight="1" x14ac:dyDescent="0.2">
      <c r="A1598" s="69">
        <v>2022</v>
      </c>
      <c r="B1598" s="70" t="s">
        <v>66</v>
      </c>
      <c r="C1598" s="70" t="s">
        <v>4</v>
      </c>
      <c r="D1598" s="70" t="s">
        <v>10</v>
      </c>
      <c r="E1598" s="70" t="s">
        <v>69</v>
      </c>
      <c r="F1598" s="70" t="s">
        <v>71</v>
      </c>
      <c r="G1598" s="71">
        <v>204792139</v>
      </c>
      <c r="H1598" s="70" t="s">
        <v>68</v>
      </c>
    </row>
    <row r="1599" spans="1:8" ht="17.25" customHeight="1" x14ac:dyDescent="0.2">
      <c r="A1599" s="69">
        <v>2022</v>
      </c>
      <c r="B1599" s="70" t="s">
        <v>66</v>
      </c>
      <c r="C1599" s="70" t="s">
        <v>4</v>
      </c>
      <c r="D1599" s="70" t="s">
        <v>10</v>
      </c>
      <c r="E1599" s="70" t="s">
        <v>69</v>
      </c>
      <c r="F1599" s="70" t="s">
        <v>70</v>
      </c>
      <c r="G1599" s="71">
        <v>27926201</v>
      </c>
      <c r="H1599" s="70" t="s">
        <v>68</v>
      </c>
    </row>
    <row r="1600" spans="1:8" ht="17.25" customHeight="1" x14ac:dyDescent="0.2">
      <c r="A1600" s="69">
        <v>2022</v>
      </c>
      <c r="B1600" s="70" t="s">
        <v>66</v>
      </c>
      <c r="C1600" s="70" t="s">
        <v>4</v>
      </c>
      <c r="D1600" s="70" t="s">
        <v>11</v>
      </c>
      <c r="E1600" s="70" t="s">
        <v>67</v>
      </c>
      <c r="F1600" s="70" t="s">
        <v>67</v>
      </c>
      <c r="G1600" s="71">
        <v>2698158322</v>
      </c>
      <c r="H1600" s="70" t="s">
        <v>68</v>
      </c>
    </row>
    <row r="1601" spans="1:8" ht="17.25" customHeight="1" x14ac:dyDescent="0.2">
      <c r="A1601" s="69">
        <v>2022</v>
      </c>
      <c r="B1601" s="70" t="s">
        <v>66</v>
      </c>
      <c r="C1601" s="70" t="s">
        <v>4</v>
      </c>
      <c r="D1601" s="70" t="s">
        <v>11</v>
      </c>
      <c r="E1601" s="70" t="s">
        <v>69</v>
      </c>
      <c r="F1601" s="70" t="s">
        <v>71</v>
      </c>
      <c r="G1601" s="71">
        <v>1533610757</v>
      </c>
      <c r="H1601" s="70" t="s">
        <v>68</v>
      </c>
    </row>
    <row r="1602" spans="1:8" ht="17.25" customHeight="1" x14ac:dyDescent="0.2">
      <c r="A1602" s="69">
        <v>2022</v>
      </c>
      <c r="B1602" s="70" t="s">
        <v>66</v>
      </c>
      <c r="C1602" s="70" t="s">
        <v>4</v>
      </c>
      <c r="D1602" s="70" t="s">
        <v>11</v>
      </c>
      <c r="E1602" s="70" t="s">
        <v>69</v>
      </c>
      <c r="F1602" s="70" t="s">
        <v>70</v>
      </c>
      <c r="G1602" s="71">
        <v>1833177471</v>
      </c>
      <c r="H1602" s="70" t="s">
        <v>68</v>
      </c>
    </row>
    <row r="1603" spans="1:8" ht="17.25" customHeight="1" x14ac:dyDescent="0.2">
      <c r="A1603" s="69">
        <v>2022</v>
      </c>
      <c r="B1603" s="70" t="s">
        <v>66</v>
      </c>
      <c r="C1603" s="70" t="s">
        <v>4</v>
      </c>
      <c r="D1603" s="70" t="s">
        <v>12</v>
      </c>
      <c r="E1603" s="70" t="s">
        <v>67</v>
      </c>
      <c r="F1603" s="70" t="s">
        <v>67</v>
      </c>
      <c r="G1603" s="71">
        <v>3859625680</v>
      </c>
      <c r="H1603" s="70" t="s">
        <v>68</v>
      </c>
    </row>
    <row r="1604" spans="1:8" ht="17.25" customHeight="1" x14ac:dyDescent="0.2">
      <c r="A1604" s="69">
        <v>2022</v>
      </c>
      <c r="B1604" s="70" t="s">
        <v>66</v>
      </c>
      <c r="C1604" s="70" t="s">
        <v>4</v>
      </c>
      <c r="D1604" s="70" t="s">
        <v>12</v>
      </c>
      <c r="E1604" s="70" t="s">
        <v>69</v>
      </c>
      <c r="F1604" s="70" t="s">
        <v>71</v>
      </c>
      <c r="G1604" s="71">
        <v>2912887082</v>
      </c>
      <c r="H1604" s="70" t="s">
        <v>68</v>
      </c>
    </row>
    <row r="1605" spans="1:8" ht="17.25" customHeight="1" x14ac:dyDescent="0.2">
      <c r="A1605" s="69">
        <v>2022</v>
      </c>
      <c r="B1605" s="70" t="s">
        <v>66</v>
      </c>
      <c r="C1605" s="70" t="s">
        <v>4</v>
      </c>
      <c r="D1605" s="70" t="s">
        <v>12</v>
      </c>
      <c r="E1605" s="70" t="s">
        <v>69</v>
      </c>
      <c r="F1605" s="70" t="s">
        <v>70</v>
      </c>
      <c r="G1605" s="71">
        <v>3522125261</v>
      </c>
      <c r="H1605" s="70" t="s">
        <v>68</v>
      </c>
    </row>
    <row r="1606" spans="1:8" ht="17.25" customHeight="1" x14ac:dyDescent="0.2">
      <c r="A1606" s="69">
        <v>2022</v>
      </c>
      <c r="B1606" s="70" t="s">
        <v>66</v>
      </c>
      <c r="C1606" s="70" t="s">
        <v>4</v>
      </c>
      <c r="D1606" s="70" t="s">
        <v>13</v>
      </c>
      <c r="E1606" s="70" t="s">
        <v>67</v>
      </c>
      <c r="F1606" s="70" t="s">
        <v>67</v>
      </c>
      <c r="G1606" s="71">
        <v>5628632527</v>
      </c>
      <c r="H1606" s="70" t="s">
        <v>68</v>
      </c>
    </row>
    <row r="1607" spans="1:8" ht="17.25" customHeight="1" x14ac:dyDescent="0.2">
      <c r="A1607" s="69">
        <v>2022</v>
      </c>
      <c r="B1607" s="70" t="s">
        <v>66</v>
      </c>
      <c r="C1607" s="70" t="s">
        <v>4</v>
      </c>
      <c r="D1607" s="70" t="s">
        <v>13</v>
      </c>
      <c r="E1607" s="70" t="s">
        <v>69</v>
      </c>
      <c r="F1607" s="70" t="s">
        <v>71</v>
      </c>
      <c r="G1607" s="71">
        <v>2229776516</v>
      </c>
      <c r="H1607" s="70" t="s">
        <v>68</v>
      </c>
    </row>
    <row r="1608" spans="1:8" ht="17.25" customHeight="1" x14ac:dyDescent="0.2">
      <c r="A1608" s="69">
        <v>2022</v>
      </c>
      <c r="B1608" s="70" t="s">
        <v>66</v>
      </c>
      <c r="C1608" s="70" t="s">
        <v>4</v>
      </c>
      <c r="D1608" s="70" t="s">
        <v>13</v>
      </c>
      <c r="E1608" s="70" t="s">
        <v>69</v>
      </c>
      <c r="F1608" s="70" t="s">
        <v>70</v>
      </c>
      <c r="G1608" s="71">
        <v>4148703950</v>
      </c>
      <c r="H1608" s="70" t="s">
        <v>68</v>
      </c>
    </row>
    <row r="1609" spans="1:8" ht="17.25" customHeight="1" x14ac:dyDescent="0.2">
      <c r="A1609" s="69">
        <v>2022</v>
      </c>
      <c r="B1609" s="70" t="s">
        <v>66</v>
      </c>
      <c r="C1609" s="70" t="s">
        <v>4</v>
      </c>
      <c r="D1609" s="70" t="s">
        <v>14</v>
      </c>
      <c r="E1609" s="70" t="s">
        <v>67</v>
      </c>
      <c r="F1609" s="70" t="s">
        <v>67</v>
      </c>
      <c r="G1609" s="71">
        <v>2119646748</v>
      </c>
      <c r="H1609" s="70" t="s">
        <v>68</v>
      </c>
    </row>
    <row r="1610" spans="1:8" ht="17.25" customHeight="1" x14ac:dyDescent="0.2">
      <c r="A1610" s="69">
        <v>2022</v>
      </c>
      <c r="B1610" s="70" t="s">
        <v>66</v>
      </c>
      <c r="C1610" s="70" t="s">
        <v>4</v>
      </c>
      <c r="D1610" s="70" t="s">
        <v>14</v>
      </c>
      <c r="E1610" s="70" t="s">
        <v>69</v>
      </c>
      <c r="F1610" s="70" t="s">
        <v>71</v>
      </c>
      <c r="G1610" s="71">
        <v>359617044</v>
      </c>
      <c r="H1610" s="70" t="s">
        <v>68</v>
      </c>
    </row>
    <row r="1611" spans="1:8" ht="17.25" customHeight="1" x14ac:dyDescent="0.2">
      <c r="A1611" s="69">
        <v>2022</v>
      </c>
      <c r="B1611" s="70" t="s">
        <v>66</v>
      </c>
      <c r="C1611" s="70" t="s">
        <v>4</v>
      </c>
      <c r="D1611" s="70" t="s">
        <v>14</v>
      </c>
      <c r="E1611" s="70" t="s">
        <v>69</v>
      </c>
      <c r="F1611" s="70" t="s">
        <v>70</v>
      </c>
      <c r="G1611" s="71">
        <v>1436710198</v>
      </c>
      <c r="H1611" s="70" t="s">
        <v>68</v>
      </c>
    </row>
    <row r="1612" spans="1:8" ht="17.25" customHeight="1" x14ac:dyDescent="0.2">
      <c r="A1612" s="69">
        <v>2022</v>
      </c>
      <c r="B1612" s="70" t="s">
        <v>66</v>
      </c>
      <c r="C1612" s="70" t="s">
        <v>4</v>
      </c>
      <c r="D1612" s="70" t="s">
        <v>15</v>
      </c>
      <c r="E1612" s="70" t="s">
        <v>67</v>
      </c>
      <c r="F1612" s="70" t="s">
        <v>67</v>
      </c>
      <c r="G1612" s="71">
        <v>3406795700</v>
      </c>
      <c r="H1612" s="70" t="s">
        <v>68</v>
      </c>
    </row>
    <row r="1613" spans="1:8" ht="17.25" customHeight="1" x14ac:dyDescent="0.2">
      <c r="A1613" s="69">
        <v>2022</v>
      </c>
      <c r="B1613" s="70" t="s">
        <v>66</v>
      </c>
      <c r="C1613" s="70" t="s">
        <v>4</v>
      </c>
      <c r="D1613" s="70" t="s">
        <v>15</v>
      </c>
      <c r="E1613" s="70" t="s">
        <v>69</v>
      </c>
      <c r="F1613" s="70" t="s">
        <v>71</v>
      </c>
      <c r="G1613" s="71">
        <v>2424866835</v>
      </c>
      <c r="H1613" s="70" t="s">
        <v>68</v>
      </c>
    </row>
    <row r="1614" spans="1:8" ht="17.25" customHeight="1" x14ac:dyDescent="0.2">
      <c r="A1614" s="69">
        <v>2022</v>
      </c>
      <c r="B1614" s="70" t="s">
        <v>66</v>
      </c>
      <c r="C1614" s="70" t="s">
        <v>4</v>
      </c>
      <c r="D1614" s="70" t="s">
        <v>15</v>
      </c>
      <c r="E1614" s="70" t="s">
        <v>69</v>
      </c>
      <c r="F1614" s="70" t="s">
        <v>70</v>
      </c>
      <c r="G1614" s="71">
        <v>1094146421</v>
      </c>
      <c r="H1614" s="70" t="s">
        <v>68</v>
      </c>
    </row>
    <row r="1615" spans="1:8" ht="17.25" customHeight="1" x14ac:dyDescent="0.2">
      <c r="A1615" s="69">
        <v>2022</v>
      </c>
      <c r="B1615" s="70" t="s">
        <v>66</v>
      </c>
      <c r="C1615" s="70" t="s">
        <v>17</v>
      </c>
      <c r="D1615" s="70" t="s">
        <v>16</v>
      </c>
      <c r="E1615" s="70" t="s">
        <v>67</v>
      </c>
      <c r="F1615" s="70" t="s">
        <v>67</v>
      </c>
      <c r="G1615" s="71">
        <v>605525740</v>
      </c>
      <c r="H1615" s="70" t="s">
        <v>68</v>
      </c>
    </row>
    <row r="1616" spans="1:8" ht="17.25" customHeight="1" x14ac:dyDescent="0.2">
      <c r="A1616" s="69">
        <v>2022</v>
      </c>
      <c r="B1616" s="70" t="s">
        <v>66</v>
      </c>
      <c r="C1616" s="70" t="s">
        <v>17</v>
      </c>
      <c r="D1616" s="70" t="s">
        <v>16</v>
      </c>
      <c r="E1616" s="70" t="s">
        <v>69</v>
      </c>
      <c r="F1616" s="70" t="s">
        <v>71</v>
      </c>
      <c r="G1616" s="71">
        <v>338524893</v>
      </c>
      <c r="H1616" s="70" t="s">
        <v>68</v>
      </c>
    </row>
    <row r="1617" spans="1:8" ht="17.25" customHeight="1" x14ac:dyDescent="0.2">
      <c r="A1617" s="69">
        <v>2022</v>
      </c>
      <c r="B1617" s="70" t="s">
        <v>66</v>
      </c>
      <c r="C1617" s="70" t="s">
        <v>17</v>
      </c>
      <c r="D1617" s="70" t="s">
        <v>16</v>
      </c>
      <c r="E1617" s="70" t="s">
        <v>69</v>
      </c>
      <c r="F1617" s="70" t="s">
        <v>70</v>
      </c>
      <c r="G1617" s="71">
        <v>139070822</v>
      </c>
      <c r="H1617" s="70" t="s">
        <v>68</v>
      </c>
    </row>
    <row r="1618" spans="1:8" ht="17.25" customHeight="1" x14ac:dyDescent="0.2">
      <c r="A1618" s="69">
        <v>2022</v>
      </c>
      <c r="B1618" s="70" t="s">
        <v>66</v>
      </c>
      <c r="C1618" s="70" t="s">
        <v>17</v>
      </c>
      <c r="D1618" s="70" t="s">
        <v>18</v>
      </c>
      <c r="E1618" s="70" t="s">
        <v>67</v>
      </c>
      <c r="F1618" s="70" t="s">
        <v>67</v>
      </c>
      <c r="G1618" s="71">
        <v>1191307108</v>
      </c>
      <c r="H1618" s="70" t="s">
        <v>68</v>
      </c>
    </row>
    <row r="1619" spans="1:8" ht="17.25" customHeight="1" x14ac:dyDescent="0.2">
      <c r="A1619" s="69">
        <v>2022</v>
      </c>
      <c r="B1619" s="70" t="s">
        <v>66</v>
      </c>
      <c r="C1619" s="70" t="s">
        <v>17</v>
      </c>
      <c r="D1619" s="70" t="s">
        <v>18</v>
      </c>
      <c r="E1619" s="70" t="s">
        <v>69</v>
      </c>
      <c r="F1619" s="70" t="s">
        <v>71</v>
      </c>
      <c r="G1619" s="71">
        <v>844377611</v>
      </c>
      <c r="H1619" s="70" t="s">
        <v>68</v>
      </c>
    </row>
    <row r="1620" spans="1:8" ht="17.25" customHeight="1" x14ac:dyDescent="0.2">
      <c r="A1620" s="69">
        <v>2022</v>
      </c>
      <c r="B1620" s="70" t="s">
        <v>66</v>
      </c>
      <c r="C1620" s="70" t="s">
        <v>17</v>
      </c>
      <c r="D1620" s="70" t="s">
        <v>18</v>
      </c>
      <c r="E1620" s="70" t="s">
        <v>69</v>
      </c>
      <c r="F1620" s="70" t="s">
        <v>70</v>
      </c>
      <c r="G1620" s="71">
        <v>1104647854</v>
      </c>
      <c r="H1620" s="70" t="s">
        <v>68</v>
      </c>
    </row>
    <row r="1621" spans="1:8" ht="17.25" customHeight="1" x14ac:dyDescent="0.2">
      <c r="A1621" s="69">
        <v>2022</v>
      </c>
      <c r="B1621" s="70" t="s">
        <v>66</v>
      </c>
      <c r="C1621" s="70" t="s">
        <v>17</v>
      </c>
      <c r="D1621" s="70" t="s">
        <v>19</v>
      </c>
      <c r="E1621" s="70" t="s">
        <v>67</v>
      </c>
      <c r="F1621" s="70" t="s">
        <v>67</v>
      </c>
      <c r="G1621" s="71">
        <v>3586155148</v>
      </c>
      <c r="H1621" s="70" t="s">
        <v>68</v>
      </c>
    </row>
    <row r="1622" spans="1:8" ht="17.25" customHeight="1" x14ac:dyDescent="0.2">
      <c r="A1622" s="69">
        <v>2022</v>
      </c>
      <c r="B1622" s="70" t="s">
        <v>66</v>
      </c>
      <c r="C1622" s="70" t="s">
        <v>17</v>
      </c>
      <c r="D1622" s="70" t="s">
        <v>19</v>
      </c>
      <c r="E1622" s="70" t="s">
        <v>69</v>
      </c>
      <c r="F1622" s="70" t="s">
        <v>71</v>
      </c>
      <c r="G1622" s="71">
        <v>2375790030</v>
      </c>
      <c r="H1622" s="70" t="s">
        <v>68</v>
      </c>
    </row>
    <row r="1623" spans="1:8" ht="17.25" customHeight="1" x14ac:dyDescent="0.2">
      <c r="A1623" s="69">
        <v>2022</v>
      </c>
      <c r="B1623" s="70" t="s">
        <v>66</v>
      </c>
      <c r="C1623" s="70" t="s">
        <v>17</v>
      </c>
      <c r="D1623" s="70" t="s">
        <v>19</v>
      </c>
      <c r="E1623" s="70" t="s">
        <v>69</v>
      </c>
      <c r="F1623" s="70" t="s">
        <v>70</v>
      </c>
      <c r="G1623" s="71">
        <v>1161054844</v>
      </c>
      <c r="H1623" s="70" t="s">
        <v>68</v>
      </c>
    </row>
    <row r="1624" spans="1:8" ht="17.25" customHeight="1" x14ac:dyDescent="0.2">
      <c r="A1624" s="69">
        <v>2022</v>
      </c>
      <c r="B1624" s="70" t="s">
        <v>66</v>
      </c>
      <c r="C1624" s="70" t="s">
        <v>17</v>
      </c>
      <c r="D1624" s="70" t="s">
        <v>20</v>
      </c>
      <c r="E1624" s="70" t="s">
        <v>67</v>
      </c>
      <c r="F1624" s="70" t="s">
        <v>67</v>
      </c>
      <c r="G1624" s="71">
        <v>527041125</v>
      </c>
      <c r="H1624" s="70" t="s">
        <v>68</v>
      </c>
    </row>
    <row r="1625" spans="1:8" ht="17.25" customHeight="1" x14ac:dyDescent="0.2">
      <c r="A1625" s="69">
        <v>2022</v>
      </c>
      <c r="B1625" s="70" t="s">
        <v>66</v>
      </c>
      <c r="C1625" s="70" t="s">
        <v>17</v>
      </c>
      <c r="D1625" s="70" t="s">
        <v>20</v>
      </c>
      <c r="E1625" s="70" t="s">
        <v>69</v>
      </c>
      <c r="F1625" s="70" t="s">
        <v>71</v>
      </c>
      <c r="G1625" s="71">
        <v>678581764</v>
      </c>
      <c r="H1625" s="70" t="s">
        <v>68</v>
      </c>
    </row>
    <row r="1626" spans="1:8" ht="17.25" customHeight="1" x14ac:dyDescent="0.2">
      <c r="A1626" s="69">
        <v>2022</v>
      </c>
      <c r="B1626" s="70" t="s">
        <v>66</v>
      </c>
      <c r="C1626" s="70" t="s">
        <v>17</v>
      </c>
      <c r="D1626" s="70" t="s">
        <v>20</v>
      </c>
      <c r="E1626" s="70" t="s">
        <v>69</v>
      </c>
      <c r="F1626" s="70" t="s">
        <v>70</v>
      </c>
      <c r="G1626" s="71">
        <v>3797163144</v>
      </c>
      <c r="H1626" s="70" t="s">
        <v>68</v>
      </c>
    </row>
    <row r="1627" spans="1:8" ht="17.25" customHeight="1" x14ac:dyDescent="0.2">
      <c r="A1627" s="69">
        <v>2022</v>
      </c>
      <c r="B1627" s="70" t="s">
        <v>66</v>
      </c>
      <c r="C1627" s="70" t="s">
        <v>17</v>
      </c>
      <c r="D1627" s="70" t="s">
        <v>21</v>
      </c>
      <c r="E1627" s="70" t="s">
        <v>67</v>
      </c>
      <c r="F1627" s="70" t="s">
        <v>67</v>
      </c>
      <c r="G1627" s="71">
        <v>2209696922</v>
      </c>
      <c r="H1627" s="70" t="s">
        <v>68</v>
      </c>
    </row>
    <row r="1628" spans="1:8" ht="17.25" customHeight="1" x14ac:dyDescent="0.2">
      <c r="A1628" s="69">
        <v>2022</v>
      </c>
      <c r="B1628" s="70" t="s">
        <v>66</v>
      </c>
      <c r="C1628" s="70" t="s">
        <v>17</v>
      </c>
      <c r="D1628" s="70" t="s">
        <v>21</v>
      </c>
      <c r="E1628" s="70" t="s">
        <v>69</v>
      </c>
      <c r="F1628" s="70" t="s">
        <v>71</v>
      </c>
      <c r="G1628" s="71">
        <v>1061643974</v>
      </c>
      <c r="H1628" s="70" t="s">
        <v>68</v>
      </c>
    </row>
    <row r="1629" spans="1:8" ht="17.25" customHeight="1" x14ac:dyDescent="0.2">
      <c r="A1629" s="69">
        <v>2022</v>
      </c>
      <c r="B1629" s="70" t="s">
        <v>66</v>
      </c>
      <c r="C1629" s="70" t="s">
        <v>17</v>
      </c>
      <c r="D1629" s="70" t="s">
        <v>21</v>
      </c>
      <c r="E1629" s="70" t="s">
        <v>69</v>
      </c>
      <c r="F1629" s="70" t="s">
        <v>70</v>
      </c>
      <c r="G1629" s="71">
        <v>1259618243</v>
      </c>
      <c r="H1629" s="70" t="s">
        <v>68</v>
      </c>
    </row>
    <row r="1630" spans="1:8" ht="17.25" customHeight="1" x14ac:dyDescent="0.2">
      <c r="A1630" s="69">
        <v>2022</v>
      </c>
      <c r="B1630" s="70" t="s">
        <v>66</v>
      </c>
      <c r="C1630" s="70" t="s">
        <v>17</v>
      </c>
      <c r="D1630" s="70" t="s">
        <v>22</v>
      </c>
      <c r="E1630" s="70" t="s">
        <v>67</v>
      </c>
      <c r="F1630" s="70" t="s">
        <v>67</v>
      </c>
      <c r="G1630" s="71">
        <v>764362465</v>
      </c>
      <c r="H1630" s="70" t="s">
        <v>68</v>
      </c>
    </row>
    <row r="1631" spans="1:8" ht="17.25" customHeight="1" x14ac:dyDescent="0.2">
      <c r="A1631" s="69">
        <v>2022</v>
      </c>
      <c r="B1631" s="70" t="s">
        <v>66</v>
      </c>
      <c r="C1631" s="70" t="s">
        <v>17</v>
      </c>
      <c r="D1631" s="70" t="s">
        <v>22</v>
      </c>
      <c r="E1631" s="70" t="s">
        <v>69</v>
      </c>
      <c r="F1631" s="70" t="s">
        <v>71</v>
      </c>
      <c r="G1631" s="71">
        <v>525207089</v>
      </c>
      <c r="H1631" s="70" t="s">
        <v>68</v>
      </c>
    </row>
    <row r="1632" spans="1:8" ht="17.25" customHeight="1" x14ac:dyDescent="0.2">
      <c r="A1632" s="69">
        <v>2022</v>
      </c>
      <c r="B1632" s="70" t="s">
        <v>66</v>
      </c>
      <c r="C1632" s="70" t="s">
        <v>17</v>
      </c>
      <c r="D1632" s="70" t="s">
        <v>22</v>
      </c>
      <c r="E1632" s="70" t="s">
        <v>69</v>
      </c>
      <c r="F1632" s="70" t="s">
        <v>70</v>
      </c>
      <c r="G1632" s="71">
        <v>652106603</v>
      </c>
      <c r="H1632" s="70" t="s">
        <v>68</v>
      </c>
    </row>
    <row r="1633" spans="1:8" ht="17.25" customHeight="1" x14ac:dyDescent="0.2">
      <c r="A1633" s="69">
        <v>2022</v>
      </c>
      <c r="B1633" s="70" t="s">
        <v>66</v>
      </c>
      <c r="C1633" s="70" t="s">
        <v>17</v>
      </c>
      <c r="D1633" s="70" t="s">
        <v>23</v>
      </c>
      <c r="E1633" s="70" t="s">
        <v>67</v>
      </c>
      <c r="F1633" s="70" t="s">
        <v>67</v>
      </c>
      <c r="G1633" s="71">
        <v>778721712</v>
      </c>
      <c r="H1633" s="70" t="s">
        <v>68</v>
      </c>
    </row>
    <row r="1634" spans="1:8" ht="17.25" customHeight="1" x14ac:dyDescent="0.2">
      <c r="A1634" s="69">
        <v>2022</v>
      </c>
      <c r="B1634" s="70" t="s">
        <v>66</v>
      </c>
      <c r="C1634" s="70" t="s">
        <v>17</v>
      </c>
      <c r="D1634" s="70" t="s">
        <v>23</v>
      </c>
      <c r="E1634" s="70" t="s">
        <v>69</v>
      </c>
      <c r="F1634" s="70" t="s">
        <v>71</v>
      </c>
      <c r="G1634" s="71">
        <v>542266561</v>
      </c>
      <c r="H1634" s="70" t="s">
        <v>68</v>
      </c>
    </row>
    <row r="1635" spans="1:8" ht="17.25" customHeight="1" x14ac:dyDescent="0.2">
      <c r="A1635" s="69">
        <v>2022</v>
      </c>
      <c r="B1635" s="70" t="s">
        <v>66</v>
      </c>
      <c r="C1635" s="70" t="s">
        <v>17</v>
      </c>
      <c r="D1635" s="70" t="s">
        <v>23</v>
      </c>
      <c r="E1635" s="70" t="s">
        <v>69</v>
      </c>
      <c r="F1635" s="70" t="s">
        <v>70</v>
      </c>
      <c r="G1635" s="71">
        <v>286193664</v>
      </c>
      <c r="H1635" s="70" t="s">
        <v>68</v>
      </c>
    </row>
    <row r="1636" spans="1:8" ht="17.25" customHeight="1" x14ac:dyDescent="0.2">
      <c r="A1636" s="69">
        <v>2022</v>
      </c>
      <c r="B1636" s="70" t="s">
        <v>66</v>
      </c>
      <c r="C1636" s="70" t="s">
        <v>17</v>
      </c>
      <c r="D1636" s="70" t="s">
        <v>24</v>
      </c>
      <c r="E1636" s="70" t="s">
        <v>67</v>
      </c>
      <c r="F1636" s="70" t="s">
        <v>67</v>
      </c>
      <c r="G1636" s="71">
        <v>14690832311</v>
      </c>
      <c r="H1636" s="70" t="s">
        <v>68</v>
      </c>
    </row>
    <row r="1637" spans="1:8" ht="17.25" customHeight="1" x14ac:dyDescent="0.2">
      <c r="A1637" s="69">
        <v>2022</v>
      </c>
      <c r="B1637" s="70" t="s">
        <v>66</v>
      </c>
      <c r="C1637" s="70" t="s">
        <v>17</v>
      </c>
      <c r="D1637" s="70" t="s">
        <v>24</v>
      </c>
      <c r="E1637" s="70" t="s">
        <v>69</v>
      </c>
      <c r="F1637" s="70" t="s">
        <v>71</v>
      </c>
      <c r="G1637" s="71">
        <v>4538597047</v>
      </c>
      <c r="H1637" s="70" t="s">
        <v>68</v>
      </c>
    </row>
    <row r="1638" spans="1:8" ht="17.25" customHeight="1" x14ac:dyDescent="0.2">
      <c r="A1638" s="69">
        <v>2022</v>
      </c>
      <c r="B1638" s="70" t="s">
        <v>66</v>
      </c>
      <c r="C1638" s="70" t="s">
        <v>17</v>
      </c>
      <c r="D1638" s="70" t="s">
        <v>24</v>
      </c>
      <c r="E1638" s="70" t="s">
        <v>69</v>
      </c>
      <c r="F1638" s="70" t="s">
        <v>70</v>
      </c>
      <c r="G1638" s="71">
        <v>8227208466</v>
      </c>
      <c r="H1638" s="70" t="s">
        <v>68</v>
      </c>
    </row>
    <row r="1639" spans="1:8" ht="17.25" customHeight="1" x14ac:dyDescent="0.2">
      <c r="A1639" s="69">
        <v>2022</v>
      </c>
      <c r="B1639" s="70" t="s">
        <v>66</v>
      </c>
      <c r="C1639" s="70" t="s">
        <v>17</v>
      </c>
      <c r="D1639" s="70" t="s">
        <v>25</v>
      </c>
      <c r="E1639" s="70" t="s">
        <v>67</v>
      </c>
      <c r="F1639" s="70" t="s">
        <v>67</v>
      </c>
      <c r="G1639" s="71">
        <v>0</v>
      </c>
      <c r="H1639" s="70" t="s">
        <v>68</v>
      </c>
    </row>
    <row r="1640" spans="1:8" ht="17.25" customHeight="1" x14ac:dyDescent="0.2">
      <c r="A1640" s="69">
        <v>2022</v>
      </c>
      <c r="B1640" s="70" t="s">
        <v>66</v>
      </c>
      <c r="C1640" s="70" t="s">
        <v>17</v>
      </c>
      <c r="D1640" s="70" t="s">
        <v>25</v>
      </c>
      <c r="E1640" s="70" t="s">
        <v>69</v>
      </c>
      <c r="F1640" s="70" t="s">
        <v>71</v>
      </c>
      <c r="G1640" s="71">
        <v>0</v>
      </c>
      <c r="H1640" s="70" t="s">
        <v>68</v>
      </c>
    </row>
    <row r="1641" spans="1:8" ht="17.25" customHeight="1" x14ac:dyDescent="0.2">
      <c r="A1641" s="69">
        <v>2022</v>
      </c>
      <c r="B1641" s="70" t="s">
        <v>66</v>
      </c>
      <c r="C1641" s="70" t="s">
        <v>17</v>
      </c>
      <c r="D1641" s="70" t="s">
        <v>25</v>
      </c>
      <c r="E1641" s="70" t="s">
        <v>69</v>
      </c>
      <c r="F1641" s="70" t="s">
        <v>70</v>
      </c>
      <c r="G1641" s="71">
        <v>0</v>
      </c>
      <c r="H1641" s="70" t="s">
        <v>68</v>
      </c>
    </row>
    <row r="1642" spans="1:8" ht="17.25" customHeight="1" x14ac:dyDescent="0.2">
      <c r="A1642" s="69">
        <v>2022</v>
      </c>
      <c r="B1642" s="70" t="s">
        <v>66</v>
      </c>
      <c r="C1642" s="70" t="s">
        <v>27</v>
      </c>
      <c r="D1642" s="70" t="s">
        <v>26</v>
      </c>
      <c r="E1642" s="70" t="s">
        <v>67</v>
      </c>
      <c r="F1642" s="70" t="s">
        <v>67</v>
      </c>
      <c r="G1642" s="71">
        <v>25358662814</v>
      </c>
      <c r="H1642" s="70" t="s">
        <v>68</v>
      </c>
    </row>
    <row r="1643" spans="1:8" ht="17.25" customHeight="1" x14ac:dyDescent="0.2">
      <c r="A1643" s="69">
        <v>2022</v>
      </c>
      <c r="B1643" s="70" t="s">
        <v>66</v>
      </c>
      <c r="C1643" s="70" t="s">
        <v>27</v>
      </c>
      <c r="D1643" s="70" t="s">
        <v>26</v>
      </c>
      <c r="E1643" s="70" t="s">
        <v>69</v>
      </c>
      <c r="F1643" s="70" t="s">
        <v>71</v>
      </c>
      <c r="G1643" s="71">
        <v>7275975931</v>
      </c>
      <c r="H1643" s="70" t="s">
        <v>68</v>
      </c>
    </row>
    <row r="1644" spans="1:8" ht="17.25" customHeight="1" x14ac:dyDescent="0.2">
      <c r="A1644" s="69">
        <v>2022</v>
      </c>
      <c r="B1644" s="70" t="s">
        <v>66</v>
      </c>
      <c r="C1644" s="70" t="s">
        <v>27</v>
      </c>
      <c r="D1644" s="70" t="s">
        <v>26</v>
      </c>
      <c r="E1644" s="70" t="s">
        <v>69</v>
      </c>
      <c r="F1644" s="70" t="s">
        <v>70</v>
      </c>
      <c r="G1644" s="71">
        <v>19924684457</v>
      </c>
      <c r="H1644" s="70" t="s">
        <v>68</v>
      </c>
    </row>
    <row r="1645" spans="1:8" ht="17.25" customHeight="1" x14ac:dyDescent="0.2">
      <c r="A1645" s="69">
        <v>2022</v>
      </c>
      <c r="B1645" s="70" t="s">
        <v>66</v>
      </c>
      <c r="C1645" s="70" t="s">
        <v>27</v>
      </c>
      <c r="D1645" s="70" t="s">
        <v>28</v>
      </c>
      <c r="E1645" s="70" t="s">
        <v>67</v>
      </c>
      <c r="F1645" s="70" t="s">
        <v>67</v>
      </c>
      <c r="G1645" s="71">
        <v>25021554857</v>
      </c>
      <c r="H1645" s="70" t="s">
        <v>68</v>
      </c>
    </row>
    <row r="1646" spans="1:8" ht="17.25" customHeight="1" x14ac:dyDescent="0.2">
      <c r="A1646" s="69">
        <v>2022</v>
      </c>
      <c r="B1646" s="70" t="s">
        <v>66</v>
      </c>
      <c r="C1646" s="70" t="s">
        <v>27</v>
      </c>
      <c r="D1646" s="70" t="s">
        <v>28</v>
      </c>
      <c r="E1646" s="70" t="s">
        <v>69</v>
      </c>
      <c r="F1646" s="70" t="s">
        <v>71</v>
      </c>
      <c r="G1646" s="71">
        <v>12609769609</v>
      </c>
      <c r="H1646" s="70" t="s">
        <v>68</v>
      </c>
    </row>
    <row r="1647" spans="1:8" ht="17.25" customHeight="1" x14ac:dyDescent="0.2">
      <c r="A1647" s="69">
        <v>2022</v>
      </c>
      <c r="B1647" s="70" t="s">
        <v>66</v>
      </c>
      <c r="C1647" s="70" t="s">
        <v>27</v>
      </c>
      <c r="D1647" s="70" t="s">
        <v>28</v>
      </c>
      <c r="E1647" s="70" t="s">
        <v>69</v>
      </c>
      <c r="F1647" s="70" t="s">
        <v>70</v>
      </c>
      <c r="G1647" s="71">
        <v>23185464890</v>
      </c>
      <c r="H1647" s="70" t="s">
        <v>68</v>
      </c>
    </row>
    <row r="1648" spans="1:8" ht="17.25" customHeight="1" x14ac:dyDescent="0.2">
      <c r="A1648" s="69">
        <v>2022</v>
      </c>
      <c r="B1648" s="70" t="s">
        <v>66</v>
      </c>
      <c r="C1648" s="70" t="s">
        <v>27</v>
      </c>
      <c r="D1648" s="70" t="s">
        <v>29</v>
      </c>
      <c r="E1648" s="70" t="s">
        <v>67</v>
      </c>
      <c r="F1648" s="70" t="s">
        <v>67</v>
      </c>
      <c r="G1648" s="71">
        <v>9761485887</v>
      </c>
      <c r="H1648" s="70" t="s">
        <v>68</v>
      </c>
    </row>
    <row r="1649" spans="1:8" ht="17.25" customHeight="1" x14ac:dyDescent="0.2">
      <c r="A1649" s="69">
        <v>2022</v>
      </c>
      <c r="B1649" s="70" t="s">
        <v>66</v>
      </c>
      <c r="C1649" s="70" t="s">
        <v>27</v>
      </c>
      <c r="D1649" s="70" t="s">
        <v>29</v>
      </c>
      <c r="E1649" s="70" t="s">
        <v>69</v>
      </c>
      <c r="F1649" s="70" t="s">
        <v>71</v>
      </c>
      <c r="G1649" s="71">
        <v>4539126617</v>
      </c>
      <c r="H1649" s="70" t="s">
        <v>68</v>
      </c>
    </row>
    <row r="1650" spans="1:8" ht="17.25" customHeight="1" x14ac:dyDescent="0.2">
      <c r="A1650" s="69">
        <v>2022</v>
      </c>
      <c r="B1650" s="70" t="s">
        <v>66</v>
      </c>
      <c r="C1650" s="70" t="s">
        <v>27</v>
      </c>
      <c r="D1650" s="70" t="s">
        <v>29</v>
      </c>
      <c r="E1650" s="70" t="s">
        <v>69</v>
      </c>
      <c r="F1650" s="70" t="s">
        <v>70</v>
      </c>
      <c r="G1650" s="71">
        <v>6701710088</v>
      </c>
      <c r="H1650" s="70" t="s">
        <v>68</v>
      </c>
    </row>
    <row r="1651" spans="1:8" ht="17.25" customHeight="1" x14ac:dyDescent="0.2">
      <c r="A1651" s="69">
        <v>2022</v>
      </c>
      <c r="B1651" s="70" t="s">
        <v>66</v>
      </c>
      <c r="C1651" s="70" t="s">
        <v>27</v>
      </c>
      <c r="D1651" s="70" t="s">
        <v>30</v>
      </c>
      <c r="E1651" s="70" t="s">
        <v>67</v>
      </c>
      <c r="F1651" s="70" t="s">
        <v>67</v>
      </c>
      <c r="G1651" s="71">
        <v>22953579305</v>
      </c>
      <c r="H1651" s="70" t="s">
        <v>68</v>
      </c>
    </row>
    <row r="1652" spans="1:8" ht="17.25" customHeight="1" x14ac:dyDescent="0.2">
      <c r="A1652" s="69">
        <v>2022</v>
      </c>
      <c r="B1652" s="70" t="s">
        <v>66</v>
      </c>
      <c r="C1652" s="70" t="s">
        <v>27</v>
      </c>
      <c r="D1652" s="70" t="s">
        <v>30</v>
      </c>
      <c r="E1652" s="70" t="s">
        <v>69</v>
      </c>
      <c r="F1652" s="70" t="s">
        <v>71</v>
      </c>
      <c r="G1652" s="71">
        <v>9918495275</v>
      </c>
      <c r="H1652" s="70" t="s">
        <v>68</v>
      </c>
    </row>
    <row r="1653" spans="1:8" ht="17.25" customHeight="1" x14ac:dyDescent="0.2">
      <c r="A1653" s="69">
        <v>2022</v>
      </c>
      <c r="B1653" s="70" t="s">
        <v>66</v>
      </c>
      <c r="C1653" s="70" t="s">
        <v>27</v>
      </c>
      <c r="D1653" s="70" t="s">
        <v>30</v>
      </c>
      <c r="E1653" s="70" t="s">
        <v>69</v>
      </c>
      <c r="F1653" s="70" t="s">
        <v>70</v>
      </c>
      <c r="G1653" s="71">
        <v>28573344910</v>
      </c>
      <c r="H1653" s="70" t="s">
        <v>68</v>
      </c>
    </row>
    <row r="1654" spans="1:8" ht="17.25" customHeight="1" x14ac:dyDescent="0.2">
      <c r="A1654" s="69">
        <v>2022</v>
      </c>
      <c r="B1654" s="70" t="s">
        <v>66</v>
      </c>
      <c r="C1654" s="70" t="s">
        <v>27</v>
      </c>
      <c r="D1654" s="70" t="s">
        <v>31</v>
      </c>
      <c r="E1654" s="70" t="s">
        <v>67</v>
      </c>
      <c r="F1654" s="70" t="s">
        <v>67</v>
      </c>
      <c r="G1654" s="71">
        <v>3688571355</v>
      </c>
      <c r="H1654" s="70" t="s">
        <v>68</v>
      </c>
    </row>
    <row r="1655" spans="1:8" ht="17.25" customHeight="1" x14ac:dyDescent="0.2">
      <c r="A1655" s="69">
        <v>2022</v>
      </c>
      <c r="B1655" s="70" t="s">
        <v>66</v>
      </c>
      <c r="C1655" s="70" t="s">
        <v>27</v>
      </c>
      <c r="D1655" s="70" t="s">
        <v>31</v>
      </c>
      <c r="E1655" s="70" t="s">
        <v>69</v>
      </c>
      <c r="F1655" s="70" t="s">
        <v>71</v>
      </c>
      <c r="G1655" s="71">
        <v>3598714534</v>
      </c>
      <c r="H1655" s="70" t="s">
        <v>68</v>
      </c>
    </row>
    <row r="1656" spans="1:8" ht="17.25" customHeight="1" x14ac:dyDescent="0.2">
      <c r="A1656" s="69">
        <v>2022</v>
      </c>
      <c r="B1656" s="70" t="s">
        <v>66</v>
      </c>
      <c r="C1656" s="70" t="s">
        <v>27</v>
      </c>
      <c r="D1656" s="70" t="s">
        <v>31</v>
      </c>
      <c r="E1656" s="70" t="s">
        <v>69</v>
      </c>
      <c r="F1656" s="70" t="s">
        <v>70</v>
      </c>
      <c r="G1656" s="71">
        <v>8331714099</v>
      </c>
      <c r="H1656" s="70" t="s">
        <v>68</v>
      </c>
    </row>
    <row r="1657" spans="1:8" ht="17.25" customHeight="1" x14ac:dyDescent="0.2">
      <c r="A1657" s="69">
        <v>2022</v>
      </c>
      <c r="B1657" s="70" t="s">
        <v>66</v>
      </c>
      <c r="C1657" s="70" t="s">
        <v>27</v>
      </c>
      <c r="D1657" s="70" t="s">
        <v>32</v>
      </c>
      <c r="E1657" s="70" t="s">
        <v>67</v>
      </c>
      <c r="F1657" s="70" t="s">
        <v>67</v>
      </c>
      <c r="G1657" s="71">
        <v>11180879994</v>
      </c>
      <c r="H1657" s="70" t="s">
        <v>68</v>
      </c>
    </row>
    <row r="1658" spans="1:8" ht="17.25" customHeight="1" x14ac:dyDescent="0.2">
      <c r="A1658" s="69">
        <v>2022</v>
      </c>
      <c r="B1658" s="70" t="s">
        <v>66</v>
      </c>
      <c r="C1658" s="70" t="s">
        <v>27</v>
      </c>
      <c r="D1658" s="70" t="s">
        <v>32</v>
      </c>
      <c r="E1658" s="70" t="s">
        <v>69</v>
      </c>
      <c r="F1658" s="70" t="s">
        <v>71</v>
      </c>
      <c r="G1658" s="71">
        <v>6897679902</v>
      </c>
      <c r="H1658" s="70" t="s">
        <v>68</v>
      </c>
    </row>
    <row r="1659" spans="1:8" ht="17.25" customHeight="1" x14ac:dyDescent="0.2">
      <c r="A1659" s="69">
        <v>2022</v>
      </c>
      <c r="B1659" s="70" t="s">
        <v>66</v>
      </c>
      <c r="C1659" s="70" t="s">
        <v>27</v>
      </c>
      <c r="D1659" s="70" t="s">
        <v>32</v>
      </c>
      <c r="E1659" s="70" t="s">
        <v>69</v>
      </c>
      <c r="F1659" s="70" t="s">
        <v>70</v>
      </c>
      <c r="G1659" s="71">
        <v>8565506263</v>
      </c>
      <c r="H1659" s="70" t="s">
        <v>68</v>
      </c>
    </row>
    <row r="1660" spans="1:8" ht="17.25" customHeight="1" x14ac:dyDescent="0.2">
      <c r="A1660" s="69">
        <v>2022</v>
      </c>
      <c r="B1660" s="70" t="s">
        <v>66</v>
      </c>
      <c r="C1660" s="70" t="s">
        <v>27</v>
      </c>
      <c r="D1660" s="70" t="s">
        <v>33</v>
      </c>
      <c r="E1660" s="70" t="s">
        <v>67</v>
      </c>
      <c r="F1660" s="70" t="s">
        <v>67</v>
      </c>
      <c r="G1660" s="71">
        <v>9068616178</v>
      </c>
      <c r="H1660" s="70" t="s">
        <v>68</v>
      </c>
    </row>
    <row r="1661" spans="1:8" ht="17.25" customHeight="1" x14ac:dyDescent="0.2">
      <c r="A1661" s="69">
        <v>2022</v>
      </c>
      <c r="B1661" s="70" t="s">
        <v>66</v>
      </c>
      <c r="C1661" s="70" t="s">
        <v>27</v>
      </c>
      <c r="D1661" s="70" t="s">
        <v>33</v>
      </c>
      <c r="E1661" s="70" t="s">
        <v>69</v>
      </c>
      <c r="F1661" s="70" t="s">
        <v>71</v>
      </c>
      <c r="G1661" s="71">
        <v>8947072214</v>
      </c>
      <c r="H1661" s="70" t="s">
        <v>68</v>
      </c>
    </row>
    <row r="1662" spans="1:8" ht="17.25" customHeight="1" x14ac:dyDescent="0.2">
      <c r="A1662" s="69">
        <v>2022</v>
      </c>
      <c r="B1662" s="70" t="s">
        <v>66</v>
      </c>
      <c r="C1662" s="70" t="s">
        <v>27</v>
      </c>
      <c r="D1662" s="70" t="s">
        <v>33</v>
      </c>
      <c r="E1662" s="70" t="s">
        <v>69</v>
      </c>
      <c r="F1662" s="70" t="s">
        <v>70</v>
      </c>
      <c r="G1662" s="71">
        <v>30915259060</v>
      </c>
      <c r="H1662" s="70" t="s">
        <v>68</v>
      </c>
    </row>
    <row r="1663" spans="1:8" ht="17.25" customHeight="1" x14ac:dyDescent="0.2">
      <c r="A1663" s="69">
        <v>2022</v>
      </c>
      <c r="B1663" s="70" t="s">
        <v>66</v>
      </c>
      <c r="C1663" s="70" t="s">
        <v>35</v>
      </c>
      <c r="D1663" s="70" t="s">
        <v>34</v>
      </c>
      <c r="E1663" s="70" t="s">
        <v>67</v>
      </c>
      <c r="F1663" s="70" t="s">
        <v>67</v>
      </c>
      <c r="G1663" s="71">
        <v>3981900167</v>
      </c>
      <c r="H1663" s="70" t="s">
        <v>68</v>
      </c>
    </row>
    <row r="1664" spans="1:8" ht="17.25" customHeight="1" x14ac:dyDescent="0.2">
      <c r="A1664" s="69">
        <v>2022</v>
      </c>
      <c r="B1664" s="70" t="s">
        <v>66</v>
      </c>
      <c r="C1664" s="70" t="s">
        <v>35</v>
      </c>
      <c r="D1664" s="70" t="s">
        <v>34</v>
      </c>
      <c r="E1664" s="70" t="s">
        <v>69</v>
      </c>
      <c r="F1664" s="70" t="s">
        <v>71</v>
      </c>
      <c r="G1664" s="71">
        <v>1297981167</v>
      </c>
      <c r="H1664" s="70" t="s">
        <v>68</v>
      </c>
    </row>
    <row r="1665" spans="1:8" ht="17.25" customHeight="1" x14ac:dyDescent="0.2">
      <c r="A1665" s="69">
        <v>2022</v>
      </c>
      <c r="B1665" s="70" t="s">
        <v>66</v>
      </c>
      <c r="C1665" s="70" t="s">
        <v>35</v>
      </c>
      <c r="D1665" s="70" t="s">
        <v>34</v>
      </c>
      <c r="E1665" s="70" t="s">
        <v>69</v>
      </c>
      <c r="F1665" s="70" t="s">
        <v>70</v>
      </c>
      <c r="G1665" s="71">
        <v>1213045964</v>
      </c>
      <c r="H1665" s="70" t="s">
        <v>68</v>
      </c>
    </row>
    <row r="1666" spans="1:8" ht="17.25" customHeight="1" x14ac:dyDescent="0.2">
      <c r="A1666" s="69">
        <v>2022</v>
      </c>
      <c r="B1666" s="70" t="s">
        <v>66</v>
      </c>
      <c r="C1666" s="70" t="s">
        <v>35</v>
      </c>
      <c r="D1666" s="70" t="s">
        <v>36</v>
      </c>
      <c r="E1666" s="70" t="s">
        <v>67</v>
      </c>
      <c r="F1666" s="70" t="s">
        <v>67</v>
      </c>
      <c r="G1666" s="71">
        <v>8143888408</v>
      </c>
      <c r="H1666" s="70" t="s">
        <v>68</v>
      </c>
    </row>
    <row r="1667" spans="1:8" ht="17.25" customHeight="1" x14ac:dyDescent="0.2">
      <c r="A1667" s="69">
        <v>2022</v>
      </c>
      <c r="B1667" s="70" t="s">
        <v>66</v>
      </c>
      <c r="C1667" s="70" t="s">
        <v>35</v>
      </c>
      <c r="D1667" s="70" t="s">
        <v>36</v>
      </c>
      <c r="E1667" s="70" t="s">
        <v>69</v>
      </c>
      <c r="F1667" s="70" t="s">
        <v>71</v>
      </c>
      <c r="G1667" s="71">
        <v>4354779864</v>
      </c>
      <c r="H1667" s="70" t="s">
        <v>68</v>
      </c>
    </row>
    <row r="1668" spans="1:8" ht="17.25" customHeight="1" x14ac:dyDescent="0.2">
      <c r="A1668" s="69">
        <v>2022</v>
      </c>
      <c r="B1668" s="70" t="s">
        <v>66</v>
      </c>
      <c r="C1668" s="70" t="s">
        <v>35</v>
      </c>
      <c r="D1668" s="70" t="s">
        <v>36</v>
      </c>
      <c r="E1668" s="70" t="s">
        <v>69</v>
      </c>
      <c r="F1668" s="70" t="s">
        <v>70</v>
      </c>
      <c r="G1668" s="71">
        <v>3354410425</v>
      </c>
      <c r="H1668" s="70" t="s">
        <v>68</v>
      </c>
    </row>
    <row r="1669" spans="1:8" ht="17.25" customHeight="1" x14ac:dyDescent="0.2">
      <c r="A1669" s="69">
        <v>2022</v>
      </c>
      <c r="B1669" s="70" t="s">
        <v>66</v>
      </c>
      <c r="C1669" s="70" t="s">
        <v>35</v>
      </c>
      <c r="D1669" s="70" t="s">
        <v>37</v>
      </c>
      <c r="E1669" s="70" t="s">
        <v>67</v>
      </c>
      <c r="F1669" s="70" t="s">
        <v>67</v>
      </c>
      <c r="G1669" s="71">
        <v>1734973312</v>
      </c>
      <c r="H1669" s="70" t="s">
        <v>68</v>
      </c>
    </row>
    <row r="1670" spans="1:8" ht="17.25" customHeight="1" x14ac:dyDescent="0.2">
      <c r="A1670" s="69">
        <v>2022</v>
      </c>
      <c r="B1670" s="70" t="s">
        <v>66</v>
      </c>
      <c r="C1670" s="70" t="s">
        <v>35</v>
      </c>
      <c r="D1670" s="70" t="s">
        <v>37</v>
      </c>
      <c r="E1670" s="70" t="s">
        <v>69</v>
      </c>
      <c r="F1670" s="70" t="s">
        <v>71</v>
      </c>
      <c r="G1670" s="71">
        <v>688317810</v>
      </c>
      <c r="H1670" s="70" t="s">
        <v>68</v>
      </c>
    </row>
    <row r="1671" spans="1:8" ht="17.25" customHeight="1" x14ac:dyDescent="0.2">
      <c r="A1671" s="69">
        <v>2022</v>
      </c>
      <c r="B1671" s="70" t="s">
        <v>66</v>
      </c>
      <c r="C1671" s="70" t="s">
        <v>35</v>
      </c>
      <c r="D1671" s="70" t="s">
        <v>37</v>
      </c>
      <c r="E1671" s="70" t="s">
        <v>69</v>
      </c>
      <c r="F1671" s="70" t="s">
        <v>70</v>
      </c>
      <c r="G1671" s="71">
        <v>744063846</v>
      </c>
      <c r="H1671" s="70" t="s">
        <v>68</v>
      </c>
    </row>
    <row r="1672" spans="1:8" ht="17.25" customHeight="1" x14ac:dyDescent="0.2">
      <c r="A1672" s="69">
        <v>2022</v>
      </c>
      <c r="B1672" s="70" t="s">
        <v>66</v>
      </c>
      <c r="C1672" s="70" t="s">
        <v>35</v>
      </c>
      <c r="D1672" s="70" t="s">
        <v>38</v>
      </c>
      <c r="E1672" s="70" t="s">
        <v>67</v>
      </c>
      <c r="F1672" s="70" t="s">
        <v>67</v>
      </c>
      <c r="G1672" s="71">
        <v>2498170431</v>
      </c>
      <c r="H1672" s="70" t="s">
        <v>68</v>
      </c>
    </row>
    <row r="1673" spans="1:8" ht="17.25" customHeight="1" x14ac:dyDescent="0.2">
      <c r="A1673" s="69">
        <v>2022</v>
      </c>
      <c r="B1673" s="70" t="s">
        <v>66</v>
      </c>
      <c r="C1673" s="70" t="s">
        <v>35</v>
      </c>
      <c r="D1673" s="70" t="s">
        <v>38</v>
      </c>
      <c r="E1673" s="70" t="s">
        <v>69</v>
      </c>
      <c r="F1673" s="70" t="s">
        <v>71</v>
      </c>
      <c r="G1673" s="71">
        <v>895971183</v>
      </c>
      <c r="H1673" s="70" t="s">
        <v>68</v>
      </c>
    </row>
    <row r="1674" spans="1:8" ht="17.25" customHeight="1" x14ac:dyDescent="0.2">
      <c r="A1674" s="69">
        <v>2022</v>
      </c>
      <c r="B1674" s="70" t="s">
        <v>66</v>
      </c>
      <c r="C1674" s="70" t="s">
        <v>35</v>
      </c>
      <c r="D1674" s="70" t="s">
        <v>38</v>
      </c>
      <c r="E1674" s="70" t="s">
        <v>69</v>
      </c>
      <c r="F1674" s="70" t="s">
        <v>70</v>
      </c>
      <c r="G1674" s="71">
        <v>1018203509</v>
      </c>
      <c r="H1674" s="70" t="s">
        <v>68</v>
      </c>
    </row>
    <row r="1675" spans="1:8" ht="17.25" customHeight="1" x14ac:dyDescent="0.2">
      <c r="A1675" s="69">
        <v>2022</v>
      </c>
      <c r="B1675" s="70" t="s">
        <v>66</v>
      </c>
      <c r="C1675" s="70" t="s">
        <v>35</v>
      </c>
      <c r="D1675" s="70" t="s">
        <v>39</v>
      </c>
      <c r="E1675" s="70" t="s">
        <v>67</v>
      </c>
      <c r="F1675" s="70" t="s">
        <v>67</v>
      </c>
      <c r="G1675" s="71">
        <v>12926014486</v>
      </c>
      <c r="H1675" s="70" t="s">
        <v>68</v>
      </c>
    </row>
    <row r="1676" spans="1:8" ht="17.25" customHeight="1" x14ac:dyDescent="0.2">
      <c r="A1676" s="69">
        <v>2022</v>
      </c>
      <c r="B1676" s="70" t="s">
        <v>66</v>
      </c>
      <c r="C1676" s="70" t="s">
        <v>35</v>
      </c>
      <c r="D1676" s="70" t="s">
        <v>39</v>
      </c>
      <c r="E1676" s="70" t="s">
        <v>69</v>
      </c>
      <c r="F1676" s="70" t="s">
        <v>71</v>
      </c>
      <c r="G1676" s="71">
        <v>6125103586</v>
      </c>
      <c r="H1676" s="70" t="s">
        <v>68</v>
      </c>
    </row>
    <row r="1677" spans="1:8" ht="17.25" customHeight="1" x14ac:dyDescent="0.2">
      <c r="A1677" s="69">
        <v>2022</v>
      </c>
      <c r="B1677" s="70" t="s">
        <v>66</v>
      </c>
      <c r="C1677" s="70" t="s">
        <v>35</v>
      </c>
      <c r="D1677" s="70" t="s">
        <v>39</v>
      </c>
      <c r="E1677" s="70" t="s">
        <v>69</v>
      </c>
      <c r="F1677" s="70" t="s">
        <v>70</v>
      </c>
      <c r="G1677" s="71">
        <v>5532449468</v>
      </c>
      <c r="H1677" s="70" t="s">
        <v>68</v>
      </c>
    </row>
    <row r="1678" spans="1:8" ht="17.25" customHeight="1" x14ac:dyDescent="0.2">
      <c r="A1678" s="69">
        <v>2022</v>
      </c>
      <c r="B1678" s="70" t="s">
        <v>66</v>
      </c>
      <c r="C1678" s="70" t="s">
        <v>41</v>
      </c>
      <c r="D1678" s="70" t="s">
        <v>40</v>
      </c>
      <c r="E1678" s="70" t="s">
        <v>67</v>
      </c>
      <c r="F1678" s="70" t="s">
        <v>67</v>
      </c>
      <c r="G1678" s="71">
        <v>1946413217</v>
      </c>
      <c r="H1678" s="70" t="s">
        <v>68</v>
      </c>
    </row>
    <row r="1679" spans="1:8" ht="17.25" customHeight="1" x14ac:dyDescent="0.2">
      <c r="A1679" s="69">
        <v>2022</v>
      </c>
      <c r="B1679" s="70" t="s">
        <v>66</v>
      </c>
      <c r="C1679" s="70" t="s">
        <v>41</v>
      </c>
      <c r="D1679" s="70" t="s">
        <v>40</v>
      </c>
      <c r="E1679" s="70" t="s">
        <v>69</v>
      </c>
      <c r="F1679" s="70" t="s">
        <v>71</v>
      </c>
      <c r="G1679" s="71">
        <v>448331306</v>
      </c>
      <c r="H1679" s="70" t="s">
        <v>68</v>
      </c>
    </row>
    <row r="1680" spans="1:8" ht="17.25" customHeight="1" x14ac:dyDescent="0.2">
      <c r="A1680" s="69">
        <v>2022</v>
      </c>
      <c r="B1680" s="70" t="s">
        <v>66</v>
      </c>
      <c r="C1680" s="70" t="s">
        <v>41</v>
      </c>
      <c r="D1680" s="70" t="s">
        <v>40</v>
      </c>
      <c r="E1680" s="70" t="s">
        <v>69</v>
      </c>
      <c r="F1680" s="70" t="s">
        <v>70</v>
      </c>
      <c r="G1680" s="71">
        <v>596991808</v>
      </c>
      <c r="H1680" s="70" t="s">
        <v>68</v>
      </c>
    </row>
    <row r="1681" spans="1:8" ht="17.25" customHeight="1" x14ac:dyDescent="0.2">
      <c r="A1681" s="69">
        <v>2022</v>
      </c>
      <c r="B1681" s="70" t="s">
        <v>66</v>
      </c>
      <c r="C1681" s="70" t="s">
        <v>41</v>
      </c>
      <c r="D1681" s="70" t="s">
        <v>42</v>
      </c>
      <c r="E1681" s="70" t="s">
        <v>67</v>
      </c>
      <c r="F1681" s="70" t="s">
        <v>67</v>
      </c>
      <c r="G1681" s="71">
        <v>8512396118</v>
      </c>
      <c r="H1681" s="70" t="s">
        <v>68</v>
      </c>
    </row>
    <row r="1682" spans="1:8" ht="17.25" customHeight="1" x14ac:dyDescent="0.2">
      <c r="A1682" s="69">
        <v>2022</v>
      </c>
      <c r="B1682" s="70" t="s">
        <v>66</v>
      </c>
      <c r="C1682" s="70" t="s">
        <v>41</v>
      </c>
      <c r="D1682" s="70" t="s">
        <v>42</v>
      </c>
      <c r="E1682" s="70" t="s">
        <v>69</v>
      </c>
      <c r="F1682" s="70" t="s">
        <v>71</v>
      </c>
      <c r="G1682" s="71">
        <v>1411661735</v>
      </c>
      <c r="H1682" s="70" t="s">
        <v>68</v>
      </c>
    </row>
    <row r="1683" spans="1:8" ht="17.25" customHeight="1" x14ac:dyDescent="0.2">
      <c r="A1683" s="69">
        <v>2022</v>
      </c>
      <c r="B1683" s="70" t="s">
        <v>66</v>
      </c>
      <c r="C1683" s="70" t="s">
        <v>41</v>
      </c>
      <c r="D1683" s="70" t="s">
        <v>42</v>
      </c>
      <c r="E1683" s="70" t="s">
        <v>69</v>
      </c>
      <c r="F1683" s="70" t="s">
        <v>70</v>
      </c>
      <c r="G1683" s="71">
        <v>4874099737</v>
      </c>
      <c r="H1683" s="70" t="s">
        <v>68</v>
      </c>
    </row>
    <row r="1684" spans="1:8" ht="17.25" customHeight="1" x14ac:dyDescent="0.2">
      <c r="A1684" s="69">
        <v>2022</v>
      </c>
      <c r="B1684" s="70" t="s">
        <v>66</v>
      </c>
      <c r="C1684" s="70" t="s">
        <v>41</v>
      </c>
      <c r="D1684" s="70" t="s">
        <v>43</v>
      </c>
      <c r="E1684" s="70" t="s">
        <v>67</v>
      </c>
      <c r="F1684" s="70" t="s">
        <v>67</v>
      </c>
      <c r="G1684" s="71">
        <v>5026573168</v>
      </c>
      <c r="H1684" s="70" t="s">
        <v>68</v>
      </c>
    </row>
    <row r="1685" spans="1:8" ht="17.25" customHeight="1" x14ac:dyDescent="0.2">
      <c r="A1685" s="69">
        <v>2022</v>
      </c>
      <c r="B1685" s="70" t="s">
        <v>66</v>
      </c>
      <c r="C1685" s="70" t="s">
        <v>41</v>
      </c>
      <c r="D1685" s="70" t="s">
        <v>43</v>
      </c>
      <c r="E1685" s="70" t="s">
        <v>69</v>
      </c>
      <c r="F1685" s="70" t="s">
        <v>71</v>
      </c>
      <c r="G1685" s="71">
        <v>1441822415</v>
      </c>
      <c r="H1685" s="70" t="s">
        <v>68</v>
      </c>
    </row>
    <row r="1686" spans="1:8" ht="17.25" customHeight="1" x14ac:dyDescent="0.2">
      <c r="A1686" s="69">
        <v>2022</v>
      </c>
      <c r="B1686" s="70" t="s">
        <v>66</v>
      </c>
      <c r="C1686" s="70" t="s">
        <v>41</v>
      </c>
      <c r="D1686" s="70" t="s">
        <v>43</v>
      </c>
      <c r="E1686" s="70" t="s">
        <v>69</v>
      </c>
      <c r="F1686" s="70" t="s">
        <v>70</v>
      </c>
      <c r="G1686" s="71">
        <v>1877637537</v>
      </c>
      <c r="H1686" s="70" t="s">
        <v>68</v>
      </c>
    </row>
    <row r="1687" spans="1:8" ht="17.25" customHeight="1" x14ac:dyDescent="0.2">
      <c r="A1687" s="69">
        <v>2022</v>
      </c>
      <c r="B1687" s="70" t="s">
        <v>66</v>
      </c>
      <c r="C1687" s="70" t="s">
        <v>41</v>
      </c>
      <c r="D1687" s="70" t="s">
        <v>44</v>
      </c>
      <c r="E1687" s="70" t="s">
        <v>67</v>
      </c>
      <c r="F1687" s="70" t="s">
        <v>67</v>
      </c>
      <c r="G1687" s="71">
        <v>8297697715</v>
      </c>
      <c r="H1687" s="70" t="s">
        <v>68</v>
      </c>
    </row>
    <row r="1688" spans="1:8" ht="17.25" customHeight="1" x14ac:dyDescent="0.2">
      <c r="A1688" s="69">
        <v>2022</v>
      </c>
      <c r="B1688" s="70" t="s">
        <v>66</v>
      </c>
      <c r="C1688" s="70" t="s">
        <v>41</v>
      </c>
      <c r="D1688" s="70" t="s">
        <v>44</v>
      </c>
      <c r="E1688" s="70" t="s">
        <v>69</v>
      </c>
      <c r="F1688" s="70" t="s">
        <v>71</v>
      </c>
      <c r="G1688" s="71">
        <v>2865533840</v>
      </c>
      <c r="H1688" s="70" t="s">
        <v>68</v>
      </c>
    </row>
    <row r="1689" spans="1:8" ht="17.25" customHeight="1" x14ac:dyDescent="0.2">
      <c r="A1689" s="69">
        <v>2022</v>
      </c>
      <c r="B1689" s="70" t="s">
        <v>66</v>
      </c>
      <c r="C1689" s="70" t="s">
        <v>41</v>
      </c>
      <c r="D1689" s="70" t="s">
        <v>44</v>
      </c>
      <c r="E1689" s="70" t="s">
        <v>69</v>
      </c>
      <c r="F1689" s="70" t="s">
        <v>70</v>
      </c>
      <c r="G1689" s="71">
        <v>3540883697</v>
      </c>
      <c r="H1689" s="70" t="s">
        <v>68</v>
      </c>
    </row>
    <row r="1690" spans="1:8" ht="17.25" customHeight="1" x14ac:dyDescent="0.2">
      <c r="A1690" s="69">
        <v>2022</v>
      </c>
      <c r="B1690" s="70" t="s">
        <v>66</v>
      </c>
      <c r="C1690" s="70" t="s">
        <v>41</v>
      </c>
      <c r="D1690" s="70" t="s">
        <v>45</v>
      </c>
      <c r="E1690" s="70" t="s">
        <v>67</v>
      </c>
      <c r="F1690" s="70" t="s">
        <v>67</v>
      </c>
      <c r="G1690" s="71">
        <v>21737449328</v>
      </c>
      <c r="H1690" s="70" t="s">
        <v>68</v>
      </c>
    </row>
    <row r="1691" spans="1:8" ht="17.25" customHeight="1" x14ac:dyDescent="0.2">
      <c r="A1691" s="69">
        <v>2022</v>
      </c>
      <c r="B1691" s="70" t="s">
        <v>66</v>
      </c>
      <c r="C1691" s="70" t="s">
        <v>41</v>
      </c>
      <c r="D1691" s="70" t="s">
        <v>45</v>
      </c>
      <c r="E1691" s="70" t="s">
        <v>69</v>
      </c>
      <c r="F1691" s="70" t="s">
        <v>71</v>
      </c>
      <c r="G1691" s="71">
        <v>5445770029</v>
      </c>
      <c r="H1691" s="70" t="s">
        <v>68</v>
      </c>
    </row>
    <row r="1692" spans="1:8" ht="17.25" customHeight="1" x14ac:dyDescent="0.2">
      <c r="A1692" s="69">
        <v>2022</v>
      </c>
      <c r="B1692" s="70" t="s">
        <v>66</v>
      </c>
      <c r="C1692" s="70" t="s">
        <v>41</v>
      </c>
      <c r="D1692" s="70" t="s">
        <v>45</v>
      </c>
      <c r="E1692" s="70" t="s">
        <v>69</v>
      </c>
      <c r="F1692" s="70" t="s">
        <v>70</v>
      </c>
      <c r="G1692" s="71">
        <v>12758432858</v>
      </c>
      <c r="H1692" s="70" t="s">
        <v>68</v>
      </c>
    </row>
    <row r="1693" spans="1:8" ht="17.25" customHeight="1" x14ac:dyDescent="0.2">
      <c r="A1693" s="69">
        <v>2022</v>
      </c>
      <c r="B1693" s="70" t="s">
        <v>66</v>
      </c>
      <c r="C1693" s="70" t="s">
        <v>47</v>
      </c>
      <c r="D1693" s="70" t="s">
        <v>46</v>
      </c>
      <c r="E1693" s="70" t="s">
        <v>72</v>
      </c>
      <c r="F1693" s="70" t="s">
        <v>73</v>
      </c>
      <c r="G1693" s="71">
        <v>7866488835</v>
      </c>
      <c r="H1693" s="70" t="s">
        <v>68</v>
      </c>
    </row>
    <row r="1694" spans="1:8" ht="17.25" customHeight="1" x14ac:dyDescent="0.2">
      <c r="A1694" s="69">
        <v>2022</v>
      </c>
      <c r="B1694" s="70" t="s">
        <v>66</v>
      </c>
      <c r="C1694" s="70" t="s">
        <v>47</v>
      </c>
      <c r="D1694" s="70" t="s">
        <v>46</v>
      </c>
      <c r="E1694" s="70" t="s">
        <v>67</v>
      </c>
      <c r="F1694" s="70" t="s">
        <v>74</v>
      </c>
      <c r="G1694" s="71">
        <v>4781980462</v>
      </c>
      <c r="H1694" s="70" t="s">
        <v>68</v>
      </c>
    </row>
    <row r="1695" spans="1:8" ht="17.25" customHeight="1" x14ac:dyDescent="0.2">
      <c r="A1695" s="69">
        <v>2022</v>
      </c>
      <c r="B1695" s="70" t="s">
        <v>66</v>
      </c>
      <c r="C1695" s="70" t="s">
        <v>47</v>
      </c>
      <c r="D1695" s="70" t="s">
        <v>46</v>
      </c>
      <c r="E1695" s="70" t="s">
        <v>69</v>
      </c>
      <c r="F1695" s="70" t="s">
        <v>71</v>
      </c>
      <c r="G1695" s="71">
        <v>8079420119</v>
      </c>
      <c r="H1695" s="70" t="s">
        <v>68</v>
      </c>
    </row>
    <row r="1696" spans="1:8" ht="17.25" customHeight="1" x14ac:dyDescent="0.2">
      <c r="A1696" s="69">
        <v>2022</v>
      </c>
      <c r="B1696" s="70" t="s">
        <v>66</v>
      </c>
      <c r="C1696" s="70" t="s">
        <v>47</v>
      </c>
      <c r="D1696" s="70" t="s">
        <v>46</v>
      </c>
      <c r="E1696" s="70" t="s">
        <v>69</v>
      </c>
      <c r="F1696" s="70" t="s">
        <v>70</v>
      </c>
      <c r="G1696" s="71">
        <v>10844420519</v>
      </c>
      <c r="H1696" s="70" t="s">
        <v>68</v>
      </c>
    </row>
    <row r="1697" spans="1:8" ht="17.25" customHeight="1" x14ac:dyDescent="0.2">
      <c r="A1697" s="69">
        <v>2022</v>
      </c>
      <c r="B1697" s="70" t="s">
        <v>66</v>
      </c>
      <c r="C1697" s="70" t="s">
        <v>47</v>
      </c>
      <c r="D1697" s="70" t="s">
        <v>48</v>
      </c>
      <c r="E1697" s="70" t="s">
        <v>72</v>
      </c>
      <c r="F1697" s="70" t="s">
        <v>73</v>
      </c>
      <c r="G1697" s="71">
        <v>84933436910</v>
      </c>
      <c r="H1697" s="70" t="s">
        <v>68</v>
      </c>
    </row>
    <row r="1698" spans="1:8" ht="17.25" customHeight="1" x14ac:dyDescent="0.2">
      <c r="A1698" s="69">
        <v>2022</v>
      </c>
      <c r="B1698" s="70" t="s">
        <v>66</v>
      </c>
      <c r="C1698" s="70" t="s">
        <v>47</v>
      </c>
      <c r="D1698" s="70" t="s">
        <v>48</v>
      </c>
      <c r="E1698" s="70" t="s">
        <v>67</v>
      </c>
      <c r="F1698" s="70" t="s">
        <v>74</v>
      </c>
      <c r="G1698" s="71">
        <v>70844328110</v>
      </c>
      <c r="H1698" s="70" t="s">
        <v>68</v>
      </c>
    </row>
    <row r="1699" spans="1:8" ht="17.25" customHeight="1" x14ac:dyDescent="0.2">
      <c r="A1699" s="69">
        <v>2022</v>
      </c>
      <c r="B1699" s="70" t="s">
        <v>66</v>
      </c>
      <c r="C1699" s="70" t="s">
        <v>47</v>
      </c>
      <c r="D1699" s="70" t="s">
        <v>48</v>
      </c>
      <c r="E1699" s="70" t="s">
        <v>69</v>
      </c>
      <c r="F1699" s="70" t="s">
        <v>71</v>
      </c>
      <c r="G1699" s="71">
        <v>89648790000</v>
      </c>
      <c r="H1699" s="70" t="s">
        <v>68</v>
      </c>
    </row>
    <row r="1700" spans="1:8" ht="17.25" customHeight="1" x14ac:dyDescent="0.2">
      <c r="A1700" s="69">
        <v>2022</v>
      </c>
      <c r="B1700" s="70" t="s">
        <v>66</v>
      </c>
      <c r="C1700" s="70" t="s">
        <v>47</v>
      </c>
      <c r="D1700" s="70" t="s">
        <v>48</v>
      </c>
      <c r="E1700" s="70" t="s">
        <v>69</v>
      </c>
      <c r="F1700" s="70" t="s">
        <v>70</v>
      </c>
      <c r="G1700" s="71">
        <v>176124290541</v>
      </c>
      <c r="H1700" s="70" t="s">
        <v>68</v>
      </c>
    </row>
    <row r="1701" spans="1:8" ht="17.25" customHeight="1" x14ac:dyDescent="0.2">
      <c r="A1701" s="69">
        <v>2023</v>
      </c>
      <c r="B1701" s="70" t="s">
        <v>66</v>
      </c>
      <c r="C1701" s="70" t="s">
        <v>4</v>
      </c>
      <c r="D1701" s="70" t="s">
        <v>3</v>
      </c>
      <c r="E1701" s="70" t="s">
        <v>67</v>
      </c>
      <c r="F1701" s="70" t="s">
        <v>67</v>
      </c>
      <c r="G1701" s="71">
        <v>15130013207</v>
      </c>
      <c r="H1701" s="70" t="s">
        <v>68</v>
      </c>
    </row>
    <row r="1702" spans="1:8" ht="17.25" customHeight="1" x14ac:dyDescent="0.2">
      <c r="A1702" s="69">
        <v>2023</v>
      </c>
      <c r="B1702" s="70" t="s">
        <v>66</v>
      </c>
      <c r="C1702" s="70" t="s">
        <v>4</v>
      </c>
      <c r="D1702" s="70" t="s">
        <v>3</v>
      </c>
      <c r="E1702" s="70" t="s">
        <v>69</v>
      </c>
      <c r="F1702" s="70" t="s">
        <v>71</v>
      </c>
      <c r="G1702" s="71">
        <v>6361424103</v>
      </c>
      <c r="H1702" s="70" t="s">
        <v>68</v>
      </c>
    </row>
    <row r="1703" spans="1:8" ht="17.25" customHeight="1" x14ac:dyDescent="0.2">
      <c r="A1703" s="69">
        <v>2023</v>
      </c>
      <c r="B1703" s="70" t="s">
        <v>66</v>
      </c>
      <c r="C1703" s="70" t="s">
        <v>4</v>
      </c>
      <c r="D1703" s="70" t="s">
        <v>3</v>
      </c>
      <c r="E1703" s="70" t="s">
        <v>69</v>
      </c>
      <c r="F1703" s="70" t="s">
        <v>70</v>
      </c>
      <c r="G1703" s="71">
        <v>14099041160</v>
      </c>
      <c r="H1703" s="70" t="s">
        <v>68</v>
      </c>
    </row>
    <row r="1704" spans="1:8" ht="17.25" customHeight="1" x14ac:dyDescent="0.2">
      <c r="A1704" s="69">
        <v>2023</v>
      </c>
      <c r="B1704" s="70" t="s">
        <v>66</v>
      </c>
      <c r="C1704" s="70" t="s">
        <v>4</v>
      </c>
      <c r="D1704" s="70" t="s">
        <v>5</v>
      </c>
      <c r="E1704" s="70" t="s">
        <v>67</v>
      </c>
      <c r="F1704" s="70" t="s">
        <v>67</v>
      </c>
      <c r="G1704" s="71">
        <v>41667369127</v>
      </c>
      <c r="H1704" s="70" t="s">
        <v>68</v>
      </c>
    </row>
    <row r="1705" spans="1:8" ht="17.25" customHeight="1" x14ac:dyDescent="0.2">
      <c r="A1705" s="69">
        <v>2023</v>
      </c>
      <c r="B1705" s="70" t="s">
        <v>66</v>
      </c>
      <c r="C1705" s="70" t="s">
        <v>4</v>
      </c>
      <c r="D1705" s="70" t="s">
        <v>5</v>
      </c>
      <c r="E1705" s="70" t="s">
        <v>69</v>
      </c>
      <c r="F1705" s="70" t="s">
        <v>71</v>
      </c>
      <c r="G1705" s="71">
        <v>51460476537</v>
      </c>
      <c r="H1705" s="70" t="s">
        <v>68</v>
      </c>
    </row>
    <row r="1706" spans="1:8" ht="17.25" customHeight="1" x14ac:dyDescent="0.2">
      <c r="A1706" s="69">
        <v>2023</v>
      </c>
      <c r="B1706" s="70" t="s">
        <v>66</v>
      </c>
      <c r="C1706" s="70" t="s">
        <v>4</v>
      </c>
      <c r="D1706" s="70" t="s">
        <v>5</v>
      </c>
      <c r="E1706" s="70" t="s">
        <v>69</v>
      </c>
      <c r="F1706" s="70" t="s">
        <v>70</v>
      </c>
      <c r="G1706" s="71">
        <v>49542250038</v>
      </c>
      <c r="H1706" s="70" t="s">
        <v>68</v>
      </c>
    </row>
    <row r="1707" spans="1:8" ht="17.25" customHeight="1" x14ac:dyDescent="0.2">
      <c r="A1707" s="69">
        <v>2023</v>
      </c>
      <c r="B1707" s="70" t="s">
        <v>66</v>
      </c>
      <c r="C1707" s="70" t="s">
        <v>4</v>
      </c>
      <c r="D1707" s="70" t="s">
        <v>6</v>
      </c>
      <c r="E1707" s="70" t="s">
        <v>67</v>
      </c>
      <c r="F1707" s="70" t="s">
        <v>67</v>
      </c>
      <c r="G1707" s="71">
        <v>7197450281</v>
      </c>
      <c r="H1707" s="70" t="s">
        <v>68</v>
      </c>
    </row>
    <row r="1708" spans="1:8" ht="17.25" customHeight="1" x14ac:dyDescent="0.2">
      <c r="A1708" s="69">
        <v>2023</v>
      </c>
      <c r="B1708" s="70" t="s">
        <v>66</v>
      </c>
      <c r="C1708" s="70" t="s">
        <v>4</v>
      </c>
      <c r="D1708" s="70" t="s">
        <v>6</v>
      </c>
      <c r="E1708" s="70" t="s">
        <v>69</v>
      </c>
      <c r="F1708" s="70" t="s">
        <v>71</v>
      </c>
      <c r="G1708" s="71">
        <v>2273359163</v>
      </c>
      <c r="H1708" s="70" t="s">
        <v>68</v>
      </c>
    </row>
    <row r="1709" spans="1:8" ht="17.25" customHeight="1" x14ac:dyDescent="0.2">
      <c r="A1709" s="69">
        <v>2023</v>
      </c>
      <c r="B1709" s="70" t="s">
        <v>66</v>
      </c>
      <c r="C1709" s="70" t="s">
        <v>4</v>
      </c>
      <c r="D1709" s="70" t="s">
        <v>6</v>
      </c>
      <c r="E1709" s="70" t="s">
        <v>69</v>
      </c>
      <c r="F1709" s="70" t="s">
        <v>70</v>
      </c>
      <c r="G1709" s="71">
        <v>1869847606</v>
      </c>
      <c r="H1709" s="70" t="s">
        <v>68</v>
      </c>
    </row>
    <row r="1710" spans="1:8" ht="17.25" customHeight="1" x14ac:dyDescent="0.2">
      <c r="A1710" s="69">
        <v>2023</v>
      </c>
      <c r="B1710" s="70" t="s">
        <v>66</v>
      </c>
      <c r="C1710" s="70" t="s">
        <v>4</v>
      </c>
      <c r="D1710" s="70" t="s">
        <v>7</v>
      </c>
      <c r="E1710" s="70" t="s">
        <v>67</v>
      </c>
      <c r="F1710" s="70" t="s">
        <v>67</v>
      </c>
      <c r="G1710" s="71">
        <v>16919932859</v>
      </c>
      <c r="H1710" s="70" t="s">
        <v>68</v>
      </c>
    </row>
    <row r="1711" spans="1:8" ht="17.25" customHeight="1" x14ac:dyDescent="0.2">
      <c r="A1711" s="69">
        <v>2023</v>
      </c>
      <c r="B1711" s="70" t="s">
        <v>66</v>
      </c>
      <c r="C1711" s="70" t="s">
        <v>4</v>
      </c>
      <c r="D1711" s="70" t="s">
        <v>7</v>
      </c>
      <c r="E1711" s="70" t="s">
        <v>69</v>
      </c>
      <c r="F1711" s="70" t="s">
        <v>71</v>
      </c>
      <c r="G1711" s="71">
        <v>11458927356</v>
      </c>
      <c r="H1711" s="70" t="s">
        <v>68</v>
      </c>
    </row>
    <row r="1712" spans="1:8" ht="17.25" customHeight="1" x14ac:dyDescent="0.2">
      <c r="A1712" s="69">
        <v>2023</v>
      </c>
      <c r="B1712" s="70" t="s">
        <v>66</v>
      </c>
      <c r="C1712" s="70" t="s">
        <v>4</v>
      </c>
      <c r="D1712" s="70" t="s">
        <v>7</v>
      </c>
      <c r="E1712" s="70" t="s">
        <v>69</v>
      </c>
      <c r="F1712" s="70" t="s">
        <v>70</v>
      </c>
      <c r="G1712" s="71">
        <v>9443964879</v>
      </c>
      <c r="H1712" s="70" t="s">
        <v>68</v>
      </c>
    </row>
    <row r="1713" spans="1:8" ht="17.25" customHeight="1" x14ac:dyDescent="0.2">
      <c r="A1713" s="69">
        <v>2023</v>
      </c>
      <c r="B1713" s="70" t="s">
        <v>66</v>
      </c>
      <c r="C1713" s="70" t="s">
        <v>4</v>
      </c>
      <c r="D1713" s="70" t="s">
        <v>8</v>
      </c>
      <c r="E1713" s="70" t="s">
        <v>67</v>
      </c>
      <c r="F1713" s="70" t="s">
        <v>67</v>
      </c>
      <c r="G1713" s="71">
        <v>5069639008</v>
      </c>
      <c r="H1713" s="70" t="s">
        <v>68</v>
      </c>
    </row>
    <row r="1714" spans="1:8" ht="17.25" customHeight="1" x14ac:dyDescent="0.2">
      <c r="A1714" s="69">
        <v>2023</v>
      </c>
      <c r="B1714" s="70" t="s">
        <v>66</v>
      </c>
      <c r="C1714" s="70" t="s">
        <v>4</v>
      </c>
      <c r="D1714" s="70" t="s">
        <v>8</v>
      </c>
      <c r="E1714" s="70" t="s">
        <v>69</v>
      </c>
      <c r="F1714" s="70" t="s">
        <v>71</v>
      </c>
      <c r="G1714" s="71">
        <v>5165543817</v>
      </c>
      <c r="H1714" s="70" t="s">
        <v>68</v>
      </c>
    </row>
    <row r="1715" spans="1:8" ht="17.25" customHeight="1" x14ac:dyDescent="0.2">
      <c r="A1715" s="69">
        <v>2023</v>
      </c>
      <c r="B1715" s="70" t="s">
        <v>66</v>
      </c>
      <c r="C1715" s="70" t="s">
        <v>4</v>
      </c>
      <c r="D1715" s="70" t="s">
        <v>8</v>
      </c>
      <c r="E1715" s="70" t="s">
        <v>69</v>
      </c>
      <c r="F1715" s="70" t="s">
        <v>70</v>
      </c>
      <c r="G1715" s="71">
        <v>2117990309</v>
      </c>
      <c r="H1715" s="70" t="s">
        <v>68</v>
      </c>
    </row>
    <row r="1716" spans="1:8" ht="17.25" customHeight="1" x14ac:dyDescent="0.2">
      <c r="A1716" s="69">
        <v>2023</v>
      </c>
      <c r="B1716" s="70" t="s">
        <v>66</v>
      </c>
      <c r="C1716" s="70" t="s">
        <v>4</v>
      </c>
      <c r="D1716" s="70" t="s">
        <v>9</v>
      </c>
      <c r="E1716" s="70" t="s">
        <v>67</v>
      </c>
      <c r="F1716" s="70" t="s">
        <v>67</v>
      </c>
      <c r="G1716" s="71">
        <v>38690275617</v>
      </c>
      <c r="H1716" s="70" t="s">
        <v>68</v>
      </c>
    </row>
    <row r="1717" spans="1:8" ht="17.25" customHeight="1" x14ac:dyDescent="0.2">
      <c r="A1717" s="69">
        <v>2023</v>
      </c>
      <c r="B1717" s="70" t="s">
        <v>66</v>
      </c>
      <c r="C1717" s="70" t="s">
        <v>4</v>
      </c>
      <c r="D1717" s="70" t="s">
        <v>9</v>
      </c>
      <c r="E1717" s="70" t="s">
        <v>69</v>
      </c>
      <c r="F1717" s="70" t="s">
        <v>71</v>
      </c>
      <c r="G1717" s="71">
        <v>20330587201</v>
      </c>
      <c r="H1717" s="70" t="s">
        <v>68</v>
      </c>
    </row>
    <row r="1718" spans="1:8" ht="17.25" customHeight="1" x14ac:dyDescent="0.2">
      <c r="A1718" s="69">
        <v>2023</v>
      </c>
      <c r="B1718" s="70" t="s">
        <v>66</v>
      </c>
      <c r="C1718" s="70" t="s">
        <v>4</v>
      </c>
      <c r="D1718" s="70" t="s">
        <v>9</v>
      </c>
      <c r="E1718" s="70" t="s">
        <v>69</v>
      </c>
      <c r="F1718" s="70" t="s">
        <v>70</v>
      </c>
      <c r="G1718" s="71">
        <v>26072733473</v>
      </c>
      <c r="H1718" s="70" t="s">
        <v>68</v>
      </c>
    </row>
    <row r="1719" spans="1:8" ht="17.25" customHeight="1" x14ac:dyDescent="0.2">
      <c r="A1719" s="69">
        <v>2023</v>
      </c>
      <c r="B1719" s="70" t="s">
        <v>66</v>
      </c>
      <c r="C1719" s="70" t="s">
        <v>4</v>
      </c>
      <c r="D1719" s="70" t="s">
        <v>10</v>
      </c>
      <c r="E1719" s="70" t="s">
        <v>67</v>
      </c>
      <c r="F1719" s="70" t="s">
        <v>67</v>
      </c>
      <c r="G1719" s="71">
        <v>1019365083</v>
      </c>
      <c r="H1719" s="70" t="s">
        <v>68</v>
      </c>
    </row>
    <row r="1720" spans="1:8" ht="17.25" customHeight="1" x14ac:dyDescent="0.2">
      <c r="A1720" s="69">
        <v>2023</v>
      </c>
      <c r="B1720" s="70" t="s">
        <v>66</v>
      </c>
      <c r="C1720" s="70" t="s">
        <v>4</v>
      </c>
      <c r="D1720" s="70" t="s">
        <v>10</v>
      </c>
      <c r="E1720" s="70" t="s">
        <v>69</v>
      </c>
      <c r="F1720" s="70" t="s">
        <v>71</v>
      </c>
      <c r="G1720" s="71">
        <v>1146878388</v>
      </c>
      <c r="H1720" s="70" t="s">
        <v>68</v>
      </c>
    </row>
    <row r="1721" spans="1:8" ht="17.25" customHeight="1" x14ac:dyDescent="0.2">
      <c r="A1721" s="69">
        <v>2023</v>
      </c>
      <c r="B1721" s="70" t="s">
        <v>66</v>
      </c>
      <c r="C1721" s="70" t="s">
        <v>4</v>
      </c>
      <c r="D1721" s="70" t="s">
        <v>10</v>
      </c>
      <c r="E1721" s="70" t="s">
        <v>69</v>
      </c>
      <c r="F1721" s="70" t="s">
        <v>70</v>
      </c>
      <c r="G1721" s="71">
        <v>150495354</v>
      </c>
      <c r="H1721" s="70" t="s">
        <v>68</v>
      </c>
    </row>
    <row r="1722" spans="1:8" ht="17.25" customHeight="1" x14ac:dyDescent="0.2">
      <c r="A1722" s="69">
        <v>2023</v>
      </c>
      <c r="B1722" s="70" t="s">
        <v>66</v>
      </c>
      <c r="C1722" s="70" t="s">
        <v>4</v>
      </c>
      <c r="D1722" s="70" t="s">
        <v>11</v>
      </c>
      <c r="E1722" s="70" t="s">
        <v>67</v>
      </c>
      <c r="F1722" s="70" t="s">
        <v>67</v>
      </c>
      <c r="G1722" s="71">
        <v>3320116775</v>
      </c>
      <c r="H1722" s="70" t="s">
        <v>68</v>
      </c>
    </row>
    <row r="1723" spans="1:8" ht="17.25" customHeight="1" x14ac:dyDescent="0.2">
      <c r="A1723" s="69">
        <v>2023</v>
      </c>
      <c r="B1723" s="70" t="s">
        <v>66</v>
      </c>
      <c r="C1723" s="70" t="s">
        <v>4</v>
      </c>
      <c r="D1723" s="70" t="s">
        <v>11</v>
      </c>
      <c r="E1723" s="70" t="s">
        <v>69</v>
      </c>
      <c r="F1723" s="70" t="s">
        <v>71</v>
      </c>
      <c r="G1723" s="71">
        <v>2384508510</v>
      </c>
      <c r="H1723" s="70" t="s">
        <v>68</v>
      </c>
    </row>
    <row r="1724" spans="1:8" ht="17.25" customHeight="1" x14ac:dyDescent="0.2">
      <c r="A1724" s="69">
        <v>2023</v>
      </c>
      <c r="B1724" s="70" t="s">
        <v>66</v>
      </c>
      <c r="C1724" s="70" t="s">
        <v>4</v>
      </c>
      <c r="D1724" s="70" t="s">
        <v>11</v>
      </c>
      <c r="E1724" s="70" t="s">
        <v>69</v>
      </c>
      <c r="F1724" s="70" t="s">
        <v>70</v>
      </c>
      <c r="G1724" s="71">
        <v>3947035172</v>
      </c>
      <c r="H1724" s="70" t="s">
        <v>68</v>
      </c>
    </row>
    <row r="1725" spans="1:8" ht="17.25" customHeight="1" x14ac:dyDescent="0.2">
      <c r="A1725" s="69">
        <v>2023</v>
      </c>
      <c r="B1725" s="70" t="s">
        <v>66</v>
      </c>
      <c r="C1725" s="70" t="s">
        <v>4</v>
      </c>
      <c r="D1725" s="70" t="s">
        <v>12</v>
      </c>
      <c r="E1725" s="70" t="s">
        <v>67</v>
      </c>
      <c r="F1725" s="70" t="s">
        <v>67</v>
      </c>
      <c r="G1725" s="71">
        <v>5131650232</v>
      </c>
      <c r="H1725" s="70" t="s">
        <v>68</v>
      </c>
    </row>
    <row r="1726" spans="1:8" ht="17.25" customHeight="1" x14ac:dyDescent="0.2">
      <c r="A1726" s="69">
        <v>2023</v>
      </c>
      <c r="B1726" s="70" t="s">
        <v>66</v>
      </c>
      <c r="C1726" s="70" t="s">
        <v>4</v>
      </c>
      <c r="D1726" s="70" t="s">
        <v>12</v>
      </c>
      <c r="E1726" s="70" t="s">
        <v>69</v>
      </c>
      <c r="F1726" s="70" t="s">
        <v>71</v>
      </c>
      <c r="G1726" s="71">
        <v>4738883499</v>
      </c>
      <c r="H1726" s="70" t="s">
        <v>68</v>
      </c>
    </row>
    <row r="1727" spans="1:8" ht="17.25" customHeight="1" x14ac:dyDescent="0.2">
      <c r="A1727" s="69">
        <v>2023</v>
      </c>
      <c r="B1727" s="70" t="s">
        <v>66</v>
      </c>
      <c r="C1727" s="70" t="s">
        <v>4</v>
      </c>
      <c r="D1727" s="70" t="s">
        <v>12</v>
      </c>
      <c r="E1727" s="70" t="s">
        <v>69</v>
      </c>
      <c r="F1727" s="70" t="s">
        <v>70</v>
      </c>
      <c r="G1727" s="71">
        <v>5120639129</v>
      </c>
      <c r="H1727" s="70" t="s">
        <v>68</v>
      </c>
    </row>
    <row r="1728" spans="1:8" ht="17.25" customHeight="1" x14ac:dyDescent="0.2">
      <c r="A1728" s="69">
        <v>2023</v>
      </c>
      <c r="B1728" s="70" t="s">
        <v>66</v>
      </c>
      <c r="C1728" s="70" t="s">
        <v>4</v>
      </c>
      <c r="D1728" s="70" t="s">
        <v>13</v>
      </c>
      <c r="E1728" s="70" t="s">
        <v>67</v>
      </c>
      <c r="F1728" s="70" t="s">
        <v>67</v>
      </c>
      <c r="G1728" s="71">
        <v>8860113008</v>
      </c>
      <c r="H1728" s="70" t="s">
        <v>68</v>
      </c>
    </row>
    <row r="1729" spans="1:8" ht="17.25" customHeight="1" x14ac:dyDescent="0.2">
      <c r="A1729" s="69">
        <v>2023</v>
      </c>
      <c r="B1729" s="70" t="s">
        <v>66</v>
      </c>
      <c r="C1729" s="70" t="s">
        <v>4</v>
      </c>
      <c r="D1729" s="70" t="s">
        <v>13</v>
      </c>
      <c r="E1729" s="70" t="s">
        <v>69</v>
      </c>
      <c r="F1729" s="70" t="s">
        <v>71</v>
      </c>
      <c r="G1729" s="71">
        <v>4590795608</v>
      </c>
      <c r="H1729" s="70" t="s">
        <v>68</v>
      </c>
    </row>
    <row r="1730" spans="1:8" ht="17.25" customHeight="1" x14ac:dyDescent="0.2">
      <c r="A1730" s="69">
        <v>2023</v>
      </c>
      <c r="B1730" s="70" t="s">
        <v>66</v>
      </c>
      <c r="C1730" s="70" t="s">
        <v>4</v>
      </c>
      <c r="D1730" s="70" t="s">
        <v>13</v>
      </c>
      <c r="E1730" s="70" t="s">
        <v>69</v>
      </c>
      <c r="F1730" s="70" t="s">
        <v>70</v>
      </c>
      <c r="G1730" s="71">
        <v>6494671150</v>
      </c>
      <c r="H1730" s="70" t="s">
        <v>68</v>
      </c>
    </row>
    <row r="1731" spans="1:8" ht="17.25" customHeight="1" x14ac:dyDescent="0.2">
      <c r="A1731" s="69">
        <v>2023</v>
      </c>
      <c r="B1731" s="70" t="s">
        <v>66</v>
      </c>
      <c r="C1731" s="70" t="s">
        <v>4</v>
      </c>
      <c r="D1731" s="70" t="s">
        <v>14</v>
      </c>
      <c r="E1731" s="70" t="s">
        <v>67</v>
      </c>
      <c r="F1731" s="70" t="s">
        <v>67</v>
      </c>
      <c r="G1731" s="71">
        <v>6108307082</v>
      </c>
      <c r="H1731" s="70" t="s">
        <v>68</v>
      </c>
    </row>
    <row r="1732" spans="1:8" ht="17.25" customHeight="1" x14ac:dyDescent="0.2">
      <c r="A1732" s="69">
        <v>2023</v>
      </c>
      <c r="B1732" s="70" t="s">
        <v>66</v>
      </c>
      <c r="C1732" s="70" t="s">
        <v>4</v>
      </c>
      <c r="D1732" s="70" t="s">
        <v>14</v>
      </c>
      <c r="E1732" s="70" t="s">
        <v>69</v>
      </c>
      <c r="F1732" s="70" t="s">
        <v>71</v>
      </c>
      <c r="G1732" s="71">
        <v>1600987474</v>
      </c>
      <c r="H1732" s="70" t="s">
        <v>68</v>
      </c>
    </row>
    <row r="1733" spans="1:8" ht="17.25" customHeight="1" x14ac:dyDescent="0.2">
      <c r="A1733" s="69">
        <v>2023</v>
      </c>
      <c r="B1733" s="70" t="s">
        <v>66</v>
      </c>
      <c r="C1733" s="70" t="s">
        <v>4</v>
      </c>
      <c r="D1733" s="70" t="s">
        <v>14</v>
      </c>
      <c r="E1733" s="70" t="s">
        <v>69</v>
      </c>
      <c r="F1733" s="70" t="s">
        <v>70</v>
      </c>
      <c r="G1733" s="71">
        <v>3175883422</v>
      </c>
      <c r="H1733" s="70" t="s">
        <v>68</v>
      </c>
    </row>
    <row r="1734" spans="1:8" ht="17.25" customHeight="1" x14ac:dyDescent="0.2">
      <c r="A1734" s="69">
        <v>2023</v>
      </c>
      <c r="B1734" s="70" t="s">
        <v>66</v>
      </c>
      <c r="C1734" s="70" t="s">
        <v>4</v>
      </c>
      <c r="D1734" s="70" t="s">
        <v>15</v>
      </c>
      <c r="E1734" s="70" t="s">
        <v>67</v>
      </c>
      <c r="F1734" s="70" t="s">
        <v>67</v>
      </c>
      <c r="G1734" s="71">
        <v>5509867969</v>
      </c>
      <c r="H1734" s="70" t="s">
        <v>68</v>
      </c>
    </row>
    <row r="1735" spans="1:8" ht="17.25" customHeight="1" x14ac:dyDescent="0.2">
      <c r="A1735" s="69">
        <v>2023</v>
      </c>
      <c r="B1735" s="70" t="s">
        <v>66</v>
      </c>
      <c r="C1735" s="70" t="s">
        <v>4</v>
      </c>
      <c r="D1735" s="70" t="s">
        <v>15</v>
      </c>
      <c r="E1735" s="70" t="s">
        <v>69</v>
      </c>
      <c r="F1735" s="70" t="s">
        <v>71</v>
      </c>
      <c r="G1735" s="71">
        <v>5060374974</v>
      </c>
      <c r="H1735" s="70" t="s">
        <v>68</v>
      </c>
    </row>
    <row r="1736" spans="1:8" ht="17.25" customHeight="1" x14ac:dyDescent="0.2">
      <c r="A1736" s="69">
        <v>2023</v>
      </c>
      <c r="B1736" s="70" t="s">
        <v>66</v>
      </c>
      <c r="C1736" s="70" t="s">
        <v>4</v>
      </c>
      <c r="D1736" s="70" t="s">
        <v>15</v>
      </c>
      <c r="E1736" s="70" t="s">
        <v>69</v>
      </c>
      <c r="F1736" s="70" t="s">
        <v>70</v>
      </c>
      <c r="G1736" s="71">
        <v>2265545656</v>
      </c>
      <c r="H1736" s="70" t="s">
        <v>68</v>
      </c>
    </row>
    <row r="1737" spans="1:8" ht="17.25" customHeight="1" x14ac:dyDescent="0.2">
      <c r="A1737" s="69">
        <v>2023</v>
      </c>
      <c r="B1737" s="70" t="s">
        <v>66</v>
      </c>
      <c r="C1737" s="70" t="s">
        <v>17</v>
      </c>
      <c r="D1737" s="70" t="s">
        <v>16</v>
      </c>
      <c r="E1737" s="70" t="s">
        <v>67</v>
      </c>
      <c r="F1737" s="70" t="s">
        <v>67</v>
      </c>
      <c r="G1737" s="71">
        <v>724432415</v>
      </c>
      <c r="H1737" s="70" t="s">
        <v>68</v>
      </c>
    </row>
    <row r="1738" spans="1:8" ht="17.25" customHeight="1" x14ac:dyDescent="0.2">
      <c r="A1738" s="69">
        <v>2023</v>
      </c>
      <c r="B1738" s="70" t="s">
        <v>66</v>
      </c>
      <c r="C1738" s="70" t="s">
        <v>17</v>
      </c>
      <c r="D1738" s="70" t="s">
        <v>16</v>
      </c>
      <c r="E1738" s="70" t="s">
        <v>69</v>
      </c>
      <c r="F1738" s="70" t="s">
        <v>71</v>
      </c>
      <c r="G1738" s="71">
        <v>447571828</v>
      </c>
      <c r="H1738" s="70" t="s">
        <v>68</v>
      </c>
    </row>
    <row r="1739" spans="1:8" ht="17.25" customHeight="1" x14ac:dyDescent="0.2">
      <c r="A1739" s="69">
        <v>2023</v>
      </c>
      <c r="B1739" s="70" t="s">
        <v>66</v>
      </c>
      <c r="C1739" s="70" t="s">
        <v>17</v>
      </c>
      <c r="D1739" s="70" t="s">
        <v>16</v>
      </c>
      <c r="E1739" s="70" t="s">
        <v>69</v>
      </c>
      <c r="F1739" s="70" t="s">
        <v>70</v>
      </c>
      <c r="G1739" s="71">
        <v>194745822</v>
      </c>
      <c r="H1739" s="70" t="s">
        <v>68</v>
      </c>
    </row>
    <row r="1740" spans="1:8" ht="17.25" customHeight="1" x14ac:dyDescent="0.2">
      <c r="A1740" s="69">
        <v>2023</v>
      </c>
      <c r="B1740" s="70" t="s">
        <v>66</v>
      </c>
      <c r="C1740" s="70" t="s">
        <v>17</v>
      </c>
      <c r="D1740" s="70" t="s">
        <v>18</v>
      </c>
      <c r="E1740" s="70" t="s">
        <v>67</v>
      </c>
      <c r="F1740" s="70" t="s">
        <v>67</v>
      </c>
      <c r="G1740" s="71">
        <v>1413702845</v>
      </c>
      <c r="H1740" s="70" t="s">
        <v>68</v>
      </c>
    </row>
    <row r="1741" spans="1:8" ht="17.25" customHeight="1" x14ac:dyDescent="0.2">
      <c r="A1741" s="69">
        <v>2023</v>
      </c>
      <c r="B1741" s="70" t="s">
        <v>66</v>
      </c>
      <c r="C1741" s="70" t="s">
        <v>17</v>
      </c>
      <c r="D1741" s="70" t="s">
        <v>18</v>
      </c>
      <c r="E1741" s="70" t="s">
        <v>69</v>
      </c>
      <c r="F1741" s="70" t="s">
        <v>71</v>
      </c>
      <c r="G1741" s="71">
        <v>1085430655</v>
      </c>
      <c r="H1741" s="70" t="s">
        <v>68</v>
      </c>
    </row>
    <row r="1742" spans="1:8" ht="17.25" customHeight="1" x14ac:dyDescent="0.2">
      <c r="A1742" s="69">
        <v>2023</v>
      </c>
      <c r="B1742" s="70" t="s">
        <v>66</v>
      </c>
      <c r="C1742" s="70" t="s">
        <v>17</v>
      </c>
      <c r="D1742" s="70" t="s">
        <v>18</v>
      </c>
      <c r="E1742" s="70" t="s">
        <v>69</v>
      </c>
      <c r="F1742" s="70" t="s">
        <v>70</v>
      </c>
      <c r="G1742" s="71">
        <v>1467831488</v>
      </c>
      <c r="H1742" s="70" t="s">
        <v>68</v>
      </c>
    </row>
    <row r="1743" spans="1:8" ht="17.25" customHeight="1" x14ac:dyDescent="0.2">
      <c r="A1743" s="69">
        <v>2023</v>
      </c>
      <c r="B1743" s="70" t="s">
        <v>66</v>
      </c>
      <c r="C1743" s="70" t="s">
        <v>17</v>
      </c>
      <c r="D1743" s="70" t="s">
        <v>19</v>
      </c>
      <c r="E1743" s="70" t="s">
        <v>67</v>
      </c>
      <c r="F1743" s="70" t="s">
        <v>67</v>
      </c>
      <c r="G1743" s="71">
        <v>4153881783</v>
      </c>
      <c r="H1743" s="70" t="s">
        <v>68</v>
      </c>
    </row>
    <row r="1744" spans="1:8" ht="17.25" customHeight="1" x14ac:dyDescent="0.2">
      <c r="A1744" s="69">
        <v>2023</v>
      </c>
      <c r="B1744" s="70" t="s">
        <v>66</v>
      </c>
      <c r="C1744" s="70" t="s">
        <v>17</v>
      </c>
      <c r="D1744" s="70" t="s">
        <v>19</v>
      </c>
      <c r="E1744" s="70" t="s">
        <v>69</v>
      </c>
      <c r="F1744" s="70" t="s">
        <v>71</v>
      </c>
      <c r="G1744" s="71">
        <v>3126740319</v>
      </c>
      <c r="H1744" s="70" t="s">
        <v>68</v>
      </c>
    </row>
    <row r="1745" spans="1:8" ht="17.25" customHeight="1" x14ac:dyDescent="0.2">
      <c r="A1745" s="69">
        <v>2023</v>
      </c>
      <c r="B1745" s="70" t="s">
        <v>66</v>
      </c>
      <c r="C1745" s="70" t="s">
        <v>17</v>
      </c>
      <c r="D1745" s="70" t="s">
        <v>19</v>
      </c>
      <c r="E1745" s="70" t="s">
        <v>69</v>
      </c>
      <c r="F1745" s="70" t="s">
        <v>70</v>
      </c>
      <c r="G1745" s="71">
        <v>1593180684</v>
      </c>
      <c r="H1745" s="70" t="s">
        <v>68</v>
      </c>
    </row>
    <row r="1746" spans="1:8" ht="17.25" customHeight="1" x14ac:dyDescent="0.2">
      <c r="A1746" s="69">
        <v>2023</v>
      </c>
      <c r="B1746" s="70" t="s">
        <v>66</v>
      </c>
      <c r="C1746" s="70" t="s">
        <v>17</v>
      </c>
      <c r="D1746" s="70" t="s">
        <v>20</v>
      </c>
      <c r="E1746" s="70" t="s">
        <v>67</v>
      </c>
      <c r="F1746" s="70" t="s">
        <v>67</v>
      </c>
      <c r="G1746" s="71">
        <v>597222038</v>
      </c>
      <c r="H1746" s="70" t="s">
        <v>68</v>
      </c>
    </row>
    <row r="1747" spans="1:8" ht="17.25" customHeight="1" x14ac:dyDescent="0.2">
      <c r="A1747" s="69">
        <v>2023</v>
      </c>
      <c r="B1747" s="70" t="s">
        <v>66</v>
      </c>
      <c r="C1747" s="70" t="s">
        <v>17</v>
      </c>
      <c r="D1747" s="70" t="s">
        <v>20</v>
      </c>
      <c r="E1747" s="70" t="s">
        <v>69</v>
      </c>
      <c r="F1747" s="70" t="s">
        <v>71</v>
      </c>
      <c r="G1747" s="71">
        <v>873649548</v>
      </c>
      <c r="H1747" s="70" t="s">
        <v>68</v>
      </c>
    </row>
    <row r="1748" spans="1:8" ht="17.25" customHeight="1" x14ac:dyDescent="0.2">
      <c r="A1748" s="69">
        <v>2023</v>
      </c>
      <c r="B1748" s="70" t="s">
        <v>66</v>
      </c>
      <c r="C1748" s="70" t="s">
        <v>17</v>
      </c>
      <c r="D1748" s="70" t="s">
        <v>20</v>
      </c>
      <c r="E1748" s="70" t="s">
        <v>69</v>
      </c>
      <c r="F1748" s="70" t="s">
        <v>70</v>
      </c>
      <c r="G1748" s="71">
        <v>5485186025</v>
      </c>
      <c r="H1748" s="70" t="s">
        <v>68</v>
      </c>
    </row>
    <row r="1749" spans="1:8" ht="17.25" customHeight="1" x14ac:dyDescent="0.2">
      <c r="A1749" s="69">
        <v>2023</v>
      </c>
      <c r="B1749" s="70" t="s">
        <v>66</v>
      </c>
      <c r="C1749" s="70" t="s">
        <v>17</v>
      </c>
      <c r="D1749" s="70" t="s">
        <v>21</v>
      </c>
      <c r="E1749" s="70" t="s">
        <v>67</v>
      </c>
      <c r="F1749" s="70" t="s">
        <v>67</v>
      </c>
      <c r="G1749" s="71">
        <v>2559947036</v>
      </c>
      <c r="H1749" s="70" t="s">
        <v>68</v>
      </c>
    </row>
    <row r="1750" spans="1:8" ht="17.25" customHeight="1" x14ac:dyDescent="0.2">
      <c r="A1750" s="69">
        <v>2023</v>
      </c>
      <c r="B1750" s="70" t="s">
        <v>66</v>
      </c>
      <c r="C1750" s="70" t="s">
        <v>17</v>
      </c>
      <c r="D1750" s="70" t="s">
        <v>21</v>
      </c>
      <c r="E1750" s="70" t="s">
        <v>69</v>
      </c>
      <c r="F1750" s="70" t="s">
        <v>71</v>
      </c>
      <c r="G1750" s="71">
        <v>1317593581</v>
      </c>
      <c r="H1750" s="70" t="s">
        <v>68</v>
      </c>
    </row>
    <row r="1751" spans="1:8" ht="17.25" customHeight="1" x14ac:dyDescent="0.2">
      <c r="A1751" s="69">
        <v>2023</v>
      </c>
      <c r="B1751" s="70" t="s">
        <v>66</v>
      </c>
      <c r="C1751" s="70" t="s">
        <v>17</v>
      </c>
      <c r="D1751" s="70" t="s">
        <v>21</v>
      </c>
      <c r="E1751" s="70" t="s">
        <v>69</v>
      </c>
      <c r="F1751" s="70" t="s">
        <v>70</v>
      </c>
      <c r="G1751" s="71">
        <v>1621171117</v>
      </c>
      <c r="H1751" s="70" t="s">
        <v>68</v>
      </c>
    </row>
    <row r="1752" spans="1:8" ht="17.25" customHeight="1" x14ac:dyDescent="0.2">
      <c r="A1752" s="69">
        <v>2023</v>
      </c>
      <c r="B1752" s="70" t="s">
        <v>66</v>
      </c>
      <c r="C1752" s="70" t="s">
        <v>17</v>
      </c>
      <c r="D1752" s="70" t="s">
        <v>22</v>
      </c>
      <c r="E1752" s="70" t="s">
        <v>67</v>
      </c>
      <c r="F1752" s="70" t="s">
        <v>67</v>
      </c>
      <c r="G1752" s="71">
        <v>930045547</v>
      </c>
      <c r="H1752" s="70" t="s">
        <v>68</v>
      </c>
    </row>
    <row r="1753" spans="1:8" ht="17.25" customHeight="1" x14ac:dyDescent="0.2">
      <c r="A1753" s="69">
        <v>2023</v>
      </c>
      <c r="B1753" s="70" t="s">
        <v>66</v>
      </c>
      <c r="C1753" s="70" t="s">
        <v>17</v>
      </c>
      <c r="D1753" s="70" t="s">
        <v>22</v>
      </c>
      <c r="E1753" s="70" t="s">
        <v>69</v>
      </c>
      <c r="F1753" s="70" t="s">
        <v>71</v>
      </c>
      <c r="G1753" s="71">
        <v>668951780</v>
      </c>
      <c r="H1753" s="70" t="s">
        <v>68</v>
      </c>
    </row>
    <row r="1754" spans="1:8" ht="17.25" customHeight="1" x14ac:dyDescent="0.2">
      <c r="A1754" s="69">
        <v>2023</v>
      </c>
      <c r="B1754" s="70" t="s">
        <v>66</v>
      </c>
      <c r="C1754" s="70" t="s">
        <v>17</v>
      </c>
      <c r="D1754" s="70" t="s">
        <v>22</v>
      </c>
      <c r="E1754" s="70" t="s">
        <v>69</v>
      </c>
      <c r="F1754" s="70" t="s">
        <v>70</v>
      </c>
      <c r="G1754" s="71">
        <v>905853349</v>
      </c>
      <c r="H1754" s="70" t="s">
        <v>68</v>
      </c>
    </row>
    <row r="1755" spans="1:8" ht="17.25" customHeight="1" x14ac:dyDescent="0.2">
      <c r="A1755" s="69">
        <v>2023</v>
      </c>
      <c r="B1755" s="70" t="s">
        <v>66</v>
      </c>
      <c r="C1755" s="70" t="s">
        <v>17</v>
      </c>
      <c r="D1755" s="70" t="s">
        <v>23</v>
      </c>
      <c r="E1755" s="70" t="s">
        <v>67</v>
      </c>
      <c r="F1755" s="70" t="s">
        <v>67</v>
      </c>
      <c r="G1755" s="71">
        <v>893364884</v>
      </c>
      <c r="H1755" s="70" t="s">
        <v>68</v>
      </c>
    </row>
    <row r="1756" spans="1:8" ht="17.25" customHeight="1" x14ac:dyDescent="0.2">
      <c r="A1756" s="69">
        <v>2023</v>
      </c>
      <c r="B1756" s="70" t="s">
        <v>66</v>
      </c>
      <c r="C1756" s="70" t="s">
        <v>17</v>
      </c>
      <c r="D1756" s="70" t="s">
        <v>23</v>
      </c>
      <c r="E1756" s="70" t="s">
        <v>69</v>
      </c>
      <c r="F1756" s="70" t="s">
        <v>71</v>
      </c>
      <c r="G1756" s="71">
        <v>681318562</v>
      </c>
      <c r="H1756" s="70" t="s">
        <v>68</v>
      </c>
    </row>
    <row r="1757" spans="1:8" ht="17.25" customHeight="1" x14ac:dyDescent="0.2">
      <c r="A1757" s="69">
        <v>2023</v>
      </c>
      <c r="B1757" s="70" t="s">
        <v>66</v>
      </c>
      <c r="C1757" s="70" t="s">
        <v>17</v>
      </c>
      <c r="D1757" s="70" t="s">
        <v>23</v>
      </c>
      <c r="E1757" s="70" t="s">
        <v>69</v>
      </c>
      <c r="F1757" s="70" t="s">
        <v>70</v>
      </c>
      <c r="G1757" s="71">
        <v>373450203</v>
      </c>
      <c r="H1757" s="70" t="s">
        <v>68</v>
      </c>
    </row>
    <row r="1758" spans="1:8" ht="17.25" customHeight="1" x14ac:dyDescent="0.2">
      <c r="A1758" s="69">
        <v>2023</v>
      </c>
      <c r="B1758" s="70" t="s">
        <v>66</v>
      </c>
      <c r="C1758" s="70" t="s">
        <v>17</v>
      </c>
      <c r="D1758" s="70" t="s">
        <v>24</v>
      </c>
      <c r="E1758" s="70" t="s">
        <v>67</v>
      </c>
      <c r="F1758" s="70" t="s">
        <v>67</v>
      </c>
      <c r="G1758" s="71">
        <v>13361585765</v>
      </c>
      <c r="H1758" s="70" t="s">
        <v>68</v>
      </c>
    </row>
    <row r="1759" spans="1:8" ht="17.25" customHeight="1" x14ac:dyDescent="0.2">
      <c r="A1759" s="69">
        <v>2023</v>
      </c>
      <c r="B1759" s="70" t="s">
        <v>66</v>
      </c>
      <c r="C1759" s="70" t="s">
        <v>17</v>
      </c>
      <c r="D1759" s="70" t="s">
        <v>24</v>
      </c>
      <c r="E1759" s="70" t="s">
        <v>69</v>
      </c>
      <c r="F1759" s="70" t="s">
        <v>71</v>
      </c>
      <c r="G1759" s="71">
        <v>5231719149</v>
      </c>
      <c r="H1759" s="70" t="s">
        <v>68</v>
      </c>
    </row>
    <row r="1760" spans="1:8" ht="17.25" customHeight="1" x14ac:dyDescent="0.2">
      <c r="A1760" s="69">
        <v>2023</v>
      </c>
      <c r="B1760" s="70" t="s">
        <v>66</v>
      </c>
      <c r="C1760" s="70" t="s">
        <v>17</v>
      </c>
      <c r="D1760" s="70" t="s">
        <v>24</v>
      </c>
      <c r="E1760" s="70" t="s">
        <v>69</v>
      </c>
      <c r="F1760" s="70" t="s">
        <v>70</v>
      </c>
      <c r="G1760" s="71">
        <v>8761119692</v>
      </c>
      <c r="H1760" s="70" t="s">
        <v>68</v>
      </c>
    </row>
    <row r="1761" spans="1:8" ht="17.25" customHeight="1" x14ac:dyDescent="0.2">
      <c r="A1761" s="69">
        <v>2023</v>
      </c>
      <c r="B1761" s="70" t="s">
        <v>66</v>
      </c>
      <c r="C1761" s="70" t="s">
        <v>17</v>
      </c>
      <c r="D1761" s="70" t="s">
        <v>25</v>
      </c>
      <c r="E1761" s="70" t="s">
        <v>67</v>
      </c>
      <c r="F1761" s="70" t="s">
        <v>67</v>
      </c>
      <c r="G1761" s="71">
        <v>0</v>
      </c>
      <c r="H1761" s="70" t="s">
        <v>68</v>
      </c>
    </row>
    <row r="1762" spans="1:8" ht="17.25" customHeight="1" x14ac:dyDescent="0.2">
      <c r="A1762" s="69">
        <v>2023</v>
      </c>
      <c r="B1762" s="70" t="s">
        <v>66</v>
      </c>
      <c r="C1762" s="70" t="s">
        <v>17</v>
      </c>
      <c r="D1762" s="70" t="s">
        <v>25</v>
      </c>
      <c r="E1762" s="70" t="s">
        <v>69</v>
      </c>
      <c r="F1762" s="70" t="s">
        <v>71</v>
      </c>
      <c r="G1762" s="71">
        <v>0</v>
      </c>
      <c r="H1762" s="70" t="s">
        <v>68</v>
      </c>
    </row>
    <row r="1763" spans="1:8" ht="17.25" customHeight="1" x14ac:dyDescent="0.2">
      <c r="A1763" s="69">
        <v>2023</v>
      </c>
      <c r="B1763" s="70" t="s">
        <v>66</v>
      </c>
      <c r="C1763" s="70" t="s">
        <v>17</v>
      </c>
      <c r="D1763" s="70" t="s">
        <v>25</v>
      </c>
      <c r="E1763" s="70" t="s">
        <v>69</v>
      </c>
      <c r="F1763" s="70" t="s">
        <v>70</v>
      </c>
      <c r="G1763" s="71">
        <v>0</v>
      </c>
      <c r="H1763" s="70" t="s">
        <v>68</v>
      </c>
    </row>
    <row r="1764" spans="1:8" ht="17.25" customHeight="1" x14ac:dyDescent="0.2">
      <c r="A1764" s="69">
        <v>2023</v>
      </c>
      <c r="B1764" s="70" t="s">
        <v>66</v>
      </c>
      <c r="C1764" s="70" t="s">
        <v>27</v>
      </c>
      <c r="D1764" s="70" t="s">
        <v>26</v>
      </c>
      <c r="E1764" s="70" t="s">
        <v>67</v>
      </c>
      <c r="F1764" s="70" t="s">
        <v>67</v>
      </c>
      <c r="G1764" s="71">
        <v>27994668917</v>
      </c>
      <c r="H1764" s="70" t="s">
        <v>68</v>
      </c>
    </row>
    <row r="1765" spans="1:8" ht="17.25" customHeight="1" x14ac:dyDescent="0.2">
      <c r="A1765" s="69">
        <v>2023</v>
      </c>
      <c r="B1765" s="70" t="s">
        <v>66</v>
      </c>
      <c r="C1765" s="70" t="s">
        <v>27</v>
      </c>
      <c r="D1765" s="70" t="s">
        <v>26</v>
      </c>
      <c r="E1765" s="70" t="s">
        <v>69</v>
      </c>
      <c r="F1765" s="70" t="s">
        <v>71</v>
      </c>
      <c r="G1765" s="71">
        <v>8811416800</v>
      </c>
      <c r="H1765" s="70" t="s">
        <v>68</v>
      </c>
    </row>
    <row r="1766" spans="1:8" ht="17.25" customHeight="1" x14ac:dyDescent="0.2">
      <c r="A1766" s="69">
        <v>2023</v>
      </c>
      <c r="B1766" s="70" t="s">
        <v>66</v>
      </c>
      <c r="C1766" s="70" t="s">
        <v>27</v>
      </c>
      <c r="D1766" s="70" t="s">
        <v>26</v>
      </c>
      <c r="E1766" s="70" t="s">
        <v>69</v>
      </c>
      <c r="F1766" s="70" t="s">
        <v>70</v>
      </c>
      <c r="G1766" s="71">
        <v>23456258715</v>
      </c>
      <c r="H1766" s="70" t="s">
        <v>68</v>
      </c>
    </row>
    <row r="1767" spans="1:8" ht="17.25" customHeight="1" x14ac:dyDescent="0.2">
      <c r="A1767" s="69">
        <v>2023</v>
      </c>
      <c r="B1767" s="70" t="s">
        <v>66</v>
      </c>
      <c r="C1767" s="70" t="s">
        <v>27</v>
      </c>
      <c r="D1767" s="70" t="s">
        <v>28</v>
      </c>
      <c r="E1767" s="70" t="s">
        <v>67</v>
      </c>
      <c r="F1767" s="70" t="s">
        <v>67</v>
      </c>
      <c r="G1767" s="71">
        <v>28660157443</v>
      </c>
      <c r="H1767" s="70" t="s">
        <v>68</v>
      </c>
    </row>
    <row r="1768" spans="1:8" ht="17.25" customHeight="1" x14ac:dyDescent="0.2">
      <c r="A1768" s="69">
        <v>2023</v>
      </c>
      <c r="B1768" s="70" t="s">
        <v>66</v>
      </c>
      <c r="C1768" s="70" t="s">
        <v>27</v>
      </c>
      <c r="D1768" s="70" t="s">
        <v>28</v>
      </c>
      <c r="E1768" s="70" t="s">
        <v>69</v>
      </c>
      <c r="F1768" s="70" t="s">
        <v>71</v>
      </c>
      <c r="G1768" s="71">
        <v>15222265149</v>
      </c>
      <c r="H1768" s="70" t="s">
        <v>68</v>
      </c>
    </row>
    <row r="1769" spans="1:8" ht="17.25" customHeight="1" x14ac:dyDescent="0.2">
      <c r="A1769" s="69">
        <v>2023</v>
      </c>
      <c r="B1769" s="70" t="s">
        <v>66</v>
      </c>
      <c r="C1769" s="70" t="s">
        <v>27</v>
      </c>
      <c r="D1769" s="70" t="s">
        <v>28</v>
      </c>
      <c r="E1769" s="70" t="s">
        <v>69</v>
      </c>
      <c r="F1769" s="70" t="s">
        <v>70</v>
      </c>
      <c r="G1769" s="71">
        <v>29907114479</v>
      </c>
      <c r="H1769" s="70" t="s">
        <v>68</v>
      </c>
    </row>
    <row r="1770" spans="1:8" ht="17.25" customHeight="1" x14ac:dyDescent="0.2">
      <c r="A1770" s="69">
        <v>2023</v>
      </c>
      <c r="B1770" s="70" t="s">
        <v>66</v>
      </c>
      <c r="C1770" s="70" t="s">
        <v>27</v>
      </c>
      <c r="D1770" s="70" t="s">
        <v>29</v>
      </c>
      <c r="E1770" s="70" t="s">
        <v>67</v>
      </c>
      <c r="F1770" s="70" t="s">
        <v>67</v>
      </c>
      <c r="G1770" s="71">
        <v>13130464080</v>
      </c>
      <c r="H1770" s="70" t="s">
        <v>68</v>
      </c>
    </row>
    <row r="1771" spans="1:8" ht="17.25" customHeight="1" x14ac:dyDescent="0.2">
      <c r="A1771" s="69">
        <v>2023</v>
      </c>
      <c r="B1771" s="70" t="s">
        <v>66</v>
      </c>
      <c r="C1771" s="70" t="s">
        <v>27</v>
      </c>
      <c r="D1771" s="70" t="s">
        <v>29</v>
      </c>
      <c r="E1771" s="70" t="s">
        <v>69</v>
      </c>
      <c r="F1771" s="70" t="s">
        <v>71</v>
      </c>
      <c r="G1771" s="71">
        <v>6427331735</v>
      </c>
      <c r="H1771" s="70" t="s">
        <v>68</v>
      </c>
    </row>
    <row r="1772" spans="1:8" ht="17.25" customHeight="1" x14ac:dyDescent="0.2">
      <c r="A1772" s="69">
        <v>2023</v>
      </c>
      <c r="B1772" s="70" t="s">
        <v>66</v>
      </c>
      <c r="C1772" s="70" t="s">
        <v>27</v>
      </c>
      <c r="D1772" s="70" t="s">
        <v>29</v>
      </c>
      <c r="E1772" s="70" t="s">
        <v>69</v>
      </c>
      <c r="F1772" s="70" t="s">
        <v>70</v>
      </c>
      <c r="G1772" s="71">
        <v>9595940799</v>
      </c>
      <c r="H1772" s="70" t="s">
        <v>68</v>
      </c>
    </row>
    <row r="1773" spans="1:8" ht="17.25" customHeight="1" x14ac:dyDescent="0.2">
      <c r="A1773" s="69">
        <v>2023</v>
      </c>
      <c r="B1773" s="70" t="s">
        <v>66</v>
      </c>
      <c r="C1773" s="70" t="s">
        <v>27</v>
      </c>
      <c r="D1773" s="70" t="s">
        <v>30</v>
      </c>
      <c r="E1773" s="70" t="s">
        <v>67</v>
      </c>
      <c r="F1773" s="70" t="s">
        <v>67</v>
      </c>
      <c r="G1773" s="71">
        <v>25663015463</v>
      </c>
      <c r="H1773" s="70" t="s">
        <v>68</v>
      </c>
    </row>
    <row r="1774" spans="1:8" ht="17.25" customHeight="1" x14ac:dyDescent="0.2">
      <c r="A1774" s="69">
        <v>2023</v>
      </c>
      <c r="B1774" s="70" t="s">
        <v>66</v>
      </c>
      <c r="C1774" s="70" t="s">
        <v>27</v>
      </c>
      <c r="D1774" s="70" t="s">
        <v>30</v>
      </c>
      <c r="E1774" s="70" t="s">
        <v>69</v>
      </c>
      <c r="F1774" s="70" t="s">
        <v>71</v>
      </c>
      <c r="G1774" s="71">
        <v>12506413053</v>
      </c>
      <c r="H1774" s="70" t="s">
        <v>68</v>
      </c>
    </row>
    <row r="1775" spans="1:8" ht="17.25" customHeight="1" x14ac:dyDescent="0.2">
      <c r="A1775" s="69">
        <v>2023</v>
      </c>
      <c r="B1775" s="70" t="s">
        <v>66</v>
      </c>
      <c r="C1775" s="70" t="s">
        <v>27</v>
      </c>
      <c r="D1775" s="70" t="s">
        <v>30</v>
      </c>
      <c r="E1775" s="70" t="s">
        <v>69</v>
      </c>
      <c r="F1775" s="70" t="s">
        <v>70</v>
      </c>
      <c r="G1775" s="71">
        <v>36807052667</v>
      </c>
      <c r="H1775" s="70" t="s">
        <v>68</v>
      </c>
    </row>
    <row r="1776" spans="1:8" ht="17.25" customHeight="1" x14ac:dyDescent="0.2">
      <c r="A1776" s="69">
        <v>2023</v>
      </c>
      <c r="B1776" s="70" t="s">
        <v>66</v>
      </c>
      <c r="C1776" s="70" t="s">
        <v>27</v>
      </c>
      <c r="D1776" s="70" t="s">
        <v>31</v>
      </c>
      <c r="E1776" s="70" t="s">
        <v>67</v>
      </c>
      <c r="F1776" s="70" t="s">
        <v>67</v>
      </c>
      <c r="G1776" s="71">
        <v>4163442599</v>
      </c>
      <c r="H1776" s="70" t="s">
        <v>68</v>
      </c>
    </row>
    <row r="1777" spans="1:8" ht="17.25" customHeight="1" x14ac:dyDescent="0.2">
      <c r="A1777" s="69">
        <v>2023</v>
      </c>
      <c r="B1777" s="70" t="s">
        <v>66</v>
      </c>
      <c r="C1777" s="70" t="s">
        <v>27</v>
      </c>
      <c r="D1777" s="70" t="s">
        <v>31</v>
      </c>
      <c r="E1777" s="70" t="s">
        <v>69</v>
      </c>
      <c r="F1777" s="70" t="s">
        <v>71</v>
      </c>
      <c r="G1777" s="71">
        <v>4338484529</v>
      </c>
      <c r="H1777" s="70" t="s">
        <v>68</v>
      </c>
    </row>
    <row r="1778" spans="1:8" ht="17.25" customHeight="1" x14ac:dyDescent="0.2">
      <c r="A1778" s="69">
        <v>2023</v>
      </c>
      <c r="B1778" s="70" t="s">
        <v>66</v>
      </c>
      <c r="C1778" s="70" t="s">
        <v>27</v>
      </c>
      <c r="D1778" s="70" t="s">
        <v>31</v>
      </c>
      <c r="E1778" s="70" t="s">
        <v>69</v>
      </c>
      <c r="F1778" s="70" t="s">
        <v>70</v>
      </c>
      <c r="G1778" s="71">
        <v>10061145428</v>
      </c>
      <c r="H1778" s="70" t="s">
        <v>68</v>
      </c>
    </row>
    <row r="1779" spans="1:8" ht="17.25" customHeight="1" x14ac:dyDescent="0.2">
      <c r="A1779" s="69">
        <v>2023</v>
      </c>
      <c r="B1779" s="70" t="s">
        <v>66</v>
      </c>
      <c r="C1779" s="70" t="s">
        <v>27</v>
      </c>
      <c r="D1779" s="70" t="s">
        <v>32</v>
      </c>
      <c r="E1779" s="70" t="s">
        <v>67</v>
      </c>
      <c r="F1779" s="70" t="s">
        <v>67</v>
      </c>
      <c r="G1779" s="71">
        <v>15287492173</v>
      </c>
      <c r="H1779" s="70" t="s">
        <v>68</v>
      </c>
    </row>
    <row r="1780" spans="1:8" ht="17.25" customHeight="1" x14ac:dyDescent="0.2">
      <c r="A1780" s="69">
        <v>2023</v>
      </c>
      <c r="B1780" s="70" t="s">
        <v>66</v>
      </c>
      <c r="C1780" s="70" t="s">
        <v>27</v>
      </c>
      <c r="D1780" s="70" t="s">
        <v>32</v>
      </c>
      <c r="E1780" s="70" t="s">
        <v>69</v>
      </c>
      <c r="F1780" s="70" t="s">
        <v>71</v>
      </c>
      <c r="G1780" s="71">
        <v>10505348300</v>
      </c>
      <c r="H1780" s="70" t="s">
        <v>68</v>
      </c>
    </row>
    <row r="1781" spans="1:8" ht="17.25" customHeight="1" x14ac:dyDescent="0.2">
      <c r="A1781" s="69">
        <v>2023</v>
      </c>
      <c r="B1781" s="70" t="s">
        <v>66</v>
      </c>
      <c r="C1781" s="70" t="s">
        <v>27</v>
      </c>
      <c r="D1781" s="70" t="s">
        <v>32</v>
      </c>
      <c r="E1781" s="70" t="s">
        <v>69</v>
      </c>
      <c r="F1781" s="70" t="s">
        <v>70</v>
      </c>
      <c r="G1781" s="71">
        <v>11546135422</v>
      </c>
      <c r="H1781" s="70" t="s">
        <v>68</v>
      </c>
    </row>
    <row r="1782" spans="1:8" ht="17.25" customHeight="1" x14ac:dyDescent="0.2">
      <c r="A1782" s="69">
        <v>2023</v>
      </c>
      <c r="B1782" s="70" t="s">
        <v>66</v>
      </c>
      <c r="C1782" s="70" t="s">
        <v>27</v>
      </c>
      <c r="D1782" s="70" t="s">
        <v>33</v>
      </c>
      <c r="E1782" s="70" t="s">
        <v>67</v>
      </c>
      <c r="F1782" s="70" t="s">
        <v>67</v>
      </c>
      <c r="G1782" s="71">
        <v>9852372658</v>
      </c>
      <c r="H1782" s="70" t="s">
        <v>68</v>
      </c>
    </row>
    <row r="1783" spans="1:8" ht="17.25" customHeight="1" x14ac:dyDescent="0.2">
      <c r="A1783" s="69">
        <v>2023</v>
      </c>
      <c r="B1783" s="70" t="s">
        <v>66</v>
      </c>
      <c r="C1783" s="70" t="s">
        <v>27</v>
      </c>
      <c r="D1783" s="70" t="s">
        <v>33</v>
      </c>
      <c r="E1783" s="70" t="s">
        <v>69</v>
      </c>
      <c r="F1783" s="70" t="s">
        <v>71</v>
      </c>
      <c r="G1783" s="71">
        <v>10963529028</v>
      </c>
      <c r="H1783" s="70" t="s">
        <v>68</v>
      </c>
    </row>
    <row r="1784" spans="1:8" ht="17.25" customHeight="1" x14ac:dyDescent="0.2">
      <c r="A1784" s="69">
        <v>2023</v>
      </c>
      <c r="B1784" s="70" t="s">
        <v>66</v>
      </c>
      <c r="C1784" s="70" t="s">
        <v>27</v>
      </c>
      <c r="D1784" s="70" t="s">
        <v>33</v>
      </c>
      <c r="E1784" s="70" t="s">
        <v>69</v>
      </c>
      <c r="F1784" s="70" t="s">
        <v>70</v>
      </c>
      <c r="G1784" s="71">
        <v>37950014402</v>
      </c>
      <c r="H1784" s="70" t="s">
        <v>68</v>
      </c>
    </row>
    <row r="1785" spans="1:8" ht="17.25" customHeight="1" x14ac:dyDescent="0.2">
      <c r="A1785" s="69">
        <v>2023</v>
      </c>
      <c r="B1785" s="70" t="s">
        <v>66</v>
      </c>
      <c r="C1785" s="70" t="s">
        <v>35</v>
      </c>
      <c r="D1785" s="70" t="s">
        <v>34</v>
      </c>
      <c r="E1785" s="70" t="s">
        <v>67</v>
      </c>
      <c r="F1785" s="70" t="s">
        <v>67</v>
      </c>
      <c r="G1785" s="71">
        <v>4410567333</v>
      </c>
      <c r="H1785" s="70" t="s">
        <v>68</v>
      </c>
    </row>
    <row r="1786" spans="1:8" ht="17.25" customHeight="1" x14ac:dyDescent="0.2">
      <c r="A1786" s="69">
        <v>2023</v>
      </c>
      <c r="B1786" s="70" t="s">
        <v>66</v>
      </c>
      <c r="C1786" s="70" t="s">
        <v>35</v>
      </c>
      <c r="D1786" s="70" t="s">
        <v>34</v>
      </c>
      <c r="E1786" s="70" t="s">
        <v>69</v>
      </c>
      <c r="F1786" s="70" t="s">
        <v>71</v>
      </c>
      <c r="G1786" s="71">
        <v>1575827953</v>
      </c>
      <c r="H1786" s="70" t="s">
        <v>68</v>
      </c>
    </row>
    <row r="1787" spans="1:8" ht="17.25" customHeight="1" x14ac:dyDescent="0.2">
      <c r="A1787" s="69">
        <v>2023</v>
      </c>
      <c r="B1787" s="70" t="s">
        <v>66</v>
      </c>
      <c r="C1787" s="70" t="s">
        <v>35</v>
      </c>
      <c r="D1787" s="70" t="s">
        <v>34</v>
      </c>
      <c r="E1787" s="70" t="s">
        <v>69</v>
      </c>
      <c r="F1787" s="70" t="s">
        <v>70</v>
      </c>
      <c r="G1787" s="71">
        <v>1381404713</v>
      </c>
      <c r="H1787" s="70" t="s">
        <v>68</v>
      </c>
    </row>
    <row r="1788" spans="1:8" ht="17.25" customHeight="1" x14ac:dyDescent="0.2">
      <c r="A1788" s="69">
        <v>2023</v>
      </c>
      <c r="B1788" s="70" t="s">
        <v>66</v>
      </c>
      <c r="C1788" s="70" t="s">
        <v>35</v>
      </c>
      <c r="D1788" s="70" t="s">
        <v>36</v>
      </c>
      <c r="E1788" s="70" t="s">
        <v>67</v>
      </c>
      <c r="F1788" s="70" t="s">
        <v>67</v>
      </c>
      <c r="G1788" s="71">
        <v>11170062207</v>
      </c>
      <c r="H1788" s="70" t="s">
        <v>68</v>
      </c>
    </row>
    <row r="1789" spans="1:8" ht="17.25" customHeight="1" x14ac:dyDescent="0.2">
      <c r="A1789" s="69">
        <v>2023</v>
      </c>
      <c r="B1789" s="70" t="s">
        <v>66</v>
      </c>
      <c r="C1789" s="70" t="s">
        <v>35</v>
      </c>
      <c r="D1789" s="70" t="s">
        <v>36</v>
      </c>
      <c r="E1789" s="70" t="s">
        <v>69</v>
      </c>
      <c r="F1789" s="70" t="s">
        <v>71</v>
      </c>
      <c r="G1789" s="71">
        <v>5870081041</v>
      </c>
      <c r="H1789" s="70" t="s">
        <v>68</v>
      </c>
    </row>
    <row r="1790" spans="1:8" ht="17.25" customHeight="1" x14ac:dyDescent="0.2">
      <c r="A1790" s="69">
        <v>2023</v>
      </c>
      <c r="B1790" s="70" t="s">
        <v>66</v>
      </c>
      <c r="C1790" s="70" t="s">
        <v>35</v>
      </c>
      <c r="D1790" s="70" t="s">
        <v>36</v>
      </c>
      <c r="E1790" s="70" t="s">
        <v>69</v>
      </c>
      <c r="F1790" s="70" t="s">
        <v>70</v>
      </c>
      <c r="G1790" s="71">
        <v>4737085431</v>
      </c>
      <c r="H1790" s="70" t="s">
        <v>68</v>
      </c>
    </row>
    <row r="1791" spans="1:8" ht="17.25" customHeight="1" x14ac:dyDescent="0.2">
      <c r="A1791" s="69">
        <v>2023</v>
      </c>
      <c r="B1791" s="70" t="s">
        <v>66</v>
      </c>
      <c r="C1791" s="70" t="s">
        <v>35</v>
      </c>
      <c r="D1791" s="70" t="s">
        <v>37</v>
      </c>
      <c r="E1791" s="70" t="s">
        <v>67</v>
      </c>
      <c r="F1791" s="70" t="s">
        <v>67</v>
      </c>
      <c r="G1791" s="71">
        <v>1832328022</v>
      </c>
      <c r="H1791" s="70" t="s">
        <v>68</v>
      </c>
    </row>
    <row r="1792" spans="1:8" ht="17.25" customHeight="1" x14ac:dyDescent="0.2">
      <c r="A1792" s="69">
        <v>2023</v>
      </c>
      <c r="B1792" s="70" t="s">
        <v>66</v>
      </c>
      <c r="C1792" s="70" t="s">
        <v>35</v>
      </c>
      <c r="D1792" s="70" t="s">
        <v>37</v>
      </c>
      <c r="E1792" s="70" t="s">
        <v>69</v>
      </c>
      <c r="F1792" s="70" t="s">
        <v>71</v>
      </c>
      <c r="G1792" s="71">
        <v>800656525</v>
      </c>
      <c r="H1792" s="70" t="s">
        <v>68</v>
      </c>
    </row>
    <row r="1793" spans="1:8" ht="17.25" customHeight="1" x14ac:dyDescent="0.2">
      <c r="A1793" s="69">
        <v>2023</v>
      </c>
      <c r="B1793" s="70" t="s">
        <v>66</v>
      </c>
      <c r="C1793" s="70" t="s">
        <v>35</v>
      </c>
      <c r="D1793" s="70" t="s">
        <v>37</v>
      </c>
      <c r="E1793" s="70" t="s">
        <v>69</v>
      </c>
      <c r="F1793" s="70" t="s">
        <v>70</v>
      </c>
      <c r="G1793" s="71">
        <v>952584765</v>
      </c>
      <c r="H1793" s="70" t="s">
        <v>68</v>
      </c>
    </row>
    <row r="1794" spans="1:8" ht="17.25" customHeight="1" x14ac:dyDescent="0.2">
      <c r="A1794" s="69">
        <v>2023</v>
      </c>
      <c r="B1794" s="70" t="s">
        <v>66</v>
      </c>
      <c r="C1794" s="70" t="s">
        <v>35</v>
      </c>
      <c r="D1794" s="70" t="s">
        <v>38</v>
      </c>
      <c r="E1794" s="70" t="s">
        <v>67</v>
      </c>
      <c r="F1794" s="70" t="s">
        <v>67</v>
      </c>
      <c r="G1794" s="71">
        <v>3315419461</v>
      </c>
      <c r="H1794" s="70" t="s">
        <v>68</v>
      </c>
    </row>
    <row r="1795" spans="1:8" ht="17.25" customHeight="1" x14ac:dyDescent="0.2">
      <c r="A1795" s="69">
        <v>2023</v>
      </c>
      <c r="B1795" s="70" t="s">
        <v>66</v>
      </c>
      <c r="C1795" s="70" t="s">
        <v>35</v>
      </c>
      <c r="D1795" s="70" t="s">
        <v>38</v>
      </c>
      <c r="E1795" s="70" t="s">
        <v>69</v>
      </c>
      <c r="F1795" s="70" t="s">
        <v>71</v>
      </c>
      <c r="G1795" s="71">
        <v>1190825106</v>
      </c>
      <c r="H1795" s="70" t="s">
        <v>68</v>
      </c>
    </row>
    <row r="1796" spans="1:8" ht="17.25" customHeight="1" x14ac:dyDescent="0.2">
      <c r="A1796" s="69">
        <v>2023</v>
      </c>
      <c r="B1796" s="70" t="s">
        <v>66</v>
      </c>
      <c r="C1796" s="70" t="s">
        <v>35</v>
      </c>
      <c r="D1796" s="70" t="s">
        <v>38</v>
      </c>
      <c r="E1796" s="70" t="s">
        <v>69</v>
      </c>
      <c r="F1796" s="70" t="s">
        <v>70</v>
      </c>
      <c r="G1796" s="71">
        <v>1345657307</v>
      </c>
      <c r="H1796" s="70" t="s">
        <v>68</v>
      </c>
    </row>
    <row r="1797" spans="1:8" ht="17.25" customHeight="1" x14ac:dyDescent="0.2">
      <c r="A1797" s="69">
        <v>2023</v>
      </c>
      <c r="B1797" s="70" t="s">
        <v>66</v>
      </c>
      <c r="C1797" s="70" t="s">
        <v>35</v>
      </c>
      <c r="D1797" s="70" t="s">
        <v>39</v>
      </c>
      <c r="E1797" s="70" t="s">
        <v>67</v>
      </c>
      <c r="F1797" s="70" t="s">
        <v>67</v>
      </c>
      <c r="G1797" s="71">
        <v>16134077127</v>
      </c>
      <c r="H1797" s="70" t="s">
        <v>68</v>
      </c>
    </row>
    <row r="1798" spans="1:8" ht="17.25" customHeight="1" x14ac:dyDescent="0.2">
      <c r="A1798" s="69">
        <v>2023</v>
      </c>
      <c r="B1798" s="70" t="s">
        <v>66</v>
      </c>
      <c r="C1798" s="70" t="s">
        <v>35</v>
      </c>
      <c r="D1798" s="70" t="s">
        <v>39</v>
      </c>
      <c r="E1798" s="70" t="s">
        <v>69</v>
      </c>
      <c r="F1798" s="70" t="s">
        <v>71</v>
      </c>
      <c r="G1798" s="71">
        <v>8087747998</v>
      </c>
      <c r="H1798" s="70" t="s">
        <v>68</v>
      </c>
    </row>
    <row r="1799" spans="1:8" ht="17.25" customHeight="1" x14ac:dyDescent="0.2">
      <c r="A1799" s="69">
        <v>2023</v>
      </c>
      <c r="B1799" s="70" t="s">
        <v>66</v>
      </c>
      <c r="C1799" s="70" t="s">
        <v>35</v>
      </c>
      <c r="D1799" s="70" t="s">
        <v>39</v>
      </c>
      <c r="E1799" s="70" t="s">
        <v>69</v>
      </c>
      <c r="F1799" s="70" t="s">
        <v>70</v>
      </c>
      <c r="G1799" s="71">
        <v>7296402121</v>
      </c>
      <c r="H1799" s="70" t="s">
        <v>68</v>
      </c>
    </row>
    <row r="1800" spans="1:8" ht="17.25" customHeight="1" x14ac:dyDescent="0.2">
      <c r="A1800" s="69">
        <v>2023</v>
      </c>
      <c r="B1800" s="70" t="s">
        <v>66</v>
      </c>
      <c r="C1800" s="70" t="s">
        <v>41</v>
      </c>
      <c r="D1800" s="70" t="s">
        <v>40</v>
      </c>
      <c r="E1800" s="70" t="s">
        <v>67</v>
      </c>
      <c r="F1800" s="70" t="s">
        <v>67</v>
      </c>
      <c r="G1800" s="71">
        <v>1602093739</v>
      </c>
      <c r="H1800" s="70" t="s">
        <v>68</v>
      </c>
    </row>
    <row r="1801" spans="1:8" ht="17.25" customHeight="1" x14ac:dyDescent="0.2">
      <c r="A1801" s="69">
        <v>2023</v>
      </c>
      <c r="B1801" s="70" t="s">
        <v>66</v>
      </c>
      <c r="C1801" s="70" t="s">
        <v>41</v>
      </c>
      <c r="D1801" s="70" t="s">
        <v>40</v>
      </c>
      <c r="E1801" s="70" t="s">
        <v>69</v>
      </c>
      <c r="F1801" s="70" t="s">
        <v>71</v>
      </c>
      <c r="G1801" s="71">
        <v>480701167</v>
      </c>
      <c r="H1801" s="70" t="s">
        <v>68</v>
      </c>
    </row>
    <row r="1802" spans="1:8" ht="17.25" customHeight="1" x14ac:dyDescent="0.2">
      <c r="A1802" s="69">
        <v>2023</v>
      </c>
      <c r="B1802" s="70" t="s">
        <v>66</v>
      </c>
      <c r="C1802" s="70" t="s">
        <v>41</v>
      </c>
      <c r="D1802" s="70" t="s">
        <v>40</v>
      </c>
      <c r="E1802" s="70" t="s">
        <v>69</v>
      </c>
      <c r="F1802" s="70" t="s">
        <v>70</v>
      </c>
      <c r="G1802" s="71">
        <v>445732045</v>
      </c>
      <c r="H1802" s="70" t="s">
        <v>68</v>
      </c>
    </row>
    <row r="1803" spans="1:8" ht="17.25" customHeight="1" x14ac:dyDescent="0.2">
      <c r="A1803" s="69">
        <v>2023</v>
      </c>
      <c r="B1803" s="70" t="s">
        <v>66</v>
      </c>
      <c r="C1803" s="70" t="s">
        <v>41</v>
      </c>
      <c r="D1803" s="70" t="s">
        <v>42</v>
      </c>
      <c r="E1803" s="70" t="s">
        <v>67</v>
      </c>
      <c r="F1803" s="70" t="s">
        <v>67</v>
      </c>
      <c r="G1803" s="71">
        <v>8950135051</v>
      </c>
      <c r="H1803" s="70" t="s">
        <v>68</v>
      </c>
    </row>
    <row r="1804" spans="1:8" ht="17.25" customHeight="1" x14ac:dyDescent="0.2">
      <c r="A1804" s="69">
        <v>2023</v>
      </c>
      <c r="B1804" s="70" t="s">
        <v>66</v>
      </c>
      <c r="C1804" s="70" t="s">
        <v>41</v>
      </c>
      <c r="D1804" s="70" t="s">
        <v>42</v>
      </c>
      <c r="E1804" s="70" t="s">
        <v>69</v>
      </c>
      <c r="F1804" s="70" t="s">
        <v>71</v>
      </c>
      <c r="G1804" s="71">
        <v>1550221657</v>
      </c>
      <c r="H1804" s="70" t="s">
        <v>68</v>
      </c>
    </row>
    <row r="1805" spans="1:8" ht="17.25" customHeight="1" x14ac:dyDescent="0.2">
      <c r="A1805" s="69">
        <v>2023</v>
      </c>
      <c r="B1805" s="70" t="s">
        <v>66</v>
      </c>
      <c r="C1805" s="70" t="s">
        <v>41</v>
      </c>
      <c r="D1805" s="70" t="s">
        <v>42</v>
      </c>
      <c r="E1805" s="70" t="s">
        <v>69</v>
      </c>
      <c r="F1805" s="70" t="s">
        <v>70</v>
      </c>
      <c r="G1805" s="71">
        <v>5472297378</v>
      </c>
      <c r="H1805" s="70" t="s">
        <v>68</v>
      </c>
    </row>
    <row r="1806" spans="1:8" ht="17.25" customHeight="1" x14ac:dyDescent="0.2">
      <c r="A1806" s="69">
        <v>2023</v>
      </c>
      <c r="B1806" s="70" t="s">
        <v>66</v>
      </c>
      <c r="C1806" s="70" t="s">
        <v>41</v>
      </c>
      <c r="D1806" s="70" t="s">
        <v>43</v>
      </c>
      <c r="E1806" s="70" t="s">
        <v>67</v>
      </c>
      <c r="F1806" s="70" t="s">
        <v>67</v>
      </c>
      <c r="G1806" s="71">
        <v>6448007801</v>
      </c>
      <c r="H1806" s="70" t="s">
        <v>68</v>
      </c>
    </row>
    <row r="1807" spans="1:8" ht="17.25" customHeight="1" x14ac:dyDescent="0.2">
      <c r="A1807" s="69">
        <v>2023</v>
      </c>
      <c r="B1807" s="70" t="s">
        <v>66</v>
      </c>
      <c r="C1807" s="70" t="s">
        <v>41</v>
      </c>
      <c r="D1807" s="70" t="s">
        <v>43</v>
      </c>
      <c r="E1807" s="70" t="s">
        <v>69</v>
      </c>
      <c r="F1807" s="70" t="s">
        <v>71</v>
      </c>
      <c r="G1807" s="71">
        <v>2097660230</v>
      </c>
      <c r="H1807" s="70" t="s">
        <v>68</v>
      </c>
    </row>
    <row r="1808" spans="1:8" ht="17.25" customHeight="1" x14ac:dyDescent="0.2">
      <c r="A1808" s="69">
        <v>2023</v>
      </c>
      <c r="B1808" s="70" t="s">
        <v>66</v>
      </c>
      <c r="C1808" s="70" t="s">
        <v>41</v>
      </c>
      <c r="D1808" s="70" t="s">
        <v>43</v>
      </c>
      <c r="E1808" s="70" t="s">
        <v>69</v>
      </c>
      <c r="F1808" s="70" t="s">
        <v>70</v>
      </c>
      <c r="G1808" s="71">
        <v>2435198901</v>
      </c>
      <c r="H1808" s="70" t="s">
        <v>68</v>
      </c>
    </row>
    <row r="1809" spans="1:8" ht="17.25" customHeight="1" x14ac:dyDescent="0.2">
      <c r="A1809" s="69">
        <v>2023</v>
      </c>
      <c r="B1809" s="70" t="s">
        <v>66</v>
      </c>
      <c r="C1809" s="70" t="s">
        <v>41</v>
      </c>
      <c r="D1809" s="70" t="s">
        <v>44</v>
      </c>
      <c r="E1809" s="70" t="s">
        <v>67</v>
      </c>
      <c r="F1809" s="70" t="s">
        <v>67</v>
      </c>
      <c r="G1809" s="71">
        <v>8789012094</v>
      </c>
      <c r="H1809" s="70" t="s">
        <v>68</v>
      </c>
    </row>
    <row r="1810" spans="1:8" ht="17.25" customHeight="1" x14ac:dyDescent="0.2">
      <c r="A1810" s="69">
        <v>2023</v>
      </c>
      <c r="B1810" s="70" t="s">
        <v>66</v>
      </c>
      <c r="C1810" s="70" t="s">
        <v>41</v>
      </c>
      <c r="D1810" s="70" t="s">
        <v>44</v>
      </c>
      <c r="E1810" s="70" t="s">
        <v>69</v>
      </c>
      <c r="F1810" s="70" t="s">
        <v>71</v>
      </c>
      <c r="G1810" s="71">
        <v>3229208242</v>
      </c>
      <c r="H1810" s="70" t="s">
        <v>68</v>
      </c>
    </row>
    <row r="1811" spans="1:8" ht="17.25" customHeight="1" x14ac:dyDescent="0.2">
      <c r="A1811" s="69">
        <v>2023</v>
      </c>
      <c r="B1811" s="70" t="s">
        <v>66</v>
      </c>
      <c r="C1811" s="70" t="s">
        <v>41</v>
      </c>
      <c r="D1811" s="70" t="s">
        <v>44</v>
      </c>
      <c r="E1811" s="70" t="s">
        <v>69</v>
      </c>
      <c r="F1811" s="70" t="s">
        <v>70</v>
      </c>
      <c r="G1811" s="71">
        <v>4970161356</v>
      </c>
      <c r="H1811" s="70" t="s">
        <v>68</v>
      </c>
    </row>
    <row r="1812" spans="1:8" ht="17.25" customHeight="1" x14ac:dyDescent="0.2">
      <c r="A1812" s="69">
        <v>2023</v>
      </c>
      <c r="B1812" s="70" t="s">
        <v>66</v>
      </c>
      <c r="C1812" s="70" t="s">
        <v>41</v>
      </c>
      <c r="D1812" s="70" t="s">
        <v>45</v>
      </c>
      <c r="E1812" s="70" t="s">
        <v>67</v>
      </c>
      <c r="F1812" s="70" t="s">
        <v>67</v>
      </c>
      <c r="G1812" s="71">
        <v>23547255227</v>
      </c>
      <c r="H1812" s="70" t="s">
        <v>68</v>
      </c>
    </row>
    <row r="1813" spans="1:8" ht="17.25" customHeight="1" x14ac:dyDescent="0.2">
      <c r="A1813" s="69">
        <v>2023</v>
      </c>
      <c r="B1813" s="70" t="s">
        <v>66</v>
      </c>
      <c r="C1813" s="70" t="s">
        <v>41</v>
      </c>
      <c r="D1813" s="70" t="s">
        <v>45</v>
      </c>
      <c r="E1813" s="70" t="s">
        <v>69</v>
      </c>
      <c r="F1813" s="70" t="s">
        <v>71</v>
      </c>
      <c r="G1813" s="71">
        <v>5846363548</v>
      </c>
      <c r="H1813" s="70" t="s">
        <v>68</v>
      </c>
    </row>
    <row r="1814" spans="1:8" ht="17.25" customHeight="1" x14ac:dyDescent="0.2">
      <c r="A1814" s="69">
        <v>2023</v>
      </c>
      <c r="B1814" s="70" t="s">
        <v>66</v>
      </c>
      <c r="C1814" s="70" t="s">
        <v>41</v>
      </c>
      <c r="D1814" s="70" t="s">
        <v>45</v>
      </c>
      <c r="E1814" s="70" t="s">
        <v>69</v>
      </c>
      <c r="F1814" s="70" t="s">
        <v>70</v>
      </c>
      <c r="G1814" s="71">
        <v>15142169102</v>
      </c>
      <c r="H1814" s="70" t="s">
        <v>68</v>
      </c>
    </row>
    <row r="1815" spans="1:8" ht="17.25" customHeight="1" x14ac:dyDescent="0.2">
      <c r="A1815" s="69">
        <v>2023</v>
      </c>
      <c r="B1815" s="70" t="s">
        <v>66</v>
      </c>
      <c r="C1815" s="70" t="s">
        <v>47</v>
      </c>
      <c r="D1815" s="70" t="s">
        <v>46</v>
      </c>
      <c r="E1815" s="70" t="s">
        <v>72</v>
      </c>
      <c r="F1815" s="70" t="s">
        <v>73</v>
      </c>
      <c r="G1815" s="71">
        <v>8469486902</v>
      </c>
      <c r="H1815" s="70" t="s">
        <v>68</v>
      </c>
    </row>
    <row r="1816" spans="1:8" ht="17.25" customHeight="1" x14ac:dyDescent="0.2">
      <c r="A1816" s="69">
        <v>2023</v>
      </c>
      <c r="B1816" s="70" t="s">
        <v>66</v>
      </c>
      <c r="C1816" s="70" t="s">
        <v>47</v>
      </c>
      <c r="D1816" s="70" t="s">
        <v>46</v>
      </c>
      <c r="E1816" s="70" t="s">
        <v>67</v>
      </c>
      <c r="F1816" s="70" t="s">
        <v>74</v>
      </c>
      <c r="G1816" s="71">
        <v>6683898780</v>
      </c>
      <c r="H1816" s="70" t="s">
        <v>68</v>
      </c>
    </row>
    <row r="1817" spans="1:8" ht="17.25" customHeight="1" x14ac:dyDescent="0.2">
      <c r="A1817" s="69">
        <v>2023</v>
      </c>
      <c r="B1817" s="70" t="s">
        <v>66</v>
      </c>
      <c r="C1817" s="70" t="s">
        <v>47</v>
      </c>
      <c r="D1817" s="70" t="s">
        <v>46</v>
      </c>
      <c r="E1817" s="70" t="s">
        <v>69</v>
      </c>
      <c r="F1817" s="70" t="s">
        <v>71</v>
      </c>
      <c r="G1817" s="71">
        <v>9889086706</v>
      </c>
      <c r="H1817" s="70" t="s">
        <v>68</v>
      </c>
    </row>
    <row r="1818" spans="1:8" ht="17.25" customHeight="1" x14ac:dyDescent="0.2">
      <c r="A1818" s="69">
        <v>2023</v>
      </c>
      <c r="B1818" s="70" t="s">
        <v>66</v>
      </c>
      <c r="C1818" s="70" t="s">
        <v>47</v>
      </c>
      <c r="D1818" s="70" t="s">
        <v>46</v>
      </c>
      <c r="E1818" s="70" t="s">
        <v>69</v>
      </c>
      <c r="F1818" s="70" t="s">
        <v>70</v>
      </c>
      <c r="G1818" s="71">
        <v>13862532388</v>
      </c>
      <c r="H1818" s="70" t="s">
        <v>68</v>
      </c>
    </row>
    <row r="1819" spans="1:8" ht="17.25" customHeight="1" x14ac:dyDescent="0.2">
      <c r="A1819" s="69">
        <v>2023</v>
      </c>
      <c r="B1819" s="70" t="s">
        <v>66</v>
      </c>
      <c r="C1819" s="70" t="s">
        <v>47</v>
      </c>
      <c r="D1819" s="70" t="s">
        <v>48</v>
      </c>
      <c r="E1819" s="70" t="s">
        <v>72</v>
      </c>
      <c r="F1819" s="70" t="s">
        <v>73</v>
      </c>
      <c r="G1819" s="71">
        <v>86786157704</v>
      </c>
      <c r="H1819" s="70" t="s">
        <v>68</v>
      </c>
    </row>
    <row r="1820" spans="1:8" ht="17.25" customHeight="1" x14ac:dyDescent="0.2">
      <c r="A1820" s="69">
        <v>2023</v>
      </c>
      <c r="B1820" s="70" t="s">
        <v>66</v>
      </c>
      <c r="C1820" s="70" t="s">
        <v>47</v>
      </c>
      <c r="D1820" s="70" t="s">
        <v>48</v>
      </c>
      <c r="E1820" s="70" t="s">
        <v>67</v>
      </c>
      <c r="F1820" s="70" t="s">
        <v>74</v>
      </c>
      <c r="G1820" s="71">
        <v>89688915550</v>
      </c>
      <c r="H1820" s="70" t="s">
        <v>68</v>
      </c>
    </row>
    <row r="1821" spans="1:8" ht="17.25" customHeight="1" x14ac:dyDescent="0.2">
      <c r="A1821" s="69">
        <v>2023</v>
      </c>
      <c r="B1821" s="70" t="s">
        <v>66</v>
      </c>
      <c r="C1821" s="70" t="s">
        <v>47</v>
      </c>
      <c r="D1821" s="70" t="s">
        <v>48</v>
      </c>
      <c r="E1821" s="70" t="s">
        <v>69</v>
      </c>
      <c r="F1821" s="70" t="s">
        <v>71</v>
      </c>
      <c r="G1821" s="71">
        <v>101811510002</v>
      </c>
      <c r="H1821" s="70" t="s">
        <v>68</v>
      </c>
    </row>
    <row r="1822" spans="1:8" ht="17.25" customHeight="1" x14ac:dyDescent="0.2">
      <c r="A1822" s="69">
        <v>2023</v>
      </c>
      <c r="B1822" s="70" t="s">
        <v>66</v>
      </c>
      <c r="C1822" s="70" t="s">
        <v>47</v>
      </c>
      <c r="D1822" s="70" t="s">
        <v>48</v>
      </c>
      <c r="E1822" s="70" t="s">
        <v>69</v>
      </c>
      <c r="F1822" s="70" t="s">
        <v>70</v>
      </c>
      <c r="G1822" s="71">
        <v>197494190244</v>
      </c>
      <c r="H1822" s="70" t="s">
        <v>68</v>
      </c>
    </row>
    <row r="1823" spans="1:8" ht="17.25" customHeight="1" x14ac:dyDescent="0.2">
      <c r="A1823" s="69">
        <v>2024</v>
      </c>
      <c r="B1823" s="70" t="s">
        <v>66</v>
      </c>
      <c r="C1823" s="70" t="s">
        <v>4</v>
      </c>
      <c r="D1823" s="70" t="s">
        <v>3</v>
      </c>
      <c r="E1823" s="70" t="s">
        <v>67</v>
      </c>
      <c r="F1823" s="70" t="s">
        <v>67</v>
      </c>
      <c r="G1823" s="71">
        <v>16319826438</v>
      </c>
      <c r="H1823" s="70" t="s">
        <v>68</v>
      </c>
    </row>
    <row r="1824" spans="1:8" ht="17.25" customHeight="1" x14ac:dyDescent="0.2">
      <c r="A1824" s="69">
        <v>2024</v>
      </c>
      <c r="B1824" s="70" t="s">
        <v>66</v>
      </c>
      <c r="C1824" s="70" t="s">
        <v>4</v>
      </c>
      <c r="D1824" s="70" t="s">
        <v>3</v>
      </c>
      <c r="E1824" s="70" t="s">
        <v>69</v>
      </c>
      <c r="F1824" s="70" t="s">
        <v>71</v>
      </c>
      <c r="G1824" s="71">
        <v>7045742542</v>
      </c>
      <c r="H1824" s="70" t="s">
        <v>68</v>
      </c>
    </row>
    <row r="1825" spans="1:8" ht="17.25" customHeight="1" x14ac:dyDescent="0.2">
      <c r="A1825" s="69">
        <v>2024</v>
      </c>
      <c r="B1825" s="70" t="s">
        <v>66</v>
      </c>
      <c r="C1825" s="70" t="s">
        <v>4</v>
      </c>
      <c r="D1825" s="70" t="s">
        <v>3</v>
      </c>
      <c r="E1825" s="70" t="s">
        <v>69</v>
      </c>
      <c r="F1825" s="70" t="s">
        <v>70</v>
      </c>
      <c r="G1825" s="71">
        <v>15700670005</v>
      </c>
      <c r="H1825" s="70" t="s">
        <v>68</v>
      </c>
    </row>
    <row r="1826" spans="1:8" ht="17.25" customHeight="1" x14ac:dyDescent="0.2">
      <c r="A1826" s="69">
        <v>2024</v>
      </c>
      <c r="B1826" s="70" t="s">
        <v>66</v>
      </c>
      <c r="C1826" s="70" t="s">
        <v>4</v>
      </c>
      <c r="D1826" s="70" t="s">
        <v>5</v>
      </c>
      <c r="E1826" s="70" t="s">
        <v>67</v>
      </c>
      <c r="F1826" s="70" t="s">
        <v>67</v>
      </c>
      <c r="G1826" s="71">
        <v>46404613974</v>
      </c>
      <c r="H1826" s="70" t="s">
        <v>68</v>
      </c>
    </row>
    <row r="1827" spans="1:8" ht="17.25" customHeight="1" x14ac:dyDescent="0.2">
      <c r="A1827" s="69">
        <v>2024</v>
      </c>
      <c r="B1827" s="70" t="s">
        <v>66</v>
      </c>
      <c r="C1827" s="70" t="s">
        <v>4</v>
      </c>
      <c r="D1827" s="70" t="s">
        <v>5</v>
      </c>
      <c r="E1827" s="70" t="s">
        <v>69</v>
      </c>
      <c r="F1827" s="70" t="s">
        <v>71</v>
      </c>
      <c r="G1827" s="71">
        <v>62314975756</v>
      </c>
      <c r="H1827" s="70" t="s">
        <v>68</v>
      </c>
    </row>
    <row r="1828" spans="1:8" ht="17.25" customHeight="1" x14ac:dyDescent="0.2">
      <c r="A1828" s="69">
        <v>2024</v>
      </c>
      <c r="B1828" s="70" t="s">
        <v>66</v>
      </c>
      <c r="C1828" s="70" t="s">
        <v>4</v>
      </c>
      <c r="D1828" s="70" t="s">
        <v>5</v>
      </c>
      <c r="E1828" s="70" t="s">
        <v>69</v>
      </c>
      <c r="F1828" s="70" t="s">
        <v>70</v>
      </c>
      <c r="G1828" s="71">
        <v>59074677207</v>
      </c>
      <c r="H1828" s="70" t="s">
        <v>68</v>
      </c>
    </row>
    <row r="1829" spans="1:8" ht="17.25" customHeight="1" x14ac:dyDescent="0.2">
      <c r="A1829" s="69">
        <v>2024</v>
      </c>
      <c r="B1829" s="70" t="s">
        <v>66</v>
      </c>
      <c r="C1829" s="70" t="s">
        <v>4</v>
      </c>
      <c r="D1829" s="70" t="s">
        <v>6</v>
      </c>
      <c r="E1829" s="70" t="s">
        <v>67</v>
      </c>
      <c r="F1829" s="70" t="s">
        <v>67</v>
      </c>
      <c r="G1829" s="71">
        <v>7594603825</v>
      </c>
      <c r="H1829" s="70" t="s">
        <v>68</v>
      </c>
    </row>
    <row r="1830" spans="1:8" ht="17.25" customHeight="1" x14ac:dyDescent="0.2">
      <c r="A1830" s="69">
        <v>2024</v>
      </c>
      <c r="B1830" s="70" t="s">
        <v>66</v>
      </c>
      <c r="C1830" s="70" t="s">
        <v>4</v>
      </c>
      <c r="D1830" s="70" t="s">
        <v>6</v>
      </c>
      <c r="E1830" s="70" t="s">
        <v>69</v>
      </c>
      <c r="F1830" s="70" t="s">
        <v>71</v>
      </c>
      <c r="G1830" s="71">
        <v>2822274783</v>
      </c>
      <c r="H1830" s="70" t="s">
        <v>68</v>
      </c>
    </row>
    <row r="1831" spans="1:8" ht="17.25" customHeight="1" x14ac:dyDescent="0.2">
      <c r="A1831" s="69">
        <v>2024</v>
      </c>
      <c r="B1831" s="70" t="s">
        <v>66</v>
      </c>
      <c r="C1831" s="70" t="s">
        <v>4</v>
      </c>
      <c r="D1831" s="70" t="s">
        <v>6</v>
      </c>
      <c r="E1831" s="70" t="s">
        <v>69</v>
      </c>
      <c r="F1831" s="70" t="s">
        <v>70</v>
      </c>
      <c r="G1831" s="71">
        <v>2248949826</v>
      </c>
      <c r="H1831" s="70" t="s">
        <v>68</v>
      </c>
    </row>
    <row r="1832" spans="1:8" ht="17.25" customHeight="1" x14ac:dyDescent="0.2">
      <c r="A1832" s="69">
        <v>2024</v>
      </c>
      <c r="B1832" s="70" t="s">
        <v>66</v>
      </c>
      <c r="C1832" s="70" t="s">
        <v>4</v>
      </c>
      <c r="D1832" s="70" t="s">
        <v>7</v>
      </c>
      <c r="E1832" s="70" t="s">
        <v>67</v>
      </c>
      <c r="F1832" s="70" t="s">
        <v>67</v>
      </c>
      <c r="G1832" s="71">
        <v>18293217360</v>
      </c>
      <c r="H1832" s="70" t="s">
        <v>68</v>
      </c>
    </row>
    <row r="1833" spans="1:8" ht="17.25" customHeight="1" x14ac:dyDescent="0.2">
      <c r="A1833" s="69">
        <v>2024</v>
      </c>
      <c r="B1833" s="70" t="s">
        <v>66</v>
      </c>
      <c r="C1833" s="70" t="s">
        <v>4</v>
      </c>
      <c r="D1833" s="70" t="s">
        <v>7</v>
      </c>
      <c r="E1833" s="70" t="s">
        <v>69</v>
      </c>
      <c r="F1833" s="70" t="s">
        <v>71</v>
      </c>
      <c r="G1833" s="71">
        <v>13137462553</v>
      </c>
      <c r="H1833" s="70" t="s">
        <v>68</v>
      </c>
    </row>
    <row r="1834" spans="1:8" ht="17.25" customHeight="1" x14ac:dyDescent="0.2">
      <c r="A1834" s="69">
        <v>2024</v>
      </c>
      <c r="B1834" s="70" t="s">
        <v>66</v>
      </c>
      <c r="C1834" s="70" t="s">
        <v>4</v>
      </c>
      <c r="D1834" s="70" t="s">
        <v>7</v>
      </c>
      <c r="E1834" s="70" t="s">
        <v>69</v>
      </c>
      <c r="F1834" s="70" t="s">
        <v>70</v>
      </c>
      <c r="G1834" s="71">
        <v>10691702503</v>
      </c>
      <c r="H1834" s="70" t="s">
        <v>68</v>
      </c>
    </row>
    <row r="1835" spans="1:8" ht="17.25" customHeight="1" x14ac:dyDescent="0.2">
      <c r="A1835" s="69">
        <v>2024</v>
      </c>
      <c r="B1835" s="70" t="s">
        <v>66</v>
      </c>
      <c r="C1835" s="70" t="s">
        <v>4</v>
      </c>
      <c r="D1835" s="70" t="s">
        <v>8</v>
      </c>
      <c r="E1835" s="70" t="s">
        <v>67</v>
      </c>
      <c r="F1835" s="70" t="s">
        <v>67</v>
      </c>
      <c r="G1835" s="71">
        <v>5169082812</v>
      </c>
      <c r="H1835" s="70" t="s">
        <v>68</v>
      </c>
    </row>
    <row r="1836" spans="1:8" ht="17.25" customHeight="1" x14ac:dyDescent="0.2">
      <c r="A1836" s="69">
        <v>2024</v>
      </c>
      <c r="B1836" s="70" t="s">
        <v>66</v>
      </c>
      <c r="C1836" s="70" t="s">
        <v>4</v>
      </c>
      <c r="D1836" s="70" t="s">
        <v>8</v>
      </c>
      <c r="E1836" s="70" t="s">
        <v>69</v>
      </c>
      <c r="F1836" s="70" t="s">
        <v>71</v>
      </c>
      <c r="G1836" s="71">
        <v>6285699357</v>
      </c>
      <c r="H1836" s="70" t="s">
        <v>68</v>
      </c>
    </row>
    <row r="1837" spans="1:8" ht="17.25" customHeight="1" x14ac:dyDescent="0.2">
      <c r="A1837" s="69">
        <v>2024</v>
      </c>
      <c r="B1837" s="70" t="s">
        <v>66</v>
      </c>
      <c r="C1837" s="70" t="s">
        <v>4</v>
      </c>
      <c r="D1837" s="70" t="s">
        <v>8</v>
      </c>
      <c r="E1837" s="70" t="s">
        <v>69</v>
      </c>
      <c r="F1837" s="70" t="s">
        <v>70</v>
      </c>
      <c r="G1837" s="71">
        <v>2676042183</v>
      </c>
      <c r="H1837" s="70" t="s">
        <v>68</v>
      </c>
    </row>
    <row r="1838" spans="1:8" ht="17.25" customHeight="1" x14ac:dyDescent="0.2">
      <c r="A1838" s="69">
        <v>2024</v>
      </c>
      <c r="B1838" s="70" t="s">
        <v>66</v>
      </c>
      <c r="C1838" s="70" t="s">
        <v>4</v>
      </c>
      <c r="D1838" s="70" t="s">
        <v>9</v>
      </c>
      <c r="E1838" s="70" t="s">
        <v>67</v>
      </c>
      <c r="F1838" s="70" t="s">
        <v>67</v>
      </c>
      <c r="G1838" s="71">
        <v>40168510795</v>
      </c>
      <c r="H1838" s="70" t="s">
        <v>68</v>
      </c>
    </row>
    <row r="1839" spans="1:8" ht="17.25" customHeight="1" x14ac:dyDescent="0.2">
      <c r="A1839" s="69">
        <v>2024</v>
      </c>
      <c r="B1839" s="70" t="s">
        <v>66</v>
      </c>
      <c r="C1839" s="70" t="s">
        <v>4</v>
      </c>
      <c r="D1839" s="70" t="s">
        <v>9</v>
      </c>
      <c r="E1839" s="70" t="s">
        <v>69</v>
      </c>
      <c r="F1839" s="70" t="s">
        <v>71</v>
      </c>
      <c r="G1839" s="71">
        <v>22847379898</v>
      </c>
      <c r="H1839" s="70" t="s">
        <v>68</v>
      </c>
    </row>
    <row r="1840" spans="1:8" ht="17.25" customHeight="1" x14ac:dyDescent="0.2">
      <c r="A1840" s="69">
        <v>2024</v>
      </c>
      <c r="B1840" s="70" t="s">
        <v>66</v>
      </c>
      <c r="C1840" s="70" t="s">
        <v>4</v>
      </c>
      <c r="D1840" s="70" t="s">
        <v>9</v>
      </c>
      <c r="E1840" s="70" t="s">
        <v>69</v>
      </c>
      <c r="F1840" s="70" t="s">
        <v>70</v>
      </c>
      <c r="G1840" s="71">
        <v>28419333112</v>
      </c>
      <c r="H1840" s="70" t="s">
        <v>68</v>
      </c>
    </row>
    <row r="1841" spans="1:8" ht="17.25" customHeight="1" x14ac:dyDescent="0.2">
      <c r="A1841" s="69">
        <v>2024</v>
      </c>
      <c r="B1841" s="70" t="s">
        <v>66</v>
      </c>
      <c r="C1841" s="70" t="s">
        <v>4</v>
      </c>
      <c r="D1841" s="70" t="s">
        <v>10</v>
      </c>
      <c r="E1841" s="70" t="s">
        <v>67</v>
      </c>
      <c r="F1841" s="70" t="s">
        <v>67</v>
      </c>
      <c r="G1841" s="71">
        <v>989357268</v>
      </c>
      <c r="H1841" s="70" t="s">
        <v>68</v>
      </c>
    </row>
    <row r="1842" spans="1:8" ht="17.25" customHeight="1" x14ac:dyDescent="0.2">
      <c r="A1842" s="69">
        <v>2024</v>
      </c>
      <c r="B1842" s="70" t="s">
        <v>66</v>
      </c>
      <c r="C1842" s="70" t="s">
        <v>4</v>
      </c>
      <c r="D1842" s="70" t="s">
        <v>10</v>
      </c>
      <c r="E1842" s="70" t="s">
        <v>69</v>
      </c>
      <c r="F1842" s="70" t="s">
        <v>71</v>
      </c>
      <c r="G1842" s="71">
        <v>1372593684</v>
      </c>
      <c r="H1842" s="70" t="s">
        <v>68</v>
      </c>
    </row>
    <row r="1843" spans="1:8" ht="17.25" customHeight="1" x14ac:dyDescent="0.2">
      <c r="A1843" s="69">
        <v>2024</v>
      </c>
      <c r="B1843" s="70" t="s">
        <v>66</v>
      </c>
      <c r="C1843" s="70" t="s">
        <v>4</v>
      </c>
      <c r="D1843" s="70" t="s">
        <v>10</v>
      </c>
      <c r="E1843" s="70" t="s">
        <v>69</v>
      </c>
      <c r="F1843" s="70" t="s">
        <v>70</v>
      </c>
      <c r="G1843" s="71">
        <v>174862555</v>
      </c>
      <c r="H1843" s="70" t="s">
        <v>68</v>
      </c>
    </row>
    <row r="1844" spans="1:8" ht="17.25" customHeight="1" x14ac:dyDescent="0.2">
      <c r="A1844" s="69">
        <v>2024</v>
      </c>
      <c r="B1844" s="70" t="s">
        <v>66</v>
      </c>
      <c r="C1844" s="70" t="s">
        <v>4</v>
      </c>
      <c r="D1844" s="70" t="s">
        <v>11</v>
      </c>
      <c r="E1844" s="70" t="s">
        <v>67</v>
      </c>
      <c r="F1844" s="70" t="s">
        <v>67</v>
      </c>
      <c r="G1844" s="71">
        <v>3388265401</v>
      </c>
      <c r="H1844" s="70" t="s">
        <v>68</v>
      </c>
    </row>
    <row r="1845" spans="1:8" ht="17.25" customHeight="1" x14ac:dyDescent="0.2">
      <c r="A1845" s="69">
        <v>2024</v>
      </c>
      <c r="B1845" s="70" t="s">
        <v>66</v>
      </c>
      <c r="C1845" s="70" t="s">
        <v>4</v>
      </c>
      <c r="D1845" s="70" t="s">
        <v>11</v>
      </c>
      <c r="E1845" s="70" t="s">
        <v>69</v>
      </c>
      <c r="F1845" s="70" t="s">
        <v>71</v>
      </c>
      <c r="G1845" s="71">
        <v>3009386160</v>
      </c>
      <c r="H1845" s="70" t="s">
        <v>68</v>
      </c>
    </row>
    <row r="1846" spans="1:8" ht="17.25" customHeight="1" x14ac:dyDescent="0.2">
      <c r="A1846" s="69">
        <v>2024</v>
      </c>
      <c r="B1846" s="70" t="s">
        <v>66</v>
      </c>
      <c r="C1846" s="70" t="s">
        <v>4</v>
      </c>
      <c r="D1846" s="70" t="s">
        <v>11</v>
      </c>
      <c r="E1846" s="70" t="s">
        <v>69</v>
      </c>
      <c r="F1846" s="70" t="s">
        <v>70</v>
      </c>
      <c r="G1846" s="71">
        <v>5679441620</v>
      </c>
      <c r="H1846" s="70" t="s">
        <v>68</v>
      </c>
    </row>
    <row r="1847" spans="1:8" ht="17.25" customHeight="1" x14ac:dyDescent="0.2">
      <c r="A1847" s="69">
        <v>2024</v>
      </c>
      <c r="B1847" s="70" t="s">
        <v>66</v>
      </c>
      <c r="C1847" s="70" t="s">
        <v>4</v>
      </c>
      <c r="D1847" s="70" t="s">
        <v>12</v>
      </c>
      <c r="E1847" s="70" t="s">
        <v>67</v>
      </c>
      <c r="F1847" s="70" t="s">
        <v>67</v>
      </c>
      <c r="G1847" s="71">
        <v>5085291697</v>
      </c>
      <c r="H1847" s="70" t="s">
        <v>68</v>
      </c>
    </row>
    <row r="1848" spans="1:8" ht="17.25" customHeight="1" x14ac:dyDescent="0.2">
      <c r="A1848" s="69">
        <v>2024</v>
      </c>
      <c r="B1848" s="70" t="s">
        <v>66</v>
      </c>
      <c r="C1848" s="70" t="s">
        <v>4</v>
      </c>
      <c r="D1848" s="70" t="s">
        <v>12</v>
      </c>
      <c r="E1848" s="70" t="s">
        <v>69</v>
      </c>
      <c r="F1848" s="70" t="s">
        <v>71</v>
      </c>
      <c r="G1848" s="71">
        <v>5282031054</v>
      </c>
      <c r="H1848" s="70" t="s">
        <v>68</v>
      </c>
    </row>
    <row r="1849" spans="1:8" ht="17.25" customHeight="1" x14ac:dyDescent="0.2">
      <c r="A1849" s="69">
        <v>2024</v>
      </c>
      <c r="B1849" s="70" t="s">
        <v>66</v>
      </c>
      <c r="C1849" s="70" t="s">
        <v>4</v>
      </c>
      <c r="D1849" s="70" t="s">
        <v>12</v>
      </c>
      <c r="E1849" s="70" t="s">
        <v>69</v>
      </c>
      <c r="F1849" s="70" t="s">
        <v>70</v>
      </c>
      <c r="G1849" s="71">
        <v>5469066512</v>
      </c>
      <c r="H1849" s="70" t="s">
        <v>68</v>
      </c>
    </row>
    <row r="1850" spans="1:8" ht="17.25" customHeight="1" x14ac:dyDescent="0.2">
      <c r="A1850" s="69">
        <v>2024</v>
      </c>
      <c r="B1850" s="70" t="s">
        <v>66</v>
      </c>
      <c r="C1850" s="70" t="s">
        <v>4</v>
      </c>
      <c r="D1850" s="70" t="s">
        <v>13</v>
      </c>
      <c r="E1850" s="70" t="s">
        <v>67</v>
      </c>
      <c r="F1850" s="70" t="s">
        <v>67</v>
      </c>
      <c r="G1850" s="71">
        <v>9645056119</v>
      </c>
      <c r="H1850" s="70" t="s">
        <v>68</v>
      </c>
    </row>
    <row r="1851" spans="1:8" ht="17.25" customHeight="1" x14ac:dyDescent="0.2">
      <c r="A1851" s="69">
        <v>2024</v>
      </c>
      <c r="B1851" s="70" t="s">
        <v>66</v>
      </c>
      <c r="C1851" s="70" t="s">
        <v>4</v>
      </c>
      <c r="D1851" s="70" t="s">
        <v>13</v>
      </c>
      <c r="E1851" s="70" t="s">
        <v>69</v>
      </c>
      <c r="F1851" s="70" t="s">
        <v>71</v>
      </c>
      <c r="G1851" s="71">
        <v>6100352119</v>
      </c>
      <c r="H1851" s="70" t="s">
        <v>68</v>
      </c>
    </row>
    <row r="1852" spans="1:8" ht="17.25" customHeight="1" x14ac:dyDescent="0.2">
      <c r="A1852" s="69">
        <v>2024</v>
      </c>
      <c r="B1852" s="70" t="s">
        <v>66</v>
      </c>
      <c r="C1852" s="70" t="s">
        <v>4</v>
      </c>
      <c r="D1852" s="70" t="s">
        <v>13</v>
      </c>
      <c r="E1852" s="70" t="s">
        <v>69</v>
      </c>
      <c r="F1852" s="70" t="s">
        <v>70</v>
      </c>
      <c r="G1852" s="71">
        <v>7632600280</v>
      </c>
      <c r="H1852" s="70" t="s">
        <v>68</v>
      </c>
    </row>
    <row r="1853" spans="1:8" ht="17.25" customHeight="1" x14ac:dyDescent="0.2">
      <c r="A1853" s="69">
        <v>2024</v>
      </c>
      <c r="B1853" s="70" t="s">
        <v>66</v>
      </c>
      <c r="C1853" s="70" t="s">
        <v>4</v>
      </c>
      <c r="D1853" s="70" t="s">
        <v>14</v>
      </c>
      <c r="E1853" s="70" t="s">
        <v>67</v>
      </c>
      <c r="F1853" s="70" t="s">
        <v>67</v>
      </c>
      <c r="G1853" s="71">
        <v>6545427856</v>
      </c>
      <c r="H1853" s="70" t="s">
        <v>68</v>
      </c>
    </row>
    <row r="1854" spans="1:8" ht="17.25" customHeight="1" x14ac:dyDescent="0.2">
      <c r="A1854" s="69">
        <v>2024</v>
      </c>
      <c r="B1854" s="70" t="s">
        <v>66</v>
      </c>
      <c r="C1854" s="70" t="s">
        <v>4</v>
      </c>
      <c r="D1854" s="70" t="s">
        <v>14</v>
      </c>
      <c r="E1854" s="70" t="s">
        <v>69</v>
      </c>
      <c r="F1854" s="70" t="s">
        <v>71</v>
      </c>
      <c r="G1854" s="71">
        <v>2312290082</v>
      </c>
      <c r="H1854" s="70" t="s">
        <v>68</v>
      </c>
    </row>
    <row r="1855" spans="1:8" ht="17.25" customHeight="1" x14ac:dyDescent="0.2">
      <c r="A1855" s="69">
        <v>2024</v>
      </c>
      <c r="B1855" s="70" t="s">
        <v>66</v>
      </c>
      <c r="C1855" s="70" t="s">
        <v>4</v>
      </c>
      <c r="D1855" s="70" t="s">
        <v>14</v>
      </c>
      <c r="E1855" s="70" t="s">
        <v>69</v>
      </c>
      <c r="F1855" s="70" t="s">
        <v>70</v>
      </c>
      <c r="G1855" s="71">
        <v>3741005341</v>
      </c>
      <c r="H1855" s="70" t="s">
        <v>68</v>
      </c>
    </row>
    <row r="1856" spans="1:8" ht="17.25" customHeight="1" x14ac:dyDescent="0.2">
      <c r="A1856" s="69">
        <v>2024</v>
      </c>
      <c r="B1856" s="70" t="s">
        <v>66</v>
      </c>
      <c r="C1856" s="70" t="s">
        <v>4</v>
      </c>
      <c r="D1856" s="70" t="s">
        <v>15</v>
      </c>
      <c r="E1856" s="70" t="s">
        <v>67</v>
      </c>
      <c r="F1856" s="70" t="s">
        <v>67</v>
      </c>
      <c r="G1856" s="71">
        <v>6461548824</v>
      </c>
      <c r="H1856" s="70" t="s">
        <v>68</v>
      </c>
    </row>
    <row r="1857" spans="1:8" ht="17.25" customHeight="1" x14ac:dyDescent="0.2">
      <c r="A1857" s="69">
        <v>2024</v>
      </c>
      <c r="B1857" s="70" t="s">
        <v>66</v>
      </c>
      <c r="C1857" s="70" t="s">
        <v>4</v>
      </c>
      <c r="D1857" s="70" t="s">
        <v>15</v>
      </c>
      <c r="E1857" s="70" t="s">
        <v>69</v>
      </c>
      <c r="F1857" s="70" t="s">
        <v>71</v>
      </c>
      <c r="G1857" s="71">
        <v>7555699425</v>
      </c>
      <c r="H1857" s="70" t="s">
        <v>68</v>
      </c>
    </row>
    <row r="1858" spans="1:8" ht="17.25" customHeight="1" x14ac:dyDescent="0.2">
      <c r="A1858" s="69">
        <v>2024</v>
      </c>
      <c r="B1858" s="70" t="s">
        <v>66</v>
      </c>
      <c r="C1858" s="70" t="s">
        <v>4</v>
      </c>
      <c r="D1858" s="70" t="s">
        <v>15</v>
      </c>
      <c r="E1858" s="70" t="s">
        <v>69</v>
      </c>
      <c r="F1858" s="70" t="s">
        <v>70</v>
      </c>
      <c r="G1858" s="71">
        <v>3003318967</v>
      </c>
      <c r="H1858" s="70" t="s">
        <v>68</v>
      </c>
    </row>
    <row r="1859" spans="1:8" ht="17.25" customHeight="1" x14ac:dyDescent="0.2">
      <c r="A1859" s="69">
        <v>2024</v>
      </c>
      <c r="B1859" s="70" t="s">
        <v>66</v>
      </c>
      <c r="C1859" s="70" t="s">
        <v>17</v>
      </c>
      <c r="D1859" s="70" t="s">
        <v>16</v>
      </c>
      <c r="E1859" s="70" t="s">
        <v>67</v>
      </c>
      <c r="F1859" s="70" t="s">
        <v>67</v>
      </c>
      <c r="G1859" s="71">
        <v>822934450</v>
      </c>
      <c r="H1859" s="70" t="s">
        <v>68</v>
      </c>
    </row>
    <row r="1860" spans="1:8" ht="17.25" customHeight="1" x14ac:dyDescent="0.2">
      <c r="A1860" s="69">
        <v>2024</v>
      </c>
      <c r="B1860" s="70" t="s">
        <v>66</v>
      </c>
      <c r="C1860" s="70" t="s">
        <v>17</v>
      </c>
      <c r="D1860" s="70" t="s">
        <v>16</v>
      </c>
      <c r="E1860" s="70" t="s">
        <v>69</v>
      </c>
      <c r="F1860" s="70" t="s">
        <v>71</v>
      </c>
      <c r="G1860" s="71">
        <v>566819549</v>
      </c>
      <c r="H1860" s="70" t="s">
        <v>68</v>
      </c>
    </row>
    <row r="1861" spans="1:8" ht="17.25" customHeight="1" x14ac:dyDescent="0.2">
      <c r="A1861" s="69">
        <v>2024</v>
      </c>
      <c r="B1861" s="70" t="s">
        <v>66</v>
      </c>
      <c r="C1861" s="70" t="s">
        <v>17</v>
      </c>
      <c r="D1861" s="70" t="s">
        <v>16</v>
      </c>
      <c r="E1861" s="70" t="s">
        <v>69</v>
      </c>
      <c r="F1861" s="70" t="s">
        <v>70</v>
      </c>
      <c r="G1861" s="71">
        <v>244128361</v>
      </c>
      <c r="H1861" s="70" t="s">
        <v>68</v>
      </c>
    </row>
    <row r="1862" spans="1:8" ht="17.25" customHeight="1" x14ac:dyDescent="0.2">
      <c r="A1862" s="69">
        <v>2024</v>
      </c>
      <c r="B1862" s="70" t="s">
        <v>66</v>
      </c>
      <c r="C1862" s="70" t="s">
        <v>17</v>
      </c>
      <c r="D1862" s="70" t="s">
        <v>18</v>
      </c>
      <c r="E1862" s="70" t="s">
        <v>67</v>
      </c>
      <c r="F1862" s="70" t="s">
        <v>67</v>
      </c>
      <c r="G1862" s="71">
        <v>1508625473</v>
      </c>
      <c r="H1862" s="70" t="s">
        <v>68</v>
      </c>
    </row>
    <row r="1863" spans="1:8" ht="17.25" customHeight="1" x14ac:dyDescent="0.2">
      <c r="A1863" s="69">
        <v>2024</v>
      </c>
      <c r="B1863" s="70" t="s">
        <v>66</v>
      </c>
      <c r="C1863" s="70" t="s">
        <v>17</v>
      </c>
      <c r="D1863" s="70" t="s">
        <v>18</v>
      </c>
      <c r="E1863" s="70" t="s">
        <v>69</v>
      </c>
      <c r="F1863" s="70" t="s">
        <v>71</v>
      </c>
      <c r="G1863" s="71">
        <v>1260356098</v>
      </c>
      <c r="H1863" s="70" t="s">
        <v>68</v>
      </c>
    </row>
    <row r="1864" spans="1:8" ht="17.25" customHeight="1" x14ac:dyDescent="0.2">
      <c r="A1864" s="69">
        <v>2024</v>
      </c>
      <c r="B1864" s="70" t="s">
        <v>66</v>
      </c>
      <c r="C1864" s="70" t="s">
        <v>17</v>
      </c>
      <c r="D1864" s="70" t="s">
        <v>18</v>
      </c>
      <c r="E1864" s="70" t="s">
        <v>69</v>
      </c>
      <c r="F1864" s="70" t="s">
        <v>70</v>
      </c>
      <c r="G1864" s="71">
        <v>1731169565</v>
      </c>
      <c r="H1864" s="70" t="s">
        <v>68</v>
      </c>
    </row>
    <row r="1865" spans="1:8" ht="17.25" customHeight="1" x14ac:dyDescent="0.2">
      <c r="A1865" s="69">
        <v>2024</v>
      </c>
      <c r="B1865" s="70" t="s">
        <v>66</v>
      </c>
      <c r="C1865" s="70" t="s">
        <v>17</v>
      </c>
      <c r="D1865" s="70" t="s">
        <v>19</v>
      </c>
      <c r="E1865" s="70" t="s">
        <v>67</v>
      </c>
      <c r="F1865" s="70" t="s">
        <v>67</v>
      </c>
      <c r="G1865" s="71">
        <v>4586589232</v>
      </c>
      <c r="H1865" s="70" t="s">
        <v>68</v>
      </c>
    </row>
    <row r="1866" spans="1:8" ht="17.25" customHeight="1" x14ac:dyDescent="0.2">
      <c r="A1866" s="69">
        <v>2024</v>
      </c>
      <c r="B1866" s="70" t="s">
        <v>66</v>
      </c>
      <c r="C1866" s="70" t="s">
        <v>17</v>
      </c>
      <c r="D1866" s="70" t="s">
        <v>19</v>
      </c>
      <c r="E1866" s="70" t="s">
        <v>69</v>
      </c>
      <c r="F1866" s="70" t="s">
        <v>71</v>
      </c>
      <c r="G1866" s="71">
        <v>3755103831</v>
      </c>
      <c r="H1866" s="70" t="s">
        <v>68</v>
      </c>
    </row>
    <row r="1867" spans="1:8" ht="17.25" customHeight="1" x14ac:dyDescent="0.2">
      <c r="A1867" s="69">
        <v>2024</v>
      </c>
      <c r="B1867" s="70" t="s">
        <v>66</v>
      </c>
      <c r="C1867" s="70" t="s">
        <v>17</v>
      </c>
      <c r="D1867" s="70" t="s">
        <v>19</v>
      </c>
      <c r="E1867" s="70" t="s">
        <v>69</v>
      </c>
      <c r="F1867" s="70" t="s">
        <v>70</v>
      </c>
      <c r="G1867" s="71">
        <v>1918428796</v>
      </c>
      <c r="H1867" s="70" t="s">
        <v>68</v>
      </c>
    </row>
    <row r="1868" spans="1:8" ht="17.25" customHeight="1" x14ac:dyDescent="0.2">
      <c r="A1868" s="69">
        <v>2024</v>
      </c>
      <c r="B1868" s="70" t="s">
        <v>66</v>
      </c>
      <c r="C1868" s="70" t="s">
        <v>17</v>
      </c>
      <c r="D1868" s="70" t="s">
        <v>20</v>
      </c>
      <c r="E1868" s="70" t="s">
        <v>67</v>
      </c>
      <c r="F1868" s="70" t="s">
        <v>67</v>
      </c>
      <c r="G1868" s="71">
        <v>625828990</v>
      </c>
      <c r="H1868" s="70" t="s">
        <v>68</v>
      </c>
    </row>
    <row r="1869" spans="1:8" ht="17.25" customHeight="1" x14ac:dyDescent="0.2">
      <c r="A1869" s="69">
        <v>2024</v>
      </c>
      <c r="B1869" s="70" t="s">
        <v>66</v>
      </c>
      <c r="C1869" s="70" t="s">
        <v>17</v>
      </c>
      <c r="D1869" s="70" t="s">
        <v>20</v>
      </c>
      <c r="E1869" s="70" t="s">
        <v>69</v>
      </c>
      <c r="F1869" s="70" t="s">
        <v>71</v>
      </c>
      <c r="G1869" s="71">
        <v>990363013</v>
      </c>
      <c r="H1869" s="70" t="s">
        <v>68</v>
      </c>
    </row>
    <row r="1870" spans="1:8" ht="17.25" customHeight="1" x14ac:dyDescent="0.2">
      <c r="A1870" s="69">
        <v>2024</v>
      </c>
      <c r="B1870" s="70" t="s">
        <v>66</v>
      </c>
      <c r="C1870" s="70" t="s">
        <v>17</v>
      </c>
      <c r="D1870" s="70" t="s">
        <v>20</v>
      </c>
      <c r="E1870" s="70" t="s">
        <v>69</v>
      </c>
      <c r="F1870" s="70" t="s">
        <v>70</v>
      </c>
      <c r="G1870" s="71">
        <v>6027446242</v>
      </c>
      <c r="H1870" s="70" t="s">
        <v>68</v>
      </c>
    </row>
    <row r="1871" spans="1:8" ht="17.25" customHeight="1" x14ac:dyDescent="0.2">
      <c r="A1871" s="69">
        <v>2024</v>
      </c>
      <c r="B1871" s="70" t="s">
        <v>66</v>
      </c>
      <c r="C1871" s="70" t="s">
        <v>17</v>
      </c>
      <c r="D1871" s="70" t="s">
        <v>21</v>
      </c>
      <c r="E1871" s="70" t="s">
        <v>67</v>
      </c>
      <c r="F1871" s="70" t="s">
        <v>67</v>
      </c>
      <c r="G1871" s="71">
        <v>2896101284</v>
      </c>
      <c r="H1871" s="70" t="s">
        <v>68</v>
      </c>
    </row>
    <row r="1872" spans="1:8" ht="17.25" customHeight="1" x14ac:dyDescent="0.2">
      <c r="A1872" s="69">
        <v>2024</v>
      </c>
      <c r="B1872" s="70" t="s">
        <v>66</v>
      </c>
      <c r="C1872" s="70" t="s">
        <v>17</v>
      </c>
      <c r="D1872" s="70" t="s">
        <v>21</v>
      </c>
      <c r="E1872" s="70" t="s">
        <v>69</v>
      </c>
      <c r="F1872" s="70" t="s">
        <v>71</v>
      </c>
      <c r="G1872" s="71">
        <v>1608448764</v>
      </c>
      <c r="H1872" s="70" t="s">
        <v>68</v>
      </c>
    </row>
    <row r="1873" spans="1:8" ht="17.25" customHeight="1" x14ac:dyDescent="0.2">
      <c r="A1873" s="69">
        <v>2024</v>
      </c>
      <c r="B1873" s="70" t="s">
        <v>66</v>
      </c>
      <c r="C1873" s="70" t="s">
        <v>17</v>
      </c>
      <c r="D1873" s="70" t="s">
        <v>21</v>
      </c>
      <c r="E1873" s="70" t="s">
        <v>69</v>
      </c>
      <c r="F1873" s="70" t="s">
        <v>70</v>
      </c>
      <c r="G1873" s="71">
        <v>2022710556</v>
      </c>
      <c r="H1873" s="70" t="s">
        <v>68</v>
      </c>
    </row>
    <row r="1874" spans="1:8" ht="17.25" customHeight="1" x14ac:dyDescent="0.2">
      <c r="A1874" s="69">
        <v>2024</v>
      </c>
      <c r="B1874" s="70" t="s">
        <v>66</v>
      </c>
      <c r="C1874" s="70" t="s">
        <v>17</v>
      </c>
      <c r="D1874" s="70" t="s">
        <v>22</v>
      </c>
      <c r="E1874" s="70" t="s">
        <v>67</v>
      </c>
      <c r="F1874" s="70" t="s">
        <v>67</v>
      </c>
      <c r="G1874" s="71">
        <v>996809768</v>
      </c>
      <c r="H1874" s="70" t="s">
        <v>68</v>
      </c>
    </row>
    <row r="1875" spans="1:8" ht="17.25" customHeight="1" x14ac:dyDescent="0.2">
      <c r="A1875" s="69">
        <v>2024</v>
      </c>
      <c r="B1875" s="70" t="s">
        <v>66</v>
      </c>
      <c r="C1875" s="70" t="s">
        <v>17</v>
      </c>
      <c r="D1875" s="70" t="s">
        <v>22</v>
      </c>
      <c r="E1875" s="70" t="s">
        <v>69</v>
      </c>
      <c r="F1875" s="70" t="s">
        <v>71</v>
      </c>
      <c r="G1875" s="71">
        <v>788109879</v>
      </c>
      <c r="H1875" s="70" t="s">
        <v>68</v>
      </c>
    </row>
    <row r="1876" spans="1:8" ht="17.25" customHeight="1" x14ac:dyDescent="0.2">
      <c r="A1876" s="69">
        <v>2024</v>
      </c>
      <c r="B1876" s="70" t="s">
        <v>66</v>
      </c>
      <c r="C1876" s="70" t="s">
        <v>17</v>
      </c>
      <c r="D1876" s="70" t="s">
        <v>22</v>
      </c>
      <c r="E1876" s="70" t="s">
        <v>69</v>
      </c>
      <c r="F1876" s="70" t="s">
        <v>70</v>
      </c>
      <c r="G1876" s="71">
        <v>1057659229</v>
      </c>
      <c r="H1876" s="70" t="s">
        <v>68</v>
      </c>
    </row>
    <row r="1877" spans="1:8" ht="17.25" customHeight="1" x14ac:dyDescent="0.2">
      <c r="A1877" s="69">
        <v>2024</v>
      </c>
      <c r="B1877" s="70" t="s">
        <v>66</v>
      </c>
      <c r="C1877" s="70" t="s">
        <v>17</v>
      </c>
      <c r="D1877" s="70" t="s">
        <v>23</v>
      </c>
      <c r="E1877" s="70" t="s">
        <v>67</v>
      </c>
      <c r="F1877" s="70" t="s">
        <v>67</v>
      </c>
      <c r="G1877" s="71">
        <v>972377105</v>
      </c>
      <c r="H1877" s="70" t="s">
        <v>68</v>
      </c>
    </row>
    <row r="1878" spans="1:8" ht="17.25" customHeight="1" x14ac:dyDescent="0.2">
      <c r="A1878" s="69">
        <v>2024</v>
      </c>
      <c r="B1878" s="70" t="s">
        <v>66</v>
      </c>
      <c r="C1878" s="70" t="s">
        <v>17</v>
      </c>
      <c r="D1878" s="70" t="s">
        <v>23</v>
      </c>
      <c r="E1878" s="70" t="s">
        <v>69</v>
      </c>
      <c r="F1878" s="70" t="s">
        <v>71</v>
      </c>
      <c r="G1878" s="71">
        <v>804678546</v>
      </c>
      <c r="H1878" s="70" t="s">
        <v>68</v>
      </c>
    </row>
    <row r="1879" spans="1:8" ht="17.25" customHeight="1" x14ac:dyDescent="0.2">
      <c r="A1879" s="69">
        <v>2024</v>
      </c>
      <c r="B1879" s="70" t="s">
        <v>66</v>
      </c>
      <c r="C1879" s="70" t="s">
        <v>17</v>
      </c>
      <c r="D1879" s="70" t="s">
        <v>23</v>
      </c>
      <c r="E1879" s="70" t="s">
        <v>69</v>
      </c>
      <c r="F1879" s="70" t="s">
        <v>70</v>
      </c>
      <c r="G1879" s="71">
        <v>447629646</v>
      </c>
      <c r="H1879" s="70" t="s">
        <v>68</v>
      </c>
    </row>
    <row r="1880" spans="1:8" ht="17.25" customHeight="1" x14ac:dyDescent="0.2">
      <c r="A1880" s="69">
        <v>2024</v>
      </c>
      <c r="B1880" s="70" t="s">
        <v>66</v>
      </c>
      <c r="C1880" s="70" t="s">
        <v>17</v>
      </c>
      <c r="D1880" s="70" t="s">
        <v>24</v>
      </c>
      <c r="E1880" s="70" t="s">
        <v>67</v>
      </c>
      <c r="F1880" s="70" t="s">
        <v>67</v>
      </c>
      <c r="G1880" s="71">
        <v>13747633270</v>
      </c>
      <c r="H1880" s="70" t="s">
        <v>68</v>
      </c>
    </row>
    <row r="1881" spans="1:8" ht="17.25" customHeight="1" x14ac:dyDescent="0.2">
      <c r="A1881" s="69">
        <v>2024</v>
      </c>
      <c r="B1881" s="70" t="s">
        <v>66</v>
      </c>
      <c r="C1881" s="70" t="s">
        <v>17</v>
      </c>
      <c r="D1881" s="70" t="s">
        <v>24</v>
      </c>
      <c r="E1881" s="70" t="s">
        <v>69</v>
      </c>
      <c r="F1881" s="70" t="s">
        <v>71</v>
      </c>
      <c r="G1881" s="71">
        <v>6681848737</v>
      </c>
      <c r="H1881" s="70" t="s">
        <v>68</v>
      </c>
    </row>
    <row r="1882" spans="1:8" ht="17.25" customHeight="1" x14ac:dyDescent="0.2">
      <c r="A1882" s="69">
        <v>2024</v>
      </c>
      <c r="B1882" s="70" t="s">
        <v>66</v>
      </c>
      <c r="C1882" s="70" t="s">
        <v>17</v>
      </c>
      <c r="D1882" s="70" t="s">
        <v>24</v>
      </c>
      <c r="E1882" s="70" t="s">
        <v>69</v>
      </c>
      <c r="F1882" s="70" t="s">
        <v>70</v>
      </c>
      <c r="G1882" s="71">
        <v>9693662975</v>
      </c>
      <c r="H1882" s="70" t="s">
        <v>68</v>
      </c>
    </row>
    <row r="1883" spans="1:8" ht="17.25" customHeight="1" x14ac:dyDescent="0.2">
      <c r="A1883" s="69">
        <v>2024</v>
      </c>
      <c r="B1883" s="70" t="s">
        <v>66</v>
      </c>
      <c r="C1883" s="70" t="s">
        <v>17</v>
      </c>
      <c r="D1883" s="70" t="s">
        <v>25</v>
      </c>
      <c r="E1883" s="70" t="s">
        <v>67</v>
      </c>
      <c r="F1883" s="70" t="s">
        <v>67</v>
      </c>
      <c r="G1883" s="71">
        <v>0</v>
      </c>
      <c r="H1883" s="70" t="s">
        <v>68</v>
      </c>
    </row>
    <row r="1884" spans="1:8" ht="17.25" customHeight="1" x14ac:dyDescent="0.2">
      <c r="A1884" s="69">
        <v>2024</v>
      </c>
      <c r="B1884" s="70" t="s">
        <v>66</v>
      </c>
      <c r="C1884" s="70" t="s">
        <v>17</v>
      </c>
      <c r="D1884" s="70" t="s">
        <v>25</v>
      </c>
      <c r="E1884" s="70" t="s">
        <v>69</v>
      </c>
      <c r="F1884" s="70" t="s">
        <v>71</v>
      </c>
      <c r="G1884" s="71">
        <v>0</v>
      </c>
      <c r="H1884" s="70" t="s">
        <v>68</v>
      </c>
    </row>
    <row r="1885" spans="1:8" ht="17.25" customHeight="1" x14ac:dyDescent="0.2">
      <c r="A1885" s="69">
        <v>2024</v>
      </c>
      <c r="B1885" s="70" t="s">
        <v>66</v>
      </c>
      <c r="C1885" s="70" t="s">
        <v>17</v>
      </c>
      <c r="D1885" s="70" t="s">
        <v>25</v>
      </c>
      <c r="E1885" s="70" t="s">
        <v>69</v>
      </c>
      <c r="F1885" s="70" t="s">
        <v>70</v>
      </c>
      <c r="G1885" s="71">
        <v>0</v>
      </c>
      <c r="H1885" s="70" t="s">
        <v>68</v>
      </c>
    </row>
    <row r="1886" spans="1:8" ht="17.25" customHeight="1" x14ac:dyDescent="0.2">
      <c r="A1886" s="69">
        <v>2024</v>
      </c>
      <c r="B1886" s="70" t="s">
        <v>66</v>
      </c>
      <c r="C1886" s="70" t="s">
        <v>27</v>
      </c>
      <c r="D1886" s="70" t="s">
        <v>26</v>
      </c>
      <c r="E1886" s="70" t="s">
        <v>67</v>
      </c>
      <c r="F1886" s="70" t="s">
        <v>67</v>
      </c>
      <c r="G1886" s="71">
        <v>30012132574</v>
      </c>
      <c r="H1886" s="70" t="s">
        <v>68</v>
      </c>
    </row>
    <row r="1887" spans="1:8" ht="17.25" customHeight="1" x14ac:dyDescent="0.2">
      <c r="A1887" s="69">
        <v>2024</v>
      </c>
      <c r="B1887" s="70" t="s">
        <v>66</v>
      </c>
      <c r="C1887" s="70" t="s">
        <v>27</v>
      </c>
      <c r="D1887" s="70" t="s">
        <v>26</v>
      </c>
      <c r="E1887" s="70" t="s">
        <v>69</v>
      </c>
      <c r="F1887" s="70" t="s">
        <v>71</v>
      </c>
      <c r="G1887" s="71">
        <v>10548421380</v>
      </c>
      <c r="H1887" s="70" t="s">
        <v>68</v>
      </c>
    </row>
    <row r="1888" spans="1:8" ht="17.25" customHeight="1" x14ac:dyDescent="0.2">
      <c r="A1888" s="69">
        <v>2024</v>
      </c>
      <c r="B1888" s="70" t="s">
        <v>66</v>
      </c>
      <c r="C1888" s="70" t="s">
        <v>27</v>
      </c>
      <c r="D1888" s="70" t="s">
        <v>26</v>
      </c>
      <c r="E1888" s="70" t="s">
        <v>69</v>
      </c>
      <c r="F1888" s="70" t="s">
        <v>70</v>
      </c>
      <c r="G1888" s="71">
        <v>26646271552</v>
      </c>
      <c r="H1888" s="70" t="s">
        <v>68</v>
      </c>
    </row>
    <row r="1889" spans="1:8" ht="17.25" customHeight="1" x14ac:dyDescent="0.2">
      <c r="A1889" s="69">
        <v>2024</v>
      </c>
      <c r="B1889" s="70" t="s">
        <v>66</v>
      </c>
      <c r="C1889" s="70" t="s">
        <v>27</v>
      </c>
      <c r="D1889" s="70" t="s">
        <v>28</v>
      </c>
      <c r="E1889" s="70" t="s">
        <v>67</v>
      </c>
      <c r="F1889" s="70" t="s">
        <v>67</v>
      </c>
      <c r="G1889" s="71">
        <v>27715487765</v>
      </c>
      <c r="H1889" s="70" t="s">
        <v>68</v>
      </c>
    </row>
    <row r="1890" spans="1:8" ht="17.25" customHeight="1" x14ac:dyDescent="0.2">
      <c r="A1890" s="69">
        <v>2024</v>
      </c>
      <c r="B1890" s="70" t="s">
        <v>66</v>
      </c>
      <c r="C1890" s="70" t="s">
        <v>27</v>
      </c>
      <c r="D1890" s="70" t="s">
        <v>28</v>
      </c>
      <c r="E1890" s="70" t="s">
        <v>69</v>
      </c>
      <c r="F1890" s="70" t="s">
        <v>71</v>
      </c>
      <c r="G1890" s="71">
        <v>15999359632</v>
      </c>
      <c r="H1890" s="70" t="s">
        <v>68</v>
      </c>
    </row>
    <row r="1891" spans="1:8" ht="17.25" customHeight="1" x14ac:dyDescent="0.2">
      <c r="A1891" s="69">
        <v>2024</v>
      </c>
      <c r="B1891" s="70" t="s">
        <v>66</v>
      </c>
      <c r="C1891" s="70" t="s">
        <v>27</v>
      </c>
      <c r="D1891" s="70" t="s">
        <v>28</v>
      </c>
      <c r="E1891" s="70" t="s">
        <v>69</v>
      </c>
      <c r="F1891" s="70" t="s">
        <v>70</v>
      </c>
      <c r="G1891" s="71">
        <v>33327658082</v>
      </c>
      <c r="H1891" s="70" t="s">
        <v>68</v>
      </c>
    </row>
    <row r="1892" spans="1:8" ht="17.25" customHeight="1" x14ac:dyDescent="0.2">
      <c r="A1892" s="69">
        <v>2024</v>
      </c>
      <c r="B1892" s="70" t="s">
        <v>66</v>
      </c>
      <c r="C1892" s="70" t="s">
        <v>27</v>
      </c>
      <c r="D1892" s="70" t="s">
        <v>29</v>
      </c>
      <c r="E1892" s="70" t="s">
        <v>67</v>
      </c>
      <c r="F1892" s="70" t="s">
        <v>67</v>
      </c>
      <c r="G1892" s="71">
        <v>14272116934</v>
      </c>
      <c r="H1892" s="70" t="s">
        <v>68</v>
      </c>
    </row>
    <row r="1893" spans="1:8" ht="17.25" customHeight="1" x14ac:dyDescent="0.2">
      <c r="A1893" s="69">
        <v>2024</v>
      </c>
      <c r="B1893" s="70" t="s">
        <v>66</v>
      </c>
      <c r="C1893" s="70" t="s">
        <v>27</v>
      </c>
      <c r="D1893" s="70" t="s">
        <v>29</v>
      </c>
      <c r="E1893" s="70" t="s">
        <v>69</v>
      </c>
      <c r="F1893" s="70" t="s">
        <v>71</v>
      </c>
      <c r="G1893" s="71">
        <v>6909366324</v>
      </c>
      <c r="H1893" s="70" t="s">
        <v>68</v>
      </c>
    </row>
    <row r="1894" spans="1:8" ht="17.25" customHeight="1" x14ac:dyDescent="0.2">
      <c r="A1894" s="69">
        <v>2024</v>
      </c>
      <c r="B1894" s="70" t="s">
        <v>66</v>
      </c>
      <c r="C1894" s="70" t="s">
        <v>27</v>
      </c>
      <c r="D1894" s="70" t="s">
        <v>29</v>
      </c>
      <c r="E1894" s="70" t="s">
        <v>69</v>
      </c>
      <c r="F1894" s="70" t="s">
        <v>70</v>
      </c>
      <c r="G1894" s="71">
        <v>11167230534</v>
      </c>
      <c r="H1894" s="70" t="s">
        <v>68</v>
      </c>
    </row>
    <row r="1895" spans="1:8" ht="17.25" customHeight="1" x14ac:dyDescent="0.2">
      <c r="A1895" s="69">
        <v>2024</v>
      </c>
      <c r="B1895" s="70" t="s">
        <v>66</v>
      </c>
      <c r="C1895" s="70" t="s">
        <v>27</v>
      </c>
      <c r="D1895" s="70" t="s">
        <v>30</v>
      </c>
      <c r="E1895" s="70" t="s">
        <v>67</v>
      </c>
      <c r="F1895" s="70" t="s">
        <v>67</v>
      </c>
      <c r="G1895" s="71">
        <v>25778017652</v>
      </c>
      <c r="H1895" s="70" t="s">
        <v>68</v>
      </c>
    </row>
    <row r="1896" spans="1:8" ht="17.25" customHeight="1" x14ac:dyDescent="0.2">
      <c r="A1896" s="69">
        <v>2024</v>
      </c>
      <c r="B1896" s="70" t="s">
        <v>66</v>
      </c>
      <c r="C1896" s="70" t="s">
        <v>27</v>
      </c>
      <c r="D1896" s="70" t="s">
        <v>30</v>
      </c>
      <c r="E1896" s="70" t="s">
        <v>69</v>
      </c>
      <c r="F1896" s="70" t="s">
        <v>71</v>
      </c>
      <c r="G1896" s="71">
        <v>13638334174</v>
      </c>
      <c r="H1896" s="70" t="s">
        <v>68</v>
      </c>
    </row>
    <row r="1897" spans="1:8" ht="17.25" customHeight="1" x14ac:dyDescent="0.2">
      <c r="A1897" s="69">
        <v>2024</v>
      </c>
      <c r="B1897" s="70" t="s">
        <v>66</v>
      </c>
      <c r="C1897" s="70" t="s">
        <v>27</v>
      </c>
      <c r="D1897" s="70" t="s">
        <v>30</v>
      </c>
      <c r="E1897" s="70" t="s">
        <v>69</v>
      </c>
      <c r="F1897" s="70" t="s">
        <v>70</v>
      </c>
      <c r="G1897" s="71">
        <v>40507482938</v>
      </c>
      <c r="H1897" s="70" t="s">
        <v>68</v>
      </c>
    </row>
    <row r="1898" spans="1:8" ht="17.25" customHeight="1" x14ac:dyDescent="0.2">
      <c r="A1898" s="69">
        <v>2024</v>
      </c>
      <c r="B1898" s="70" t="s">
        <v>66</v>
      </c>
      <c r="C1898" s="70" t="s">
        <v>27</v>
      </c>
      <c r="D1898" s="70" t="s">
        <v>31</v>
      </c>
      <c r="E1898" s="70" t="s">
        <v>67</v>
      </c>
      <c r="F1898" s="70" t="s">
        <v>67</v>
      </c>
      <c r="G1898" s="71">
        <v>4517863158</v>
      </c>
      <c r="H1898" s="70" t="s">
        <v>68</v>
      </c>
    </row>
    <row r="1899" spans="1:8" ht="17.25" customHeight="1" x14ac:dyDescent="0.2">
      <c r="A1899" s="69">
        <v>2024</v>
      </c>
      <c r="B1899" s="70" t="s">
        <v>66</v>
      </c>
      <c r="C1899" s="70" t="s">
        <v>27</v>
      </c>
      <c r="D1899" s="70" t="s">
        <v>31</v>
      </c>
      <c r="E1899" s="70" t="s">
        <v>69</v>
      </c>
      <c r="F1899" s="70" t="s">
        <v>71</v>
      </c>
      <c r="G1899" s="71">
        <v>4888048011</v>
      </c>
      <c r="H1899" s="70" t="s">
        <v>68</v>
      </c>
    </row>
    <row r="1900" spans="1:8" ht="17.25" customHeight="1" x14ac:dyDescent="0.2">
      <c r="A1900" s="69">
        <v>2024</v>
      </c>
      <c r="B1900" s="70" t="s">
        <v>66</v>
      </c>
      <c r="C1900" s="70" t="s">
        <v>27</v>
      </c>
      <c r="D1900" s="70" t="s">
        <v>31</v>
      </c>
      <c r="E1900" s="70" t="s">
        <v>69</v>
      </c>
      <c r="F1900" s="70" t="s">
        <v>70</v>
      </c>
      <c r="G1900" s="71">
        <v>11430596634</v>
      </c>
      <c r="H1900" s="70" t="s">
        <v>68</v>
      </c>
    </row>
    <row r="1901" spans="1:8" ht="17.25" customHeight="1" x14ac:dyDescent="0.2">
      <c r="A1901" s="69">
        <v>2024</v>
      </c>
      <c r="B1901" s="70" t="s">
        <v>66</v>
      </c>
      <c r="C1901" s="70" t="s">
        <v>27</v>
      </c>
      <c r="D1901" s="70" t="s">
        <v>32</v>
      </c>
      <c r="E1901" s="70" t="s">
        <v>67</v>
      </c>
      <c r="F1901" s="70" t="s">
        <v>67</v>
      </c>
      <c r="G1901" s="71">
        <v>16051370594</v>
      </c>
      <c r="H1901" s="70" t="s">
        <v>68</v>
      </c>
    </row>
    <row r="1902" spans="1:8" ht="17.25" customHeight="1" x14ac:dyDescent="0.2">
      <c r="A1902" s="69">
        <v>2024</v>
      </c>
      <c r="B1902" s="70" t="s">
        <v>66</v>
      </c>
      <c r="C1902" s="70" t="s">
        <v>27</v>
      </c>
      <c r="D1902" s="70" t="s">
        <v>32</v>
      </c>
      <c r="E1902" s="70" t="s">
        <v>69</v>
      </c>
      <c r="F1902" s="70" t="s">
        <v>71</v>
      </c>
      <c r="G1902" s="71">
        <v>11671396078</v>
      </c>
      <c r="H1902" s="70" t="s">
        <v>68</v>
      </c>
    </row>
    <row r="1903" spans="1:8" ht="17.25" customHeight="1" x14ac:dyDescent="0.2">
      <c r="A1903" s="69">
        <v>2024</v>
      </c>
      <c r="B1903" s="70" t="s">
        <v>66</v>
      </c>
      <c r="C1903" s="70" t="s">
        <v>27</v>
      </c>
      <c r="D1903" s="70" t="s">
        <v>32</v>
      </c>
      <c r="E1903" s="70" t="s">
        <v>69</v>
      </c>
      <c r="F1903" s="70" t="s">
        <v>70</v>
      </c>
      <c r="G1903" s="71">
        <v>12878928461</v>
      </c>
      <c r="H1903" s="70" t="s">
        <v>68</v>
      </c>
    </row>
    <row r="1904" spans="1:8" ht="17.25" customHeight="1" x14ac:dyDescent="0.2">
      <c r="A1904" s="69">
        <v>2024</v>
      </c>
      <c r="B1904" s="70" t="s">
        <v>66</v>
      </c>
      <c r="C1904" s="70" t="s">
        <v>27</v>
      </c>
      <c r="D1904" s="70" t="s">
        <v>33</v>
      </c>
      <c r="E1904" s="70" t="s">
        <v>67</v>
      </c>
      <c r="F1904" s="70" t="s">
        <v>67</v>
      </c>
      <c r="G1904" s="71">
        <v>10372769916</v>
      </c>
      <c r="H1904" s="70" t="s">
        <v>68</v>
      </c>
    </row>
    <row r="1905" spans="1:8" ht="17.25" customHeight="1" x14ac:dyDescent="0.2">
      <c r="A1905" s="69">
        <v>2024</v>
      </c>
      <c r="B1905" s="70" t="s">
        <v>66</v>
      </c>
      <c r="C1905" s="70" t="s">
        <v>27</v>
      </c>
      <c r="D1905" s="70" t="s">
        <v>33</v>
      </c>
      <c r="E1905" s="70" t="s">
        <v>69</v>
      </c>
      <c r="F1905" s="70" t="s">
        <v>71</v>
      </c>
      <c r="G1905" s="71">
        <v>12042767093</v>
      </c>
      <c r="H1905" s="70" t="s">
        <v>68</v>
      </c>
    </row>
    <row r="1906" spans="1:8" ht="17.25" customHeight="1" x14ac:dyDescent="0.2">
      <c r="A1906" s="69">
        <v>2024</v>
      </c>
      <c r="B1906" s="70" t="s">
        <v>66</v>
      </c>
      <c r="C1906" s="70" t="s">
        <v>27</v>
      </c>
      <c r="D1906" s="70" t="s">
        <v>33</v>
      </c>
      <c r="E1906" s="70" t="s">
        <v>69</v>
      </c>
      <c r="F1906" s="70" t="s">
        <v>70</v>
      </c>
      <c r="G1906" s="71">
        <v>42325387365</v>
      </c>
      <c r="H1906" s="70" t="s">
        <v>68</v>
      </c>
    </row>
    <row r="1907" spans="1:8" ht="17.25" customHeight="1" x14ac:dyDescent="0.2">
      <c r="A1907" s="69">
        <v>2024</v>
      </c>
      <c r="B1907" s="70" t="s">
        <v>66</v>
      </c>
      <c r="C1907" s="70" t="s">
        <v>35</v>
      </c>
      <c r="D1907" s="70" t="s">
        <v>34</v>
      </c>
      <c r="E1907" s="70" t="s">
        <v>67</v>
      </c>
      <c r="F1907" s="70" t="s">
        <v>67</v>
      </c>
      <c r="G1907" s="71">
        <v>4074759361</v>
      </c>
      <c r="H1907" s="70" t="s">
        <v>68</v>
      </c>
    </row>
    <row r="1908" spans="1:8" ht="17.25" customHeight="1" x14ac:dyDescent="0.2">
      <c r="A1908" s="69">
        <v>2024</v>
      </c>
      <c r="B1908" s="70" t="s">
        <v>66</v>
      </c>
      <c r="C1908" s="70" t="s">
        <v>35</v>
      </c>
      <c r="D1908" s="70" t="s">
        <v>34</v>
      </c>
      <c r="E1908" s="70" t="s">
        <v>69</v>
      </c>
      <c r="F1908" s="70" t="s">
        <v>71</v>
      </c>
      <c r="G1908" s="71">
        <v>1619014324</v>
      </c>
      <c r="H1908" s="70" t="s">
        <v>68</v>
      </c>
    </row>
    <row r="1909" spans="1:8" ht="17.25" customHeight="1" x14ac:dyDescent="0.2">
      <c r="A1909" s="69">
        <v>2024</v>
      </c>
      <c r="B1909" s="70" t="s">
        <v>66</v>
      </c>
      <c r="C1909" s="70" t="s">
        <v>35</v>
      </c>
      <c r="D1909" s="70" t="s">
        <v>34</v>
      </c>
      <c r="E1909" s="70" t="s">
        <v>69</v>
      </c>
      <c r="F1909" s="70" t="s">
        <v>70</v>
      </c>
      <c r="G1909" s="71">
        <v>1372403448</v>
      </c>
      <c r="H1909" s="70" t="s">
        <v>68</v>
      </c>
    </row>
    <row r="1910" spans="1:8" ht="17.25" customHeight="1" x14ac:dyDescent="0.2">
      <c r="A1910" s="69">
        <v>2024</v>
      </c>
      <c r="B1910" s="70" t="s">
        <v>66</v>
      </c>
      <c r="C1910" s="70" t="s">
        <v>35</v>
      </c>
      <c r="D1910" s="70" t="s">
        <v>36</v>
      </c>
      <c r="E1910" s="70" t="s">
        <v>67</v>
      </c>
      <c r="F1910" s="70" t="s">
        <v>67</v>
      </c>
      <c r="G1910" s="71">
        <v>11647587791</v>
      </c>
      <c r="H1910" s="70" t="s">
        <v>68</v>
      </c>
    </row>
    <row r="1911" spans="1:8" ht="17.25" customHeight="1" x14ac:dyDescent="0.2">
      <c r="A1911" s="69">
        <v>2024</v>
      </c>
      <c r="B1911" s="70" t="s">
        <v>66</v>
      </c>
      <c r="C1911" s="70" t="s">
        <v>35</v>
      </c>
      <c r="D1911" s="70" t="s">
        <v>36</v>
      </c>
      <c r="E1911" s="70" t="s">
        <v>69</v>
      </c>
      <c r="F1911" s="70" t="s">
        <v>71</v>
      </c>
      <c r="G1911" s="71">
        <v>6379031383</v>
      </c>
      <c r="H1911" s="70" t="s">
        <v>68</v>
      </c>
    </row>
    <row r="1912" spans="1:8" ht="17.25" customHeight="1" x14ac:dyDescent="0.2">
      <c r="A1912" s="69">
        <v>2024</v>
      </c>
      <c r="B1912" s="70" t="s">
        <v>66</v>
      </c>
      <c r="C1912" s="70" t="s">
        <v>35</v>
      </c>
      <c r="D1912" s="70" t="s">
        <v>36</v>
      </c>
      <c r="E1912" s="70" t="s">
        <v>69</v>
      </c>
      <c r="F1912" s="70" t="s">
        <v>70</v>
      </c>
      <c r="G1912" s="71">
        <v>5345913856</v>
      </c>
      <c r="H1912" s="70" t="s">
        <v>68</v>
      </c>
    </row>
    <row r="1913" spans="1:8" ht="17.25" customHeight="1" x14ac:dyDescent="0.2">
      <c r="A1913" s="69">
        <v>2024</v>
      </c>
      <c r="B1913" s="70" t="s">
        <v>66</v>
      </c>
      <c r="C1913" s="70" t="s">
        <v>35</v>
      </c>
      <c r="D1913" s="70" t="s">
        <v>37</v>
      </c>
      <c r="E1913" s="70" t="s">
        <v>67</v>
      </c>
      <c r="F1913" s="70" t="s">
        <v>67</v>
      </c>
      <c r="G1913" s="71">
        <v>1900308887</v>
      </c>
      <c r="H1913" s="70" t="s">
        <v>68</v>
      </c>
    </row>
    <row r="1914" spans="1:8" ht="17.25" customHeight="1" x14ac:dyDescent="0.2">
      <c r="A1914" s="69">
        <v>2024</v>
      </c>
      <c r="B1914" s="70" t="s">
        <v>66</v>
      </c>
      <c r="C1914" s="70" t="s">
        <v>35</v>
      </c>
      <c r="D1914" s="70" t="s">
        <v>37</v>
      </c>
      <c r="E1914" s="70" t="s">
        <v>69</v>
      </c>
      <c r="F1914" s="70" t="s">
        <v>71</v>
      </c>
      <c r="G1914" s="71">
        <v>945579845</v>
      </c>
      <c r="H1914" s="70" t="s">
        <v>68</v>
      </c>
    </row>
    <row r="1915" spans="1:8" ht="17.25" customHeight="1" x14ac:dyDescent="0.2">
      <c r="A1915" s="69">
        <v>2024</v>
      </c>
      <c r="B1915" s="70" t="s">
        <v>66</v>
      </c>
      <c r="C1915" s="70" t="s">
        <v>35</v>
      </c>
      <c r="D1915" s="70" t="s">
        <v>37</v>
      </c>
      <c r="E1915" s="70" t="s">
        <v>69</v>
      </c>
      <c r="F1915" s="70" t="s">
        <v>70</v>
      </c>
      <c r="G1915" s="71">
        <v>1142281021</v>
      </c>
      <c r="H1915" s="70" t="s">
        <v>68</v>
      </c>
    </row>
    <row r="1916" spans="1:8" ht="17.25" customHeight="1" x14ac:dyDescent="0.2">
      <c r="A1916" s="69">
        <v>2024</v>
      </c>
      <c r="B1916" s="70" t="s">
        <v>66</v>
      </c>
      <c r="C1916" s="70" t="s">
        <v>35</v>
      </c>
      <c r="D1916" s="70" t="s">
        <v>38</v>
      </c>
      <c r="E1916" s="70" t="s">
        <v>67</v>
      </c>
      <c r="F1916" s="70" t="s">
        <v>67</v>
      </c>
      <c r="G1916" s="71">
        <v>3111420641</v>
      </c>
      <c r="H1916" s="70" t="s">
        <v>68</v>
      </c>
    </row>
    <row r="1917" spans="1:8" ht="17.25" customHeight="1" x14ac:dyDescent="0.2">
      <c r="A1917" s="69">
        <v>2024</v>
      </c>
      <c r="B1917" s="70" t="s">
        <v>66</v>
      </c>
      <c r="C1917" s="70" t="s">
        <v>35</v>
      </c>
      <c r="D1917" s="70" t="s">
        <v>38</v>
      </c>
      <c r="E1917" s="70" t="s">
        <v>69</v>
      </c>
      <c r="F1917" s="70" t="s">
        <v>71</v>
      </c>
      <c r="G1917" s="71">
        <v>1309244137</v>
      </c>
      <c r="H1917" s="70" t="s">
        <v>68</v>
      </c>
    </row>
    <row r="1918" spans="1:8" ht="17.25" customHeight="1" x14ac:dyDescent="0.2">
      <c r="A1918" s="69">
        <v>2024</v>
      </c>
      <c r="B1918" s="70" t="s">
        <v>66</v>
      </c>
      <c r="C1918" s="70" t="s">
        <v>35</v>
      </c>
      <c r="D1918" s="70" t="s">
        <v>38</v>
      </c>
      <c r="E1918" s="70" t="s">
        <v>69</v>
      </c>
      <c r="F1918" s="70" t="s">
        <v>70</v>
      </c>
      <c r="G1918" s="71">
        <v>1517428173</v>
      </c>
      <c r="H1918" s="70" t="s">
        <v>68</v>
      </c>
    </row>
    <row r="1919" spans="1:8" ht="17.25" customHeight="1" x14ac:dyDescent="0.2">
      <c r="A1919" s="69">
        <v>2024</v>
      </c>
      <c r="B1919" s="70" t="s">
        <v>66</v>
      </c>
      <c r="C1919" s="70" t="s">
        <v>35</v>
      </c>
      <c r="D1919" s="70" t="s">
        <v>39</v>
      </c>
      <c r="E1919" s="70" t="s">
        <v>67</v>
      </c>
      <c r="F1919" s="70" t="s">
        <v>67</v>
      </c>
      <c r="G1919" s="71">
        <v>15179611499</v>
      </c>
      <c r="H1919" s="70" t="s">
        <v>68</v>
      </c>
    </row>
    <row r="1920" spans="1:8" ht="17.25" customHeight="1" x14ac:dyDescent="0.2">
      <c r="A1920" s="69">
        <v>2024</v>
      </c>
      <c r="B1920" s="70" t="s">
        <v>66</v>
      </c>
      <c r="C1920" s="70" t="s">
        <v>35</v>
      </c>
      <c r="D1920" s="70" t="s">
        <v>39</v>
      </c>
      <c r="E1920" s="70" t="s">
        <v>69</v>
      </c>
      <c r="F1920" s="70" t="s">
        <v>71</v>
      </c>
      <c r="G1920" s="71">
        <v>8084034188</v>
      </c>
      <c r="H1920" s="70" t="s">
        <v>68</v>
      </c>
    </row>
    <row r="1921" spans="1:8" ht="17.25" customHeight="1" x14ac:dyDescent="0.2">
      <c r="A1921" s="69">
        <v>2024</v>
      </c>
      <c r="B1921" s="70" t="s">
        <v>66</v>
      </c>
      <c r="C1921" s="70" t="s">
        <v>35</v>
      </c>
      <c r="D1921" s="70" t="s">
        <v>39</v>
      </c>
      <c r="E1921" s="70" t="s">
        <v>69</v>
      </c>
      <c r="F1921" s="70" t="s">
        <v>70</v>
      </c>
      <c r="G1921" s="71">
        <v>7519780699</v>
      </c>
      <c r="H1921" s="70" t="s">
        <v>68</v>
      </c>
    </row>
    <row r="1922" spans="1:8" ht="17.25" customHeight="1" x14ac:dyDescent="0.2">
      <c r="A1922" s="69">
        <v>2024</v>
      </c>
      <c r="B1922" s="70" t="s">
        <v>66</v>
      </c>
      <c r="C1922" s="70" t="s">
        <v>41</v>
      </c>
      <c r="D1922" s="70" t="s">
        <v>40</v>
      </c>
      <c r="E1922" s="70" t="s">
        <v>67</v>
      </c>
      <c r="F1922" s="70" t="s">
        <v>67</v>
      </c>
      <c r="G1922" s="71">
        <v>1568284595</v>
      </c>
      <c r="H1922" s="70" t="s">
        <v>68</v>
      </c>
    </row>
    <row r="1923" spans="1:8" ht="17.25" customHeight="1" x14ac:dyDescent="0.2">
      <c r="A1923" s="69">
        <v>2024</v>
      </c>
      <c r="B1923" s="70" t="s">
        <v>66</v>
      </c>
      <c r="C1923" s="70" t="s">
        <v>41</v>
      </c>
      <c r="D1923" s="70" t="s">
        <v>40</v>
      </c>
      <c r="E1923" s="70" t="s">
        <v>69</v>
      </c>
      <c r="F1923" s="70" t="s">
        <v>71</v>
      </c>
      <c r="G1923" s="71">
        <v>512900885</v>
      </c>
      <c r="H1923" s="70" t="s">
        <v>68</v>
      </c>
    </row>
    <row r="1924" spans="1:8" ht="17.25" customHeight="1" x14ac:dyDescent="0.2">
      <c r="A1924" s="69">
        <v>2024</v>
      </c>
      <c r="B1924" s="70" t="s">
        <v>66</v>
      </c>
      <c r="C1924" s="70" t="s">
        <v>41</v>
      </c>
      <c r="D1924" s="70" t="s">
        <v>40</v>
      </c>
      <c r="E1924" s="70" t="s">
        <v>69</v>
      </c>
      <c r="F1924" s="70" t="s">
        <v>70</v>
      </c>
      <c r="G1924" s="71">
        <v>463298804</v>
      </c>
      <c r="H1924" s="70" t="s">
        <v>68</v>
      </c>
    </row>
    <row r="1925" spans="1:8" ht="17.25" customHeight="1" x14ac:dyDescent="0.2">
      <c r="A1925" s="69">
        <v>2024</v>
      </c>
      <c r="B1925" s="70" t="s">
        <v>66</v>
      </c>
      <c r="C1925" s="70" t="s">
        <v>41</v>
      </c>
      <c r="D1925" s="70" t="s">
        <v>42</v>
      </c>
      <c r="E1925" s="70" t="s">
        <v>67</v>
      </c>
      <c r="F1925" s="70" t="s">
        <v>67</v>
      </c>
      <c r="G1925" s="71">
        <v>9566036993</v>
      </c>
      <c r="H1925" s="70" t="s">
        <v>68</v>
      </c>
    </row>
    <row r="1926" spans="1:8" ht="17.25" customHeight="1" x14ac:dyDescent="0.2">
      <c r="A1926" s="69">
        <v>2024</v>
      </c>
      <c r="B1926" s="70" t="s">
        <v>66</v>
      </c>
      <c r="C1926" s="70" t="s">
        <v>41</v>
      </c>
      <c r="D1926" s="70" t="s">
        <v>42</v>
      </c>
      <c r="E1926" s="70" t="s">
        <v>69</v>
      </c>
      <c r="F1926" s="70" t="s">
        <v>71</v>
      </c>
      <c r="G1926" s="71">
        <v>1730674526</v>
      </c>
      <c r="H1926" s="70" t="s">
        <v>68</v>
      </c>
    </row>
    <row r="1927" spans="1:8" ht="17.25" customHeight="1" x14ac:dyDescent="0.2">
      <c r="A1927" s="69">
        <v>2024</v>
      </c>
      <c r="B1927" s="70" t="s">
        <v>66</v>
      </c>
      <c r="C1927" s="70" t="s">
        <v>41</v>
      </c>
      <c r="D1927" s="70" t="s">
        <v>42</v>
      </c>
      <c r="E1927" s="70" t="s">
        <v>69</v>
      </c>
      <c r="F1927" s="70" t="s">
        <v>70</v>
      </c>
      <c r="G1927" s="71">
        <v>5992177896</v>
      </c>
      <c r="H1927" s="70" t="s">
        <v>68</v>
      </c>
    </row>
    <row r="1928" spans="1:8" ht="17.25" customHeight="1" x14ac:dyDescent="0.2">
      <c r="A1928" s="69">
        <v>2024</v>
      </c>
      <c r="B1928" s="70" t="s">
        <v>66</v>
      </c>
      <c r="C1928" s="70" t="s">
        <v>41</v>
      </c>
      <c r="D1928" s="70" t="s">
        <v>43</v>
      </c>
      <c r="E1928" s="70" t="s">
        <v>67</v>
      </c>
      <c r="F1928" s="70" t="s">
        <v>67</v>
      </c>
      <c r="G1928" s="71">
        <v>6856225289</v>
      </c>
      <c r="H1928" s="70" t="s">
        <v>68</v>
      </c>
    </row>
    <row r="1929" spans="1:8" ht="17.25" customHeight="1" x14ac:dyDescent="0.2">
      <c r="A1929" s="69">
        <v>2024</v>
      </c>
      <c r="B1929" s="70" t="s">
        <v>66</v>
      </c>
      <c r="C1929" s="70" t="s">
        <v>41</v>
      </c>
      <c r="D1929" s="70" t="s">
        <v>43</v>
      </c>
      <c r="E1929" s="70" t="s">
        <v>69</v>
      </c>
      <c r="F1929" s="70" t="s">
        <v>71</v>
      </c>
      <c r="G1929" s="71">
        <v>2343639416</v>
      </c>
      <c r="H1929" s="70" t="s">
        <v>68</v>
      </c>
    </row>
    <row r="1930" spans="1:8" ht="17.25" customHeight="1" x14ac:dyDescent="0.2">
      <c r="A1930" s="69">
        <v>2024</v>
      </c>
      <c r="B1930" s="70" t="s">
        <v>66</v>
      </c>
      <c r="C1930" s="70" t="s">
        <v>41</v>
      </c>
      <c r="D1930" s="70" t="s">
        <v>43</v>
      </c>
      <c r="E1930" s="70" t="s">
        <v>69</v>
      </c>
      <c r="F1930" s="70" t="s">
        <v>70</v>
      </c>
      <c r="G1930" s="71">
        <v>2756783250</v>
      </c>
      <c r="H1930" s="70" t="s">
        <v>68</v>
      </c>
    </row>
    <row r="1931" spans="1:8" ht="17.25" customHeight="1" x14ac:dyDescent="0.2">
      <c r="A1931" s="69">
        <v>2024</v>
      </c>
      <c r="B1931" s="70" t="s">
        <v>66</v>
      </c>
      <c r="C1931" s="70" t="s">
        <v>41</v>
      </c>
      <c r="D1931" s="70" t="s">
        <v>44</v>
      </c>
      <c r="E1931" s="70" t="s">
        <v>67</v>
      </c>
      <c r="F1931" s="70" t="s">
        <v>67</v>
      </c>
      <c r="G1931" s="71">
        <v>9280465515</v>
      </c>
      <c r="H1931" s="70" t="s">
        <v>68</v>
      </c>
    </row>
    <row r="1932" spans="1:8" ht="17.25" customHeight="1" x14ac:dyDescent="0.2">
      <c r="A1932" s="69">
        <v>2024</v>
      </c>
      <c r="B1932" s="70" t="s">
        <v>66</v>
      </c>
      <c r="C1932" s="70" t="s">
        <v>41</v>
      </c>
      <c r="D1932" s="70" t="s">
        <v>44</v>
      </c>
      <c r="E1932" s="70" t="s">
        <v>69</v>
      </c>
      <c r="F1932" s="70" t="s">
        <v>71</v>
      </c>
      <c r="G1932" s="71">
        <v>3753042959</v>
      </c>
      <c r="H1932" s="70" t="s">
        <v>68</v>
      </c>
    </row>
    <row r="1933" spans="1:8" ht="17.25" customHeight="1" x14ac:dyDescent="0.2">
      <c r="A1933" s="69">
        <v>2024</v>
      </c>
      <c r="B1933" s="70" t="s">
        <v>66</v>
      </c>
      <c r="C1933" s="70" t="s">
        <v>41</v>
      </c>
      <c r="D1933" s="70" t="s">
        <v>44</v>
      </c>
      <c r="E1933" s="70" t="s">
        <v>69</v>
      </c>
      <c r="F1933" s="70" t="s">
        <v>70</v>
      </c>
      <c r="G1933" s="71">
        <v>5678538393</v>
      </c>
      <c r="H1933" s="70" t="s">
        <v>68</v>
      </c>
    </row>
    <row r="1934" spans="1:8" ht="17.25" customHeight="1" x14ac:dyDescent="0.2">
      <c r="A1934" s="69">
        <v>2024</v>
      </c>
      <c r="B1934" s="70" t="s">
        <v>66</v>
      </c>
      <c r="C1934" s="70" t="s">
        <v>41</v>
      </c>
      <c r="D1934" s="70" t="s">
        <v>45</v>
      </c>
      <c r="E1934" s="70" t="s">
        <v>67</v>
      </c>
      <c r="F1934" s="70" t="s">
        <v>67</v>
      </c>
      <c r="G1934" s="71">
        <v>24755792028</v>
      </c>
      <c r="H1934" s="70" t="s">
        <v>68</v>
      </c>
    </row>
    <row r="1935" spans="1:8" ht="17.25" customHeight="1" x14ac:dyDescent="0.2">
      <c r="A1935" s="69">
        <v>2024</v>
      </c>
      <c r="B1935" s="70" t="s">
        <v>66</v>
      </c>
      <c r="C1935" s="70" t="s">
        <v>41</v>
      </c>
      <c r="D1935" s="70" t="s">
        <v>45</v>
      </c>
      <c r="E1935" s="70" t="s">
        <v>69</v>
      </c>
      <c r="F1935" s="70" t="s">
        <v>71</v>
      </c>
      <c r="G1935" s="71">
        <v>6789572404</v>
      </c>
      <c r="H1935" s="70" t="s">
        <v>68</v>
      </c>
    </row>
    <row r="1936" spans="1:8" ht="17.25" customHeight="1" x14ac:dyDescent="0.2">
      <c r="A1936" s="69">
        <v>2024</v>
      </c>
      <c r="B1936" s="70" t="s">
        <v>66</v>
      </c>
      <c r="C1936" s="70" t="s">
        <v>41</v>
      </c>
      <c r="D1936" s="70" t="s">
        <v>45</v>
      </c>
      <c r="E1936" s="70" t="s">
        <v>69</v>
      </c>
      <c r="F1936" s="70" t="s">
        <v>70</v>
      </c>
      <c r="G1936" s="71">
        <v>17056133984</v>
      </c>
      <c r="H1936" s="70" t="s">
        <v>68</v>
      </c>
    </row>
    <row r="1937" spans="1:8" ht="17.25" customHeight="1" x14ac:dyDescent="0.2">
      <c r="A1937" s="69">
        <v>2024</v>
      </c>
      <c r="B1937" s="70" t="s">
        <v>66</v>
      </c>
      <c r="C1937" s="70" t="s">
        <v>47</v>
      </c>
      <c r="D1937" s="70" t="s">
        <v>46</v>
      </c>
      <c r="E1937" s="70" t="s">
        <v>72</v>
      </c>
      <c r="F1937" s="70" t="s">
        <v>73</v>
      </c>
      <c r="G1937" s="71">
        <v>8515658500</v>
      </c>
      <c r="H1937" s="70" t="s">
        <v>68</v>
      </c>
    </row>
    <row r="1938" spans="1:8" ht="17.25" customHeight="1" x14ac:dyDescent="0.2">
      <c r="A1938" s="69">
        <v>2024</v>
      </c>
      <c r="B1938" s="70" t="s">
        <v>66</v>
      </c>
      <c r="C1938" s="70" t="s">
        <v>47</v>
      </c>
      <c r="D1938" s="70" t="s">
        <v>46</v>
      </c>
      <c r="E1938" s="70" t="s">
        <v>67</v>
      </c>
      <c r="F1938" s="70" t="s">
        <v>74</v>
      </c>
      <c r="G1938" s="71">
        <v>7481250310</v>
      </c>
      <c r="H1938" s="70" t="s">
        <v>68</v>
      </c>
    </row>
    <row r="1939" spans="1:8" ht="17.25" customHeight="1" x14ac:dyDescent="0.2">
      <c r="A1939" s="69">
        <v>2024</v>
      </c>
      <c r="B1939" s="70" t="s">
        <v>66</v>
      </c>
      <c r="C1939" s="70" t="s">
        <v>47</v>
      </c>
      <c r="D1939" s="70" t="s">
        <v>46</v>
      </c>
      <c r="E1939" s="70" t="s">
        <v>69</v>
      </c>
      <c r="F1939" s="70" t="s">
        <v>71</v>
      </c>
      <c r="G1939" s="71">
        <v>10328159380</v>
      </c>
      <c r="H1939" s="70" t="s">
        <v>68</v>
      </c>
    </row>
    <row r="1940" spans="1:8" ht="17.25" customHeight="1" x14ac:dyDescent="0.2">
      <c r="A1940" s="69">
        <v>2024</v>
      </c>
      <c r="B1940" s="70" t="s">
        <v>66</v>
      </c>
      <c r="C1940" s="70" t="s">
        <v>47</v>
      </c>
      <c r="D1940" s="70" t="s">
        <v>46</v>
      </c>
      <c r="E1940" s="70" t="s">
        <v>69</v>
      </c>
      <c r="F1940" s="70" t="s">
        <v>70</v>
      </c>
      <c r="G1940" s="71">
        <v>14951280803</v>
      </c>
      <c r="H1940" s="70" t="s">
        <v>68</v>
      </c>
    </row>
    <row r="1941" spans="1:8" ht="17.25" customHeight="1" x14ac:dyDescent="0.2">
      <c r="A1941" s="69">
        <v>2024</v>
      </c>
      <c r="B1941" s="70" t="s">
        <v>66</v>
      </c>
      <c r="C1941" s="70" t="s">
        <v>47</v>
      </c>
      <c r="D1941" s="70" t="s">
        <v>48</v>
      </c>
      <c r="E1941" s="70" t="s">
        <v>72</v>
      </c>
      <c r="F1941" s="70" t="s">
        <v>73</v>
      </c>
      <c r="G1941" s="71">
        <v>85898251337</v>
      </c>
      <c r="H1941" s="70" t="s">
        <v>68</v>
      </c>
    </row>
    <row r="1942" spans="1:8" ht="17.25" customHeight="1" x14ac:dyDescent="0.2">
      <c r="A1942" s="69">
        <v>2024</v>
      </c>
      <c r="B1942" s="70" t="s">
        <v>66</v>
      </c>
      <c r="C1942" s="70" t="s">
        <v>47</v>
      </c>
      <c r="D1942" s="70" t="s">
        <v>48</v>
      </c>
      <c r="E1942" s="70" t="s">
        <v>67</v>
      </c>
      <c r="F1942" s="70" t="s">
        <v>74</v>
      </c>
      <c r="G1942" s="71">
        <v>99764613880</v>
      </c>
      <c r="H1942" s="70" t="s">
        <v>68</v>
      </c>
    </row>
    <row r="1943" spans="1:8" ht="17.25" customHeight="1" x14ac:dyDescent="0.2">
      <c r="A1943" s="69">
        <v>2024</v>
      </c>
      <c r="B1943" s="70" t="s">
        <v>66</v>
      </c>
      <c r="C1943" s="70" t="s">
        <v>47</v>
      </c>
      <c r="D1943" s="70" t="s">
        <v>48</v>
      </c>
      <c r="E1943" s="70" t="s">
        <v>69</v>
      </c>
      <c r="F1943" s="70" t="s">
        <v>71</v>
      </c>
      <c r="G1943" s="71">
        <v>106500000001</v>
      </c>
      <c r="H1943" s="70" t="s">
        <v>68</v>
      </c>
    </row>
    <row r="1944" spans="1:8" ht="17.25" customHeight="1" x14ac:dyDescent="0.2">
      <c r="A1944" s="69">
        <v>2024</v>
      </c>
      <c r="B1944" s="70" t="s">
        <v>66</v>
      </c>
      <c r="C1944" s="70" t="s">
        <v>47</v>
      </c>
      <c r="D1944" s="70" t="s">
        <v>48</v>
      </c>
      <c r="E1944" s="70" t="s">
        <v>69</v>
      </c>
      <c r="F1944" s="70" t="s">
        <v>70</v>
      </c>
      <c r="G1944" s="71">
        <v>210410934272</v>
      </c>
      <c r="H1944" s="70" t="s">
        <v>68</v>
      </c>
    </row>
    <row r="1945" spans="1:8" ht="17.25" customHeight="1" x14ac:dyDescent="0.2">
      <c r="A1945" s="69">
        <v>2025</v>
      </c>
      <c r="B1945" s="70" t="s">
        <v>66</v>
      </c>
      <c r="C1945" s="70" t="s">
        <v>4</v>
      </c>
      <c r="D1945" s="70" t="s">
        <v>3</v>
      </c>
      <c r="E1945" s="70" t="s">
        <v>67</v>
      </c>
      <c r="F1945" s="70" t="s">
        <v>67</v>
      </c>
      <c r="G1945" s="71">
        <v>17185781792</v>
      </c>
      <c r="H1945" s="70" t="s">
        <v>68</v>
      </c>
    </row>
    <row r="1946" spans="1:8" ht="17.25" customHeight="1" x14ac:dyDescent="0.2">
      <c r="A1946" s="69">
        <v>2025</v>
      </c>
      <c r="B1946" s="70" t="s">
        <v>66</v>
      </c>
      <c r="C1946" s="70" t="s">
        <v>4</v>
      </c>
      <c r="D1946" s="70" t="s">
        <v>3</v>
      </c>
      <c r="E1946" s="70" t="s">
        <v>69</v>
      </c>
      <c r="F1946" s="70" t="s">
        <v>71</v>
      </c>
      <c r="G1946" s="71">
        <v>7465143143</v>
      </c>
      <c r="H1946" s="70" t="s">
        <v>68</v>
      </c>
    </row>
    <row r="1947" spans="1:8" ht="17.25" customHeight="1" x14ac:dyDescent="0.2">
      <c r="A1947" s="69">
        <v>2025</v>
      </c>
      <c r="B1947" s="70" t="s">
        <v>66</v>
      </c>
      <c r="C1947" s="70" t="s">
        <v>4</v>
      </c>
      <c r="D1947" s="70" t="s">
        <v>3</v>
      </c>
      <c r="E1947" s="70" t="s">
        <v>69</v>
      </c>
      <c r="F1947" s="70" t="s">
        <v>70</v>
      </c>
      <c r="G1947" s="71">
        <v>17109645423</v>
      </c>
      <c r="H1947" s="70" t="s">
        <v>68</v>
      </c>
    </row>
    <row r="1948" spans="1:8" ht="17.25" customHeight="1" x14ac:dyDescent="0.2">
      <c r="A1948" s="69">
        <v>2025</v>
      </c>
      <c r="B1948" s="70" t="s">
        <v>66</v>
      </c>
      <c r="C1948" s="70" t="s">
        <v>4</v>
      </c>
      <c r="D1948" s="70" t="s">
        <v>5</v>
      </c>
      <c r="E1948" s="70" t="s">
        <v>67</v>
      </c>
      <c r="F1948" s="70" t="s">
        <v>67</v>
      </c>
      <c r="G1948" s="71">
        <v>46949105760</v>
      </c>
      <c r="H1948" s="70" t="s">
        <v>68</v>
      </c>
    </row>
    <row r="1949" spans="1:8" ht="17.25" customHeight="1" x14ac:dyDescent="0.2">
      <c r="A1949" s="69">
        <v>2025</v>
      </c>
      <c r="B1949" s="70" t="s">
        <v>66</v>
      </c>
      <c r="C1949" s="70" t="s">
        <v>4</v>
      </c>
      <c r="D1949" s="70" t="s">
        <v>5</v>
      </c>
      <c r="E1949" s="70" t="s">
        <v>69</v>
      </c>
      <c r="F1949" s="70" t="s">
        <v>71</v>
      </c>
      <c r="G1949" s="71">
        <v>71711531150</v>
      </c>
      <c r="H1949" s="70" t="s">
        <v>68</v>
      </c>
    </row>
    <row r="1950" spans="1:8" ht="17.25" customHeight="1" x14ac:dyDescent="0.2">
      <c r="A1950" s="69">
        <v>2025</v>
      </c>
      <c r="B1950" s="70" t="s">
        <v>66</v>
      </c>
      <c r="C1950" s="70" t="s">
        <v>4</v>
      </c>
      <c r="D1950" s="70" t="s">
        <v>5</v>
      </c>
      <c r="E1950" s="70" t="s">
        <v>69</v>
      </c>
      <c r="F1950" s="70" t="s">
        <v>70</v>
      </c>
      <c r="G1950" s="71">
        <v>67430523524</v>
      </c>
      <c r="H1950" s="70" t="s">
        <v>68</v>
      </c>
    </row>
    <row r="1951" spans="1:8" ht="17.25" customHeight="1" x14ac:dyDescent="0.2">
      <c r="A1951" s="69">
        <v>2025</v>
      </c>
      <c r="B1951" s="70" t="s">
        <v>66</v>
      </c>
      <c r="C1951" s="70" t="s">
        <v>4</v>
      </c>
      <c r="D1951" s="70" t="s">
        <v>6</v>
      </c>
      <c r="E1951" s="70" t="s">
        <v>67</v>
      </c>
      <c r="F1951" s="70" t="s">
        <v>67</v>
      </c>
      <c r="G1951" s="71">
        <v>7586173820</v>
      </c>
      <c r="H1951" s="70" t="s">
        <v>68</v>
      </c>
    </row>
    <row r="1952" spans="1:8" ht="17.25" customHeight="1" x14ac:dyDescent="0.2">
      <c r="A1952" s="69">
        <v>2025</v>
      </c>
      <c r="B1952" s="70" t="s">
        <v>66</v>
      </c>
      <c r="C1952" s="70" t="s">
        <v>4</v>
      </c>
      <c r="D1952" s="70" t="s">
        <v>6</v>
      </c>
      <c r="E1952" s="70" t="s">
        <v>69</v>
      </c>
      <c r="F1952" s="70" t="s">
        <v>71</v>
      </c>
      <c r="G1952" s="71">
        <v>3341662009</v>
      </c>
      <c r="H1952" s="70" t="s">
        <v>68</v>
      </c>
    </row>
    <row r="1953" spans="1:8" ht="17.25" customHeight="1" x14ac:dyDescent="0.2">
      <c r="A1953" s="69">
        <v>2025</v>
      </c>
      <c r="B1953" s="70" t="s">
        <v>66</v>
      </c>
      <c r="C1953" s="70" t="s">
        <v>4</v>
      </c>
      <c r="D1953" s="70" t="s">
        <v>6</v>
      </c>
      <c r="E1953" s="70" t="s">
        <v>69</v>
      </c>
      <c r="F1953" s="70" t="s">
        <v>70</v>
      </c>
      <c r="G1953" s="71">
        <v>2517129517</v>
      </c>
      <c r="H1953" s="70" t="s">
        <v>68</v>
      </c>
    </row>
    <row r="1954" spans="1:8" ht="17.25" customHeight="1" x14ac:dyDescent="0.2">
      <c r="A1954" s="69">
        <v>2025</v>
      </c>
      <c r="B1954" s="70" t="s">
        <v>66</v>
      </c>
      <c r="C1954" s="70" t="s">
        <v>4</v>
      </c>
      <c r="D1954" s="70" t="s">
        <v>7</v>
      </c>
      <c r="E1954" s="70" t="s">
        <v>67</v>
      </c>
      <c r="F1954" s="70" t="s">
        <v>67</v>
      </c>
      <c r="G1954" s="71">
        <v>19772295426</v>
      </c>
      <c r="H1954" s="70" t="s">
        <v>68</v>
      </c>
    </row>
    <row r="1955" spans="1:8" ht="17.25" customHeight="1" x14ac:dyDescent="0.2">
      <c r="A1955" s="69">
        <v>2025</v>
      </c>
      <c r="B1955" s="70" t="s">
        <v>66</v>
      </c>
      <c r="C1955" s="70" t="s">
        <v>4</v>
      </c>
      <c r="D1955" s="70" t="s">
        <v>7</v>
      </c>
      <c r="E1955" s="70" t="s">
        <v>69</v>
      </c>
      <c r="F1955" s="70" t="s">
        <v>71</v>
      </c>
      <c r="G1955" s="71">
        <v>15002378320</v>
      </c>
      <c r="H1955" s="70" t="s">
        <v>68</v>
      </c>
    </row>
    <row r="1956" spans="1:8" ht="17.25" customHeight="1" x14ac:dyDescent="0.2">
      <c r="A1956" s="69">
        <v>2025</v>
      </c>
      <c r="B1956" s="70" t="s">
        <v>66</v>
      </c>
      <c r="C1956" s="70" t="s">
        <v>4</v>
      </c>
      <c r="D1956" s="70" t="s">
        <v>7</v>
      </c>
      <c r="E1956" s="70" t="s">
        <v>69</v>
      </c>
      <c r="F1956" s="70" t="s">
        <v>70</v>
      </c>
      <c r="G1956" s="71">
        <v>12034910735</v>
      </c>
      <c r="H1956" s="70" t="s">
        <v>68</v>
      </c>
    </row>
    <row r="1957" spans="1:8" ht="17.25" customHeight="1" x14ac:dyDescent="0.2">
      <c r="A1957" s="69">
        <v>2025</v>
      </c>
      <c r="B1957" s="70" t="s">
        <v>66</v>
      </c>
      <c r="C1957" s="70" t="s">
        <v>4</v>
      </c>
      <c r="D1957" s="70" t="s">
        <v>8</v>
      </c>
      <c r="E1957" s="70" t="s">
        <v>67</v>
      </c>
      <c r="F1957" s="70" t="s">
        <v>67</v>
      </c>
      <c r="G1957" s="71">
        <v>5022476795</v>
      </c>
      <c r="H1957" s="70" t="s">
        <v>68</v>
      </c>
    </row>
    <row r="1958" spans="1:8" ht="17.25" customHeight="1" x14ac:dyDescent="0.2">
      <c r="A1958" s="69">
        <v>2025</v>
      </c>
      <c r="B1958" s="70" t="s">
        <v>66</v>
      </c>
      <c r="C1958" s="70" t="s">
        <v>4</v>
      </c>
      <c r="D1958" s="70" t="s">
        <v>8</v>
      </c>
      <c r="E1958" s="70" t="s">
        <v>69</v>
      </c>
      <c r="F1958" s="70" t="s">
        <v>71</v>
      </c>
      <c r="G1958" s="71">
        <v>7179564911</v>
      </c>
      <c r="H1958" s="70" t="s">
        <v>68</v>
      </c>
    </row>
    <row r="1959" spans="1:8" ht="17.25" customHeight="1" x14ac:dyDescent="0.2">
      <c r="A1959" s="69">
        <v>2025</v>
      </c>
      <c r="B1959" s="70" t="s">
        <v>66</v>
      </c>
      <c r="C1959" s="70" t="s">
        <v>4</v>
      </c>
      <c r="D1959" s="70" t="s">
        <v>8</v>
      </c>
      <c r="E1959" s="70" t="s">
        <v>69</v>
      </c>
      <c r="F1959" s="70" t="s">
        <v>70</v>
      </c>
      <c r="G1959" s="71">
        <v>3168886554</v>
      </c>
      <c r="H1959" s="70" t="s">
        <v>68</v>
      </c>
    </row>
    <row r="1960" spans="1:8" ht="17.25" customHeight="1" x14ac:dyDescent="0.2">
      <c r="A1960" s="69">
        <v>2025</v>
      </c>
      <c r="B1960" s="70" t="s">
        <v>66</v>
      </c>
      <c r="C1960" s="70" t="s">
        <v>4</v>
      </c>
      <c r="D1960" s="70" t="s">
        <v>9</v>
      </c>
      <c r="E1960" s="70" t="s">
        <v>67</v>
      </c>
      <c r="F1960" s="70" t="s">
        <v>67</v>
      </c>
      <c r="G1960" s="71">
        <v>40858314433</v>
      </c>
      <c r="H1960" s="70" t="s">
        <v>68</v>
      </c>
    </row>
    <row r="1961" spans="1:8" ht="17.25" customHeight="1" x14ac:dyDescent="0.2">
      <c r="A1961" s="69">
        <v>2025</v>
      </c>
      <c r="B1961" s="70" t="s">
        <v>66</v>
      </c>
      <c r="C1961" s="70" t="s">
        <v>4</v>
      </c>
      <c r="D1961" s="70" t="s">
        <v>9</v>
      </c>
      <c r="E1961" s="70" t="s">
        <v>69</v>
      </c>
      <c r="F1961" s="70" t="s">
        <v>71</v>
      </c>
      <c r="G1961" s="71">
        <v>24898221652</v>
      </c>
      <c r="H1961" s="70" t="s">
        <v>68</v>
      </c>
    </row>
    <row r="1962" spans="1:8" ht="17.25" customHeight="1" x14ac:dyDescent="0.2">
      <c r="A1962" s="69">
        <v>2025</v>
      </c>
      <c r="B1962" s="70" t="s">
        <v>66</v>
      </c>
      <c r="C1962" s="70" t="s">
        <v>4</v>
      </c>
      <c r="D1962" s="70" t="s">
        <v>9</v>
      </c>
      <c r="E1962" s="70" t="s">
        <v>69</v>
      </c>
      <c r="F1962" s="70" t="s">
        <v>70</v>
      </c>
      <c r="G1962" s="71">
        <v>30729638730</v>
      </c>
      <c r="H1962" s="70" t="s">
        <v>68</v>
      </c>
    </row>
    <row r="1963" spans="1:8" ht="17.25" customHeight="1" x14ac:dyDescent="0.2">
      <c r="A1963" s="69">
        <v>2025</v>
      </c>
      <c r="B1963" s="70" t="s">
        <v>66</v>
      </c>
      <c r="C1963" s="70" t="s">
        <v>4</v>
      </c>
      <c r="D1963" s="70" t="s">
        <v>10</v>
      </c>
      <c r="E1963" s="70" t="s">
        <v>67</v>
      </c>
      <c r="F1963" s="70" t="s">
        <v>67</v>
      </c>
      <c r="G1963" s="71">
        <v>899947897</v>
      </c>
      <c r="H1963" s="70" t="s">
        <v>68</v>
      </c>
    </row>
    <row r="1964" spans="1:8" ht="17.25" customHeight="1" x14ac:dyDescent="0.2">
      <c r="A1964" s="69">
        <v>2025</v>
      </c>
      <c r="B1964" s="70" t="s">
        <v>66</v>
      </c>
      <c r="C1964" s="70" t="s">
        <v>4</v>
      </c>
      <c r="D1964" s="70" t="s">
        <v>10</v>
      </c>
      <c r="E1964" s="70" t="s">
        <v>69</v>
      </c>
      <c r="F1964" s="70" t="s">
        <v>71</v>
      </c>
      <c r="G1964" s="71">
        <v>1644450247</v>
      </c>
      <c r="H1964" s="70" t="s">
        <v>68</v>
      </c>
    </row>
    <row r="1965" spans="1:8" ht="17.25" customHeight="1" x14ac:dyDescent="0.2">
      <c r="A1965" s="69">
        <v>2025</v>
      </c>
      <c r="B1965" s="70" t="s">
        <v>66</v>
      </c>
      <c r="C1965" s="70" t="s">
        <v>4</v>
      </c>
      <c r="D1965" s="70" t="s">
        <v>10</v>
      </c>
      <c r="E1965" s="70" t="s">
        <v>69</v>
      </c>
      <c r="F1965" s="70" t="s">
        <v>70</v>
      </c>
      <c r="G1965" s="71">
        <v>182716694</v>
      </c>
      <c r="H1965" s="70" t="s">
        <v>68</v>
      </c>
    </row>
    <row r="1966" spans="1:8" ht="17.25" customHeight="1" x14ac:dyDescent="0.2">
      <c r="A1966" s="69">
        <v>2025</v>
      </c>
      <c r="B1966" s="70" t="s">
        <v>66</v>
      </c>
      <c r="C1966" s="70" t="s">
        <v>4</v>
      </c>
      <c r="D1966" s="70" t="s">
        <v>11</v>
      </c>
      <c r="E1966" s="70" t="s">
        <v>67</v>
      </c>
      <c r="F1966" s="70" t="s">
        <v>67</v>
      </c>
      <c r="G1966" s="71">
        <v>3347524352</v>
      </c>
      <c r="H1966" s="70" t="s">
        <v>68</v>
      </c>
    </row>
    <row r="1967" spans="1:8" ht="17.25" customHeight="1" x14ac:dyDescent="0.2">
      <c r="A1967" s="69">
        <v>2025</v>
      </c>
      <c r="B1967" s="70" t="s">
        <v>66</v>
      </c>
      <c r="C1967" s="70" t="s">
        <v>4</v>
      </c>
      <c r="D1967" s="70" t="s">
        <v>11</v>
      </c>
      <c r="E1967" s="70" t="s">
        <v>69</v>
      </c>
      <c r="F1967" s="70" t="s">
        <v>71</v>
      </c>
      <c r="G1967" s="71">
        <v>3558900760</v>
      </c>
      <c r="H1967" s="70" t="s">
        <v>68</v>
      </c>
    </row>
    <row r="1968" spans="1:8" ht="17.25" customHeight="1" x14ac:dyDescent="0.2">
      <c r="A1968" s="69">
        <v>2025</v>
      </c>
      <c r="B1968" s="70" t="s">
        <v>66</v>
      </c>
      <c r="C1968" s="70" t="s">
        <v>4</v>
      </c>
      <c r="D1968" s="70" t="s">
        <v>11</v>
      </c>
      <c r="E1968" s="70" t="s">
        <v>69</v>
      </c>
      <c r="F1968" s="70" t="s">
        <v>70</v>
      </c>
      <c r="G1968" s="71">
        <v>6821451113</v>
      </c>
      <c r="H1968" s="70" t="s">
        <v>68</v>
      </c>
    </row>
    <row r="1969" spans="1:8" ht="17.25" customHeight="1" x14ac:dyDescent="0.2">
      <c r="A1969" s="69">
        <v>2025</v>
      </c>
      <c r="B1969" s="70" t="s">
        <v>66</v>
      </c>
      <c r="C1969" s="70" t="s">
        <v>4</v>
      </c>
      <c r="D1969" s="70" t="s">
        <v>12</v>
      </c>
      <c r="E1969" s="70" t="s">
        <v>67</v>
      </c>
      <c r="F1969" s="70" t="s">
        <v>67</v>
      </c>
      <c r="G1969" s="71">
        <v>4945157060</v>
      </c>
      <c r="H1969" s="70" t="s">
        <v>68</v>
      </c>
    </row>
    <row r="1970" spans="1:8" ht="17.25" customHeight="1" x14ac:dyDescent="0.2">
      <c r="A1970" s="69">
        <v>2025</v>
      </c>
      <c r="B1970" s="70" t="s">
        <v>66</v>
      </c>
      <c r="C1970" s="70" t="s">
        <v>4</v>
      </c>
      <c r="D1970" s="70" t="s">
        <v>12</v>
      </c>
      <c r="E1970" s="70" t="s">
        <v>69</v>
      </c>
      <c r="F1970" s="70" t="s">
        <v>71</v>
      </c>
      <c r="G1970" s="71">
        <v>5680705084</v>
      </c>
      <c r="H1970" s="70" t="s">
        <v>68</v>
      </c>
    </row>
    <row r="1971" spans="1:8" ht="17.25" customHeight="1" x14ac:dyDescent="0.2">
      <c r="A1971" s="69">
        <v>2025</v>
      </c>
      <c r="B1971" s="70" t="s">
        <v>66</v>
      </c>
      <c r="C1971" s="70" t="s">
        <v>4</v>
      </c>
      <c r="D1971" s="70" t="s">
        <v>12</v>
      </c>
      <c r="E1971" s="70" t="s">
        <v>69</v>
      </c>
      <c r="F1971" s="70" t="s">
        <v>70</v>
      </c>
      <c r="G1971" s="71">
        <v>5733573366</v>
      </c>
      <c r="H1971" s="70" t="s">
        <v>68</v>
      </c>
    </row>
    <row r="1972" spans="1:8" ht="17.25" customHeight="1" x14ac:dyDescent="0.2">
      <c r="A1972" s="69">
        <v>2025</v>
      </c>
      <c r="B1972" s="70" t="s">
        <v>66</v>
      </c>
      <c r="C1972" s="70" t="s">
        <v>4</v>
      </c>
      <c r="D1972" s="70" t="s">
        <v>13</v>
      </c>
      <c r="E1972" s="70" t="s">
        <v>67</v>
      </c>
      <c r="F1972" s="70" t="s">
        <v>67</v>
      </c>
      <c r="G1972" s="71">
        <v>9983285309</v>
      </c>
      <c r="H1972" s="70" t="s">
        <v>68</v>
      </c>
    </row>
    <row r="1973" spans="1:8" ht="17.25" customHeight="1" x14ac:dyDescent="0.2">
      <c r="A1973" s="69">
        <v>2025</v>
      </c>
      <c r="B1973" s="70" t="s">
        <v>66</v>
      </c>
      <c r="C1973" s="70" t="s">
        <v>4</v>
      </c>
      <c r="D1973" s="70" t="s">
        <v>13</v>
      </c>
      <c r="E1973" s="70" t="s">
        <v>69</v>
      </c>
      <c r="F1973" s="70" t="s">
        <v>71</v>
      </c>
      <c r="G1973" s="71">
        <v>6865949027</v>
      </c>
      <c r="H1973" s="70" t="s">
        <v>68</v>
      </c>
    </row>
    <row r="1974" spans="1:8" ht="17.25" customHeight="1" x14ac:dyDescent="0.2">
      <c r="A1974" s="69">
        <v>2025</v>
      </c>
      <c r="B1974" s="70" t="s">
        <v>66</v>
      </c>
      <c r="C1974" s="70" t="s">
        <v>4</v>
      </c>
      <c r="D1974" s="70" t="s">
        <v>13</v>
      </c>
      <c r="E1974" s="70" t="s">
        <v>69</v>
      </c>
      <c r="F1974" s="70" t="s">
        <v>70</v>
      </c>
      <c r="G1974" s="71">
        <v>8257958005</v>
      </c>
      <c r="H1974" s="70" t="s">
        <v>68</v>
      </c>
    </row>
    <row r="1975" spans="1:8" ht="17.25" customHeight="1" x14ac:dyDescent="0.2">
      <c r="A1975" s="69">
        <v>2025</v>
      </c>
      <c r="B1975" s="70" t="s">
        <v>66</v>
      </c>
      <c r="C1975" s="70" t="s">
        <v>4</v>
      </c>
      <c r="D1975" s="70" t="s">
        <v>14</v>
      </c>
      <c r="E1975" s="70" t="s">
        <v>67</v>
      </c>
      <c r="F1975" s="70" t="s">
        <v>67</v>
      </c>
      <c r="G1975" s="71">
        <v>6677223530</v>
      </c>
      <c r="H1975" s="70" t="s">
        <v>68</v>
      </c>
    </row>
    <row r="1976" spans="1:8" ht="17.25" customHeight="1" x14ac:dyDescent="0.2">
      <c r="A1976" s="69">
        <v>2025</v>
      </c>
      <c r="B1976" s="70" t="s">
        <v>66</v>
      </c>
      <c r="C1976" s="70" t="s">
        <v>4</v>
      </c>
      <c r="D1976" s="70" t="s">
        <v>14</v>
      </c>
      <c r="E1976" s="70" t="s">
        <v>69</v>
      </c>
      <c r="F1976" s="70" t="s">
        <v>71</v>
      </c>
      <c r="G1976" s="71">
        <v>2761313342</v>
      </c>
      <c r="H1976" s="70" t="s">
        <v>68</v>
      </c>
    </row>
    <row r="1977" spans="1:8" ht="17.25" customHeight="1" x14ac:dyDescent="0.2">
      <c r="A1977" s="69">
        <v>2025</v>
      </c>
      <c r="B1977" s="70" t="s">
        <v>66</v>
      </c>
      <c r="C1977" s="70" t="s">
        <v>4</v>
      </c>
      <c r="D1977" s="70" t="s">
        <v>14</v>
      </c>
      <c r="E1977" s="70" t="s">
        <v>69</v>
      </c>
      <c r="F1977" s="70" t="s">
        <v>70</v>
      </c>
      <c r="G1977" s="71">
        <v>4066577919</v>
      </c>
      <c r="H1977" s="70" t="s">
        <v>68</v>
      </c>
    </row>
    <row r="1978" spans="1:8" ht="17.25" customHeight="1" x14ac:dyDescent="0.2">
      <c r="A1978" s="69">
        <v>2025</v>
      </c>
      <c r="B1978" s="70" t="s">
        <v>66</v>
      </c>
      <c r="C1978" s="70" t="s">
        <v>4</v>
      </c>
      <c r="D1978" s="70" t="s">
        <v>15</v>
      </c>
      <c r="E1978" s="70" t="s">
        <v>67</v>
      </c>
      <c r="F1978" s="70" t="s">
        <v>67</v>
      </c>
      <c r="G1978" s="71">
        <v>6595938624</v>
      </c>
      <c r="H1978" s="70" t="s">
        <v>68</v>
      </c>
    </row>
    <row r="1979" spans="1:8" ht="17.25" customHeight="1" x14ac:dyDescent="0.2">
      <c r="A1979" s="69">
        <v>2025</v>
      </c>
      <c r="B1979" s="70" t="s">
        <v>66</v>
      </c>
      <c r="C1979" s="70" t="s">
        <v>4</v>
      </c>
      <c r="D1979" s="70" t="s">
        <v>15</v>
      </c>
      <c r="E1979" s="70" t="s">
        <v>69</v>
      </c>
      <c r="F1979" s="70" t="s">
        <v>71</v>
      </c>
      <c r="G1979" s="71">
        <v>9130651426</v>
      </c>
      <c r="H1979" s="70" t="s">
        <v>68</v>
      </c>
    </row>
    <row r="1980" spans="1:8" ht="17.25" customHeight="1" x14ac:dyDescent="0.2">
      <c r="A1980" s="69">
        <v>2025</v>
      </c>
      <c r="B1980" s="70" t="s">
        <v>66</v>
      </c>
      <c r="C1980" s="70" t="s">
        <v>4</v>
      </c>
      <c r="D1980" s="70" t="s">
        <v>15</v>
      </c>
      <c r="E1980" s="70" t="s">
        <v>69</v>
      </c>
      <c r="F1980" s="70" t="s">
        <v>70</v>
      </c>
      <c r="G1980" s="71">
        <v>3574066621</v>
      </c>
      <c r="H1980" s="70" t="s">
        <v>68</v>
      </c>
    </row>
    <row r="1981" spans="1:8" ht="17.25" customHeight="1" x14ac:dyDescent="0.2">
      <c r="A1981" s="69">
        <v>2025</v>
      </c>
      <c r="B1981" s="70" t="s">
        <v>66</v>
      </c>
      <c r="C1981" s="70" t="s">
        <v>17</v>
      </c>
      <c r="D1981" s="70" t="s">
        <v>16</v>
      </c>
      <c r="E1981" s="70" t="s">
        <v>67</v>
      </c>
      <c r="F1981" s="70" t="s">
        <v>67</v>
      </c>
      <c r="G1981" s="71">
        <v>895090845</v>
      </c>
      <c r="H1981" s="70" t="s">
        <v>68</v>
      </c>
    </row>
    <row r="1982" spans="1:8" ht="17.25" customHeight="1" x14ac:dyDescent="0.2">
      <c r="A1982" s="69">
        <v>2025</v>
      </c>
      <c r="B1982" s="70" t="s">
        <v>66</v>
      </c>
      <c r="C1982" s="70" t="s">
        <v>17</v>
      </c>
      <c r="D1982" s="70" t="s">
        <v>16</v>
      </c>
      <c r="E1982" s="70" t="s">
        <v>69</v>
      </c>
      <c r="F1982" s="70" t="s">
        <v>71</v>
      </c>
      <c r="G1982" s="71">
        <v>713748437</v>
      </c>
      <c r="H1982" s="70" t="s">
        <v>68</v>
      </c>
    </row>
    <row r="1983" spans="1:8" ht="17.25" customHeight="1" x14ac:dyDescent="0.2">
      <c r="A1983" s="69">
        <v>2025</v>
      </c>
      <c r="B1983" s="70" t="s">
        <v>66</v>
      </c>
      <c r="C1983" s="70" t="s">
        <v>17</v>
      </c>
      <c r="D1983" s="70" t="s">
        <v>16</v>
      </c>
      <c r="E1983" s="70" t="s">
        <v>69</v>
      </c>
      <c r="F1983" s="70" t="s">
        <v>70</v>
      </c>
      <c r="G1983" s="71">
        <v>294117482</v>
      </c>
      <c r="H1983" s="70" t="s">
        <v>68</v>
      </c>
    </row>
    <row r="1984" spans="1:8" ht="17.25" customHeight="1" x14ac:dyDescent="0.2">
      <c r="A1984" s="69">
        <v>2025</v>
      </c>
      <c r="B1984" s="70" t="s">
        <v>66</v>
      </c>
      <c r="C1984" s="70" t="s">
        <v>17</v>
      </c>
      <c r="D1984" s="70" t="s">
        <v>18</v>
      </c>
      <c r="E1984" s="70" t="s">
        <v>67</v>
      </c>
      <c r="F1984" s="70" t="s">
        <v>67</v>
      </c>
      <c r="G1984" s="71">
        <v>1601900668</v>
      </c>
      <c r="H1984" s="70" t="s">
        <v>68</v>
      </c>
    </row>
    <row r="1985" spans="1:8" ht="17.25" customHeight="1" x14ac:dyDescent="0.2">
      <c r="A1985" s="69">
        <v>2025</v>
      </c>
      <c r="B1985" s="70" t="s">
        <v>66</v>
      </c>
      <c r="C1985" s="70" t="s">
        <v>17</v>
      </c>
      <c r="D1985" s="70" t="s">
        <v>18</v>
      </c>
      <c r="E1985" s="70" t="s">
        <v>69</v>
      </c>
      <c r="F1985" s="70" t="s">
        <v>71</v>
      </c>
      <c r="G1985" s="71">
        <v>1443424657</v>
      </c>
      <c r="H1985" s="70" t="s">
        <v>68</v>
      </c>
    </row>
    <row r="1986" spans="1:8" ht="17.25" customHeight="1" x14ac:dyDescent="0.2">
      <c r="A1986" s="69">
        <v>2025</v>
      </c>
      <c r="B1986" s="70" t="s">
        <v>66</v>
      </c>
      <c r="C1986" s="70" t="s">
        <v>17</v>
      </c>
      <c r="D1986" s="70" t="s">
        <v>18</v>
      </c>
      <c r="E1986" s="70" t="s">
        <v>69</v>
      </c>
      <c r="F1986" s="70" t="s">
        <v>70</v>
      </c>
      <c r="G1986" s="71">
        <v>1979917025</v>
      </c>
      <c r="H1986" s="70" t="s">
        <v>68</v>
      </c>
    </row>
    <row r="1987" spans="1:8" ht="17.25" customHeight="1" x14ac:dyDescent="0.2">
      <c r="A1987" s="69">
        <v>2025</v>
      </c>
      <c r="B1987" s="70" t="s">
        <v>66</v>
      </c>
      <c r="C1987" s="70" t="s">
        <v>17</v>
      </c>
      <c r="D1987" s="70" t="s">
        <v>19</v>
      </c>
      <c r="E1987" s="70" t="s">
        <v>67</v>
      </c>
      <c r="F1987" s="70" t="s">
        <v>67</v>
      </c>
      <c r="G1987" s="71">
        <v>4789902954</v>
      </c>
      <c r="H1987" s="70" t="s">
        <v>68</v>
      </c>
    </row>
    <row r="1988" spans="1:8" ht="17.25" customHeight="1" x14ac:dyDescent="0.2">
      <c r="A1988" s="69">
        <v>2025</v>
      </c>
      <c r="B1988" s="70" t="s">
        <v>66</v>
      </c>
      <c r="C1988" s="70" t="s">
        <v>17</v>
      </c>
      <c r="D1988" s="70" t="s">
        <v>19</v>
      </c>
      <c r="E1988" s="70" t="s">
        <v>69</v>
      </c>
      <c r="F1988" s="70" t="s">
        <v>71</v>
      </c>
      <c r="G1988" s="71">
        <v>4292556687</v>
      </c>
      <c r="H1988" s="70" t="s">
        <v>68</v>
      </c>
    </row>
    <row r="1989" spans="1:8" ht="17.25" customHeight="1" x14ac:dyDescent="0.2">
      <c r="A1989" s="69">
        <v>2025</v>
      </c>
      <c r="B1989" s="70" t="s">
        <v>66</v>
      </c>
      <c r="C1989" s="70" t="s">
        <v>17</v>
      </c>
      <c r="D1989" s="70" t="s">
        <v>19</v>
      </c>
      <c r="E1989" s="70" t="s">
        <v>69</v>
      </c>
      <c r="F1989" s="70" t="s">
        <v>70</v>
      </c>
      <c r="G1989" s="71">
        <v>2181834078</v>
      </c>
      <c r="H1989" s="70" t="s">
        <v>68</v>
      </c>
    </row>
    <row r="1990" spans="1:8" ht="17.25" customHeight="1" x14ac:dyDescent="0.2">
      <c r="A1990" s="69">
        <v>2025</v>
      </c>
      <c r="B1990" s="70" t="s">
        <v>66</v>
      </c>
      <c r="C1990" s="70" t="s">
        <v>17</v>
      </c>
      <c r="D1990" s="70" t="s">
        <v>20</v>
      </c>
      <c r="E1990" s="70" t="s">
        <v>67</v>
      </c>
      <c r="F1990" s="70" t="s">
        <v>67</v>
      </c>
      <c r="G1990" s="71">
        <v>651002824</v>
      </c>
      <c r="H1990" s="70" t="s">
        <v>68</v>
      </c>
    </row>
    <row r="1991" spans="1:8" ht="17.25" customHeight="1" x14ac:dyDescent="0.2">
      <c r="A1991" s="69">
        <v>2025</v>
      </c>
      <c r="B1991" s="70" t="s">
        <v>66</v>
      </c>
      <c r="C1991" s="70" t="s">
        <v>17</v>
      </c>
      <c r="D1991" s="70" t="s">
        <v>20</v>
      </c>
      <c r="E1991" s="70" t="s">
        <v>69</v>
      </c>
      <c r="F1991" s="70" t="s">
        <v>71</v>
      </c>
      <c r="G1991" s="71">
        <v>1095114764</v>
      </c>
      <c r="H1991" s="70" t="s">
        <v>68</v>
      </c>
    </row>
    <row r="1992" spans="1:8" ht="17.25" customHeight="1" x14ac:dyDescent="0.2">
      <c r="A1992" s="69">
        <v>2025</v>
      </c>
      <c r="B1992" s="70" t="s">
        <v>66</v>
      </c>
      <c r="C1992" s="70" t="s">
        <v>17</v>
      </c>
      <c r="D1992" s="70" t="s">
        <v>20</v>
      </c>
      <c r="E1992" s="70" t="s">
        <v>69</v>
      </c>
      <c r="F1992" s="70" t="s">
        <v>70</v>
      </c>
      <c r="G1992" s="71">
        <v>6533536928</v>
      </c>
      <c r="H1992" s="70" t="s">
        <v>68</v>
      </c>
    </row>
    <row r="1993" spans="1:8" ht="17.25" customHeight="1" x14ac:dyDescent="0.2">
      <c r="A1993" s="69">
        <v>2025</v>
      </c>
      <c r="B1993" s="70" t="s">
        <v>66</v>
      </c>
      <c r="C1993" s="70" t="s">
        <v>17</v>
      </c>
      <c r="D1993" s="70" t="s">
        <v>21</v>
      </c>
      <c r="E1993" s="70" t="s">
        <v>67</v>
      </c>
      <c r="F1993" s="70" t="s">
        <v>67</v>
      </c>
      <c r="G1993" s="71">
        <v>3107875094</v>
      </c>
      <c r="H1993" s="70" t="s">
        <v>68</v>
      </c>
    </row>
    <row r="1994" spans="1:8" ht="17.25" customHeight="1" x14ac:dyDescent="0.2">
      <c r="A1994" s="69">
        <v>2025</v>
      </c>
      <c r="B1994" s="70" t="s">
        <v>66</v>
      </c>
      <c r="C1994" s="70" t="s">
        <v>17</v>
      </c>
      <c r="D1994" s="70" t="s">
        <v>21</v>
      </c>
      <c r="E1994" s="70" t="s">
        <v>69</v>
      </c>
      <c r="F1994" s="70" t="s">
        <v>71</v>
      </c>
      <c r="G1994" s="71">
        <v>1828476825</v>
      </c>
      <c r="H1994" s="70" t="s">
        <v>68</v>
      </c>
    </row>
    <row r="1995" spans="1:8" ht="17.25" customHeight="1" x14ac:dyDescent="0.2">
      <c r="A1995" s="69">
        <v>2025</v>
      </c>
      <c r="B1995" s="70" t="s">
        <v>66</v>
      </c>
      <c r="C1995" s="70" t="s">
        <v>17</v>
      </c>
      <c r="D1995" s="70" t="s">
        <v>21</v>
      </c>
      <c r="E1995" s="70" t="s">
        <v>69</v>
      </c>
      <c r="F1995" s="70" t="s">
        <v>70</v>
      </c>
      <c r="G1995" s="71">
        <v>2342874872</v>
      </c>
      <c r="H1995" s="70" t="s">
        <v>68</v>
      </c>
    </row>
    <row r="1996" spans="1:8" ht="17.25" customHeight="1" x14ac:dyDescent="0.2">
      <c r="A1996" s="69">
        <v>2025</v>
      </c>
      <c r="B1996" s="70" t="s">
        <v>66</v>
      </c>
      <c r="C1996" s="70" t="s">
        <v>17</v>
      </c>
      <c r="D1996" s="70" t="s">
        <v>22</v>
      </c>
      <c r="E1996" s="70" t="s">
        <v>67</v>
      </c>
      <c r="F1996" s="70" t="s">
        <v>67</v>
      </c>
      <c r="G1996" s="71">
        <v>1047391113</v>
      </c>
      <c r="H1996" s="70" t="s">
        <v>68</v>
      </c>
    </row>
    <row r="1997" spans="1:8" ht="17.25" customHeight="1" x14ac:dyDescent="0.2">
      <c r="A1997" s="69">
        <v>2025</v>
      </c>
      <c r="B1997" s="70" t="s">
        <v>66</v>
      </c>
      <c r="C1997" s="70" t="s">
        <v>17</v>
      </c>
      <c r="D1997" s="70" t="s">
        <v>22</v>
      </c>
      <c r="E1997" s="70" t="s">
        <v>69</v>
      </c>
      <c r="F1997" s="70" t="s">
        <v>71</v>
      </c>
      <c r="G1997" s="71">
        <v>885272894</v>
      </c>
      <c r="H1997" s="70" t="s">
        <v>68</v>
      </c>
    </row>
    <row r="1998" spans="1:8" ht="17.25" customHeight="1" x14ac:dyDescent="0.2">
      <c r="A1998" s="69">
        <v>2025</v>
      </c>
      <c r="B1998" s="70" t="s">
        <v>66</v>
      </c>
      <c r="C1998" s="70" t="s">
        <v>17</v>
      </c>
      <c r="D1998" s="70" t="s">
        <v>22</v>
      </c>
      <c r="E1998" s="70" t="s">
        <v>69</v>
      </c>
      <c r="F1998" s="70" t="s">
        <v>70</v>
      </c>
      <c r="G1998" s="71">
        <v>1196733505</v>
      </c>
      <c r="H1998" s="70" t="s">
        <v>68</v>
      </c>
    </row>
    <row r="1999" spans="1:8" ht="17.25" customHeight="1" x14ac:dyDescent="0.2">
      <c r="A1999" s="69">
        <v>2025</v>
      </c>
      <c r="B1999" s="70" t="s">
        <v>66</v>
      </c>
      <c r="C1999" s="70" t="s">
        <v>17</v>
      </c>
      <c r="D1999" s="70" t="s">
        <v>23</v>
      </c>
      <c r="E1999" s="70" t="s">
        <v>67</v>
      </c>
      <c r="F1999" s="70" t="s">
        <v>67</v>
      </c>
      <c r="G1999" s="71">
        <v>1052582448</v>
      </c>
      <c r="H1999" s="70" t="s">
        <v>68</v>
      </c>
    </row>
    <row r="2000" spans="1:8" ht="17.25" customHeight="1" x14ac:dyDescent="0.2">
      <c r="A2000" s="69">
        <v>2025</v>
      </c>
      <c r="B2000" s="70" t="s">
        <v>66</v>
      </c>
      <c r="C2000" s="70" t="s">
        <v>17</v>
      </c>
      <c r="D2000" s="70" t="s">
        <v>23</v>
      </c>
      <c r="E2000" s="70" t="s">
        <v>69</v>
      </c>
      <c r="F2000" s="70" t="s">
        <v>71</v>
      </c>
      <c r="G2000" s="71">
        <v>946568438</v>
      </c>
      <c r="H2000" s="70" t="s">
        <v>68</v>
      </c>
    </row>
    <row r="2001" spans="1:8" ht="17.25" customHeight="1" x14ac:dyDescent="0.2">
      <c r="A2001" s="69">
        <v>2025</v>
      </c>
      <c r="B2001" s="70" t="s">
        <v>66</v>
      </c>
      <c r="C2001" s="70" t="s">
        <v>17</v>
      </c>
      <c r="D2001" s="70" t="s">
        <v>23</v>
      </c>
      <c r="E2001" s="70" t="s">
        <v>69</v>
      </c>
      <c r="F2001" s="70" t="s">
        <v>70</v>
      </c>
      <c r="G2001" s="71">
        <v>511016835</v>
      </c>
      <c r="H2001" s="70" t="s">
        <v>68</v>
      </c>
    </row>
    <row r="2002" spans="1:8" ht="17.25" customHeight="1" x14ac:dyDescent="0.2">
      <c r="A2002" s="69">
        <v>2025</v>
      </c>
      <c r="B2002" s="70" t="s">
        <v>66</v>
      </c>
      <c r="C2002" s="70" t="s">
        <v>17</v>
      </c>
      <c r="D2002" s="70" t="s">
        <v>24</v>
      </c>
      <c r="E2002" s="70" t="s">
        <v>67</v>
      </c>
      <c r="F2002" s="70" t="s">
        <v>67</v>
      </c>
      <c r="G2002" s="71">
        <v>15544410277</v>
      </c>
      <c r="H2002" s="70" t="s">
        <v>68</v>
      </c>
    </row>
    <row r="2003" spans="1:8" ht="17.25" customHeight="1" x14ac:dyDescent="0.2">
      <c r="A2003" s="69">
        <v>2025</v>
      </c>
      <c r="B2003" s="70" t="s">
        <v>66</v>
      </c>
      <c r="C2003" s="70" t="s">
        <v>17</v>
      </c>
      <c r="D2003" s="70" t="s">
        <v>24</v>
      </c>
      <c r="E2003" s="70" t="s">
        <v>69</v>
      </c>
      <c r="F2003" s="70" t="s">
        <v>71</v>
      </c>
      <c r="G2003" s="71">
        <v>8580054517</v>
      </c>
      <c r="H2003" s="70" t="s">
        <v>68</v>
      </c>
    </row>
    <row r="2004" spans="1:8" ht="17.25" customHeight="1" x14ac:dyDescent="0.2">
      <c r="A2004" s="69">
        <v>2025</v>
      </c>
      <c r="B2004" s="70" t="s">
        <v>66</v>
      </c>
      <c r="C2004" s="70" t="s">
        <v>17</v>
      </c>
      <c r="D2004" s="70" t="s">
        <v>24</v>
      </c>
      <c r="E2004" s="70" t="s">
        <v>69</v>
      </c>
      <c r="F2004" s="70" t="s">
        <v>70</v>
      </c>
      <c r="G2004" s="71">
        <v>11011914788</v>
      </c>
      <c r="H2004" s="70" t="s">
        <v>68</v>
      </c>
    </row>
    <row r="2005" spans="1:8" ht="17.25" customHeight="1" x14ac:dyDescent="0.2">
      <c r="A2005" s="69">
        <v>2025</v>
      </c>
      <c r="B2005" s="70" t="s">
        <v>66</v>
      </c>
      <c r="C2005" s="70" t="s">
        <v>17</v>
      </c>
      <c r="D2005" s="70" t="s">
        <v>25</v>
      </c>
      <c r="E2005" s="70" t="s">
        <v>67</v>
      </c>
      <c r="F2005" s="70" t="s">
        <v>67</v>
      </c>
      <c r="G2005" s="71">
        <v>0</v>
      </c>
      <c r="H2005" s="70" t="s">
        <v>68</v>
      </c>
    </row>
    <row r="2006" spans="1:8" ht="17.25" customHeight="1" x14ac:dyDescent="0.2">
      <c r="A2006" s="69">
        <v>2025</v>
      </c>
      <c r="B2006" s="70" t="s">
        <v>66</v>
      </c>
      <c r="C2006" s="70" t="s">
        <v>17</v>
      </c>
      <c r="D2006" s="70" t="s">
        <v>25</v>
      </c>
      <c r="E2006" s="70" t="s">
        <v>69</v>
      </c>
      <c r="F2006" s="70" t="s">
        <v>71</v>
      </c>
      <c r="G2006" s="71">
        <v>0</v>
      </c>
      <c r="H2006" s="70" t="s">
        <v>68</v>
      </c>
    </row>
    <row r="2007" spans="1:8" ht="17.25" customHeight="1" x14ac:dyDescent="0.2">
      <c r="A2007" s="69">
        <v>2025</v>
      </c>
      <c r="B2007" s="70" t="s">
        <v>66</v>
      </c>
      <c r="C2007" s="70" t="s">
        <v>17</v>
      </c>
      <c r="D2007" s="70" t="s">
        <v>25</v>
      </c>
      <c r="E2007" s="70" t="s">
        <v>69</v>
      </c>
      <c r="F2007" s="70" t="s">
        <v>70</v>
      </c>
      <c r="G2007" s="71">
        <v>0</v>
      </c>
      <c r="H2007" s="70" t="s">
        <v>68</v>
      </c>
    </row>
    <row r="2008" spans="1:8" ht="17.25" customHeight="1" x14ac:dyDescent="0.2">
      <c r="A2008" s="69">
        <v>2025</v>
      </c>
      <c r="B2008" s="70" t="s">
        <v>66</v>
      </c>
      <c r="C2008" s="70" t="s">
        <v>27</v>
      </c>
      <c r="D2008" s="70" t="s">
        <v>26</v>
      </c>
      <c r="E2008" s="70" t="s">
        <v>67</v>
      </c>
      <c r="F2008" s="70" t="s">
        <v>67</v>
      </c>
      <c r="G2008" s="71">
        <v>27869742510</v>
      </c>
      <c r="H2008" s="70" t="s">
        <v>68</v>
      </c>
    </row>
    <row r="2009" spans="1:8" ht="17.25" customHeight="1" x14ac:dyDescent="0.2">
      <c r="A2009" s="69">
        <v>2025</v>
      </c>
      <c r="B2009" s="70" t="s">
        <v>66</v>
      </c>
      <c r="C2009" s="70" t="s">
        <v>27</v>
      </c>
      <c r="D2009" s="70" t="s">
        <v>26</v>
      </c>
      <c r="E2009" s="70" t="s">
        <v>69</v>
      </c>
      <c r="F2009" s="70" t="s">
        <v>71</v>
      </c>
      <c r="G2009" s="71">
        <v>9163230283</v>
      </c>
      <c r="H2009" s="70" t="s">
        <v>68</v>
      </c>
    </row>
    <row r="2010" spans="1:8" ht="17.25" customHeight="1" x14ac:dyDescent="0.2">
      <c r="A2010" s="69">
        <v>2025</v>
      </c>
      <c r="B2010" s="70" t="s">
        <v>66</v>
      </c>
      <c r="C2010" s="70" t="s">
        <v>27</v>
      </c>
      <c r="D2010" s="70" t="s">
        <v>26</v>
      </c>
      <c r="E2010" s="70" t="s">
        <v>69</v>
      </c>
      <c r="F2010" s="70" t="s">
        <v>70</v>
      </c>
      <c r="G2010" s="71">
        <v>24995493417</v>
      </c>
      <c r="H2010" s="70" t="s">
        <v>68</v>
      </c>
    </row>
    <row r="2011" spans="1:8" ht="17.25" customHeight="1" x14ac:dyDescent="0.2">
      <c r="A2011" s="69">
        <v>2025</v>
      </c>
      <c r="B2011" s="70" t="s">
        <v>66</v>
      </c>
      <c r="C2011" s="70" t="s">
        <v>27</v>
      </c>
      <c r="D2011" s="70" t="s">
        <v>28</v>
      </c>
      <c r="E2011" s="70" t="s">
        <v>67</v>
      </c>
      <c r="F2011" s="70" t="s">
        <v>67</v>
      </c>
      <c r="G2011" s="71">
        <v>26683645152</v>
      </c>
      <c r="H2011" s="70" t="s">
        <v>68</v>
      </c>
    </row>
    <row r="2012" spans="1:8" ht="17.25" customHeight="1" x14ac:dyDescent="0.2">
      <c r="A2012" s="69">
        <v>2025</v>
      </c>
      <c r="B2012" s="70" t="s">
        <v>66</v>
      </c>
      <c r="C2012" s="70" t="s">
        <v>27</v>
      </c>
      <c r="D2012" s="70" t="s">
        <v>28</v>
      </c>
      <c r="E2012" s="70" t="s">
        <v>69</v>
      </c>
      <c r="F2012" s="70" t="s">
        <v>71</v>
      </c>
      <c r="G2012" s="71">
        <v>16841751969</v>
      </c>
      <c r="H2012" s="70" t="s">
        <v>68</v>
      </c>
    </row>
    <row r="2013" spans="1:8" ht="17.25" customHeight="1" x14ac:dyDescent="0.2">
      <c r="A2013" s="69">
        <v>2025</v>
      </c>
      <c r="B2013" s="70" t="s">
        <v>66</v>
      </c>
      <c r="C2013" s="70" t="s">
        <v>27</v>
      </c>
      <c r="D2013" s="70" t="s">
        <v>28</v>
      </c>
      <c r="E2013" s="70" t="s">
        <v>69</v>
      </c>
      <c r="F2013" s="70" t="s">
        <v>70</v>
      </c>
      <c r="G2013" s="71">
        <v>36752861754</v>
      </c>
      <c r="H2013" s="70" t="s">
        <v>68</v>
      </c>
    </row>
    <row r="2014" spans="1:8" ht="17.25" customHeight="1" x14ac:dyDescent="0.2">
      <c r="A2014" s="69">
        <v>2025</v>
      </c>
      <c r="B2014" s="70" t="s">
        <v>66</v>
      </c>
      <c r="C2014" s="70" t="s">
        <v>27</v>
      </c>
      <c r="D2014" s="70" t="s">
        <v>29</v>
      </c>
      <c r="E2014" s="70" t="s">
        <v>67</v>
      </c>
      <c r="F2014" s="70" t="s">
        <v>67</v>
      </c>
      <c r="G2014" s="71">
        <v>14564575260</v>
      </c>
      <c r="H2014" s="70" t="s">
        <v>68</v>
      </c>
    </row>
    <row r="2015" spans="1:8" ht="17.25" customHeight="1" x14ac:dyDescent="0.2">
      <c r="A2015" s="69">
        <v>2025</v>
      </c>
      <c r="B2015" s="70" t="s">
        <v>66</v>
      </c>
      <c r="C2015" s="70" t="s">
        <v>27</v>
      </c>
      <c r="D2015" s="70" t="s">
        <v>29</v>
      </c>
      <c r="E2015" s="70" t="s">
        <v>69</v>
      </c>
      <c r="F2015" s="70" t="s">
        <v>71</v>
      </c>
      <c r="G2015" s="71">
        <v>7269372791</v>
      </c>
      <c r="H2015" s="70" t="s">
        <v>68</v>
      </c>
    </row>
    <row r="2016" spans="1:8" ht="17.25" customHeight="1" x14ac:dyDescent="0.2">
      <c r="A2016" s="69">
        <v>2025</v>
      </c>
      <c r="B2016" s="70" t="s">
        <v>66</v>
      </c>
      <c r="C2016" s="70" t="s">
        <v>27</v>
      </c>
      <c r="D2016" s="70" t="s">
        <v>29</v>
      </c>
      <c r="E2016" s="70" t="s">
        <v>69</v>
      </c>
      <c r="F2016" s="70" t="s">
        <v>70</v>
      </c>
      <c r="G2016" s="71">
        <v>12470248746</v>
      </c>
      <c r="H2016" s="70" t="s">
        <v>68</v>
      </c>
    </row>
    <row r="2017" spans="1:8" ht="17.25" customHeight="1" x14ac:dyDescent="0.2">
      <c r="A2017" s="69">
        <v>2025</v>
      </c>
      <c r="B2017" s="70" t="s">
        <v>66</v>
      </c>
      <c r="C2017" s="70" t="s">
        <v>27</v>
      </c>
      <c r="D2017" s="70" t="s">
        <v>30</v>
      </c>
      <c r="E2017" s="70" t="s">
        <v>67</v>
      </c>
      <c r="F2017" s="70" t="s">
        <v>67</v>
      </c>
      <c r="G2017" s="71">
        <v>25775222382</v>
      </c>
      <c r="H2017" s="70" t="s">
        <v>68</v>
      </c>
    </row>
    <row r="2018" spans="1:8" ht="17.25" customHeight="1" x14ac:dyDescent="0.2">
      <c r="A2018" s="69">
        <v>2025</v>
      </c>
      <c r="B2018" s="70" t="s">
        <v>66</v>
      </c>
      <c r="C2018" s="70" t="s">
        <v>27</v>
      </c>
      <c r="D2018" s="70" t="s">
        <v>30</v>
      </c>
      <c r="E2018" s="70" t="s">
        <v>69</v>
      </c>
      <c r="F2018" s="70" t="s">
        <v>71</v>
      </c>
      <c r="G2018" s="71">
        <v>14594981187</v>
      </c>
      <c r="H2018" s="70" t="s">
        <v>68</v>
      </c>
    </row>
    <row r="2019" spans="1:8" ht="17.25" customHeight="1" x14ac:dyDescent="0.2">
      <c r="A2019" s="69">
        <v>2025</v>
      </c>
      <c r="B2019" s="70" t="s">
        <v>66</v>
      </c>
      <c r="C2019" s="70" t="s">
        <v>27</v>
      </c>
      <c r="D2019" s="70" t="s">
        <v>30</v>
      </c>
      <c r="E2019" s="70" t="s">
        <v>69</v>
      </c>
      <c r="F2019" s="70" t="s">
        <v>70</v>
      </c>
      <c r="G2019" s="71">
        <v>44044947157</v>
      </c>
      <c r="H2019" s="70" t="s">
        <v>68</v>
      </c>
    </row>
    <row r="2020" spans="1:8" ht="17.25" customHeight="1" x14ac:dyDescent="0.2">
      <c r="A2020" s="69">
        <v>2025</v>
      </c>
      <c r="B2020" s="70" t="s">
        <v>66</v>
      </c>
      <c r="C2020" s="70" t="s">
        <v>27</v>
      </c>
      <c r="D2020" s="70" t="s">
        <v>31</v>
      </c>
      <c r="E2020" s="70" t="s">
        <v>67</v>
      </c>
      <c r="F2020" s="70" t="s">
        <v>67</v>
      </c>
      <c r="G2020" s="71">
        <v>4637524600</v>
      </c>
      <c r="H2020" s="70" t="s">
        <v>68</v>
      </c>
    </row>
    <row r="2021" spans="1:8" ht="17.25" customHeight="1" x14ac:dyDescent="0.2">
      <c r="A2021" s="69">
        <v>2025</v>
      </c>
      <c r="B2021" s="70" t="s">
        <v>66</v>
      </c>
      <c r="C2021" s="70" t="s">
        <v>27</v>
      </c>
      <c r="D2021" s="70" t="s">
        <v>31</v>
      </c>
      <c r="E2021" s="70" t="s">
        <v>69</v>
      </c>
      <c r="F2021" s="70" t="s">
        <v>71</v>
      </c>
      <c r="G2021" s="71">
        <v>5285724545</v>
      </c>
      <c r="H2021" s="70" t="s">
        <v>68</v>
      </c>
    </row>
    <row r="2022" spans="1:8" ht="17.25" customHeight="1" x14ac:dyDescent="0.2">
      <c r="A2022" s="69">
        <v>2025</v>
      </c>
      <c r="B2022" s="70" t="s">
        <v>66</v>
      </c>
      <c r="C2022" s="70" t="s">
        <v>27</v>
      </c>
      <c r="D2022" s="70" t="s">
        <v>31</v>
      </c>
      <c r="E2022" s="70" t="s">
        <v>69</v>
      </c>
      <c r="F2022" s="70" t="s">
        <v>70</v>
      </c>
      <c r="G2022" s="71">
        <v>12660738287</v>
      </c>
      <c r="H2022" s="70" t="s">
        <v>68</v>
      </c>
    </row>
    <row r="2023" spans="1:8" ht="17.25" customHeight="1" x14ac:dyDescent="0.2">
      <c r="A2023" s="69">
        <v>2025</v>
      </c>
      <c r="B2023" s="70" t="s">
        <v>66</v>
      </c>
      <c r="C2023" s="70" t="s">
        <v>27</v>
      </c>
      <c r="D2023" s="70" t="s">
        <v>32</v>
      </c>
      <c r="E2023" s="70" t="s">
        <v>67</v>
      </c>
      <c r="F2023" s="70" t="s">
        <v>67</v>
      </c>
      <c r="G2023" s="71">
        <v>16181407445</v>
      </c>
      <c r="H2023" s="70" t="s">
        <v>68</v>
      </c>
    </row>
    <row r="2024" spans="1:8" ht="17.25" customHeight="1" x14ac:dyDescent="0.2">
      <c r="A2024" s="69">
        <v>2025</v>
      </c>
      <c r="B2024" s="70" t="s">
        <v>66</v>
      </c>
      <c r="C2024" s="70" t="s">
        <v>27</v>
      </c>
      <c r="D2024" s="70" t="s">
        <v>32</v>
      </c>
      <c r="E2024" s="70" t="s">
        <v>69</v>
      </c>
      <c r="F2024" s="70" t="s">
        <v>71</v>
      </c>
      <c r="G2024" s="71">
        <v>12457755456</v>
      </c>
      <c r="H2024" s="70" t="s">
        <v>68</v>
      </c>
    </row>
    <row r="2025" spans="1:8" ht="17.25" customHeight="1" x14ac:dyDescent="0.2">
      <c r="A2025" s="69">
        <v>2025</v>
      </c>
      <c r="B2025" s="70" t="s">
        <v>66</v>
      </c>
      <c r="C2025" s="70" t="s">
        <v>27</v>
      </c>
      <c r="D2025" s="70" t="s">
        <v>32</v>
      </c>
      <c r="E2025" s="70" t="s">
        <v>69</v>
      </c>
      <c r="F2025" s="70" t="s">
        <v>70</v>
      </c>
      <c r="G2025" s="71">
        <v>13977389419</v>
      </c>
      <c r="H2025" s="70" t="s">
        <v>68</v>
      </c>
    </row>
    <row r="2026" spans="1:8" ht="17.25" customHeight="1" x14ac:dyDescent="0.2">
      <c r="A2026" s="69">
        <v>2025</v>
      </c>
      <c r="B2026" s="70" t="s">
        <v>66</v>
      </c>
      <c r="C2026" s="70" t="s">
        <v>27</v>
      </c>
      <c r="D2026" s="70" t="s">
        <v>33</v>
      </c>
      <c r="E2026" s="70" t="s">
        <v>67</v>
      </c>
      <c r="F2026" s="70" t="s">
        <v>67</v>
      </c>
      <c r="G2026" s="71">
        <v>11199983896</v>
      </c>
      <c r="H2026" s="70" t="s">
        <v>68</v>
      </c>
    </row>
    <row r="2027" spans="1:8" ht="17.25" customHeight="1" x14ac:dyDescent="0.2">
      <c r="A2027" s="69">
        <v>2025</v>
      </c>
      <c r="B2027" s="70" t="s">
        <v>66</v>
      </c>
      <c r="C2027" s="70" t="s">
        <v>27</v>
      </c>
      <c r="D2027" s="70" t="s">
        <v>33</v>
      </c>
      <c r="E2027" s="70" t="s">
        <v>69</v>
      </c>
      <c r="F2027" s="70" t="s">
        <v>71</v>
      </c>
      <c r="G2027" s="71">
        <v>12839326440</v>
      </c>
      <c r="H2027" s="70" t="s">
        <v>68</v>
      </c>
    </row>
    <row r="2028" spans="1:8" ht="17.25" customHeight="1" x14ac:dyDescent="0.2">
      <c r="A2028" s="69">
        <v>2025</v>
      </c>
      <c r="B2028" s="70" t="s">
        <v>66</v>
      </c>
      <c r="C2028" s="70" t="s">
        <v>27</v>
      </c>
      <c r="D2028" s="70" t="s">
        <v>33</v>
      </c>
      <c r="E2028" s="70" t="s">
        <v>69</v>
      </c>
      <c r="F2028" s="70" t="s">
        <v>70</v>
      </c>
      <c r="G2028" s="71">
        <v>45686536312</v>
      </c>
      <c r="H2028" s="70" t="s">
        <v>68</v>
      </c>
    </row>
    <row r="2029" spans="1:8" ht="17.25" customHeight="1" x14ac:dyDescent="0.2">
      <c r="A2029" s="69">
        <v>2025</v>
      </c>
      <c r="B2029" s="70" t="s">
        <v>66</v>
      </c>
      <c r="C2029" s="70" t="s">
        <v>35</v>
      </c>
      <c r="D2029" s="70" t="s">
        <v>34</v>
      </c>
      <c r="E2029" s="70" t="s">
        <v>67</v>
      </c>
      <c r="F2029" s="70" t="s">
        <v>67</v>
      </c>
      <c r="G2029" s="71">
        <v>4461245975</v>
      </c>
      <c r="H2029" s="70" t="s">
        <v>68</v>
      </c>
    </row>
    <row r="2030" spans="1:8" ht="17.25" customHeight="1" x14ac:dyDescent="0.2">
      <c r="A2030" s="69">
        <v>2025</v>
      </c>
      <c r="B2030" s="70" t="s">
        <v>66</v>
      </c>
      <c r="C2030" s="70" t="s">
        <v>35</v>
      </c>
      <c r="D2030" s="70" t="s">
        <v>34</v>
      </c>
      <c r="E2030" s="70" t="s">
        <v>69</v>
      </c>
      <c r="F2030" s="70" t="s">
        <v>71</v>
      </c>
      <c r="G2030" s="71">
        <v>1939527301</v>
      </c>
      <c r="H2030" s="70" t="s">
        <v>68</v>
      </c>
    </row>
    <row r="2031" spans="1:8" ht="17.25" customHeight="1" x14ac:dyDescent="0.2">
      <c r="A2031" s="69">
        <v>2025</v>
      </c>
      <c r="B2031" s="70" t="s">
        <v>66</v>
      </c>
      <c r="C2031" s="70" t="s">
        <v>35</v>
      </c>
      <c r="D2031" s="70" t="s">
        <v>34</v>
      </c>
      <c r="E2031" s="70" t="s">
        <v>69</v>
      </c>
      <c r="F2031" s="70" t="s">
        <v>70</v>
      </c>
      <c r="G2031" s="71">
        <v>1766149651</v>
      </c>
      <c r="H2031" s="70" t="s">
        <v>68</v>
      </c>
    </row>
    <row r="2032" spans="1:8" ht="17.25" customHeight="1" x14ac:dyDescent="0.2">
      <c r="A2032" s="69">
        <v>2025</v>
      </c>
      <c r="B2032" s="70" t="s">
        <v>66</v>
      </c>
      <c r="C2032" s="70" t="s">
        <v>35</v>
      </c>
      <c r="D2032" s="70" t="s">
        <v>36</v>
      </c>
      <c r="E2032" s="70" t="s">
        <v>67</v>
      </c>
      <c r="F2032" s="70" t="s">
        <v>67</v>
      </c>
      <c r="G2032" s="71">
        <v>12549625405</v>
      </c>
      <c r="H2032" s="70" t="s">
        <v>68</v>
      </c>
    </row>
    <row r="2033" spans="1:8" ht="17.25" customHeight="1" x14ac:dyDescent="0.2">
      <c r="A2033" s="69">
        <v>2025</v>
      </c>
      <c r="B2033" s="70" t="s">
        <v>66</v>
      </c>
      <c r="C2033" s="70" t="s">
        <v>35</v>
      </c>
      <c r="D2033" s="70" t="s">
        <v>36</v>
      </c>
      <c r="E2033" s="70" t="s">
        <v>69</v>
      </c>
      <c r="F2033" s="70" t="s">
        <v>71</v>
      </c>
      <c r="G2033" s="71">
        <v>7137512271</v>
      </c>
      <c r="H2033" s="70" t="s">
        <v>68</v>
      </c>
    </row>
    <row r="2034" spans="1:8" ht="17.25" customHeight="1" x14ac:dyDescent="0.2">
      <c r="A2034" s="69">
        <v>2025</v>
      </c>
      <c r="B2034" s="70" t="s">
        <v>66</v>
      </c>
      <c r="C2034" s="70" t="s">
        <v>35</v>
      </c>
      <c r="D2034" s="70" t="s">
        <v>36</v>
      </c>
      <c r="E2034" s="70" t="s">
        <v>69</v>
      </c>
      <c r="F2034" s="70" t="s">
        <v>70</v>
      </c>
      <c r="G2034" s="71">
        <v>6124166704</v>
      </c>
      <c r="H2034" s="70" t="s">
        <v>68</v>
      </c>
    </row>
    <row r="2035" spans="1:8" ht="17.25" customHeight="1" x14ac:dyDescent="0.2">
      <c r="A2035" s="69">
        <v>2025</v>
      </c>
      <c r="B2035" s="70" t="s">
        <v>66</v>
      </c>
      <c r="C2035" s="70" t="s">
        <v>35</v>
      </c>
      <c r="D2035" s="70" t="s">
        <v>37</v>
      </c>
      <c r="E2035" s="70" t="s">
        <v>67</v>
      </c>
      <c r="F2035" s="70" t="s">
        <v>67</v>
      </c>
      <c r="G2035" s="71">
        <v>2054715639</v>
      </c>
      <c r="H2035" s="70" t="s">
        <v>68</v>
      </c>
    </row>
    <row r="2036" spans="1:8" ht="17.25" customHeight="1" x14ac:dyDescent="0.2">
      <c r="A2036" s="69">
        <v>2025</v>
      </c>
      <c r="B2036" s="70" t="s">
        <v>66</v>
      </c>
      <c r="C2036" s="70" t="s">
        <v>35</v>
      </c>
      <c r="D2036" s="70" t="s">
        <v>37</v>
      </c>
      <c r="E2036" s="70" t="s">
        <v>69</v>
      </c>
      <c r="F2036" s="70" t="s">
        <v>71</v>
      </c>
      <c r="G2036" s="71">
        <v>1086420759</v>
      </c>
      <c r="H2036" s="70" t="s">
        <v>68</v>
      </c>
    </row>
    <row r="2037" spans="1:8" ht="17.25" customHeight="1" x14ac:dyDescent="0.2">
      <c r="A2037" s="69">
        <v>2025</v>
      </c>
      <c r="B2037" s="70" t="s">
        <v>66</v>
      </c>
      <c r="C2037" s="70" t="s">
        <v>35</v>
      </c>
      <c r="D2037" s="70" t="s">
        <v>37</v>
      </c>
      <c r="E2037" s="70" t="s">
        <v>69</v>
      </c>
      <c r="F2037" s="70" t="s">
        <v>70</v>
      </c>
      <c r="G2037" s="71">
        <v>1397402884</v>
      </c>
      <c r="H2037" s="70" t="s">
        <v>68</v>
      </c>
    </row>
    <row r="2038" spans="1:8" ht="17.25" customHeight="1" x14ac:dyDescent="0.2">
      <c r="A2038" s="69">
        <v>2025</v>
      </c>
      <c r="B2038" s="70" t="s">
        <v>66</v>
      </c>
      <c r="C2038" s="70" t="s">
        <v>35</v>
      </c>
      <c r="D2038" s="70" t="s">
        <v>38</v>
      </c>
      <c r="E2038" s="70" t="s">
        <v>67</v>
      </c>
      <c r="F2038" s="70" t="s">
        <v>67</v>
      </c>
      <c r="G2038" s="71">
        <v>3261338653</v>
      </c>
      <c r="H2038" s="70" t="s">
        <v>68</v>
      </c>
    </row>
    <row r="2039" spans="1:8" ht="17.25" customHeight="1" x14ac:dyDescent="0.2">
      <c r="A2039" s="69">
        <v>2025</v>
      </c>
      <c r="B2039" s="70" t="s">
        <v>66</v>
      </c>
      <c r="C2039" s="70" t="s">
        <v>35</v>
      </c>
      <c r="D2039" s="70" t="s">
        <v>38</v>
      </c>
      <c r="E2039" s="70" t="s">
        <v>69</v>
      </c>
      <c r="F2039" s="70" t="s">
        <v>71</v>
      </c>
      <c r="G2039" s="71">
        <v>1490482449</v>
      </c>
      <c r="H2039" s="70" t="s">
        <v>68</v>
      </c>
    </row>
    <row r="2040" spans="1:8" ht="17.25" customHeight="1" x14ac:dyDescent="0.2">
      <c r="A2040" s="69">
        <v>2025</v>
      </c>
      <c r="B2040" s="70" t="s">
        <v>66</v>
      </c>
      <c r="C2040" s="70" t="s">
        <v>35</v>
      </c>
      <c r="D2040" s="70" t="s">
        <v>38</v>
      </c>
      <c r="E2040" s="70" t="s">
        <v>69</v>
      </c>
      <c r="F2040" s="70" t="s">
        <v>70</v>
      </c>
      <c r="G2040" s="71">
        <v>1774928873</v>
      </c>
      <c r="H2040" s="70" t="s">
        <v>68</v>
      </c>
    </row>
    <row r="2041" spans="1:8" ht="17.25" customHeight="1" x14ac:dyDescent="0.2">
      <c r="A2041" s="69">
        <v>2025</v>
      </c>
      <c r="B2041" s="70" t="s">
        <v>66</v>
      </c>
      <c r="C2041" s="70" t="s">
        <v>35</v>
      </c>
      <c r="D2041" s="70" t="s">
        <v>39</v>
      </c>
      <c r="E2041" s="70" t="s">
        <v>67</v>
      </c>
      <c r="F2041" s="70" t="s">
        <v>67</v>
      </c>
      <c r="G2041" s="71">
        <v>16023697719</v>
      </c>
      <c r="H2041" s="70" t="s">
        <v>68</v>
      </c>
    </row>
    <row r="2042" spans="1:8" ht="17.25" customHeight="1" x14ac:dyDescent="0.2">
      <c r="A2042" s="69">
        <v>2025</v>
      </c>
      <c r="B2042" s="70" t="s">
        <v>66</v>
      </c>
      <c r="C2042" s="70" t="s">
        <v>35</v>
      </c>
      <c r="D2042" s="70" t="s">
        <v>39</v>
      </c>
      <c r="E2042" s="70" t="s">
        <v>69</v>
      </c>
      <c r="F2042" s="70" t="s">
        <v>71</v>
      </c>
      <c r="G2042" s="71">
        <v>8952075200</v>
      </c>
      <c r="H2042" s="70" t="s">
        <v>68</v>
      </c>
    </row>
    <row r="2043" spans="1:8" ht="17.25" customHeight="1" x14ac:dyDescent="0.2">
      <c r="A2043" s="69">
        <v>2025</v>
      </c>
      <c r="B2043" s="70" t="s">
        <v>66</v>
      </c>
      <c r="C2043" s="70" t="s">
        <v>35</v>
      </c>
      <c r="D2043" s="70" t="s">
        <v>39</v>
      </c>
      <c r="E2043" s="70" t="s">
        <v>69</v>
      </c>
      <c r="F2043" s="70" t="s">
        <v>70</v>
      </c>
      <c r="G2043" s="71">
        <v>8683804696</v>
      </c>
      <c r="H2043" s="70" t="s">
        <v>68</v>
      </c>
    </row>
    <row r="2044" spans="1:8" ht="17.25" customHeight="1" x14ac:dyDescent="0.2">
      <c r="A2044" s="69">
        <v>2025</v>
      </c>
      <c r="B2044" s="70" t="s">
        <v>66</v>
      </c>
      <c r="C2044" s="70" t="s">
        <v>41</v>
      </c>
      <c r="D2044" s="70" t="s">
        <v>40</v>
      </c>
      <c r="E2044" s="70" t="s">
        <v>67</v>
      </c>
      <c r="F2044" s="70" t="s">
        <v>67</v>
      </c>
      <c r="G2044" s="71">
        <v>1621598031</v>
      </c>
      <c r="H2044" s="70" t="s">
        <v>68</v>
      </c>
    </row>
    <row r="2045" spans="1:8" ht="17.25" customHeight="1" x14ac:dyDescent="0.2">
      <c r="A2045" s="69">
        <v>2025</v>
      </c>
      <c r="B2045" s="70" t="s">
        <v>66</v>
      </c>
      <c r="C2045" s="70" t="s">
        <v>41</v>
      </c>
      <c r="D2045" s="70" t="s">
        <v>40</v>
      </c>
      <c r="E2045" s="70" t="s">
        <v>69</v>
      </c>
      <c r="F2045" s="70" t="s">
        <v>71</v>
      </c>
      <c r="G2045" s="71">
        <v>581549167</v>
      </c>
      <c r="H2045" s="70" t="s">
        <v>68</v>
      </c>
    </row>
    <row r="2046" spans="1:8" ht="17.25" customHeight="1" x14ac:dyDescent="0.2">
      <c r="A2046" s="69">
        <v>2025</v>
      </c>
      <c r="B2046" s="70" t="s">
        <v>66</v>
      </c>
      <c r="C2046" s="70" t="s">
        <v>41</v>
      </c>
      <c r="D2046" s="70" t="s">
        <v>40</v>
      </c>
      <c r="E2046" s="70" t="s">
        <v>69</v>
      </c>
      <c r="F2046" s="70" t="s">
        <v>70</v>
      </c>
      <c r="G2046" s="71">
        <v>535702848</v>
      </c>
      <c r="H2046" s="70" t="s">
        <v>68</v>
      </c>
    </row>
    <row r="2047" spans="1:8" ht="17.25" customHeight="1" x14ac:dyDescent="0.2">
      <c r="A2047" s="69">
        <v>2025</v>
      </c>
      <c r="B2047" s="70" t="s">
        <v>66</v>
      </c>
      <c r="C2047" s="70" t="s">
        <v>41</v>
      </c>
      <c r="D2047" s="70" t="s">
        <v>42</v>
      </c>
      <c r="E2047" s="70" t="s">
        <v>67</v>
      </c>
      <c r="F2047" s="70" t="s">
        <v>67</v>
      </c>
      <c r="G2047" s="71">
        <v>9939558827</v>
      </c>
      <c r="H2047" s="70" t="s">
        <v>68</v>
      </c>
    </row>
    <row r="2048" spans="1:8" ht="17.25" customHeight="1" x14ac:dyDescent="0.2">
      <c r="A2048" s="69">
        <v>2025</v>
      </c>
      <c r="B2048" s="70" t="s">
        <v>66</v>
      </c>
      <c r="C2048" s="70" t="s">
        <v>41</v>
      </c>
      <c r="D2048" s="70" t="s">
        <v>42</v>
      </c>
      <c r="E2048" s="70" t="s">
        <v>69</v>
      </c>
      <c r="F2048" s="70" t="s">
        <v>71</v>
      </c>
      <c r="G2048" s="71">
        <v>1898146375</v>
      </c>
      <c r="H2048" s="70" t="s">
        <v>68</v>
      </c>
    </row>
    <row r="2049" spans="1:8" ht="17.25" customHeight="1" x14ac:dyDescent="0.2">
      <c r="A2049" s="69">
        <v>2025</v>
      </c>
      <c r="B2049" s="70" t="s">
        <v>66</v>
      </c>
      <c r="C2049" s="70" t="s">
        <v>41</v>
      </c>
      <c r="D2049" s="70" t="s">
        <v>42</v>
      </c>
      <c r="E2049" s="70" t="s">
        <v>69</v>
      </c>
      <c r="F2049" s="70" t="s">
        <v>70</v>
      </c>
      <c r="G2049" s="71">
        <v>6592759065</v>
      </c>
      <c r="H2049" s="70" t="s">
        <v>68</v>
      </c>
    </row>
    <row r="2050" spans="1:8" ht="17.25" customHeight="1" x14ac:dyDescent="0.2">
      <c r="A2050" s="69">
        <v>2025</v>
      </c>
      <c r="B2050" s="70" t="s">
        <v>66</v>
      </c>
      <c r="C2050" s="70" t="s">
        <v>41</v>
      </c>
      <c r="D2050" s="70" t="s">
        <v>43</v>
      </c>
      <c r="E2050" s="70" t="s">
        <v>67</v>
      </c>
      <c r="F2050" s="70" t="s">
        <v>67</v>
      </c>
      <c r="G2050" s="71">
        <v>7195198800</v>
      </c>
      <c r="H2050" s="70" t="s">
        <v>68</v>
      </c>
    </row>
    <row r="2051" spans="1:8" ht="17.25" customHeight="1" x14ac:dyDescent="0.2">
      <c r="A2051" s="69">
        <v>2025</v>
      </c>
      <c r="B2051" s="70" t="s">
        <v>66</v>
      </c>
      <c r="C2051" s="70" t="s">
        <v>41</v>
      </c>
      <c r="D2051" s="70" t="s">
        <v>43</v>
      </c>
      <c r="E2051" s="70" t="s">
        <v>69</v>
      </c>
      <c r="F2051" s="70" t="s">
        <v>71</v>
      </c>
      <c r="G2051" s="71">
        <v>2654519306</v>
      </c>
      <c r="H2051" s="70" t="s">
        <v>68</v>
      </c>
    </row>
    <row r="2052" spans="1:8" ht="17.25" customHeight="1" x14ac:dyDescent="0.2">
      <c r="A2052" s="69">
        <v>2025</v>
      </c>
      <c r="B2052" s="70" t="s">
        <v>66</v>
      </c>
      <c r="C2052" s="70" t="s">
        <v>41</v>
      </c>
      <c r="D2052" s="70" t="s">
        <v>43</v>
      </c>
      <c r="E2052" s="70" t="s">
        <v>69</v>
      </c>
      <c r="F2052" s="70" t="s">
        <v>70</v>
      </c>
      <c r="G2052" s="71">
        <v>3185398417</v>
      </c>
      <c r="H2052" s="70" t="s">
        <v>68</v>
      </c>
    </row>
    <row r="2053" spans="1:8" ht="17.25" customHeight="1" x14ac:dyDescent="0.2">
      <c r="A2053" s="69">
        <v>2025</v>
      </c>
      <c r="B2053" s="70" t="s">
        <v>66</v>
      </c>
      <c r="C2053" s="70" t="s">
        <v>41</v>
      </c>
      <c r="D2053" s="70" t="s">
        <v>44</v>
      </c>
      <c r="E2053" s="70" t="s">
        <v>67</v>
      </c>
      <c r="F2053" s="70" t="s">
        <v>67</v>
      </c>
      <c r="G2053" s="71">
        <v>9925000617</v>
      </c>
      <c r="H2053" s="70" t="s">
        <v>68</v>
      </c>
    </row>
    <row r="2054" spans="1:8" ht="17.25" customHeight="1" x14ac:dyDescent="0.2">
      <c r="A2054" s="69">
        <v>2025</v>
      </c>
      <c r="B2054" s="70" t="s">
        <v>66</v>
      </c>
      <c r="C2054" s="70" t="s">
        <v>41</v>
      </c>
      <c r="D2054" s="70" t="s">
        <v>44</v>
      </c>
      <c r="E2054" s="70" t="s">
        <v>69</v>
      </c>
      <c r="F2054" s="70" t="s">
        <v>71</v>
      </c>
      <c r="G2054" s="71">
        <v>4448554283</v>
      </c>
      <c r="H2054" s="70" t="s">
        <v>68</v>
      </c>
    </row>
    <row r="2055" spans="1:8" ht="17.25" customHeight="1" x14ac:dyDescent="0.2">
      <c r="A2055" s="69">
        <v>2025</v>
      </c>
      <c r="B2055" s="70" t="s">
        <v>66</v>
      </c>
      <c r="C2055" s="70" t="s">
        <v>41</v>
      </c>
      <c r="D2055" s="70" t="s">
        <v>44</v>
      </c>
      <c r="E2055" s="70" t="s">
        <v>69</v>
      </c>
      <c r="F2055" s="70" t="s">
        <v>70</v>
      </c>
      <c r="G2055" s="71">
        <v>6929889837</v>
      </c>
      <c r="H2055" s="70" t="s">
        <v>68</v>
      </c>
    </row>
    <row r="2056" spans="1:8" ht="17.25" customHeight="1" x14ac:dyDescent="0.2">
      <c r="A2056" s="69">
        <v>2025</v>
      </c>
      <c r="B2056" s="70" t="s">
        <v>66</v>
      </c>
      <c r="C2056" s="70" t="s">
        <v>41</v>
      </c>
      <c r="D2056" s="70" t="s">
        <v>45</v>
      </c>
      <c r="E2056" s="70" t="s">
        <v>67</v>
      </c>
      <c r="F2056" s="70" t="s">
        <v>67</v>
      </c>
      <c r="G2056" s="71">
        <v>25464555623</v>
      </c>
      <c r="H2056" s="70" t="s">
        <v>68</v>
      </c>
    </row>
    <row r="2057" spans="1:8" ht="17.25" customHeight="1" x14ac:dyDescent="0.2">
      <c r="A2057" s="69">
        <v>2025</v>
      </c>
      <c r="B2057" s="70" t="s">
        <v>66</v>
      </c>
      <c r="C2057" s="70" t="s">
        <v>41</v>
      </c>
      <c r="D2057" s="70" t="s">
        <v>45</v>
      </c>
      <c r="E2057" s="70" t="s">
        <v>69</v>
      </c>
      <c r="F2057" s="70" t="s">
        <v>71</v>
      </c>
      <c r="G2057" s="71">
        <v>7573262229</v>
      </c>
      <c r="H2057" s="70" t="s">
        <v>68</v>
      </c>
    </row>
    <row r="2058" spans="1:8" ht="17.25" customHeight="1" x14ac:dyDescent="0.2">
      <c r="A2058" s="69">
        <v>2025</v>
      </c>
      <c r="B2058" s="70" t="s">
        <v>66</v>
      </c>
      <c r="C2058" s="70" t="s">
        <v>41</v>
      </c>
      <c r="D2058" s="70" t="s">
        <v>45</v>
      </c>
      <c r="E2058" s="70" t="s">
        <v>69</v>
      </c>
      <c r="F2058" s="70" t="s">
        <v>70</v>
      </c>
      <c r="G2058" s="71">
        <v>19547221819</v>
      </c>
      <c r="H2058" s="70" t="s">
        <v>68</v>
      </c>
    </row>
    <row r="2059" spans="1:8" ht="17.25" customHeight="1" x14ac:dyDescent="0.2">
      <c r="A2059" s="69">
        <v>2025</v>
      </c>
      <c r="B2059" s="70" t="s">
        <v>66</v>
      </c>
      <c r="C2059" s="70" t="s">
        <v>47</v>
      </c>
      <c r="D2059" s="70" t="s">
        <v>46</v>
      </c>
      <c r="E2059" s="70" t="s">
        <v>72</v>
      </c>
      <c r="F2059" s="70" t="s">
        <v>73</v>
      </c>
      <c r="G2059" s="71">
        <v>8561648654</v>
      </c>
      <c r="H2059" s="70" t="s">
        <v>68</v>
      </c>
    </row>
    <row r="2060" spans="1:8" ht="17.25" customHeight="1" x14ac:dyDescent="0.2">
      <c r="A2060" s="69">
        <v>2025</v>
      </c>
      <c r="B2060" s="70" t="s">
        <v>66</v>
      </c>
      <c r="C2060" s="70" t="s">
        <v>47</v>
      </c>
      <c r="D2060" s="70" t="s">
        <v>46</v>
      </c>
      <c r="E2060" s="70" t="s">
        <v>67</v>
      </c>
      <c r="F2060" s="70" t="s">
        <v>74</v>
      </c>
      <c r="G2060" s="71">
        <v>7684058746</v>
      </c>
      <c r="H2060" s="70" t="s">
        <v>68</v>
      </c>
    </row>
    <row r="2061" spans="1:8" ht="17.25" customHeight="1" x14ac:dyDescent="0.2">
      <c r="A2061" s="69">
        <v>2025</v>
      </c>
      <c r="B2061" s="70" t="s">
        <v>66</v>
      </c>
      <c r="C2061" s="70" t="s">
        <v>47</v>
      </c>
      <c r="D2061" s="70" t="s">
        <v>46</v>
      </c>
      <c r="E2061" s="70" t="s">
        <v>69</v>
      </c>
      <c r="F2061" s="70" t="s">
        <v>71</v>
      </c>
      <c r="G2061" s="71">
        <v>10688304504</v>
      </c>
      <c r="H2061" s="70" t="s">
        <v>68</v>
      </c>
    </row>
    <row r="2062" spans="1:8" ht="17.25" customHeight="1" x14ac:dyDescent="0.2">
      <c r="A2062" s="69">
        <v>2025</v>
      </c>
      <c r="B2062" s="70" t="s">
        <v>66</v>
      </c>
      <c r="C2062" s="70" t="s">
        <v>47</v>
      </c>
      <c r="D2062" s="70" t="s">
        <v>46</v>
      </c>
      <c r="E2062" s="70" t="s">
        <v>69</v>
      </c>
      <c r="F2062" s="70" t="s">
        <v>70</v>
      </c>
      <c r="G2062" s="71">
        <v>15801284022</v>
      </c>
      <c r="H2062" s="70" t="s">
        <v>68</v>
      </c>
    </row>
    <row r="2063" spans="1:8" ht="17.25" customHeight="1" x14ac:dyDescent="0.2">
      <c r="A2063" s="69">
        <v>2025</v>
      </c>
      <c r="B2063" s="70" t="s">
        <v>66</v>
      </c>
      <c r="C2063" s="70" t="s">
        <v>47</v>
      </c>
      <c r="D2063" s="70" t="s">
        <v>48</v>
      </c>
      <c r="E2063" s="70" t="s">
        <v>72</v>
      </c>
      <c r="F2063" s="70" t="s">
        <v>73</v>
      </c>
      <c r="G2063" s="71">
        <v>85386529567</v>
      </c>
      <c r="H2063" s="70" t="s">
        <v>68</v>
      </c>
    </row>
    <row r="2064" spans="1:8" ht="17.25" customHeight="1" x14ac:dyDescent="0.2">
      <c r="A2064" s="69">
        <v>2025</v>
      </c>
      <c r="B2064" s="70" t="s">
        <v>66</v>
      </c>
      <c r="C2064" s="70" t="s">
        <v>47</v>
      </c>
      <c r="D2064" s="70" t="s">
        <v>48</v>
      </c>
      <c r="E2064" s="70" t="s">
        <v>67</v>
      </c>
      <c r="F2064" s="70" t="s">
        <v>74</v>
      </c>
      <c r="G2064" s="71">
        <v>108533704509</v>
      </c>
      <c r="H2064" s="70" t="s">
        <v>68</v>
      </c>
    </row>
    <row r="2065" spans="1:8" ht="17.25" customHeight="1" x14ac:dyDescent="0.2">
      <c r="A2065" s="69">
        <v>2025</v>
      </c>
      <c r="B2065" s="70" t="s">
        <v>66</v>
      </c>
      <c r="C2065" s="70" t="s">
        <v>47</v>
      </c>
      <c r="D2065" s="70" t="s">
        <v>48</v>
      </c>
      <c r="E2065" s="70" t="s">
        <v>69</v>
      </c>
      <c r="F2065" s="70" t="s">
        <v>71</v>
      </c>
      <c r="G2065" s="71">
        <v>110973000002</v>
      </c>
      <c r="H2065" s="70" t="s">
        <v>68</v>
      </c>
    </row>
    <row r="2066" spans="1:8" ht="17.25" customHeight="1" x14ac:dyDescent="0.2">
      <c r="A2066" s="69">
        <v>2025</v>
      </c>
      <c r="B2066" s="70" t="s">
        <v>66</v>
      </c>
      <c r="C2066" s="70" t="s">
        <v>47</v>
      </c>
      <c r="D2066" s="70" t="s">
        <v>48</v>
      </c>
      <c r="E2066" s="70" t="s">
        <v>69</v>
      </c>
      <c r="F2066" s="70" t="s">
        <v>70</v>
      </c>
      <c r="G2066" s="71">
        <v>220859368279</v>
      </c>
      <c r="H2066" s="70" t="s">
        <v>68</v>
      </c>
    </row>
    <row r="2067" spans="1:8" ht="17.25" customHeight="1" x14ac:dyDescent="0.2">
      <c r="A2067" s="69">
        <v>2026</v>
      </c>
      <c r="B2067" s="70" t="s">
        <v>66</v>
      </c>
      <c r="C2067" s="70" t="s">
        <v>4</v>
      </c>
      <c r="D2067" s="70" t="s">
        <v>3</v>
      </c>
      <c r="E2067" s="70" t="s">
        <v>67</v>
      </c>
      <c r="F2067" s="70" t="s">
        <v>67</v>
      </c>
      <c r="G2067" s="71">
        <v>18082227677</v>
      </c>
      <c r="H2067" s="70" t="s">
        <v>68</v>
      </c>
    </row>
    <row r="2068" spans="1:8" ht="17.25" customHeight="1" x14ac:dyDescent="0.2">
      <c r="A2068" s="69">
        <v>2026</v>
      </c>
      <c r="B2068" s="70" t="s">
        <v>66</v>
      </c>
      <c r="C2068" s="70" t="s">
        <v>4</v>
      </c>
      <c r="D2068" s="70" t="s">
        <v>3</v>
      </c>
      <c r="E2068" s="70" t="s">
        <v>69</v>
      </c>
      <c r="F2068" s="70" t="s">
        <v>71</v>
      </c>
      <c r="G2068" s="71">
        <v>7767211152</v>
      </c>
      <c r="H2068" s="70" t="s">
        <v>68</v>
      </c>
    </row>
    <row r="2069" spans="1:8" ht="17.25" customHeight="1" x14ac:dyDescent="0.2">
      <c r="A2069" s="69">
        <v>2026</v>
      </c>
      <c r="B2069" s="70" t="s">
        <v>66</v>
      </c>
      <c r="C2069" s="70" t="s">
        <v>4</v>
      </c>
      <c r="D2069" s="70" t="s">
        <v>3</v>
      </c>
      <c r="E2069" s="70" t="s">
        <v>69</v>
      </c>
      <c r="F2069" s="70" t="s">
        <v>70</v>
      </c>
      <c r="G2069" s="71">
        <v>18554421900</v>
      </c>
      <c r="H2069" s="70" t="s">
        <v>68</v>
      </c>
    </row>
    <row r="2070" spans="1:8" ht="17.25" customHeight="1" x14ac:dyDescent="0.2">
      <c r="A2070" s="69">
        <v>2026</v>
      </c>
      <c r="B2070" s="70" t="s">
        <v>66</v>
      </c>
      <c r="C2070" s="70" t="s">
        <v>4</v>
      </c>
      <c r="D2070" s="70" t="s">
        <v>5</v>
      </c>
      <c r="E2070" s="70" t="s">
        <v>67</v>
      </c>
      <c r="F2070" s="70" t="s">
        <v>67</v>
      </c>
      <c r="G2070" s="71">
        <v>45651214884</v>
      </c>
      <c r="H2070" s="70" t="s">
        <v>68</v>
      </c>
    </row>
    <row r="2071" spans="1:8" ht="17.25" customHeight="1" x14ac:dyDescent="0.2">
      <c r="A2071" s="69">
        <v>2026</v>
      </c>
      <c r="B2071" s="70" t="s">
        <v>66</v>
      </c>
      <c r="C2071" s="70" t="s">
        <v>4</v>
      </c>
      <c r="D2071" s="70" t="s">
        <v>5</v>
      </c>
      <c r="E2071" s="70" t="s">
        <v>69</v>
      </c>
      <c r="F2071" s="70" t="s">
        <v>71</v>
      </c>
      <c r="G2071" s="71">
        <v>81007939843</v>
      </c>
      <c r="H2071" s="70" t="s">
        <v>68</v>
      </c>
    </row>
    <row r="2072" spans="1:8" ht="17.25" customHeight="1" x14ac:dyDescent="0.2">
      <c r="A2072" s="69">
        <v>2026</v>
      </c>
      <c r="B2072" s="70" t="s">
        <v>66</v>
      </c>
      <c r="C2072" s="70" t="s">
        <v>4</v>
      </c>
      <c r="D2072" s="70" t="s">
        <v>5</v>
      </c>
      <c r="E2072" s="70" t="s">
        <v>69</v>
      </c>
      <c r="F2072" s="70" t="s">
        <v>70</v>
      </c>
      <c r="G2072" s="71">
        <v>75002379302</v>
      </c>
      <c r="H2072" s="70" t="s">
        <v>68</v>
      </c>
    </row>
    <row r="2073" spans="1:8" ht="17.25" customHeight="1" x14ac:dyDescent="0.2">
      <c r="A2073" s="69">
        <v>2026</v>
      </c>
      <c r="B2073" s="70" t="s">
        <v>66</v>
      </c>
      <c r="C2073" s="70" t="s">
        <v>4</v>
      </c>
      <c r="D2073" s="70" t="s">
        <v>6</v>
      </c>
      <c r="E2073" s="70" t="s">
        <v>67</v>
      </c>
      <c r="F2073" s="70" t="s">
        <v>67</v>
      </c>
      <c r="G2073" s="71">
        <v>7547970565</v>
      </c>
      <c r="H2073" s="70" t="s">
        <v>68</v>
      </c>
    </row>
    <row r="2074" spans="1:8" ht="17.25" customHeight="1" x14ac:dyDescent="0.2">
      <c r="A2074" s="69">
        <v>2026</v>
      </c>
      <c r="B2074" s="70" t="s">
        <v>66</v>
      </c>
      <c r="C2074" s="70" t="s">
        <v>4</v>
      </c>
      <c r="D2074" s="70" t="s">
        <v>6</v>
      </c>
      <c r="E2074" s="70" t="s">
        <v>69</v>
      </c>
      <c r="F2074" s="70" t="s">
        <v>71</v>
      </c>
      <c r="G2074" s="71">
        <v>3813244395</v>
      </c>
      <c r="H2074" s="70" t="s">
        <v>68</v>
      </c>
    </row>
    <row r="2075" spans="1:8" ht="17.25" customHeight="1" x14ac:dyDescent="0.2">
      <c r="A2075" s="69">
        <v>2026</v>
      </c>
      <c r="B2075" s="70" t="s">
        <v>66</v>
      </c>
      <c r="C2075" s="70" t="s">
        <v>4</v>
      </c>
      <c r="D2075" s="70" t="s">
        <v>6</v>
      </c>
      <c r="E2075" s="70" t="s">
        <v>69</v>
      </c>
      <c r="F2075" s="70" t="s">
        <v>70</v>
      </c>
      <c r="G2075" s="71">
        <v>2730178565</v>
      </c>
      <c r="H2075" s="70" t="s">
        <v>68</v>
      </c>
    </row>
    <row r="2076" spans="1:8" ht="17.25" customHeight="1" x14ac:dyDescent="0.2">
      <c r="A2076" s="69">
        <v>2026</v>
      </c>
      <c r="B2076" s="70" t="s">
        <v>66</v>
      </c>
      <c r="C2076" s="70" t="s">
        <v>4</v>
      </c>
      <c r="D2076" s="70" t="s">
        <v>7</v>
      </c>
      <c r="E2076" s="70" t="s">
        <v>67</v>
      </c>
      <c r="F2076" s="70" t="s">
        <v>67</v>
      </c>
      <c r="G2076" s="71">
        <v>21056917112</v>
      </c>
      <c r="H2076" s="70" t="s">
        <v>68</v>
      </c>
    </row>
    <row r="2077" spans="1:8" ht="17.25" customHeight="1" x14ac:dyDescent="0.2">
      <c r="A2077" s="69">
        <v>2026</v>
      </c>
      <c r="B2077" s="70" t="s">
        <v>66</v>
      </c>
      <c r="C2077" s="70" t="s">
        <v>4</v>
      </c>
      <c r="D2077" s="70" t="s">
        <v>7</v>
      </c>
      <c r="E2077" s="70" t="s">
        <v>69</v>
      </c>
      <c r="F2077" s="70" t="s">
        <v>71</v>
      </c>
      <c r="G2077" s="71">
        <v>17071255607</v>
      </c>
      <c r="H2077" s="70" t="s">
        <v>68</v>
      </c>
    </row>
    <row r="2078" spans="1:8" ht="17.25" customHeight="1" x14ac:dyDescent="0.2">
      <c r="A2078" s="69">
        <v>2026</v>
      </c>
      <c r="B2078" s="70" t="s">
        <v>66</v>
      </c>
      <c r="C2078" s="70" t="s">
        <v>4</v>
      </c>
      <c r="D2078" s="70" t="s">
        <v>7</v>
      </c>
      <c r="E2078" s="70" t="s">
        <v>69</v>
      </c>
      <c r="F2078" s="70" t="s">
        <v>70</v>
      </c>
      <c r="G2078" s="71">
        <v>13485694524</v>
      </c>
      <c r="H2078" s="70" t="s">
        <v>68</v>
      </c>
    </row>
    <row r="2079" spans="1:8" ht="17.25" customHeight="1" x14ac:dyDescent="0.2">
      <c r="A2079" s="69">
        <v>2026</v>
      </c>
      <c r="B2079" s="70" t="s">
        <v>66</v>
      </c>
      <c r="C2079" s="70" t="s">
        <v>4</v>
      </c>
      <c r="D2079" s="70" t="s">
        <v>8</v>
      </c>
      <c r="E2079" s="70" t="s">
        <v>67</v>
      </c>
      <c r="F2079" s="70" t="s">
        <v>67</v>
      </c>
      <c r="G2079" s="71">
        <v>4815330874</v>
      </c>
      <c r="H2079" s="70" t="s">
        <v>68</v>
      </c>
    </row>
    <row r="2080" spans="1:8" ht="17.25" customHeight="1" x14ac:dyDescent="0.2">
      <c r="A2080" s="69">
        <v>2026</v>
      </c>
      <c r="B2080" s="70" t="s">
        <v>66</v>
      </c>
      <c r="C2080" s="70" t="s">
        <v>4</v>
      </c>
      <c r="D2080" s="70" t="s">
        <v>8</v>
      </c>
      <c r="E2080" s="70" t="s">
        <v>69</v>
      </c>
      <c r="F2080" s="70" t="s">
        <v>71</v>
      </c>
      <c r="G2080" s="71">
        <v>8054919013</v>
      </c>
      <c r="H2080" s="70" t="s">
        <v>68</v>
      </c>
    </row>
    <row r="2081" spans="1:8" ht="17.25" customHeight="1" x14ac:dyDescent="0.2">
      <c r="A2081" s="69">
        <v>2026</v>
      </c>
      <c r="B2081" s="70" t="s">
        <v>66</v>
      </c>
      <c r="C2081" s="70" t="s">
        <v>4</v>
      </c>
      <c r="D2081" s="70" t="s">
        <v>8</v>
      </c>
      <c r="E2081" s="70" t="s">
        <v>69</v>
      </c>
      <c r="F2081" s="70" t="s">
        <v>70</v>
      </c>
      <c r="G2081" s="71">
        <v>3593368596</v>
      </c>
      <c r="H2081" s="70" t="s">
        <v>68</v>
      </c>
    </row>
    <row r="2082" spans="1:8" ht="17.25" customHeight="1" x14ac:dyDescent="0.2">
      <c r="A2082" s="69">
        <v>2026</v>
      </c>
      <c r="B2082" s="70" t="s">
        <v>66</v>
      </c>
      <c r="C2082" s="70" t="s">
        <v>4</v>
      </c>
      <c r="D2082" s="70" t="s">
        <v>9</v>
      </c>
      <c r="E2082" s="70" t="s">
        <v>67</v>
      </c>
      <c r="F2082" s="70" t="s">
        <v>67</v>
      </c>
      <c r="G2082" s="71">
        <v>41187815831</v>
      </c>
      <c r="H2082" s="70" t="s">
        <v>68</v>
      </c>
    </row>
    <row r="2083" spans="1:8" ht="17.25" customHeight="1" x14ac:dyDescent="0.2">
      <c r="A2083" s="69">
        <v>2026</v>
      </c>
      <c r="B2083" s="70" t="s">
        <v>66</v>
      </c>
      <c r="C2083" s="70" t="s">
        <v>4</v>
      </c>
      <c r="D2083" s="70" t="s">
        <v>9</v>
      </c>
      <c r="E2083" s="70" t="s">
        <v>69</v>
      </c>
      <c r="F2083" s="70" t="s">
        <v>71</v>
      </c>
      <c r="G2083" s="71">
        <v>26316040544</v>
      </c>
      <c r="H2083" s="70" t="s">
        <v>68</v>
      </c>
    </row>
    <row r="2084" spans="1:8" ht="17.25" customHeight="1" x14ac:dyDescent="0.2">
      <c r="A2084" s="69">
        <v>2026</v>
      </c>
      <c r="B2084" s="70" t="s">
        <v>66</v>
      </c>
      <c r="C2084" s="70" t="s">
        <v>4</v>
      </c>
      <c r="D2084" s="70" t="s">
        <v>9</v>
      </c>
      <c r="E2084" s="70" t="s">
        <v>69</v>
      </c>
      <c r="F2084" s="70" t="s">
        <v>70</v>
      </c>
      <c r="G2084" s="71">
        <v>32835520512</v>
      </c>
      <c r="H2084" s="70" t="s">
        <v>68</v>
      </c>
    </row>
    <row r="2085" spans="1:8" ht="17.25" customHeight="1" x14ac:dyDescent="0.2">
      <c r="A2085" s="69">
        <v>2026</v>
      </c>
      <c r="B2085" s="70" t="s">
        <v>66</v>
      </c>
      <c r="C2085" s="70" t="s">
        <v>4</v>
      </c>
      <c r="D2085" s="70" t="s">
        <v>10</v>
      </c>
      <c r="E2085" s="70" t="s">
        <v>67</v>
      </c>
      <c r="F2085" s="70" t="s">
        <v>67</v>
      </c>
      <c r="G2085" s="71">
        <v>813229292</v>
      </c>
      <c r="H2085" s="70" t="s">
        <v>68</v>
      </c>
    </row>
    <row r="2086" spans="1:8" ht="17.25" customHeight="1" x14ac:dyDescent="0.2">
      <c r="A2086" s="69">
        <v>2026</v>
      </c>
      <c r="B2086" s="70" t="s">
        <v>66</v>
      </c>
      <c r="C2086" s="70" t="s">
        <v>4</v>
      </c>
      <c r="D2086" s="70" t="s">
        <v>10</v>
      </c>
      <c r="E2086" s="70" t="s">
        <v>69</v>
      </c>
      <c r="F2086" s="70" t="s">
        <v>71</v>
      </c>
      <c r="G2086" s="71">
        <v>1888318416</v>
      </c>
      <c r="H2086" s="70" t="s">
        <v>68</v>
      </c>
    </row>
    <row r="2087" spans="1:8" ht="17.25" customHeight="1" x14ac:dyDescent="0.2">
      <c r="A2087" s="69">
        <v>2026</v>
      </c>
      <c r="B2087" s="70" t="s">
        <v>66</v>
      </c>
      <c r="C2087" s="70" t="s">
        <v>4</v>
      </c>
      <c r="D2087" s="70" t="s">
        <v>10</v>
      </c>
      <c r="E2087" s="70" t="s">
        <v>69</v>
      </c>
      <c r="F2087" s="70" t="s">
        <v>70</v>
      </c>
      <c r="G2087" s="71">
        <v>202842621</v>
      </c>
      <c r="H2087" s="70" t="s">
        <v>68</v>
      </c>
    </row>
    <row r="2088" spans="1:8" ht="17.25" customHeight="1" x14ac:dyDescent="0.2">
      <c r="A2088" s="69">
        <v>2026</v>
      </c>
      <c r="B2088" s="70" t="s">
        <v>66</v>
      </c>
      <c r="C2088" s="70" t="s">
        <v>4</v>
      </c>
      <c r="D2088" s="70" t="s">
        <v>11</v>
      </c>
      <c r="E2088" s="70" t="s">
        <v>67</v>
      </c>
      <c r="F2088" s="70" t="s">
        <v>67</v>
      </c>
      <c r="G2088" s="71">
        <v>3232846576</v>
      </c>
      <c r="H2088" s="70" t="s">
        <v>68</v>
      </c>
    </row>
    <row r="2089" spans="1:8" ht="17.25" customHeight="1" x14ac:dyDescent="0.2">
      <c r="A2089" s="69">
        <v>2026</v>
      </c>
      <c r="B2089" s="70" t="s">
        <v>66</v>
      </c>
      <c r="C2089" s="70" t="s">
        <v>4</v>
      </c>
      <c r="D2089" s="70" t="s">
        <v>11</v>
      </c>
      <c r="E2089" s="70" t="s">
        <v>69</v>
      </c>
      <c r="F2089" s="70" t="s">
        <v>71</v>
      </c>
      <c r="G2089" s="71">
        <v>4040753409</v>
      </c>
      <c r="H2089" s="70" t="s">
        <v>68</v>
      </c>
    </row>
    <row r="2090" spans="1:8" ht="17.25" customHeight="1" x14ac:dyDescent="0.2">
      <c r="A2090" s="69">
        <v>2026</v>
      </c>
      <c r="B2090" s="70" t="s">
        <v>66</v>
      </c>
      <c r="C2090" s="70" t="s">
        <v>4</v>
      </c>
      <c r="D2090" s="70" t="s">
        <v>11</v>
      </c>
      <c r="E2090" s="70" t="s">
        <v>69</v>
      </c>
      <c r="F2090" s="70" t="s">
        <v>70</v>
      </c>
      <c r="G2090" s="71">
        <v>7693323983</v>
      </c>
      <c r="H2090" s="70" t="s">
        <v>68</v>
      </c>
    </row>
    <row r="2091" spans="1:8" ht="17.25" customHeight="1" x14ac:dyDescent="0.2">
      <c r="A2091" s="69">
        <v>2026</v>
      </c>
      <c r="B2091" s="70" t="s">
        <v>66</v>
      </c>
      <c r="C2091" s="70" t="s">
        <v>4</v>
      </c>
      <c r="D2091" s="70" t="s">
        <v>12</v>
      </c>
      <c r="E2091" s="70" t="s">
        <v>67</v>
      </c>
      <c r="F2091" s="70" t="s">
        <v>67</v>
      </c>
      <c r="G2091" s="71">
        <v>4802059840</v>
      </c>
      <c r="H2091" s="70" t="s">
        <v>68</v>
      </c>
    </row>
    <row r="2092" spans="1:8" ht="17.25" customHeight="1" x14ac:dyDescent="0.2">
      <c r="A2092" s="69">
        <v>2026</v>
      </c>
      <c r="B2092" s="70" t="s">
        <v>66</v>
      </c>
      <c r="C2092" s="70" t="s">
        <v>4</v>
      </c>
      <c r="D2092" s="70" t="s">
        <v>12</v>
      </c>
      <c r="E2092" s="70" t="s">
        <v>69</v>
      </c>
      <c r="F2092" s="70" t="s">
        <v>71</v>
      </c>
      <c r="G2092" s="71">
        <v>6118762160</v>
      </c>
      <c r="H2092" s="70" t="s">
        <v>68</v>
      </c>
    </row>
    <row r="2093" spans="1:8" ht="17.25" customHeight="1" x14ac:dyDescent="0.2">
      <c r="A2093" s="69">
        <v>2026</v>
      </c>
      <c r="B2093" s="70" t="s">
        <v>66</v>
      </c>
      <c r="C2093" s="70" t="s">
        <v>4</v>
      </c>
      <c r="D2093" s="70" t="s">
        <v>12</v>
      </c>
      <c r="E2093" s="70" t="s">
        <v>69</v>
      </c>
      <c r="F2093" s="70" t="s">
        <v>70</v>
      </c>
      <c r="G2093" s="71">
        <v>5983655010</v>
      </c>
      <c r="H2093" s="70" t="s">
        <v>68</v>
      </c>
    </row>
    <row r="2094" spans="1:8" ht="17.25" customHeight="1" x14ac:dyDescent="0.2">
      <c r="A2094" s="69">
        <v>2026</v>
      </c>
      <c r="B2094" s="70" t="s">
        <v>66</v>
      </c>
      <c r="C2094" s="70" t="s">
        <v>4</v>
      </c>
      <c r="D2094" s="70" t="s">
        <v>13</v>
      </c>
      <c r="E2094" s="70" t="s">
        <v>67</v>
      </c>
      <c r="F2094" s="70" t="s">
        <v>67</v>
      </c>
      <c r="G2094" s="71">
        <v>10008434426</v>
      </c>
      <c r="H2094" s="70" t="s">
        <v>68</v>
      </c>
    </row>
    <row r="2095" spans="1:8" ht="17.25" customHeight="1" x14ac:dyDescent="0.2">
      <c r="A2095" s="69">
        <v>2026</v>
      </c>
      <c r="B2095" s="70" t="s">
        <v>66</v>
      </c>
      <c r="C2095" s="70" t="s">
        <v>4</v>
      </c>
      <c r="D2095" s="70" t="s">
        <v>13</v>
      </c>
      <c r="E2095" s="70" t="s">
        <v>69</v>
      </c>
      <c r="F2095" s="70" t="s">
        <v>71</v>
      </c>
      <c r="G2095" s="71">
        <v>7700436402</v>
      </c>
      <c r="H2095" s="70" t="s">
        <v>68</v>
      </c>
    </row>
    <row r="2096" spans="1:8" ht="17.25" customHeight="1" x14ac:dyDescent="0.2">
      <c r="A2096" s="69">
        <v>2026</v>
      </c>
      <c r="B2096" s="70" t="s">
        <v>66</v>
      </c>
      <c r="C2096" s="70" t="s">
        <v>4</v>
      </c>
      <c r="D2096" s="70" t="s">
        <v>13</v>
      </c>
      <c r="E2096" s="70" t="s">
        <v>69</v>
      </c>
      <c r="F2096" s="70" t="s">
        <v>70</v>
      </c>
      <c r="G2096" s="71">
        <v>8872557402</v>
      </c>
      <c r="H2096" s="70" t="s">
        <v>68</v>
      </c>
    </row>
    <row r="2097" spans="1:8" ht="17.25" customHeight="1" x14ac:dyDescent="0.2">
      <c r="A2097" s="69">
        <v>2026</v>
      </c>
      <c r="B2097" s="70" t="s">
        <v>66</v>
      </c>
      <c r="C2097" s="70" t="s">
        <v>4</v>
      </c>
      <c r="D2097" s="70" t="s">
        <v>14</v>
      </c>
      <c r="E2097" s="70" t="s">
        <v>67</v>
      </c>
      <c r="F2097" s="70" t="s">
        <v>67</v>
      </c>
      <c r="G2097" s="71">
        <v>6579600385</v>
      </c>
      <c r="H2097" s="70" t="s">
        <v>68</v>
      </c>
    </row>
    <row r="2098" spans="1:8" ht="17.25" customHeight="1" x14ac:dyDescent="0.2">
      <c r="A2098" s="69">
        <v>2026</v>
      </c>
      <c r="B2098" s="70" t="s">
        <v>66</v>
      </c>
      <c r="C2098" s="70" t="s">
        <v>4</v>
      </c>
      <c r="D2098" s="70" t="s">
        <v>14</v>
      </c>
      <c r="E2098" s="70" t="s">
        <v>69</v>
      </c>
      <c r="F2098" s="70" t="s">
        <v>71</v>
      </c>
      <c r="G2098" s="71">
        <v>3180585594</v>
      </c>
      <c r="H2098" s="70" t="s">
        <v>68</v>
      </c>
    </row>
    <row r="2099" spans="1:8" ht="17.25" customHeight="1" x14ac:dyDescent="0.2">
      <c r="A2099" s="69">
        <v>2026</v>
      </c>
      <c r="B2099" s="70" t="s">
        <v>66</v>
      </c>
      <c r="C2099" s="70" t="s">
        <v>4</v>
      </c>
      <c r="D2099" s="70" t="s">
        <v>14</v>
      </c>
      <c r="E2099" s="70" t="s">
        <v>69</v>
      </c>
      <c r="F2099" s="70" t="s">
        <v>70</v>
      </c>
      <c r="G2099" s="71">
        <v>4392076242</v>
      </c>
      <c r="H2099" s="70" t="s">
        <v>68</v>
      </c>
    </row>
    <row r="2100" spans="1:8" ht="17.25" customHeight="1" x14ac:dyDescent="0.2">
      <c r="A2100" s="69">
        <v>2026</v>
      </c>
      <c r="B2100" s="70" t="s">
        <v>66</v>
      </c>
      <c r="C2100" s="70" t="s">
        <v>4</v>
      </c>
      <c r="D2100" s="70" t="s">
        <v>15</v>
      </c>
      <c r="E2100" s="70" t="s">
        <v>67</v>
      </c>
      <c r="F2100" s="70" t="s">
        <v>67</v>
      </c>
      <c r="G2100" s="71">
        <v>6504684693</v>
      </c>
      <c r="H2100" s="70" t="s">
        <v>68</v>
      </c>
    </row>
    <row r="2101" spans="1:8" ht="17.25" customHeight="1" x14ac:dyDescent="0.2">
      <c r="A2101" s="69">
        <v>2026</v>
      </c>
      <c r="B2101" s="70" t="s">
        <v>66</v>
      </c>
      <c r="C2101" s="70" t="s">
        <v>4</v>
      </c>
      <c r="D2101" s="70" t="s">
        <v>15</v>
      </c>
      <c r="E2101" s="70" t="s">
        <v>69</v>
      </c>
      <c r="F2101" s="70" t="s">
        <v>71</v>
      </c>
      <c r="G2101" s="71">
        <v>10374593712</v>
      </c>
      <c r="H2101" s="70" t="s">
        <v>68</v>
      </c>
    </row>
    <row r="2102" spans="1:8" ht="17.25" customHeight="1" x14ac:dyDescent="0.2">
      <c r="A2102" s="69">
        <v>2026</v>
      </c>
      <c r="B2102" s="70" t="s">
        <v>66</v>
      </c>
      <c r="C2102" s="70" t="s">
        <v>4</v>
      </c>
      <c r="D2102" s="70" t="s">
        <v>15</v>
      </c>
      <c r="E2102" s="70" t="s">
        <v>69</v>
      </c>
      <c r="F2102" s="70" t="s">
        <v>70</v>
      </c>
      <c r="G2102" s="71">
        <v>4033738751</v>
      </c>
      <c r="H2102" s="70" t="s">
        <v>68</v>
      </c>
    </row>
    <row r="2103" spans="1:8" ht="17.25" customHeight="1" x14ac:dyDescent="0.2">
      <c r="A2103" s="69">
        <v>2026</v>
      </c>
      <c r="B2103" s="70" t="s">
        <v>66</v>
      </c>
      <c r="C2103" s="70" t="s">
        <v>17</v>
      </c>
      <c r="D2103" s="70" t="s">
        <v>16</v>
      </c>
      <c r="E2103" s="70" t="s">
        <v>67</v>
      </c>
      <c r="F2103" s="70" t="s">
        <v>67</v>
      </c>
      <c r="G2103" s="71">
        <v>982238463</v>
      </c>
      <c r="H2103" s="70" t="s">
        <v>68</v>
      </c>
    </row>
    <row r="2104" spans="1:8" ht="17.25" customHeight="1" x14ac:dyDescent="0.2">
      <c r="A2104" s="69">
        <v>2026</v>
      </c>
      <c r="B2104" s="70" t="s">
        <v>66</v>
      </c>
      <c r="C2104" s="70" t="s">
        <v>17</v>
      </c>
      <c r="D2104" s="70" t="s">
        <v>16</v>
      </c>
      <c r="E2104" s="70" t="s">
        <v>69</v>
      </c>
      <c r="F2104" s="70" t="s">
        <v>71</v>
      </c>
      <c r="G2104" s="71">
        <v>838600126</v>
      </c>
      <c r="H2104" s="70" t="s">
        <v>68</v>
      </c>
    </row>
    <row r="2105" spans="1:8" ht="17.25" customHeight="1" x14ac:dyDescent="0.2">
      <c r="A2105" s="69">
        <v>2026</v>
      </c>
      <c r="B2105" s="70" t="s">
        <v>66</v>
      </c>
      <c r="C2105" s="70" t="s">
        <v>17</v>
      </c>
      <c r="D2105" s="70" t="s">
        <v>16</v>
      </c>
      <c r="E2105" s="70" t="s">
        <v>69</v>
      </c>
      <c r="F2105" s="70" t="s">
        <v>70</v>
      </c>
      <c r="G2105" s="71">
        <v>346039020</v>
      </c>
      <c r="H2105" s="70" t="s">
        <v>68</v>
      </c>
    </row>
    <row r="2106" spans="1:8" ht="17.25" customHeight="1" x14ac:dyDescent="0.2">
      <c r="A2106" s="69">
        <v>2026</v>
      </c>
      <c r="B2106" s="70" t="s">
        <v>66</v>
      </c>
      <c r="C2106" s="70" t="s">
        <v>17</v>
      </c>
      <c r="D2106" s="70" t="s">
        <v>18</v>
      </c>
      <c r="E2106" s="70" t="s">
        <v>67</v>
      </c>
      <c r="F2106" s="70" t="s">
        <v>67</v>
      </c>
      <c r="G2106" s="71">
        <v>1667365988</v>
      </c>
      <c r="H2106" s="70" t="s">
        <v>68</v>
      </c>
    </row>
    <row r="2107" spans="1:8" ht="17.25" customHeight="1" x14ac:dyDescent="0.2">
      <c r="A2107" s="69">
        <v>2026</v>
      </c>
      <c r="B2107" s="70" t="s">
        <v>66</v>
      </c>
      <c r="C2107" s="70" t="s">
        <v>17</v>
      </c>
      <c r="D2107" s="70" t="s">
        <v>18</v>
      </c>
      <c r="E2107" s="70" t="s">
        <v>69</v>
      </c>
      <c r="F2107" s="70" t="s">
        <v>71</v>
      </c>
      <c r="G2107" s="71">
        <v>1630997938</v>
      </c>
      <c r="H2107" s="70" t="s">
        <v>68</v>
      </c>
    </row>
    <row r="2108" spans="1:8" ht="17.25" customHeight="1" x14ac:dyDescent="0.2">
      <c r="A2108" s="69">
        <v>2026</v>
      </c>
      <c r="B2108" s="70" t="s">
        <v>66</v>
      </c>
      <c r="C2108" s="70" t="s">
        <v>17</v>
      </c>
      <c r="D2108" s="70" t="s">
        <v>18</v>
      </c>
      <c r="E2108" s="70" t="s">
        <v>69</v>
      </c>
      <c r="F2108" s="70" t="s">
        <v>70</v>
      </c>
      <c r="G2108" s="71">
        <v>2214181944</v>
      </c>
      <c r="H2108" s="70" t="s">
        <v>68</v>
      </c>
    </row>
    <row r="2109" spans="1:8" ht="17.25" customHeight="1" x14ac:dyDescent="0.2">
      <c r="A2109" s="69">
        <v>2026</v>
      </c>
      <c r="B2109" s="70" t="s">
        <v>66</v>
      </c>
      <c r="C2109" s="70" t="s">
        <v>17</v>
      </c>
      <c r="D2109" s="70" t="s">
        <v>19</v>
      </c>
      <c r="E2109" s="70" t="s">
        <v>67</v>
      </c>
      <c r="F2109" s="70" t="s">
        <v>67</v>
      </c>
      <c r="G2109" s="71">
        <v>5003176731</v>
      </c>
      <c r="H2109" s="70" t="s">
        <v>68</v>
      </c>
    </row>
    <row r="2110" spans="1:8" ht="17.25" customHeight="1" x14ac:dyDescent="0.2">
      <c r="A2110" s="69">
        <v>2026</v>
      </c>
      <c r="B2110" s="70" t="s">
        <v>66</v>
      </c>
      <c r="C2110" s="70" t="s">
        <v>17</v>
      </c>
      <c r="D2110" s="70" t="s">
        <v>19</v>
      </c>
      <c r="E2110" s="70" t="s">
        <v>69</v>
      </c>
      <c r="F2110" s="70" t="s">
        <v>71</v>
      </c>
      <c r="G2110" s="71">
        <v>4769855493</v>
      </c>
      <c r="H2110" s="70" t="s">
        <v>68</v>
      </c>
    </row>
    <row r="2111" spans="1:8" ht="17.25" customHeight="1" x14ac:dyDescent="0.2">
      <c r="A2111" s="69">
        <v>2026</v>
      </c>
      <c r="B2111" s="70" t="s">
        <v>66</v>
      </c>
      <c r="C2111" s="70" t="s">
        <v>17</v>
      </c>
      <c r="D2111" s="70" t="s">
        <v>19</v>
      </c>
      <c r="E2111" s="70" t="s">
        <v>69</v>
      </c>
      <c r="F2111" s="70" t="s">
        <v>70</v>
      </c>
      <c r="G2111" s="71">
        <v>2484153766</v>
      </c>
      <c r="H2111" s="70" t="s">
        <v>68</v>
      </c>
    </row>
    <row r="2112" spans="1:8" ht="17.25" customHeight="1" x14ac:dyDescent="0.2">
      <c r="A2112" s="69">
        <v>2026</v>
      </c>
      <c r="B2112" s="70" t="s">
        <v>66</v>
      </c>
      <c r="C2112" s="70" t="s">
        <v>17</v>
      </c>
      <c r="D2112" s="70" t="s">
        <v>20</v>
      </c>
      <c r="E2112" s="70" t="s">
        <v>67</v>
      </c>
      <c r="F2112" s="70" t="s">
        <v>67</v>
      </c>
      <c r="G2112" s="71">
        <v>660750411</v>
      </c>
      <c r="H2112" s="70" t="s">
        <v>68</v>
      </c>
    </row>
    <row r="2113" spans="1:8" ht="17.25" customHeight="1" x14ac:dyDescent="0.2">
      <c r="A2113" s="69">
        <v>2026</v>
      </c>
      <c r="B2113" s="70" t="s">
        <v>66</v>
      </c>
      <c r="C2113" s="70" t="s">
        <v>17</v>
      </c>
      <c r="D2113" s="70" t="s">
        <v>20</v>
      </c>
      <c r="E2113" s="70" t="s">
        <v>69</v>
      </c>
      <c r="F2113" s="70" t="s">
        <v>71</v>
      </c>
      <c r="G2113" s="71">
        <v>1202035733</v>
      </c>
      <c r="H2113" s="70" t="s">
        <v>68</v>
      </c>
    </row>
    <row r="2114" spans="1:8" ht="17.25" customHeight="1" x14ac:dyDescent="0.2">
      <c r="A2114" s="69">
        <v>2026</v>
      </c>
      <c r="B2114" s="70" t="s">
        <v>66</v>
      </c>
      <c r="C2114" s="70" t="s">
        <v>17</v>
      </c>
      <c r="D2114" s="70" t="s">
        <v>20</v>
      </c>
      <c r="E2114" s="70" t="s">
        <v>69</v>
      </c>
      <c r="F2114" s="70" t="s">
        <v>70</v>
      </c>
      <c r="G2114" s="71">
        <v>7079157983</v>
      </c>
      <c r="H2114" s="70" t="s">
        <v>68</v>
      </c>
    </row>
    <row r="2115" spans="1:8" ht="17.25" customHeight="1" x14ac:dyDescent="0.2">
      <c r="A2115" s="69">
        <v>2026</v>
      </c>
      <c r="B2115" s="70" t="s">
        <v>66</v>
      </c>
      <c r="C2115" s="70" t="s">
        <v>17</v>
      </c>
      <c r="D2115" s="70" t="s">
        <v>21</v>
      </c>
      <c r="E2115" s="70" t="s">
        <v>67</v>
      </c>
      <c r="F2115" s="70" t="s">
        <v>67</v>
      </c>
      <c r="G2115" s="71">
        <v>3318966122</v>
      </c>
      <c r="H2115" s="70" t="s">
        <v>68</v>
      </c>
    </row>
    <row r="2116" spans="1:8" ht="17.25" customHeight="1" x14ac:dyDescent="0.2">
      <c r="A2116" s="69">
        <v>2026</v>
      </c>
      <c r="B2116" s="70" t="s">
        <v>66</v>
      </c>
      <c r="C2116" s="70" t="s">
        <v>17</v>
      </c>
      <c r="D2116" s="70" t="s">
        <v>21</v>
      </c>
      <c r="E2116" s="70" t="s">
        <v>69</v>
      </c>
      <c r="F2116" s="70" t="s">
        <v>71</v>
      </c>
      <c r="G2116" s="71">
        <v>2033727704</v>
      </c>
      <c r="H2116" s="70" t="s">
        <v>68</v>
      </c>
    </row>
    <row r="2117" spans="1:8" ht="17.25" customHeight="1" x14ac:dyDescent="0.2">
      <c r="A2117" s="69">
        <v>2026</v>
      </c>
      <c r="B2117" s="70" t="s">
        <v>66</v>
      </c>
      <c r="C2117" s="70" t="s">
        <v>17</v>
      </c>
      <c r="D2117" s="70" t="s">
        <v>21</v>
      </c>
      <c r="E2117" s="70" t="s">
        <v>69</v>
      </c>
      <c r="F2117" s="70" t="s">
        <v>70</v>
      </c>
      <c r="G2117" s="71">
        <v>2665926744</v>
      </c>
      <c r="H2117" s="70" t="s">
        <v>68</v>
      </c>
    </row>
    <row r="2118" spans="1:8" ht="17.25" customHeight="1" x14ac:dyDescent="0.2">
      <c r="A2118" s="69">
        <v>2026</v>
      </c>
      <c r="B2118" s="70" t="s">
        <v>66</v>
      </c>
      <c r="C2118" s="70" t="s">
        <v>17</v>
      </c>
      <c r="D2118" s="70" t="s">
        <v>22</v>
      </c>
      <c r="E2118" s="70" t="s">
        <v>67</v>
      </c>
      <c r="F2118" s="70" t="s">
        <v>67</v>
      </c>
      <c r="G2118" s="71">
        <v>1090439702</v>
      </c>
      <c r="H2118" s="70" t="s">
        <v>68</v>
      </c>
    </row>
    <row r="2119" spans="1:8" ht="17.25" customHeight="1" x14ac:dyDescent="0.2">
      <c r="A2119" s="69">
        <v>2026</v>
      </c>
      <c r="B2119" s="70" t="s">
        <v>66</v>
      </c>
      <c r="C2119" s="70" t="s">
        <v>17</v>
      </c>
      <c r="D2119" s="70" t="s">
        <v>22</v>
      </c>
      <c r="E2119" s="70" t="s">
        <v>69</v>
      </c>
      <c r="F2119" s="70" t="s">
        <v>71</v>
      </c>
      <c r="G2119" s="71">
        <v>979196405</v>
      </c>
      <c r="H2119" s="70" t="s">
        <v>68</v>
      </c>
    </row>
    <row r="2120" spans="1:8" ht="17.25" customHeight="1" x14ac:dyDescent="0.2">
      <c r="A2120" s="69">
        <v>2026</v>
      </c>
      <c r="B2120" s="70" t="s">
        <v>66</v>
      </c>
      <c r="C2120" s="70" t="s">
        <v>17</v>
      </c>
      <c r="D2120" s="70" t="s">
        <v>22</v>
      </c>
      <c r="E2120" s="70" t="s">
        <v>69</v>
      </c>
      <c r="F2120" s="70" t="s">
        <v>70</v>
      </c>
      <c r="G2120" s="71">
        <v>1328470346</v>
      </c>
      <c r="H2120" s="70" t="s">
        <v>68</v>
      </c>
    </row>
    <row r="2121" spans="1:8" ht="17.25" customHeight="1" x14ac:dyDescent="0.2">
      <c r="A2121" s="69">
        <v>2026</v>
      </c>
      <c r="B2121" s="70" t="s">
        <v>66</v>
      </c>
      <c r="C2121" s="70" t="s">
        <v>17</v>
      </c>
      <c r="D2121" s="70" t="s">
        <v>23</v>
      </c>
      <c r="E2121" s="70" t="s">
        <v>67</v>
      </c>
      <c r="F2121" s="70" t="s">
        <v>67</v>
      </c>
      <c r="G2121" s="71">
        <v>1135002619</v>
      </c>
      <c r="H2121" s="70" t="s">
        <v>68</v>
      </c>
    </row>
    <row r="2122" spans="1:8" ht="17.25" customHeight="1" x14ac:dyDescent="0.2">
      <c r="A2122" s="69">
        <v>2026</v>
      </c>
      <c r="B2122" s="70" t="s">
        <v>66</v>
      </c>
      <c r="C2122" s="70" t="s">
        <v>17</v>
      </c>
      <c r="D2122" s="70" t="s">
        <v>23</v>
      </c>
      <c r="E2122" s="70" t="s">
        <v>69</v>
      </c>
      <c r="F2122" s="70" t="s">
        <v>71</v>
      </c>
      <c r="G2122" s="71">
        <v>1098193844</v>
      </c>
      <c r="H2122" s="70" t="s">
        <v>68</v>
      </c>
    </row>
    <row r="2123" spans="1:8" ht="17.25" customHeight="1" x14ac:dyDescent="0.2">
      <c r="A2123" s="69">
        <v>2026</v>
      </c>
      <c r="B2123" s="70" t="s">
        <v>66</v>
      </c>
      <c r="C2123" s="70" t="s">
        <v>17</v>
      </c>
      <c r="D2123" s="70" t="s">
        <v>23</v>
      </c>
      <c r="E2123" s="70" t="s">
        <v>69</v>
      </c>
      <c r="F2123" s="70" t="s">
        <v>70</v>
      </c>
      <c r="G2123" s="71">
        <v>577652182</v>
      </c>
      <c r="H2123" s="70" t="s">
        <v>68</v>
      </c>
    </row>
    <row r="2124" spans="1:8" ht="17.25" customHeight="1" x14ac:dyDescent="0.2">
      <c r="A2124" s="69">
        <v>2026</v>
      </c>
      <c r="B2124" s="70" t="s">
        <v>66</v>
      </c>
      <c r="C2124" s="70" t="s">
        <v>17</v>
      </c>
      <c r="D2124" s="70" t="s">
        <v>24</v>
      </c>
      <c r="E2124" s="70" t="s">
        <v>67</v>
      </c>
      <c r="F2124" s="70" t="s">
        <v>67</v>
      </c>
      <c r="G2124" s="71">
        <v>17441951561</v>
      </c>
      <c r="H2124" s="70" t="s">
        <v>68</v>
      </c>
    </row>
    <row r="2125" spans="1:8" ht="17.25" customHeight="1" x14ac:dyDescent="0.2">
      <c r="A2125" s="69">
        <v>2026</v>
      </c>
      <c r="B2125" s="70" t="s">
        <v>66</v>
      </c>
      <c r="C2125" s="70" t="s">
        <v>17</v>
      </c>
      <c r="D2125" s="70" t="s">
        <v>24</v>
      </c>
      <c r="E2125" s="70" t="s">
        <v>69</v>
      </c>
      <c r="F2125" s="70" t="s">
        <v>71</v>
      </c>
      <c r="G2125" s="71">
        <v>10380949735</v>
      </c>
      <c r="H2125" s="70" t="s">
        <v>68</v>
      </c>
    </row>
    <row r="2126" spans="1:8" ht="17.25" customHeight="1" x14ac:dyDescent="0.2">
      <c r="A2126" s="69">
        <v>2026</v>
      </c>
      <c r="B2126" s="70" t="s">
        <v>66</v>
      </c>
      <c r="C2126" s="70" t="s">
        <v>17</v>
      </c>
      <c r="D2126" s="70" t="s">
        <v>24</v>
      </c>
      <c r="E2126" s="70" t="s">
        <v>69</v>
      </c>
      <c r="F2126" s="70" t="s">
        <v>70</v>
      </c>
      <c r="G2126" s="71">
        <v>12375620130</v>
      </c>
      <c r="H2126" s="70" t="s">
        <v>68</v>
      </c>
    </row>
    <row r="2127" spans="1:8" ht="17.25" customHeight="1" x14ac:dyDescent="0.2">
      <c r="A2127" s="69">
        <v>2026</v>
      </c>
      <c r="B2127" s="70" t="s">
        <v>66</v>
      </c>
      <c r="C2127" s="70" t="s">
        <v>17</v>
      </c>
      <c r="D2127" s="70" t="s">
        <v>25</v>
      </c>
      <c r="E2127" s="70" t="s">
        <v>67</v>
      </c>
      <c r="F2127" s="70" t="s">
        <v>67</v>
      </c>
      <c r="G2127" s="71">
        <v>0</v>
      </c>
      <c r="H2127" s="70" t="s">
        <v>68</v>
      </c>
    </row>
    <row r="2128" spans="1:8" ht="17.25" customHeight="1" x14ac:dyDescent="0.2">
      <c r="A2128" s="69">
        <v>2026</v>
      </c>
      <c r="B2128" s="70" t="s">
        <v>66</v>
      </c>
      <c r="C2128" s="70" t="s">
        <v>17</v>
      </c>
      <c r="D2128" s="70" t="s">
        <v>25</v>
      </c>
      <c r="E2128" s="70" t="s">
        <v>69</v>
      </c>
      <c r="F2128" s="70" t="s">
        <v>71</v>
      </c>
      <c r="G2128" s="71">
        <v>0</v>
      </c>
      <c r="H2128" s="70" t="s">
        <v>68</v>
      </c>
    </row>
    <row r="2129" spans="1:8" ht="17.25" customHeight="1" x14ac:dyDescent="0.2">
      <c r="A2129" s="69">
        <v>2026</v>
      </c>
      <c r="B2129" s="70" t="s">
        <v>66</v>
      </c>
      <c r="C2129" s="70" t="s">
        <v>17</v>
      </c>
      <c r="D2129" s="70" t="s">
        <v>25</v>
      </c>
      <c r="E2129" s="70" t="s">
        <v>69</v>
      </c>
      <c r="F2129" s="70" t="s">
        <v>70</v>
      </c>
      <c r="G2129" s="71">
        <v>0</v>
      </c>
      <c r="H2129" s="70" t="s">
        <v>68</v>
      </c>
    </row>
    <row r="2130" spans="1:8" ht="17.25" customHeight="1" x14ac:dyDescent="0.2">
      <c r="A2130" s="69">
        <v>2026</v>
      </c>
      <c r="B2130" s="70" t="s">
        <v>66</v>
      </c>
      <c r="C2130" s="70" t="s">
        <v>27</v>
      </c>
      <c r="D2130" s="70" t="s">
        <v>26</v>
      </c>
      <c r="E2130" s="70" t="s">
        <v>67</v>
      </c>
      <c r="F2130" s="70" t="s">
        <v>67</v>
      </c>
      <c r="G2130" s="71">
        <v>28327450431</v>
      </c>
      <c r="H2130" s="70" t="s">
        <v>68</v>
      </c>
    </row>
    <row r="2131" spans="1:8" ht="17.25" customHeight="1" x14ac:dyDescent="0.2">
      <c r="A2131" s="69">
        <v>2026</v>
      </c>
      <c r="B2131" s="70" t="s">
        <v>66</v>
      </c>
      <c r="C2131" s="70" t="s">
        <v>27</v>
      </c>
      <c r="D2131" s="70" t="s">
        <v>26</v>
      </c>
      <c r="E2131" s="70" t="s">
        <v>69</v>
      </c>
      <c r="F2131" s="70" t="s">
        <v>71</v>
      </c>
      <c r="G2131" s="71">
        <v>9280000192</v>
      </c>
      <c r="H2131" s="70" t="s">
        <v>68</v>
      </c>
    </row>
    <row r="2132" spans="1:8" ht="17.25" customHeight="1" x14ac:dyDescent="0.2">
      <c r="A2132" s="69">
        <v>2026</v>
      </c>
      <c r="B2132" s="70" t="s">
        <v>66</v>
      </c>
      <c r="C2132" s="70" t="s">
        <v>27</v>
      </c>
      <c r="D2132" s="70" t="s">
        <v>26</v>
      </c>
      <c r="E2132" s="70" t="s">
        <v>69</v>
      </c>
      <c r="F2132" s="70" t="s">
        <v>70</v>
      </c>
      <c r="G2132" s="71">
        <v>26005802916</v>
      </c>
      <c r="H2132" s="70" t="s">
        <v>68</v>
      </c>
    </row>
    <row r="2133" spans="1:8" ht="17.25" customHeight="1" x14ac:dyDescent="0.2">
      <c r="A2133" s="69">
        <v>2026</v>
      </c>
      <c r="B2133" s="70" t="s">
        <v>66</v>
      </c>
      <c r="C2133" s="70" t="s">
        <v>27</v>
      </c>
      <c r="D2133" s="70" t="s">
        <v>28</v>
      </c>
      <c r="E2133" s="70" t="s">
        <v>67</v>
      </c>
      <c r="F2133" s="70" t="s">
        <v>67</v>
      </c>
      <c r="G2133" s="71">
        <v>25498920598</v>
      </c>
      <c r="H2133" s="70" t="s">
        <v>68</v>
      </c>
    </row>
    <row r="2134" spans="1:8" ht="17.25" customHeight="1" x14ac:dyDescent="0.2">
      <c r="A2134" s="69">
        <v>2026</v>
      </c>
      <c r="B2134" s="70" t="s">
        <v>66</v>
      </c>
      <c r="C2134" s="70" t="s">
        <v>27</v>
      </c>
      <c r="D2134" s="70" t="s">
        <v>28</v>
      </c>
      <c r="E2134" s="70" t="s">
        <v>69</v>
      </c>
      <c r="F2134" s="70" t="s">
        <v>71</v>
      </c>
      <c r="G2134" s="71">
        <v>17677252677</v>
      </c>
      <c r="H2134" s="70" t="s">
        <v>68</v>
      </c>
    </row>
    <row r="2135" spans="1:8" ht="17.25" customHeight="1" x14ac:dyDescent="0.2">
      <c r="A2135" s="69">
        <v>2026</v>
      </c>
      <c r="B2135" s="70" t="s">
        <v>66</v>
      </c>
      <c r="C2135" s="70" t="s">
        <v>27</v>
      </c>
      <c r="D2135" s="70" t="s">
        <v>28</v>
      </c>
      <c r="E2135" s="70" t="s">
        <v>69</v>
      </c>
      <c r="F2135" s="70" t="s">
        <v>70</v>
      </c>
      <c r="G2135" s="71">
        <v>40306158822</v>
      </c>
      <c r="H2135" s="70" t="s">
        <v>68</v>
      </c>
    </row>
    <row r="2136" spans="1:8" ht="17.25" customHeight="1" x14ac:dyDescent="0.2">
      <c r="A2136" s="69">
        <v>2026</v>
      </c>
      <c r="B2136" s="70" t="s">
        <v>66</v>
      </c>
      <c r="C2136" s="70" t="s">
        <v>27</v>
      </c>
      <c r="D2136" s="70" t="s">
        <v>29</v>
      </c>
      <c r="E2136" s="70" t="s">
        <v>67</v>
      </c>
      <c r="F2136" s="70" t="s">
        <v>67</v>
      </c>
      <c r="G2136" s="71">
        <v>14825888758</v>
      </c>
      <c r="H2136" s="70" t="s">
        <v>68</v>
      </c>
    </row>
    <row r="2137" spans="1:8" ht="17.25" customHeight="1" x14ac:dyDescent="0.2">
      <c r="A2137" s="69">
        <v>2026</v>
      </c>
      <c r="B2137" s="70" t="s">
        <v>66</v>
      </c>
      <c r="C2137" s="70" t="s">
        <v>27</v>
      </c>
      <c r="D2137" s="70" t="s">
        <v>29</v>
      </c>
      <c r="E2137" s="70" t="s">
        <v>69</v>
      </c>
      <c r="F2137" s="70" t="s">
        <v>71</v>
      </c>
      <c r="G2137" s="71">
        <v>7650880893</v>
      </c>
      <c r="H2137" s="70" t="s">
        <v>68</v>
      </c>
    </row>
    <row r="2138" spans="1:8" ht="17.25" customHeight="1" x14ac:dyDescent="0.2">
      <c r="A2138" s="69">
        <v>2026</v>
      </c>
      <c r="B2138" s="70" t="s">
        <v>66</v>
      </c>
      <c r="C2138" s="70" t="s">
        <v>27</v>
      </c>
      <c r="D2138" s="70" t="s">
        <v>29</v>
      </c>
      <c r="E2138" s="70" t="s">
        <v>69</v>
      </c>
      <c r="F2138" s="70" t="s">
        <v>70</v>
      </c>
      <c r="G2138" s="71">
        <v>13884920573</v>
      </c>
      <c r="H2138" s="70" t="s">
        <v>68</v>
      </c>
    </row>
    <row r="2139" spans="1:8" ht="17.25" customHeight="1" x14ac:dyDescent="0.2">
      <c r="A2139" s="69">
        <v>2026</v>
      </c>
      <c r="B2139" s="70" t="s">
        <v>66</v>
      </c>
      <c r="C2139" s="70" t="s">
        <v>27</v>
      </c>
      <c r="D2139" s="70" t="s">
        <v>30</v>
      </c>
      <c r="E2139" s="70" t="s">
        <v>67</v>
      </c>
      <c r="F2139" s="70" t="s">
        <v>67</v>
      </c>
      <c r="G2139" s="71">
        <v>26784959758</v>
      </c>
      <c r="H2139" s="70" t="s">
        <v>68</v>
      </c>
    </row>
    <row r="2140" spans="1:8" ht="17.25" customHeight="1" x14ac:dyDescent="0.2">
      <c r="A2140" s="69">
        <v>2026</v>
      </c>
      <c r="B2140" s="70" t="s">
        <v>66</v>
      </c>
      <c r="C2140" s="70" t="s">
        <v>27</v>
      </c>
      <c r="D2140" s="70" t="s">
        <v>30</v>
      </c>
      <c r="E2140" s="70" t="s">
        <v>69</v>
      </c>
      <c r="F2140" s="70" t="s">
        <v>71</v>
      </c>
      <c r="G2140" s="71">
        <v>15185631164</v>
      </c>
      <c r="H2140" s="70" t="s">
        <v>68</v>
      </c>
    </row>
    <row r="2141" spans="1:8" ht="17.25" customHeight="1" x14ac:dyDescent="0.2">
      <c r="A2141" s="69">
        <v>2026</v>
      </c>
      <c r="B2141" s="70" t="s">
        <v>66</v>
      </c>
      <c r="C2141" s="70" t="s">
        <v>27</v>
      </c>
      <c r="D2141" s="70" t="s">
        <v>30</v>
      </c>
      <c r="E2141" s="70" t="s">
        <v>69</v>
      </c>
      <c r="F2141" s="70" t="s">
        <v>70</v>
      </c>
      <c r="G2141" s="71">
        <v>46997840477</v>
      </c>
      <c r="H2141" s="70" t="s">
        <v>68</v>
      </c>
    </row>
    <row r="2142" spans="1:8" ht="17.25" customHeight="1" x14ac:dyDescent="0.2">
      <c r="A2142" s="69">
        <v>2026</v>
      </c>
      <c r="B2142" s="70" t="s">
        <v>66</v>
      </c>
      <c r="C2142" s="70" t="s">
        <v>27</v>
      </c>
      <c r="D2142" s="70" t="s">
        <v>31</v>
      </c>
      <c r="E2142" s="70" t="s">
        <v>67</v>
      </c>
      <c r="F2142" s="70" t="s">
        <v>67</v>
      </c>
      <c r="G2142" s="71">
        <v>4776890035</v>
      </c>
      <c r="H2142" s="70" t="s">
        <v>68</v>
      </c>
    </row>
    <row r="2143" spans="1:8" ht="17.25" customHeight="1" x14ac:dyDescent="0.2">
      <c r="A2143" s="69">
        <v>2026</v>
      </c>
      <c r="B2143" s="70" t="s">
        <v>66</v>
      </c>
      <c r="C2143" s="70" t="s">
        <v>27</v>
      </c>
      <c r="D2143" s="70" t="s">
        <v>31</v>
      </c>
      <c r="E2143" s="70" t="s">
        <v>69</v>
      </c>
      <c r="F2143" s="70" t="s">
        <v>71</v>
      </c>
      <c r="G2143" s="71">
        <v>5620423310</v>
      </c>
      <c r="H2143" s="70" t="s">
        <v>68</v>
      </c>
    </row>
    <row r="2144" spans="1:8" ht="17.25" customHeight="1" x14ac:dyDescent="0.2">
      <c r="A2144" s="69">
        <v>2026</v>
      </c>
      <c r="B2144" s="70" t="s">
        <v>66</v>
      </c>
      <c r="C2144" s="70" t="s">
        <v>27</v>
      </c>
      <c r="D2144" s="70" t="s">
        <v>31</v>
      </c>
      <c r="E2144" s="70" t="s">
        <v>69</v>
      </c>
      <c r="F2144" s="70" t="s">
        <v>70</v>
      </c>
      <c r="G2144" s="71">
        <v>13922206895</v>
      </c>
      <c r="H2144" s="70" t="s">
        <v>68</v>
      </c>
    </row>
    <row r="2145" spans="1:8" ht="17.25" customHeight="1" x14ac:dyDescent="0.2">
      <c r="A2145" s="69">
        <v>2026</v>
      </c>
      <c r="B2145" s="70" t="s">
        <v>66</v>
      </c>
      <c r="C2145" s="70" t="s">
        <v>27</v>
      </c>
      <c r="D2145" s="70" t="s">
        <v>32</v>
      </c>
      <c r="E2145" s="70" t="s">
        <v>67</v>
      </c>
      <c r="F2145" s="70" t="s">
        <v>67</v>
      </c>
      <c r="G2145" s="71">
        <v>16243921669</v>
      </c>
      <c r="H2145" s="70" t="s">
        <v>68</v>
      </c>
    </row>
    <row r="2146" spans="1:8" ht="17.25" customHeight="1" x14ac:dyDescent="0.2">
      <c r="A2146" s="69">
        <v>2026</v>
      </c>
      <c r="B2146" s="70" t="s">
        <v>66</v>
      </c>
      <c r="C2146" s="70" t="s">
        <v>27</v>
      </c>
      <c r="D2146" s="70" t="s">
        <v>32</v>
      </c>
      <c r="E2146" s="70" t="s">
        <v>69</v>
      </c>
      <c r="F2146" s="70" t="s">
        <v>71</v>
      </c>
      <c r="G2146" s="71">
        <v>13301902500</v>
      </c>
      <c r="H2146" s="70" t="s">
        <v>68</v>
      </c>
    </row>
    <row r="2147" spans="1:8" ht="17.25" customHeight="1" x14ac:dyDescent="0.2">
      <c r="A2147" s="69">
        <v>2026</v>
      </c>
      <c r="B2147" s="70" t="s">
        <v>66</v>
      </c>
      <c r="C2147" s="70" t="s">
        <v>27</v>
      </c>
      <c r="D2147" s="70" t="s">
        <v>32</v>
      </c>
      <c r="E2147" s="70" t="s">
        <v>69</v>
      </c>
      <c r="F2147" s="70" t="s">
        <v>70</v>
      </c>
      <c r="G2147" s="71">
        <v>15167409009</v>
      </c>
      <c r="H2147" s="70" t="s">
        <v>68</v>
      </c>
    </row>
    <row r="2148" spans="1:8" ht="17.25" customHeight="1" x14ac:dyDescent="0.2">
      <c r="A2148" s="69">
        <v>2026</v>
      </c>
      <c r="B2148" s="70" t="s">
        <v>66</v>
      </c>
      <c r="C2148" s="70" t="s">
        <v>27</v>
      </c>
      <c r="D2148" s="70" t="s">
        <v>33</v>
      </c>
      <c r="E2148" s="70" t="s">
        <v>67</v>
      </c>
      <c r="F2148" s="70" t="s">
        <v>67</v>
      </c>
      <c r="G2148" s="71">
        <v>12084315663</v>
      </c>
      <c r="H2148" s="70" t="s">
        <v>68</v>
      </c>
    </row>
    <row r="2149" spans="1:8" ht="17.25" customHeight="1" x14ac:dyDescent="0.2">
      <c r="A2149" s="69">
        <v>2026</v>
      </c>
      <c r="B2149" s="70" t="s">
        <v>66</v>
      </c>
      <c r="C2149" s="70" t="s">
        <v>27</v>
      </c>
      <c r="D2149" s="70" t="s">
        <v>33</v>
      </c>
      <c r="E2149" s="70" t="s">
        <v>69</v>
      </c>
      <c r="F2149" s="70" t="s">
        <v>71</v>
      </c>
      <c r="G2149" s="71">
        <v>13528076876</v>
      </c>
      <c r="H2149" s="70" t="s">
        <v>68</v>
      </c>
    </row>
    <row r="2150" spans="1:8" ht="17.25" customHeight="1" x14ac:dyDescent="0.2">
      <c r="A2150" s="69">
        <v>2026</v>
      </c>
      <c r="B2150" s="70" t="s">
        <v>66</v>
      </c>
      <c r="C2150" s="70" t="s">
        <v>27</v>
      </c>
      <c r="D2150" s="70" t="s">
        <v>33</v>
      </c>
      <c r="E2150" s="70" t="s">
        <v>69</v>
      </c>
      <c r="F2150" s="70" t="s">
        <v>70</v>
      </c>
      <c r="G2150" s="71">
        <v>48968899704</v>
      </c>
      <c r="H2150" s="70" t="s">
        <v>68</v>
      </c>
    </row>
    <row r="2151" spans="1:8" ht="17.25" customHeight="1" x14ac:dyDescent="0.2">
      <c r="A2151" s="69">
        <v>2026</v>
      </c>
      <c r="B2151" s="70" t="s">
        <v>66</v>
      </c>
      <c r="C2151" s="70" t="s">
        <v>35</v>
      </c>
      <c r="D2151" s="70" t="s">
        <v>34</v>
      </c>
      <c r="E2151" s="70" t="s">
        <v>67</v>
      </c>
      <c r="F2151" s="70" t="s">
        <v>67</v>
      </c>
      <c r="G2151" s="71">
        <v>5003422814</v>
      </c>
      <c r="H2151" s="70" t="s">
        <v>68</v>
      </c>
    </row>
    <row r="2152" spans="1:8" ht="17.25" customHeight="1" x14ac:dyDescent="0.2">
      <c r="A2152" s="69">
        <v>2026</v>
      </c>
      <c r="B2152" s="70" t="s">
        <v>66</v>
      </c>
      <c r="C2152" s="70" t="s">
        <v>35</v>
      </c>
      <c r="D2152" s="70" t="s">
        <v>34</v>
      </c>
      <c r="E2152" s="70" t="s">
        <v>69</v>
      </c>
      <c r="F2152" s="70" t="s">
        <v>71</v>
      </c>
      <c r="G2152" s="71">
        <v>2268527294</v>
      </c>
      <c r="H2152" s="70" t="s">
        <v>68</v>
      </c>
    </row>
    <row r="2153" spans="1:8" ht="17.25" customHeight="1" x14ac:dyDescent="0.2">
      <c r="A2153" s="69">
        <v>2026</v>
      </c>
      <c r="B2153" s="70" t="s">
        <v>66</v>
      </c>
      <c r="C2153" s="70" t="s">
        <v>35</v>
      </c>
      <c r="D2153" s="70" t="s">
        <v>34</v>
      </c>
      <c r="E2153" s="70" t="s">
        <v>69</v>
      </c>
      <c r="F2153" s="70" t="s">
        <v>70</v>
      </c>
      <c r="G2153" s="71">
        <v>2193730682</v>
      </c>
      <c r="H2153" s="70" t="s">
        <v>68</v>
      </c>
    </row>
    <row r="2154" spans="1:8" ht="17.25" customHeight="1" x14ac:dyDescent="0.2">
      <c r="A2154" s="69">
        <v>2026</v>
      </c>
      <c r="B2154" s="70" t="s">
        <v>66</v>
      </c>
      <c r="C2154" s="70" t="s">
        <v>35</v>
      </c>
      <c r="D2154" s="70" t="s">
        <v>36</v>
      </c>
      <c r="E2154" s="70" t="s">
        <v>67</v>
      </c>
      <c r="F2154" s="70" t="s">
        <v>67</v>
      </c>
      <c r="G2154" s="71">
        <v>13334261596</v>
      </c>
      <c r="H2154" s="70" t="s">
        <v>68</v>
      </c>
    </row>
    <row r="2155" spans="1:8" ht="17.25" customHeight="1" x14ac:dyDescent="0.2">
      <c r="A2155" s="69">
        <v>2026</v>
      </c>
      <c r="B2155" s="70" t="s">
        <v>66</v>
      </c>
      <c r="C2155" s="70" t="s">
        <v>35</v>
      </c>
      <c r="D2155" s="70" t="s">
        <v>36</v>
      </c>
      <c r="E2155" s="70" t="s">
        <v>69</v>
      </c>
      <c r="F2155" s="70" t="s">
        <v>71</v>
      </c>
      <c r="G2155" s="71">
        <v>7777137008</v>
      </c>
      <c r="H2155" s="70" t="s">
        <v>68</v>
      </c>
    </row>
    <row r="2156" spans="1:8" ht="17.25" customHeight="1" x14ac:dyDescent="0.2">
      <c r="A2156" s="69">
        <v>2026</v>
      </c>
      <c r="B2156" s="70" t="s">
        <v>66</v>
      </c>
      <c r="C2156" s="70" t="s">
        <v>35</v>
      </c>
      <c r="D2156" s="70" t="s">
        <v>36</v>
      </c>
      <c r="E2156" s="70" t="s">
        <v>69</v>
      </c>
      <c r="F2156" s="70" t="s">
        <v>70</v>
      </c>
      <c r="G2156" s="71">
        <v>6935680734</v>
      </c>
      <c r="H2156" s="70" t="s">
        <v>68</v>
      </c>
    </row>
    <row r="2157" spans="1:8" ht="17.25" customHeight="1" x14ac:dyDescent="0.2">
      <c r="A2157" s="69">
        <v>2026</v>
      </c>
      <c r="B2157" s="70" t="s">
        <v>66</v>
      </c>
      <c r="C2157" s="70" t="s">
        <v>35</v>
      </c>
      <c r="D2157" s="70" t="s">
        <v>37</v>
      </c>
      <c r="E2157" s="70" t="s">
        <v>67</v>
      </c>
      <c r="F2157" s="70" t="s">
        <v>67</v>
      </c>
      <c r="G2157" s="71">
        <v>2233315939</v>
      </c>
      <c r="H2157" s="70" t="s">
        <v>68</v>
      </c>
    </row>
    <row r="2158" spans="1:8" ht="17.25" customHeight="1" x14ac:dyDescent="0.2">
      <c r="A2158" s="69">
        <v>2026</v>
      </c>
      <c r="B2158" s="70" t="s">
        <v>66</v>
      </c>
      <c r="C2158" s="70" t="s">
        <v>35</v>
      </c>
      <c r="D2158" s="70" t="s">
        <v>37</v>
      </c>
      <c r="E2158" s="70" t="s">
        <v>69</v>
      </c>
      <c r="F2158" s="70" t="s">
        <v>71</v>
      </c>
      <c r="G2158" s="71">
        <v>1274858051</v>
      </c>
      <c r="H2158" s="70" t="s">
        <v>68</v>
      </c>
    </row>
    <row r="2159" spans="1:8" ht="17.25" customHeight="1" x14ac:dyDescent="0.2">
      <c r="A2159" s="69">
        <v>2026</v>
      </c>
      <c r="B2159" s="70" t="s">
        <v>66</v>
      </c>
      <c r="C2159" s="70" t="s">
        <v>35</v>
      </c>
      <c r="D2159" s="70" t="s">
        <v>37</v>
      </c>
      <c r="E2159" s="70" t="s">
        <v>69</v>
      </c>
      <c r="F2159" s="70" t="s">
        <v>70</v>
      </c>
      <c r="G2159" s="71">
        <v>1642391689</v>
      </c>
      <c r="H2159" s="70" t="s">
        <v>68</v>
      </c>
    </row>
    <row r="2160" spans="1:8" ht="17.25" customHeight="1" x14ac:dyDescent="0.2">
      <c r="A2160" s="69">
        <v>2026</v>
      </c>
      <c r="B2160" s="70" t="s">
        <v>66</v>
      </c>
      <c r="C2160" s="70" t="s">
        <v>35</v>
      </c>
      <c r="D2160" s="70" t="s">
        <v>38</v>
      </c>
      <c r="E2160" s="70" t="s">
        <v>67</v>
      </c>
      <c r="F2160" s="70" t="s">
        <v>67</v>
      </c>
      <c r="G2160" s="71">
        <v>3424884998</v>
      </c>
      <c r="H2160" s="70" t="s">
        <v>68</v>
      </c>
    </row>
    <row r="2161" spans="1:8" ht="17.25" customHeight="1" x14ac:dyDescent="0.2">
      <c r="A2161" s="69">
        <v>2026</v>
      </c>
      <c r="B2161" s="70" t="s">
        <v>66</v>
      </c>
      <c r="C2161" s="70" t="s">
        <v>35</v>
      </c>
      <c r="D2161" s="70" t="s">
        <v>38</v>
      </c>
      <c r="E2161" s="70" t="s">
        <v>69</v>
      </c>
      <c r="F2161" s="70" t="s">
        <v>71</v>
      </c>
      <c r="G2161" s="71">
        <v>1676170516</v>
      </c>
      <c r="H2161" s="70" t="s">
        <v>68</v>
      </c>
    </row>
    <row r="2162" spans="1:8" ht="17.25" customHeight="1" x14ac:dyDescent="0.2">
      <c r="A2162" s="69">
        <v>2026</v>
      </c>
      <c r="B2162" s="70" t="s">
        <v>66</v>
      </c>
      <c r="C2162" s="70" t="s">
        <v>35</v>
      </c>
      <c r="D2162" s="70" t="s">
        <v>38</v>
      </c>
      <c r="E2162" s="70" t="s">
        <v>69</v>
      </c>
      <c r="F2162" s="70" t="s">
        <v>70</v>
      </c>
      <c r="G2162" s="71">
        <v>2060663936</v>
      </c>
      <c r="H2162" s="70" t="s">
        <v>68</v>
      </c>
    </row>
    <row r="2163" spans="1:8" ht="17.25" customHeight="1" x14ac:dyDescent="0.2">
      <c r="A2163" s="69">
        <v>2026</v>
      </c>
      <c r="B2163" s="70" t="s">
        <v>66</v>
      </c>
      <c r="C2163" s="70" t="s">
        <v>35</v>
      </c>
      <c r="D2163" s="70" t="s">
        <v>39</v>
      </c>
      <c r="E2163" s="70" t="s">
        <v>67</v>
      </c>
      <c r="F2163" s="70" t="s">
        <v>67</v>
      </c>
      <c r="G2163" s="71">
        <v>17100686837</v>
      </c>
      <c r="H2163" s="70" t="s">
        <v>68</v>
      </c>
    </row>
    <row r="2164" spans="1:8" ht="17.25" customHeight="1" x14ac:dyDescent="0.2">
      <c r="A2164" s="69">
        <v>2026</v>
      </c>
      <c r="B2164" s="70" t="s">
        <v>66</v>
      </c>
      <c r="C2164" s="70" t="s">
        <v>35</v>
      </c>
      <c r="D2164" s="70" t="s">
        <v>39</v>
      </c>
      <c r="E2164" s="70" t="s">
        <v>69</v>
      </c>
      <c r="F2164" s="70" t="s">
        <v>71</v>
      </c>
      <c r="G2164" s="71">
        <v>9960526262</v>
      </c>
      <c r="H2164" s="70" t="s">
        <v>68</v>
      </c>
    </row>
    <row r="2165" spans="1:8" ht="17.25" customHeight="1" x14ac:dyDescent="0.2">
      <c r="A2165" s="69">
        <v>2026</v>
      </c>
      <c r="B2165" s="70" t="s">
        <v>66</v>
      </c>
      <c r="C2165" s="70" t="s">
        <v>35</v>
      </c>
      <c r="D2165" s="70" t="s">
        <v>39</v>
      </c>
      <c r="E2165" s="70" t="s">
        <v>69</v>
      </c>
      <c r="F2165" s="70" t="s">
        <v>70</v>
      </c>
      <c r="G2165" s="71">
        <v>9914890541</v>
      </c>
      <c r="H2165" s="70" t="s">
        <v>68</v>
      </c>
    </row>
    <row r="2166" spans="1:8" ht="17.25" customHeight="1" x14ac:dyDescent="0.2">
      <c r="A2166" s="69">
        <v>2026</v>
      </c>
      <c r="B2166" s="70" t="s">
        <v>66</v>
      </c>
      <c r="C2166" s="70" t="s">
        <v>41</v>
      </c>
      <c r="D2166" s="70" t="s">
        <v>40</v>
      </c>
      <c r="E2166" s="70" t="s">
        <v>67</v>
      </c>
      <c r="F2166" s="70" t="s">
        <v>67</v>
      </c>
      <c r="G2166" s="71">
        <v>1634813791</v>
      </c>
      <c r="H2166" s="70" t="s">
        <v>68</v>
      </c>
    </row>
    <row r="2167" spans="1:8" ht="17.25" customHeight="1" x14ac:dyDescent="0.2">
      <c r="A2167" s="69">
        <v>2026</v>
      </c>
      <c r="B2167" s="70" t="s">
        <v>66</v>
      </c>
      <c r="C2167" s="70" t="s">
        <v>41</v>
      </c>
      <c r="D2167" s="70" t="s">
        <v>40</v>
      </c>
      <c r="E2167" s="70" t="s">
        <v>69</v>
      </c>
      <c r="F2167" s="70" t="s">
        <v>71</v>
      </c>
      <c r="G2167" s="71">
        <v>652907028</v>
      </c>
      <c r="H2167" s="70" t="s">
        <v>68</v>
      </c>
    </row>
    <row r="2168" spans="1:8" ht="17.25" customHeight="1" x14ac:dyDescent="0.2">
      <c r="A2168" s="69">
        <v>2026</v>
      </c>
      <c r="B2168" s="70" t="s">
        <v>66</v>
      </c>
      <c r="C2168" s="70" t="s">
        <v>41</v>
      </c>
      <c r="D2168" s="70" t="s">
        <v>40</v>
      </c>
      <c r="E2168" s="70" t="s">
        <v>69</v>
      </c>
      <c r="F2168" s="70" t="s">
        <v>70</v>
      </c>
      <c r="G2168" s="71">
        <v>605463133</v>
      </c>
      <c r="H2168" s="70" t="s">
        <v>68</v>
      </c>
    </row>
    <row r="2169" spans="1:8" ht="17.25" customHeight="1" x14ac:dyDescent="0.2">
      <c r="A2169" s="69">
        <v>2026</v>
      </c>
      <c r="B2169" s="70" t="s">
        <v>66</v>
      </c>
      <c r="C2169" s="70" t="s">
        <v>41</v>
      </c>
      <c r="D2169" s="70" t="s">
        <v>42</v>
      </c>
      <c r="E2169" s="70" t="s">
        <v>67</v>
      </c>
      <c r="F2169" s="70" t="s">
        <v>67</v>
      </c>
      <c r="G2169" s="71">
        <v>10229763888</v>
      </c>
      <c r="H2169" s="70" t="s">
        <v>68</v>
      </c>
    </row>
    <row r="2170" spans="1:8" ht="17.25" customHeight="1" x14ac:dyDescent="0.2">
      <c r="A2170" s="69">
        <v>2026</v>
      </c>
      <c r="B2170" s="70" t="s">
        <v>66</v>
      </c>
      <c r="C2170" s="70" t="s">
        <v>41</v>
      </c>
      <c r="D2170" s="70" t="s">
        <v>42</v>
      </c>
      <c r="E2170" s="70" t="s">
        <v>69</v>
      </c>
      <c r="F2170" s="70" t="s">
        <v>71</v>
      </c>
      <c r="G2170" s="71">
        <v>2051195361</v>
      </c>
      <c r="H2170" s="70" t="s">
        <v>68</v>
      </c>
    </row>
    <row r="2171" spans="1:8" ht="17.25" customHeight="1" x14ac:dyDescent="0.2">
      <c r="A2171" s="69">
        <v>2026</v>
      </c>
      <c r="B2171" s="70" t="s">
        <v>66</v>
      </c>
      <c r="C2171" s="70" t="s">
        <v>41</v>
      </c>
      <c r="D2171" s="70" t="s">
        <v>42</v>
      </c>
      <c r="E2171" s="70" t="s">
        <v>69</v>
      </c>
      <c r="F2171" s="70" t="s">
        <v>70</v>
      </c>
      <c r="G2171" s="71">
        <v>7281596739</v>
      </c>
      <c r="H2171" s="70" t="s">
        <v>68</v>
      </c>
    </row>
    <row r="2172" spans="1:8" ht="17.25" customHeight="1" x14ac:dyDescent="0.2">
      <c r="A2172" s="69">
        <v>2026</v>
      </c>
      <c r="B2172" s="70" t="s">
        <v>66</v>
      </c>
      <c r="C2172" s="70" t="s">
        <v>41</v>
      </c>
      <c r="D2172" s="70" t="s">
        <v>43</v>
      </c>
      <c r="E2172" s="70" t="s">
        <v>67</v>
      </c>
      <c r="F2172" s="70" t="s">
        <v>67</v>
      </c>
      <c r="G2172" s="71">
        <v>7441756040</v>
      </c>
      <c r="H2172" s="70" t="s">
        <v>68</v>
      </c>
    </row>
    <row r="2173" spans="1:8" ht="17.25" customHeight="1" x14ac:dyDescent="0.2">
      <c r="A2173" s="69">
        <v>2026</v>
      </c>
      <c r="B2173" s="70" t="s">
        <v>66</v>
      </c>
      <c r="C2173" s="70" t="s">
        <v>41</v>
      </c>
      <c r="D2173" s="70" t="s">
        <v>43</v>
      </c>
      <c r="E2173" s="70" t="s">
        <v>69</v>
      </c>
      <c r="F2173" s="70" t="s">
        <v>71</v>
      </c>
      <c r="G2173" s="71">
        <v>2962053181</v>
      </c>
      <c r="H2173" s="70" t="s">
        <v>68</v>
      </c>
    </row>
    <row r="2174" spans="1:8" ht="17.25" customHeight="1" x14ac:dyDescent="0.2">
      <c r="A2174" s="69">
        <v>2026</v>
      </c>
      <c r="B2174" s="70" t="s">
        <v>66</v>
      </c>
      <c r="C2174" s="70" t="s">
        <v>41</v>
      </c>
      <c r="D2174" s="70" t="s">
        <v>43</v>
      </c>
      <c r="E2174" s="70" t="s">
        <v>69</v>
      </c>
      <c r="F2174" s="70" t="s">
        <v>70</v>
      </c>
      <c r="G2174" s="71">
        <v>3593408933</v>
      </c>
      <c r="H2174" s="70" t="s">
        <v>68</v>
      </c>
    </row>
    <row r="2175" spans="1:8" ht="17.25" customHeight="1" x14ac:dyDescent="0.2">
      <c r="A2175" s="69">
        <v>2026</v>
      </c>
      <c r="B2175" s="70" t="s">
        <v>66</v>
      </c>
      <c r="C2175" s="70" t="s">
        <v>41</v>
      </c>
      <c r="D2175" s="70" t="s">
        <v>44</v>
      </c>
      <c r="E2175" s="70" t="s">
        <v>67</v>
      </c>
      <c r="F2175" s="70" t="s">
        <v>67</v>
      </c>
      <c r="G2175" s="71">
        <v>10503655600</v>
      </c>
      <c r="H2175" s="70" t="s">
        <v>68</v>
      </c>
    </row>
    <row r="2176" spans="1:8" ht="17.25" customHeight="1" x14ac:dyDescent="0.2">
      <c r="A2176" s="69">
        <v>2026</v>
      </c>
      <c r="B2176" s="70" t="s">
        <v>66</v>
      </c>
      <c r="C2176" s="70" t="s">
        <v>41</v>
      </c>
      <c r="D2176" s="70" t="s">
        <v>44</v>
      </c>
      <c r="E2176" s="70" t="s">
        <v>69</v>
      </c>
      <c r="F2176" s="70" t="s">
        <v>71</v>
      </c>
      <c r="G2176" s="71">
        <v>5177870032</v>
      </c>
      <c r="H2176" s="70" t="s">
        <v>68</v>
      </c>
    </row>
    <row r="2177" spans="1:8" ht="17.25" customHeight="1" x14ac:dyDescent="0.2">
      <c r="A2177" s="69">
        <v>2026</v>
      </c>
      <c r="B2177" s="70" t="s">
        <v>66</v>
      </c>
      <c r="C2177" s="70" t="s">
        <v>41</v>
      </c>
      <c r="D2177" s="70" t="s">
        <v>44</v>
      </c>
      <c r="E2177" s="70" t="s">
        <v>69</v>
      </c>
      <c r="F2177" s="70" t="s">
        <v>70</v>
      </c>
      <c r="G2177" s="71">
        <v>8277044978</v>
      </c>
      <c r="H2177" s="70" t="s">
        <v>68</v>
      </c>
    </row>
    <row r="2178" spans="1:8" ht="17.25" customHeight="1" x14ac:dyDescent="0.2">
      <c r="A2178" s="69">
        <v>2026</v>
      </c>
      <c r="B2178" s="70" t="s">
        <v>66</v>
      </c>
      <c r="C2178" s="70" t="s">
        <v>41</v>
      </c>
      <c r="D2178" s="70" t="s">
        <v>45</v>
      </c>
      <c r="E2178" s="70" t="s">
        <v>67</v>
      </c>
      <c r="F2178" s="70" t="s">
        <v>67</v>
      </c>
      <c r="G2178" s="71">
        <v>26357217073</v>
      </c>
      <c r="H2178" s="70" t="s">
        <v>68</v>
      </c>
    </row>
    <row r="2179" spans="1:8" ht="17.25" customHeight="1" x14ac:dyDescent="0.2">
      <c r="A2179" s="69">
        <v>2026</v>
      </c>
      <c r="B2179" s="70" t="s">
        <v>66</v>
      </c>
      <c r="C2179" s="70" t="s">
        <v>41</v>
      </c>
      <c r="D2179" s="70" t="s">
        <v>45</v>
      </c>
      <c r="E2179" s="70" t="s">
        <v>69</v>
      </c>
      <c r="F2179" s="70" t="s">
        <v>71</v>
      </c>
      <c r="G2179" s="71">
        <v>8271249803</v>
      </c>
      <c r="H2179" s="70" t="s">
        <v>68</v>
      </c>
    </row>
    <row r="2180" spans="1:8" ht="17.25" customHeight="1" x14ac:dyDescent="0.2">
      <c r="A2180" s="69">
        <v>2026</v>
      </c>
      <c r="B2180" s="70" t="s">
        <v>66</v>
      </c>
      <c r="C2180" s="70" t="s">
        <v>41</v>
      </c>
      <c r="D2180" s="70" t="s">
        <v>45</v>
      </c>
      <c r="E2180" s="70" t="s">
        <v>69</v>
      </c>
      <c r="F2180" s="70" t="s">
        <v>70</v>
      </c>
      <c r="G2180" s="71">
        <v>21750136034</v>
      </c>
      <c r="H2180" s="70" t="s">
        <v>68</v>
      </c>
    </row>
    <row r="2181" spans="1:8" ht="17.25" customHeight="1" x14ac:dyDescent="0.2">
      <c r="A2181" s="69">
        <v>2026</v>
      </c>
      <c r="B2181" s="70" t="s">
        <v>66</v>
      </c>
      <c r="C2181" s="70" t="s">
        <v>47</v>
      </c>
      <c r="D2181" s="70" t="s">
        <v>46</v>
      </c>
      <c r="E2181" s="70" t="s">
        <v>72</v>
      </c>
      <c r="F2181" s="70" t="s">
        <v>73</v>
      </c>
      <c r="G2181" s="71">
        <v>8715045447</v>
      </c>
      <c r="H2181" s="70" t="s">
        <v>68</v>
      </c>
    </row>
    <row r="2182" spans="1:8" ht="17.25" customHeight="1" x14ac:dyDescent="0.2">
      <c r="A2182" s="69">
        <v>2026</v>
      </c>
      <c r="B2182" s="70" t="s">
        <v>66</v>
      </c>
      <c r="C2182" s="70" t="s">
        <v>47</v>
      </c>
      <c r="D2182" s="70" t="s">
        <v>46</v>
      </c>
      <c r="E2182" s="70" t="s">
        <v>67</v>
      </c>
      <c r="F2182" s="70" t="s">
        <v>74</v>
      </c>
      <c r="G2182" s="71">
        <v>7950816455</v>
      </c>
      <c r="H2182" s="70" t="s">
        <v>68</v>
      </c>
    </row>
    <row r="2183" spans="1:8" ht="17.25" customHeight="1" x14ac:dyDescent="0.2">
      <c r="A2183" s="69">
        <v>2026</v>
      </c>
      <c r="B2183" s="70" t="s">
        <v>66</v>
      </c>
      <c r="C2183" s="70" t="s">
        <v>47</v>
      </c>
      <c r="D2183" s="70" t="s">
        <v>46</v>
      </c>
      <c r="E2183" s="70" t="s">
        <v>69</v>
      </c>
      <c r="F2183" s="70" t="s">
        <v>71</v>
      </c>
      <c r="G2183" s="71">
        <v>11191322746</v>
      </c>
      <c r="H2183" s="70" t="s">
        <v>68</v>
      </c>
    </row>
    <row r="2184" spans="1:8" ht="17.25" customHeight="1" x14ac:dyDescent="0.2">
      <c r="A2184" s="69">
        <v>2026</v>
      </c>
      <c r="B2184" s="70" t="s">
        <v>66</v>
      </c>
      <c r="C2184" s="70" t="s">
        <v>47</v>
      </c>
      <c r="D2184" s="70" t="s">
        <v>46</v>
      </c>
      <c r="E2184" s="70" t="s">
        <v>69</v>
      </c>
      <c r="F2184" s="70" t="s">
        <v>70</v>
      </c>
      <c r="G2184" s="71">
        <v>16611073632</v>
      </c>
      <c r="H2184" s="70" t="s">
        <v>68</v>
      </c>
    </row>
    <row r="2185" spans="1:8" ht="17.25" customHeight="1" x14ac:dyDescent="0.2">
      <c r="A2185" s="69">
        <v>2026</v>
      </c>
      <c r="B2185" s="70" t="s">
        <v>66</v>
      </c>
      <c r="C2185" s="70" t="s">
        <v>47</v>
      </c>
      <c r="D2185" s="70" t="s">
        <v>48</v>
      </c>
      <c r="E2185" s="70" t="s">
        <v>72</v>
      </c>
      <c r="F2185" s="70" t="s">
        <v>73</v>
      </c>
      <c r="G2185" s="71">
        <v>86778740771</v>
      </c>
      <c r="H2185" s="70" t="s">
        <v>68</v>
      </c>
    </row>
    <row r="2186" spans="1:8" ht="17.25" customHeight="1" x14ac:dyDescent="0.2">
      <c r="A2186" s="69">
        <v>2026</v>
      </c>
      <c r="B2186" s="70" t="s">
        <v>66</v>
      </c>
      <c r="C2186" s="70" t="s">
        <v>47</v>
      </c>
      <c r="D2186" s="70" t="s">
        <v>48</v>
      </c>
      <c r="E2186" s="70" t="s">
        <v>67</v>
      </c>
      <c r="F2186" s="70" t="s">
        <v>74</v>
      </c>
      <c r="G2186" s="71">
        <v>112095498557</v>
      </c>
      <c r="H2186" s="70" t="s">
        <v>68</v>
      </c>
    </row>
    <row r="2187" spans="1:8" ht="17.25" customHeight="1" x14ac:dyDescent="0.2">
      <c r="A2187" s="69">
        <v>2026</v>
      </c>
      <c r="B2187" s="70" t="s">
        <v>66</v>
      </c>
      <c r="C2187" s="70" t="s">
        <v>47</v>
      </c>
      <c r="D2187" s="70" t="s">
        <v>48</v>
      </c>
      <c r="E2187" s="70" t="s">
        <v>69</v>
      </c>
      <c r="F2187" s="70" t="s">
        <v>71</v>
      </c>
      <c r="G2187" s="71">
        <v>115855812000</v>
      </c>
      <c r="H2187" s="70" t="s">
        <v>68</v>
      </c>
    </row>
    <row r="2188" spans="1:8" ht="17.25" customHeight="1" x14ac:dyDescent="0.2">
      <c r="A2188" s="69">
        <v>2026</v>
      </c>
      <c r="B2188" s="70" t="s">
        <v>66</v>
      </c>
      <c r="C2188" s="70" t="s">
        <v>47</v>
      </c>
      <c r="D2188" s="70" t="s">
        <v>48</v>
      </c>
      <c r="E2188" s="70" t="s">
        <v>69</v>
      </c>
      <c r="F2188" s="70" t="s">
        <v>70</v>
      </c>
      <c r="G2188" s="71">
        <v>233687650284</v>
      </c>
      <c r="H2188" s="70" t="s">
        <v>68</v>
      </c>
    </row>
    <row r="2189" spans="1:8" ht="17.25" customHeight="1" x14ac:dyDescent="0.2">
      <c r="A2189" s="69">
        <v>2027</v>
      </c>
      <c r="B2189" s="70" t="s">
        <v>66</v>
      </c>
      <c r="C2189" s="70" t="s">
        <v>4</v>
      </c>
      <c r="D2189" s="70" t="s">
        <v>3</v>
      </c>
      <c r="E2189" s="70" t="s">
        <v>67</v>
      </c>
      <c r="F2189" s="70" t="s">
        <v>67</v>
      </c>
      <c r="G2189" s="71">
        <v>18935738031</v>
      </c>
      <c r="H2189" s="70" t="s">
        <v>68</v>
      </c>
    </row>
    <row r="2190" spans="1:8" ht="17.25" customHeight="1" x14ac:dyDescent="0.2">
      <c r="A2190" s="69">
        <v>2027</v>
      </c>
      <c r="B2190" s="70" t="s">
        <v>66</v>
      </c>
      <c r="C2190" s="70" t="s">
        <v>4</v>
      </c>
      <c r="D2190" s="70" t="s">
        <v>3</v>
      </c>
      <c r="E2190" s="70" t="s">
        <v>69</v>
      </c>
      <c r="F2190" s="70" t="s">
        <v>71</v>
      </c>
      <c r="G2190" s="71">
        <v>8061111864</v>
      </c>
      <c r="H2190" s="70" t="s">
        <v>68</v>
      </c>
    </row>
    <row r="2191" spans="1:8" ht="17.25" customHeight="1" x14ac:dyDescent="0.2">
      <c r="A2191" s="69">
        <v>2027</v>
      </c>
      <c r="B2191" s="70" t="s">
        <v>66</v>
      </c>
      <c r="C2191" s="70" t="s">
        <v>4</v>
      </c>
      <c r="D2191" s="70" t="s">
        <v>3</v>
      </c>
      <c r="E2191" s="70" t="s">
        <v>69</v>
      </c>
      <c r="F2191" s="70" t="s">
        <v>70</v>
      </c>
      <c r="G2191" s="71">
        <v>19923813648</v>
      </c>
      <c r="H2191" s="70" t="s">
        <v>68</v>
      </c>
    </row>
    <row r="2192" spans="1:8" ht="17.25" customHeight="1" x14ac:dyDescent="0.2">
      <c r="A2192" s="69">
        <v>2027</v>
      </c>
      <c r="B2192" s="70" t="s">
        <v>66</v>
      </c>
      <c r="C2192" s="70" t="s">
        <v>4</v>
      </c>
      <c r="D2192" s="70" t="s">
        <v>5</v>
      </c>
      <c r="E2192" s="70" t="s">
        <v>67</v>
      </c>
      <c r="F2192" s="70" t="s">
        <v>67</v>
      </c>
      <c r="G2192" s="71">
        <v>44514742712</v>
      </c>
      <c r="H2192" s="70" t="s">
        <v>68</v>
      </c>
    </row>
    <row r="2193" spans="1:8" ht="17.25" customHeight="1" x14ac:dyDescent="0.2">
      <c r="A2193" s="69">
        <v>2027</v>
      </c>
      <c r="B2193" s="70" t="s">
        <v>66</v>
      </c>
      <c r="C2193" s="70" t="s">
        <v>4</v>
      </c>
      <c r="D2193" s="70" t="s">
        <v>5</v>
      </c>
      <c r="E2193" s="70" t="s">
        <v>69</v>
      </c>
      <c r="F2193" s="70" t="s">
        <v>71</v>
      </c>
      <c r="G2193" s="71">
        <v>88794485252</v>
      </c>
      <c r="H2193" s="70" t="s">
        <v>68</v>
      </c>
    </row>
    <row r="2194" spans="1:8" ht="17.25" customHeight="1" x14ac:dyDescent="0.2">
      <c r="A2194" s="69">
        <v>2027</v>
      </c>
      <c r="B2194" s="70" t="s">
        <v>66</v>
      </c>
      <c r="C2194" s="70" t="s">
        <v>4</v>
      </c>
      <c r="D2194" s="70" t="s">
        <v>5</v>
      </c>
      <c r="E2194" s="70" t="s">
        <v>69</v>
      </c>
      <c r="F2194" s="70" t="s">
        <v>70</v>
      </c>
      <c r="G2194" s="71">
        <v>81441781951</v>
      </c>
      <c r="H2194" s="70" t="s">
        <v>68</v>
      </c>
    </row>
    <row r="2195" spans="1:8" ht="17.25" customHeight="1" x14ac:dyDescent="0.2">
      <c r="A2195" s="69">
        <v>2027</v>
      </c>
      <c r="B2195" s="70" t="s">
        <v>66</v>
      </c>
      <c r="C2195" s="70" t="s">
        <v>4</v>
      </c>
      <c r="D2195" s="70" t="s">
        <v>6</v>
      </c>
      <c r="E2195" s="70" t="s">
        <v>67</v>
      </c>
      <c r="F2195" s="70" t="s">
        <v>67</v>
      </c>
      <c r="G2195" s="71">
        <v>7478023869</v>
      </c>
      <c r="H2195" s="70" t="s">
        <v>68</v>
      </c>
    </row>
    <row r="2196" spans="1:8" ht="17.25" customHeight="1" x14ac:dyDescent="0.2">
      <c r="A2196" s="69">
        <v>2027</v>
      </c>
      <c r="B2196" s="70" t="s">
        <v>66</v>
      </c>
      <c r="C2196" s="70" t="s">
        <v>4</v>
      </c>
      <c r="D2196" s="70" t="s">
        <v>6</v>
      </c>
      <c r="E2196" s="70" t="s">
        <v>69</v>
      </c>
      <c r="F2196" s="70" t="s">
        <v>71</v>
      </c>
      <c r="G2196" s="71">
        <v>4204265047</v>
      </c>
      <c r="H2196" s="70" t="s">
        <v>68</v>
      </c>
    </row>
    <row r="2197" spans="1:8" ht="17.25" customHeight="1" x14ac:dyDescent="0.2">
      <c r="A2197" s="69">
        <v>2027</v>
      </c>
      <c r="B2197" s="70" t="s">
        <v>66</v>
      </c>
      <c r="C2197" s="70" t="s">
        <v>4</v>
      </c>
      <c r="D2197" s="70" t="s">
        <v>6</v>
      </c>
      <c r="E2197" s="70" t="s">
        <v>69</v>
      </c>
      <c r="F2197" s="70" t="s">
        <v>70</v>
      </c>
      <c r="G2197" s="71">
        <v>2892552677</v>
      </c>
      <c r="H2197" s="70" t="s">
        <v>68</v>
      </c>
    </row>
    <row r="2198" spans="1:8" ht="17.25" customHeight="1" x14ac:dyDescent="0.2">
      <c r="A2198" s="69">
        <v>2027</v>
      </c>
      <c r="B2198" s="70" t="s">
        <v>66</v>
      </c>
      <c r="C2198" s="70" t="s">
        <v>4</v>
      </c>
      <c r="D2198" s="70" t="s">
        <v>7</v>
      </c>
      <c r="E2198" s="70" t="s">
        <v>67</v>
      </c>
      <c r="F2198" s="70" t="s">
        <v>67</v>
      </c>
      <c r="G2198" s="71">
        <v>22275839172</v>
      </c>
      <c r="H2198" s="70" t="s">
        <v>68</v>
      </c>
    </row>
    <row r="2199" spans="1:8" ht="17.25" customHeight="1" x14ac:dyDescent="0.2">
      <c r="A2199" s="69">
        <v>2027</v>
      </c>
      <c r="B2199" s="70" t="s">
        <v>66</v>
      </c>
      <c r="C2199" s="70" t="s">
        <v>4</v>
      </c>
      <c r="D2199" s="70" t="s">
        <v>7</v>
      </c>
      <c r="E2199" s="70" t="s">
        <v>69</v>
      </c>
      <c r="F2199" s="70" t="s">
        <v>71</v>
      </c>
      <c r="G2199" s="71">
        <v>19253059492</v>
      </c>
      <c r="H2199" s="70" t="s">
        <v>68</v>
      </c>
    </row>
    <row r="2200" spans="1:8" ht="17.25" customHeight="1" x14ac:dyDescent="0.2">
      <c r="A2200" s="69">
        <v>2027</v>
      </c>
      <c r="B2200" s="70" t="s">
        <v>66</v>
      </c>
      <c r="C2200" s="70" t="s">
        <v>4</v>
      </c>
      <c r="D2200" s="70" t="s">
        <v>7</v>
      </c>
      <c r="E2200" s="70" t="s">
        <v>69</v>
      </c>
      <c r="F2200" s="70" t="s">
        <v>70</v>
      </c>
      <c r="G2200" s="71">
        <v>14998319081</v>
      </c>
      <c r="H2200" s="70" t="s">
        <v>68</v>
      </c>
    </row>
    <row r="2201" spans="1:8" ht="17.25" customHeight="1" x14ac:dyDescent="0.2">
      <c r="A2201" s="69">
        <v>2027</v>
      </c>
      <c r="B2201" s="70" t="s">
        <v>66</v>
      </c>
      <c r="C2201" s="70" t="s">
        <v>4</v>
      </c>
      <c r="D2201" s="70" t="s">
        <v>8</v>
      </c>
      <c r="E2201" s="70" t="s">
        <v>67</v>
      </c>
      <c r="F2201" s="70" t="s">
        <v>67</v>
      </c>
      <c r="G2201" s="71">
        <v>4524725938</v>
      </c>
      <c r="H2201" s="70" t="s">
        <v>68</v>
      </c>
    </row>
    <row r="2202" spans="1:8" ht="17.25" customHeight="1" x14ac:dyDescent="0.2">
      <c r="A2202" s="69">
        <v>2027</v>
      </c>
      <c r="B2202" s="70" t="s">
        <v>66</v>
      </c>
      <c r="C2202" s="70" t="s">
        <v>4</v>
      </c>
      <c r="D2202" s="70" t="s">
        <v>8</v>
      </c>
      <c r="E2202" s="70" t="s">
        <v>69</v>
      </c>
      <c r="F2202" s="70" t="s">
        <v>71</v>
      </c>
      <c r="G2202" s="71">
        <v>8896894254</v>
      </c>
      <c r="H2202" s="70" t="s">
        <v>68</v>
      </c>
    </row>
    <row r="2203" spans="1:8" ht="17.25" customHeight="1" x14ac:dyDescent="0.2">
      <c r="A2203" s="69">
        <v>2027</v>
      </c>
      <c r="B2203" s="70" t="s">
        <v>66</v>
      </c>
      <c r="C2203" s="70" t="s">
        <v>4</v>
      </c>
      <c r="D2203" s="70" t="s">
        <v>8</v>
      </c>
      <c r="E2203" s="70" t="s">
        <v>69</v>
      </c>
      <c r="F2203" s="70" t="s">
        <v>70</v>
      </c>
      <c r="G2203" s="71">
        <v>4000219080</v>
      </c>
      <c r="H2203" s="70" t="s">
        <v>68</v>
      </c>
    </row>
    <row r="2204" spans="1:8" ht="17.25" customHeight="1" x14ac:dyDescent="0.2">
      <c r="A2204" s="69">
        <v>2027</v>
      </c>
      <c r="B2204" s="70" t="s">
        <v>66</v>
      </c>
      <c r="C2204" s="70" t="s">
        <v>4</v>
      </c>
      <c r="D2204" s="70" t="s">
        <v>9</v>
      </c>
      <c r="E2204" s="70" t="s">
        <v>67</v>
      </c>
      <c r="F2204" s="70" t="s">
        <v>67</v>
      </c>
      <c r="G2204" s="71">
        <v>41261278439</v>
      </c>
      <c r="H2204" s="70" t="s">
        <v>68</v>
      </c>
    </row>
    <row r="2205" spans="1:8" ht="17.25" customHeight="1" x14ac:dyDescent="0.2">
      <c r="A2205" s="69">
        <v>2027</v>
      </c>
      <c r="B2205" s="70" t="s">
        <v>66</v>
      </c>
      <c r="C2205" s="70" t="s">
        <v>4</v>
      </c>
      <c r="D2205" s="70" t="s">
        <v>9</v>
      </c>
      <c r="E2205" s="70" t="s">
        <v>69</v>
      </c>
      <c r="F2205" s="70" t="s">
        <v>71</v>
      </c>
      <c r="G2205" s="71">
        <v>27690090930</v>
      </c>
      <c r="H2205" s="70" t="s">
        <v>68</v>
      </c>
    </row>
    <row r="2206" spans="1:8" ht="17.25" customHeight="1" x14ac:dyDescent="0.2">
      <c r="A2206" s="69">
        <v>2027</v>
      </c>
      <c r="B2206" s="70" t="s">
        <v>66</v>
      </c>
      <c r="C2206" s="70" t="s">
        <v>4</v>
      </c>
      <c r="D2206" s="70" t="s">
        <v>9</v>
      </c>
      <c r="E2206" s="70" t="s">
        <v>69</v>
      </c>
      <c r="F2206" s="70" t="s">
        <v>70</v>
      </c>
      <c r="G2206" s="71">
        <v>34591348089</v>
      </c>
      <c r="H2206" s="70" t="s">
        <v>68</v>
      </c>
    </row>
    <row r="2207" spans="1:8" ht="17.25" customHeight="1" x14ac:dyDescent="0.2">
      <c r="A2207" s="69">
        <v>2027</v>
      </c>
      <c r="B2207" s="70" t="s">
        <v>66</v>
      </c>
      <c r="C2207" s="70" t="s">
        <v>4</v>
      </c>
      <c r="D2207" s="70" t="s">
        <v>10</v>
      </c>
      <c r="E2207" s="70" t="s">
        <v>67</v>
      </c>
      <c r="F2207" s="70" t="s">
        <v>67</v>
      </c>
      <c r="G2207" s="71">
        <v>709753253</v>
      </c>
      <c r="H2207" s="70" t="s">
        <v>68</v>
      </c>
    </row>
    <row r="2208" spans="1:8" ht="17.25" customHeight="1" x14ac:dyDescent="0.2">
      <c r="A2208" s="69">
        <v>2027</v>
      </c>
      <c r="B2208" s="70" t="s">
        <v>66</v>
      </c>
      <c r="C2208" s="70" t="s">
        <v>4</v>
      </c>
      <c r="D2208" s="70" t="s">
        <v>10</v>
      </c>
      <c r="E2208" s="70" t="s">
        <v>69</v>
      </c>
      <c r="F2208" s="70" t="s">
        <v>71</v>
      </c>
      <c r="G2208" s="71">
        <v>2152774194</v>
      </c>
      <c r="H2208" s="70" t="s">
        <v>68</v>
      </c>
    </row>
    <row r="2209" spans="1:8" ht="17.25" customHeight="1" x14ac:dyDescent="0.2">
      <c r="A2209" s="69">
        <v>2027</v>
      </c>
      <c r="B2209" s="70" t="s">
        <v>66</v>
      </c>
      <c r="C2209" s="70" t="s">
        <v>4</v>
      </c>
      <c r="D2209" s="70" t="s">
        <v>10</v>
      </c>
      <c r="E2209" s="70" t="s">
        <v>69</v>
      </c>
      <c r="F2209" s="70" t="s">
        <v>70</v>
      </c>
      <c r="G2209" s="71">
        <v>223356263</v>
      </c>
      <c r="H2209" s="70" t="s">
        <v>68</v>
      </c>
    </row>
    <row r="2210" spans="1:8" ht="17.25" customHeight="1" x14ac:dyDescent="0.2">
      <c r="A2210" s="69">
        <v>2027</v>
      </c>
      <c r="B2210" s="70" t="s">
        <v>66</v>
      </c>
      <c r="C2210" s="70" t="s">
        <v>4</v>
      </c>
      <c r="D2210" s="70" t="s">
        <v>11</v>
      </c>
      <c r="E2210" s="70" t="s">
        <v>67</v>
      </c>
      <c r="F2210" s="70" t="s">
        <v>67</v>
      </c>
      <c r="G2210" s="71">
        <v>3081381551</v>
      </c>
      <c r="H2210" s="70" t="s">
        <v>68</v>
      </c>
    </row>
    <row r="2211" spans="1:8" ht="17.25" customHeight="1" x14ac:dyDescent="0.2">
      <c r="A2211" s="69">
        <v>2027</v>
      </c>
      <c r="B2211" s="70" t="s">
        <v>66</v>
      </c>
      <c r="C2211" s="70" t="s">
        <v>4</v>
      </c>
      <c r="D2211" s="70" t="s">
        <v>11</v>
      </c>
      <c r="E2211" s="70" t="s">
        <v>69</v>
      </c>
      <c r="F2211" s="70" t="s">
        <v>71</v>
      </c>
      <c r="G2211" s="71">
        <v>4446994903</v>
      </c>
      <c r="H2211" s="70" t="s">
        <v>68</v>
      </c>
    </row>
    <row r="2212" spans="1:8" ht="17.25" customHeight="1" x14ac:dyDescent="0.2">
      <c r="A2212" s="69">
        <v>2027</v>
      </c>
      <c r="B2212" s="70" t="s">
        <v>66</v>
      </c>
      <c r="C2212" s="70" t="s">
        <v>4</v>
      </c>
      <c r="D2212" s="70" t="s">
        <v>11</v>
      </c>
      <c r="E2212" s="70" t="s">
        <v>69</v>
      </c>
      <c r="F2212" s="70" t="s">
        <v>70</v>
      </c>
      <c r="G2212" s="71">
        <v>8381224870</v>
      </c>
      <c r="H2212" s="70" t="s">
        <v>68</v>
      </c>
    </row>
    <row r="2213" spans="1:8" ht="17.25" customHeight="1" x14ac:dyDescent="0.2">
      <c r="A2213" s="69">
        <v>2027</v>
      </c>
      <c r="B2213" s="70" t="s">
        <v>66</v>
      </c>
      <c r="C2213" s="70" t="s">
        <v>4</v>
      </c>
      <c r="D2213" s="70" t="s">
        <v>12</v>
      </c>
      <c r="E2213" s="70" t="s">
        <v>67</v>
      </c>
      <c r="F2213" s="70" t="s">
        <v>67</v>
      </c>
      <c r="G2213" s="71">
        <v>4715595558</v>
      </c>
      <c r="H2213" s="70" t="s">
        <v>68</v>
      </c>
    </row>
    <row r="2214" spans="1:8" ht="17.25" customHeight="1" x14ac:dyDescent="0.2">
      <c r="A2214" s="69">
        <v>2027</v>
      </c>
      <c r="B2214" s="70" t="s">
        <v>66</v>
      </c>
      <c r="C2214" s="70" t="s">
        <v>4</v>
      </c>
      <c r="D2214" s="70" t="s">
        <v>12</v>
      </c>
      <c r="E2214" s="70" t="s">
        <v>69</v>
      </c>
      <c r="F2214" s="70" t="s">
        <v>71</v>
      </c>
      <c r="G2214" s="71">
        <v>6464224801</v>
      </c>
      <c r="H2214" s="70" t="s">
        <v>68</v>
      </c>
    </row>
    <row r="2215" spans="1:8" ht="17.25" customHeight="1" x14ac:dyDescent="0.2">
      <c r="A2215" s="69">
        <v>2027</v>
      </c>
      <c r="B2215" s="70" t="s">
        <v>66</v>
      </c>
      <c r="C2215" s="70" t="s">
        <v>4</v>
      </c>
      <c r="D2215" s="70" t="s">
        <v>12</v>
      </c>
      <c r="E2215" s="70" t="s">
        <v>69</v>
      </c>
      <c r="F2215" s="70" t="s">
        <v>70</v>
      </c>
      <c r="G2215" s="71">
        <v>6207152404</v>
      </c>
      <c r="H2215" s="70" t="s">
        <v>68</v>
      </c>
    </row>
    <row r="2216" spans="1:8" ht="17.25" customHeight="1" x14ac:dyDescent="0.2">
      <c r="A2216" s="69">
        <v>2027</v>
      </c>
      <c r="B2216" s="70" t="s">
        <v>66</v>
      </c>
      <c r="C2216" s="70" t="s">
        <v>4</v>
      </c>
      <c r="D2216" s="70" t="s">
        <v>13</v>
      </c>
      <c r="E2216" s="70" t="s">
        <v>67</v>
      </c>
      <c r="F2216" s="70" t="s">
        <v>67</v>
      </c>
      <c r="G2216" s="71">
        <v>9979698015</v>
      </c>
      <c r="H2216" s="70" t="s">
        <v>68</v>
      </c>
    </row>
    <row r="2217" spans="1:8" ht="17.25" customHeight="1" x14ac:dyDescent="0.2">
      <c r="A2217" s="69">
        <v>2027</v>
      </c>
      <c r="B2217" s="70" t="s">
        <v>66</v>
      </c>
      <c r="C2217" s="70" t="s">
        <v>4</v>
      </c>
      <c r="D2217" s="70" t="s">
        <v>13</v>
      </c>
      <c r="E2217" s="70" t="s">
        <v>69</v>
      </c>
      <c r="F2217" s="70" t="s">
        <v>71</v>
      </c>
      <c r="G2217" s="71">
        <v>8382493054</v>
      </c>
      <c r="H2217" s="70" t="s">
        <v>68</v>
      </c>
    </row>
    <row r="2218" spans="1:8" ht="17.25" customHeight="1" x14ac:dyDescent="0.2">
      <c r="A2218" s="69">
        <v>2027</v>
      </c>
      <c r="B2218" s="70" t="s">
        <v>66</v>
      </c>
      <c r="C2218" s="70" t="s">
        <v>4</v>
      </c>
      <c r="D2218" s="70" t="s">
        <v>13</v>
      </c>
      <c r="E2218" s="70" t="s">
        <v>69</v>
      </c>
      <c r="F2218" s="70" t="s">
        <v>70</v>
      </c>
      <c r="G2218" s="71">
        <v>9404784045</v>
      </c>
      <c r="H2218" s="70" t="s">
        <v>68</v>
      </c>
    </row>
    <row r="2219" spans="1:8" ht="17.25" customHeight="1" x14ac:dyDescent="0.2">
      <c r="A2219" s="69">
        <v>2027</v>
      </c>
      <c r="B2219" s="70" t="s">
        <v>66</v>
      </c>
      <c r="C2219" s="70" t="s">
        <v>4</v>
      </c>
      <c r="D2219" s="70" t="s">
        <v>14</v>
      </c>
      <c r="E2219" s="70" t="s">
        <v>67</v>
      </c>
      <c r="F2219" s="70" t="s">
        <v>67</v>
      </c>
      <c r="G2219" s="71">
        <v>6452223543</v>
      </c>
      <c r="H2219" s="70" t="s">
        <v>68</v>
      </c>
    </row>
    <row r="2220" spans="1:8" ht="17.25" customHeight="1" x14ac:dyDescent="0.2">
      <c r="A2220" s="69">
        <v>2027</v>
      </c>
      <c r="B2220" s="70" t="s">
        <v>66</v>
      </c>
      <c r="C2220" s="70" t="s">
        <v>4</v>
      </c>
      <c r="D2220" s="70" t="s">
        <v>14</v>
      </c>
      <c r="E2220" s="70" t="s">
        <v>69</v>
      </c>
      <c r="F2220" s="70" t="s">
        <v>71</v>
      </c>
      <c r="G2220" s="71">
        <v>3604328365</v>
      </c>
      <c r="H2220" s="70" t="s">
        <v>68</v>
      </c>
    </row>
    <row r="2221" spans="1:8" ht="17.25" customHeight="1" x14ac:dyDescent="0.2">
      <c r="A2221" s="69">
        <v>2027</v>
      </c>
      <c r="B2221" s="70" t="s">
        <v>66</v>
      </c>
      <c r="C2221" s="70" t="s">
        <v>4</v>
      </c>
      <c r="D2221" s="70" t="s">
        <v>14</v>
      </c>
      <c r="E2221" s="70" t="s">
        <v>69</v>
      </c>
      <c r="F2221" s="70" t="s">
        <v>70</v>
      </c>
      <c r="G2221" s="71">
        <v>4655726313</v>
      </c>
      <c r="H2221" s="70" t="s">
        <v>68</v>
      </c>
    </row>
    <row r="2222" spans="1:8" ht="17.25" customHeight="1" x14ac:dyDescent="0.2">
      <c r="A2222" s="69">
        <v>2027</v>
      </c>
      <c r="B2222" s="70" t="s">
        <v>66</v>
      </c>
      <c r="C2222" s="70" t="s">
        <v>4</v>
      </c>
      <c r="D2222" s="70" t="s">
        <v>15</v>
      </c>
      <c r="E2222" s="70" t="s">
        <v>67</v>
      </c>
      <c r="F2222" s="70" t="s">
        <v>67</v>
      </c>
      <c r="G2222" s="71">
        <v>6269194837</v>
      </c>
      <c r="H2222" s="70" t="s">
        <v>68</v>
      </c>
    </row>
    <row r="2223" spans="1:8" ht="17.25" customHeight="1" x14ac:dyDescent="0.2">
      <c r="A2223" s="69">
        <v>2027</v>
      </c>
      <c r="B2223" s="70" t="s">
        <v>66</v>
      </c>
      <c r="C2223" s="70" t="s">
        <v>4</v>
      </c>
      <c r="D2223" s="70" t="s">
        <v>15</v>
      </c>
      <c r="E2223" s="70" t="s">
        <v>69</v>
      </c>
      <c r="F2223" s="70" t="s">
        <v>71</v>
      </c>
      <c r="G2223" s="71">
        <v>11555888043</v>
      </c>
      <c r="H2223" s="70" t="s">
        <v>68</v>
      </c>
    </row>
    <row r="2224" spans="1:8" ht="17.25" customHeight="1" x14ac:dyDescent="0.2">
      <c r="A2224" s="69">
        <v>2027</v>
      </c>
      <c r="B2224" s="70" t="s">
        <v>66</v>
      </c>
      <c r="C2224" s="70" t="s">
        <v>4</v>
      </c>
      <c r="D2224" s="70" t="s">
        <v>15</v>
      </c>
      <c r="E2224" s="70" t="s">
        <v>69</v>
      </c>
      <c r="F2224" s="70" t="s">
        <v>70</v>
      </c>
      <c r="G2224" s="71">
        <v>4458242423</v>
      </c>
      <c r="H2224" s="70" t="s">
        <v>68</v>
      </c>
    </row>
    <row r="2225" spans="1:8" ht="17.25" customHeight="1" x14ac:dyDescent="0.2">
      <c r="A2225" s="69">
        <v>2027</v>
      </c>
      <c r="B2225" s="70" t="s">
        <v>66</v>
      </c>
      <c r="C2225" s="70" t="s">
        <v>17</v>
      </c>
      <c r="D2225" s="70" t="s">
        <v>16</v>
      </c>
      <c r="E2225" s="70" t="s">
        <v>67</v>
      </c>
      <c r="F2225" s="70" t="s">
        <v>67</v>
      </c>
      <c r="G2225" s="71">
        <v>1049545119</v>
      </c>
      <c r="H2225" s="70" t="s">
        <v>68</v>
      </c>
    </row>
    <row r="2226" spans="1:8" ht="17.25" customHeight="1" x14ac:dyDescent="0.2">
      <c r="A2226" s="69">
        <v>2027</v>
      </c>
      <c r="B2226" s="70" t="s">
        <v>66</v>
      </c>
      <c r="C2226" s="70" t="s">
        <v>17</v>
      </c>
      <c r="D2226" s="70" t="s">
        <v>16</v>
      </c>
      <c r="E2226" s="70" t="s">
        <v>69</v>
      </c>
      <c r="F2226" s="70" t="s">
        <v>71</v>
      </c>
      <c r="G2226" s="71">
        <v>959990074</v>
      </c>
      <c r="H2226" s="70" t="s">
        <v>68</v>
      </c>
    </row>
    <row r="2227" spans="1:8" ht="17.25" customHeight="1" x14ac:dyDescent="0.2">
      <c r="A2227" s="69">
        <v>2027</v>
      </c>
      <c r="B2227" s="70" t="s">
        <v>66</v>
      </c>
      <c r="C2227" s="70" t="s">
        <v>17</v>
      </c>
      <c r="D2227" s="70" t="s">
        <v>16</v>
      </c>
      <c r="E2227" s="70" t="s">
        <v>69</v>
      </c>
      <c r="F2227" s="70" t="s">
        <v>70</v>
      </c>
      <c r="G2227" s="71">
        <v>398859246</v>
      </c>
      <c r="H2227" s="70" t="s">
        <v>68</v>
      </c>
    </row>
    <row r="2228" spans="1:8" ht="17.25" customHeight="1" x14ac:dyDescent="0.2">
      <c r="A2228" s="69">
        <v>2027</v>
      </c>
      <c r="B2228" s="70" t="s">
        <v>66</v>
      </c>
      <c r="C2228" s="70" t="s">
        <v>17</v>
      </c>
      <c r="D2228" s="70" t="s">
        <v>18</v>
      </c>
      <c r="E2228" s="70" t="s">
        <v>67</v>
      </c>
      <c r="F2228" s="70" t="s">
        <v>67</v>
      </c>
      <c r="G2228" s="71">
        <v>1754150116</v>
      </c>
      <c r="H2228" s="70" t="s">
        <v>68</v>
      </c>
    </row>
    <row r="2229" spans="1:8" ht="17.25" customHeight="1" x14ac:dyDescent="0.2">
      <c r="A2229" s="69">
        <v>2027</v>
      </c>
      <c r="B2229" s="70" t="s">
        <v>66</v>
      </c>
      <c r="C2229" s="70" t="s">
        <v>17</v>
      </c>
      <c r="D2229" s="70" t="s">
        <v>18</v>
      </c>
      <c r="E2229" s="70" t="s">
        <v>69</v>
      </c>
      <c r="F2229" s="70" t="s">
        <v>71</v>
      </c>
      <c r="G2229" s="71">
        <v>1773486752</v>
      </c>
      <c r="H2229" s="70" t="s">
        <v>68</v>
      </c>
    </row>
    <row r="2230" spans="1:8" ht="17.25" customHeight="1" x14ac:dyDescent="0.2">
      <c r="A2230" s="69">
        <v>2027</v>
      </c>
      <c r="B2230" s="70" t="s">
        <v>66</v>
      </c>
      <c r="C2230" s="70" t="s">
        <v>17</v>
      </c>
      <c r="D2230" s="70" t="s">
        <v>18</v>
      </c>
      <c r="E2230" s="70" t="s">
        <v>69</v>
      </c>
      <c r="F2230" s="70" t="s">
        <v>70</v>
      </c>
      <c r="G2230" s="71">
        <v>2453056251</v>
      </c>
      <c r="H2230" s="70" t="s">
        <v>68</v>
      </c>
    </row>
    <row r="2231" spans="1:8" ht="17.25" customHeight="1" x14ac:dyDescent="0.2">
      <c r="A2231" s="69">
        <v>2027</v>
      </c>
      <c r="B2231" s="70" t="s">
        <v>66</v>
      </c>
      <c r="C2231" s="70" t="s">
        <v>17</v>
      </c>
      <c r="D2231" s="70" t="s">
        <v>19</v>
      </c>
      <c r="E2231" s="70" t="s">
        <v>67</v>
      </c>
      <c r="F2231" s="70" t="s">
        <v>67</v>
      </c>
      <c r="G2231" s="71">
        <v>5175330628</v>
      </c>
      <c r="H2231" s="70" t="s">
        <v>68</v>
      </c>
    </row>
    <row r="2232" spans="1:8" ht="17.25" customHeight="1" x14ac:dyDescent="0.2">
      <c r="A2232" s="69">
        <v>2027</v>
      </c>
      <c r="B2232" s="70" t="s">
        <v>66</v>
      </c>
      <c r="C2232" s="70" t="s">
        <v>17</v>
      </c>
      <c r="D2232" s="70" t="s">
        <v>19</v>
      </c>
      <c r="E2232" s="70" t="s">
        <v>69</v>
      </c>
      <c r="F2232" s="70" t="s">
        <v>71</v>
      </c>
      <c r="G2232" s="71">
        <v>5210293255</v>
      </c>
      <c r="H2232" s="70" t="s">
        <v>68</v>
      </c>
    </row>
    <row r="2233" spans="1:8" ht="17.25" customHeight="1" x14ac:dyDescent="0.2">
      <c r="A2233" s="69">
        <v>2027</v>
      </c>
      <c r="B2233" s="70" t="s">
        <v>66</v>
      </c>
      <c r="C2233" s="70" t="s">
        <v>17</v>
      </c>
      <c r="D2233" s="70" t="s">
        <v>19</v>
      </c>
      <c r="E2233" s="70" t="s">
        <v>69</v>
      </c>
      <c r="F2233" s="70" t="s">
        <v>70</v>
      </c>
      <c r="G2233" s="71">
        <v>2830358304</v>
      </c>
      <c r="H2233" s="70" t="s">
        <v>68</v>
      </c>
    </row>
    <row r="2234" spans="1:8" ht="17.25" customHeight="1" x14ac:dyDescent="0.2">
      <c r="A2234" s="69">
        <v>2027</v>
      </c>
      <c r="B2234" s="70" t="s">
        <v>66</v>
      </c>
      <c r="C2234" s="70" t="s">
        <v>17</v>
      </c>
      <c r="D2234" s="70" t="s">
        <v>20</v>
      </c>
      <c r="E2234" s="70" t="s">
        <v>67</v>
      </c>
      <c r="F2234" s="70" t="s">
        <v>67</v>
      </c>
      <c r="G2234" s="71">
        <v>686403668</v>
      </c>
      <c r="H2234" s="70" t="s">
        <v>68</v>
      </c>
    </row>
    <row r="2235" spans="1:8" ht="17.25" customHeight="1" x14ac:dyDescent="0.2">
      <c r="A2235" s="69">
        <v>2027</v>
      </c>
      <c r="B2235" s="70" t="s">
        <v>66</v>
      </c>
      <c r="C2235" s="70" t="s">
        <v>17</v>
      </c>
      <c r="D2235" s="70" t="s">
        <v>20</v>
      </c>
      <c r="E2235" s="70" t="s">
        <v>69</v>
      </c>
      <c r="F2235" s="70" t="s">
        <v>71</v>
      </c>
      <c r="G2235" s="71">
        <v>1289834843</v>
      </c>
      <c r="H2235" s="70" t="s">
        <v>68</v>
      </c>
    </row>
    <row r="2236" spans="1:8" ht="17.25" customHeight="1" x14ac:dyDescent="0.2">
      <c r="A2236" s="69">
        <v>2027</v>
      </c>
      <c r="B2236" s="70" t="s">
        <v>66</v>
      </c>
      <c r="C2236" s="70" t="s">
        <v>17</v>
      </c>
      <c r="D2236" s="70" t="s">
        <v>20</v>
      </c>
      <c r="E2236" s="70" t="s">
        <v>69</v>
      </c>
      <c r="F2236" s="70" t="s">
        <v>70</v>
      </c>
      <c r="G2236" s="71">
        <v>7654935240</v>
      </c>
      <c r="H2236" s="70" t="s">
        <v>68</v>
      </c>
    </row>
    <row r="2237" spans="1:8" ht="17.25" customHeight="1" x14ac:dyDescent="0.2">
      <c r="A2237" s="69">
        <v>2027</v>
      </c>
      <c r="B2237" s="70" t="s">
        <v>66</v>
      </c>
      <c r="C2237" s="70" t="s">
        <v>17</v>
      </c>
      <c r="D2237" s="70" t="s">
        <v>21</v>
      </c>
      <c r="E2237" s="70" t="s">
        <v>67</v>
      </c>
      <c r="F2237" s="70" t="s">
        <v>67</v>
      </c>
      <c r="G2237" s="71">
        <v>3481393711</v>
      </c>
      <c r="H2237" s="70" t="s">
        <v>68</v>
      </c>
    </row>
    <row r="2238" spans="1:8" ht="17.25" customHeight="1" x14ac:dyDescent="0.2">
      <c r="A2238" s="69">
        <v>2027</v>
      </c>
      <c r="B2238" s="70" t="s">
        <v>66</v>
      </c>
      <c r="C2238" s="70" t="s">
        <v>17</v>
      </c>
      <c r="D2238" s="70" t="s">
        <v>21</v>
      </c>
      <c r="E2238" s="70" t="s">
        <v>69</v>
      </c>
      <c r="F2238" s="70" t="s">
        <v>71</v>
      </c>
      <c r="G2238" s="71">
        <v>2315209631</v>
      </c>
      <c r="H2238" s="70" t="s">
        <v>68</v>
      </c>
    </row>
    <row r="2239" spans="1:8" ht="17.25" customHeight="1" x14ac:dyDescent="0.2">
      <c r="A2239" s="69">
        <v>2027</v>
      </c>
      <c r="B2239" s="70" t="s">
        <v>66</v>
      </c>
      <c r="C2239" s="70" t="s">
        <v>17</v>
      </c>
      <c r="D2239" s="70" t="s">
        <v>21</v>
      </c>
      <c r="E2239" s="70" t="s">
        <v>69</v>
      </c>
      <c r="F2239" s="70" t="s">
        <v>70</v>
      </c>
      <c r="G2239" s="71">
        <v>2956268442</v>
      </c>
      <c r="H2239" s="70" t="s">
        <v>68</v>
      </c>
    </row>
    <row r="2240" spans="1:8" ht="17.25" customHeight="1" x14ac:dyDescent="0.2">
      <c r="A2240" s="69">
        <v>2027</v>
      </c>
      <c r="B2240" s="70" t="s">
        <v>66</v>
      </c>
      <c r="C2240" s="70" t="s">
        <v>17</v>
      </c>
      <c r="D2240" s="70" t="s">
        <v>22</v>
      </c>
      <c r="E2240" s="70" t="s">
        <v>67</v>
      </c>
      <c r="F2240" s="70" t="s">
        <v>67</v>
      </c>
      <c r="G2240" s="71">
        <v>1131499225</v>
      </c>
      <c r="H2240" s="70" t="s">
        <v>68</v>
      </c>
    </row>
    <row r="2241" spans="1:8" ht="17.25" customHeight="1" x14ac:dyDescent="0.2">
      <c r="A2241" s="69">
        <v>2027</v>
      </c>
      <c r="B2241" s="70" t="s">
        <v>66</v>
      </c>
      <c r="C2241" s="70" t="s">
        <v>17</v>
      </c>
      <c r="D2241" s="70" t="s">
        <v>22</v>
      </c>
      <c r="E2241" s="70" t="s">
        <v>69</v>
      </c>
      <c r="F2241" s="70" t="s">
        <v>71</v>
      </c>
      <c r="G2241" s="71">
        <v>1069379493</v>
      </c>
      <c r="H2241" s="70" t="s">
        <v>68</v>
      </c>
    </row>
    <row r="2242" spans="1:8" ht="17.25" customHeight="1" x14ac:dyDescent="0.2">
      <c r="A2242" s="69">
        <v>2027</v>
      </c>
      <c r="B2242" s="70" t="s">
        <v>66</v>
      </c>
      <c r="C2242" s="70" t="s">
        <v>17</v>
      </c>
      <c r="D2242" s="70" t="s">
        <v>22</v>
      </c>
      <c r="E2242" s="70" t="s">
        <v>69</v>
      </c>
      <c r="F2242" s="70" t="s">
        <v>70</v>
      </c>
      <c r="G2242" s="71">
        <v>1454506406</v>
      </c>
      <c r="H2242" s="70" t="s">
        <v>68</v>
      </c>
    </row>
    <row r="2243" spans="1:8" ht="17.25" customHeight="1" x14ac:dyDescent="0.2">
      <c r="A2243" s="69">
        <v>2027</v>
      </c>
      <c r="B2243" s="70" t="s">
        <v>66</v>
      </c>
      <c r="C2243" s="70" t="s">
        <v>17</v>
      </c>
      <c r="D2243" s="70" t="s">
        <v>23</v>
      </c>
      <c r="E2243" s="70" t="s">
        <v>67</v>
      </c>
      <c r="F2243" s="70" t="s">
        <v>67</v>
      </c>
      <c r="G2243" s="71">
        <v>1202015829</v>
      </c>
      <c r="H2243" s="70" t="s">
        <v>68</v>
      </c>
    </row>
    <row r="2244" spans="1:8" ht="17.25" customHeight="1" x14ac:dyDescent="0.2">
      <c r="A2244" s="69">
        <v>2027</v>
      </c>
      <c r="B2244" s="70" t="s">
        <v>66</v>
      </c>
      <c r="C2244" s="70" t="s">
        <v>17</v>
      </c>
      <c r="D2244" s="70" t="s">
        <v>23</v>
      </c>
      <c r="E2244" s="70" t="s">
        <v>69</v>
      </c>
      <c r="F2244" s="70" t="s">
        <v>71</v>
      </c>
      <c r="G2244" s="71">
        <v>1251098419</v>
      </c>
      <c r="H2244" s="70" t="s">
        <v>68</v>
      </c>
    </row>
    <row r="2245" spans="1:8" ht="17.25" customHeight="1" x14ac:dyDescent="0.2">
      <c r="A2245" s="69">
        <v>2027</v>
      </c>
      <c r="B2245" s="70" t="s">
        <v>66</v>
      </c>
      <c r="C2245" s="70" t="s">
        <v>17</v>
      </c>
      <c r="D2245" s="70" t="s">
        <v>23</v>
      </c>
      <c r="E2245" s="70" t="s">
        <v>69</v>
      </c>
      <c r="F2245" s="70" t="s">
        <v>70</v>
      </c>
      <c r="G2245" s="71">
        <v>639242449</v>
      </c>
      <c r="H2245" s="70" t="s">
        <v>68</v>
      </c>
    </row>
    <row r="2246" spans="1:8" ht="17.25" customHeight="1" x14ac:dyDescent="0.2">
      <c r="A2246" s="69">
        <v>2027</v>
      </c>
      <c r="B2246" s="70" t="s">
        <v>66</v>
      </c>
      <c r="C2246" s="70" t="s">
        <v>17</v>
      </c>
      <c r="D2246" s="70" t="s">
        <v>24</v>
      </c>
      <c r="E2246" s="70" t="s">
        <v>67</v>
      </c>
      <c r="F2246" s="70" t="s">
        <v>67</v>
      </c>
      <c r="G2246" s="71">
        <v>19085337363</v>
      </c>
      <c r="H2246" s="70" t="s">
        <v>68</v>
      </c>
    </row>
    <row r="2247" spans="1:8" ht="17.25" customHeight="1" x14ac:dyDescent="0.2">
      <c r="A2247" s="69">
        <v>2027</v>
      </c>
      <c r="B2247" s="70" t="s">
        <v>66</v>
      </c>
      <c r="C2247" s="70" t="s">
        <v>17</v>
      </c>
      <c r="D2247" s="70" t="s">
        <v>24</v>
      </c>
      <c r="E2247" s="70" t="s">
        <v>69</v>
      </c>
      <c r="F2247" s="70" t="s">
        <v>71</v>
      </c>
      <c r="G2247" s="71">
        <v>12211234706</v>
      </c>
      <c r="H2247" s="70" t="s">
        <v>68</v>
      </c>
    </row>
    <row r="2248" spans="1:8" ht="17.25" customHeight="1" x14ac:dyDescent="0.2">
      <c r="A2248" s="69">
        <v>2027</v>
      </c>
      <c r="B2248" s="70" t="s">
        <v>66</v>
      </c>
      <c r="C2248" s="70" t="s">
        <v>17</v>
      </c>
      <c r="D2248" s="70" t="s">
        <v>24</v>
      </c>
      <c r="E2248" s="70" t="s">
        <v>69</v>
      </c>
      <c r="F2248" s="70" t="s">
        <v>70</v>
      </c>
      <c r="G2248" s="71">
        <v>13872259840</v>
      </c>
      <c r="H2248" s="70" t="s">
        <v>68</v>
      </c>
    </row>
    <row r="2249" spans="1:8" ht="17.25" customHeight="1" x14ac:dyDescent="0.2">
      <c r="A2249" s="69">
        <v>2027</v>
      </c>
      <c r="B2249" s="70" t="s">
        <v>66</v>
      </c>
      <c r="C2249" s="70" t="s">
        <v>17</v>
      </c>
      <c r="D2249" s="70" t="s">
        <v>25</v>
      </c>
      <c r="E2249" s="70" t="s">
        <v>67</v>
      </c>
      <c r="F2249" s="70" t="s">
        <v>67</v>
      </c>
      <c r="G2249" s="71">
        <v>0</v>
      </c>
      <c r="H2249" s="70" t="s">
        <v>68</v>
      </c>
    </row>
    <row r="2250" spans="1:8" ht="17.25" customHeight="1" x14ac:dyDescent="0.2">
      <c r="A2250" s="69">
        <v>2027</v>
      </c>
      <c r="B2250" s="70" t="s">
        <v>66</v>
      </c>
      <c r="C2250" s="70" t="s">
        <v>17</v>
      </c>
      <c r="D2250" s="70" t="s">
        <v>25</v>
      </c>
      <c r="E2250" s="70" t="s">
        <v>69</v>
      </c>
      <c r="F2250" s="70" t="s">
        <v>71</v>
      </c>
      <c r="G2250" s="71">
        <v>0</v>
      </c>
      <c r="H2250" s="70" t="s">
        <v>68</v>
      </c>
    </row>
    <row r="2251" spans="1:8" ht="17.25" customHeight="1" x14ac:dyDescent="0.2">
      <c r="A2251" s="69">
        <v>2027</v>
      </c>
      <c r="B2251" s="70" t="s">
        <v>66</v>
      </c>
      <c r="C2251" s="70" t="s">
        <v>17</v>
      </c>
      <c r="D2251" s="70" t="s">
        <v>25</v>
      </c>
      <c r="E2251" s="70" t="s">
        <v>69</v>
      </c>
      <c r="F2251" s="70" t="s">
        <v>70</v>
      </c>
      <c r="G2251" s="71">
        <v>0</v>
      </c>
      <c r="H2251" s="70" t="s">
        <v>68</v>
      </c>
    </row>
    <row r="2252" spans="1:8" ht="17.25" customHeight="1" x14ac:dyDescent="0.2">
      <c r="A2252" s="69">
        <v>2027</v>
      </c>
      <c r="B2252" s="70" t="s">
        <v>66</v>
      </c>
      <c r="C2252" s="70" t="s">
        <v>27</v>
      </c>
      <c r="D2252" s="70" t="s">
        <v>26</v>
      </c>
      <c r="E2252" s="70" t="s">
        <v>67</v>
      </c>
      <c r="F2252" s="70" t="s">
        <v>67</v>
      </c>
      <c r="G2252" s="71">
        <v>28649022950</v>
      </c>
      <c r="H2252" s="70" t="s">
        <v>68</v>
      </c>
    </row>
    <row r="2253" spans="1:8" ht="17.25" customHeight="1" x14ac:dyDescent="0.2">
      <c r="A2253" s="69">
        <v>2027</v>
      </c>
      <c r="B2253" s="70" t="s">
        <v>66</v>
      </c>
      <c r="C2253" s="70" t="s">
        <v>27</v>
      </c>
      <c r="D2253" s="70" t="s">
        <v>26</v>
      </c>
      <c r="E2253" s="70" t="s">
        <v>69</v>
      </c>
      <c r="F2253" s="70" t="s">
        <v>71</v>
      </c>
      <c r="G2253" s="71">
        <v>9515838718</v>
      </c>
      <c r="H2253" s="70" t="s">
        <v>68</v>
      </c>
    </row>
    <row r="2254" spans="1:8" ht="17.25" customHeight="1" x14ac:dyDescent="0.2">
      <c r="A2254" s="69">
        <v>2027</v>
      </c>
      <c r="B2254" s="70" t="s">
        <v>66</v>
      </c>
      <c r="C2254" s="70" t="s">
        <v>27</v>
      </c>
      <c r="D2254" s="70" t="s">
        <v>26</v>
      </c>
      <c r="E2254" s="70" t="s">
        <v>69</v>
      </c>
      <c r="F2254" s="70" t="s">
        <v>70</v>
      </c>
      <c r="G2254" s="71">
        <v>26641180189</v>
      </c>
      <c r="H2254" s="70" t="s">
        <v>68</v>
      </c>
    </row>
    <row r="2255" spans="1:8" ht="17.25" customHeight="1" x14ac:dyDescent="0.2">
      <c r="A2255" s="69">
        <v>2027</v>
      </c>
      <c r="B2255" s="70" t="s">
        <v>66</v>
      </c>
      <c r="C2255" s="70" t="s">
        <v>27</v>
      </c>
      <c r="D2255" s="70" t="s">
        <v>28</v>
      </c>
      <c r="E2255" s="70" t="s">
        <v>67</v>
      </c>
      <c r="F2255" s="70" t="s">
        <v>67</v>
      </c>
      <c r="G2255" s="71">
        <v>23814140664</v>
      </c>
      <c r="H2255" s="70" t="s">
        <v>68</v>
      </c>
    </row>
    <row r="2256" spans="1:8" ht="17.25" customHeight="1" x14ac:dyDescent="0.2">
      <c r="A2256" s="69">
        <v>2027</v>
      </c>
      <c r="B2256" s="70" t="s">
        <v>66</v>
      </c>
      <c r="C2256" s="70" t="s">
        <v>27</v>
      </c>
      <c r="D2256" s="70" t="s">
        <v>28</v>
      </c>
      <c r="E2256" s="70" t="s">
        <v>69</v>
      </c>
      <c r="F2256" s="70" t="s">
        <v>71</v>
      </c>
      <c r="G2256" s="71">
        <v>18563809211</v>
      </c>
      <c r="H2256" s="70" t="s">
        <v>68</v>
      </c>
    </row>
    <row r="2257" spans="1:8" ht="17.25" customHeight="1" x14ac:dyDescent="0.2">
      <c r="A2257" s="69">
        <v>2027</v>
      </c>
      <c r="B2257" s="70" t="s">
        <v>66</v>
      </c>
      <c r="C2257" s="70" t="s">
        <v>27</v>
      </c>
      <c r="D2257" s="70" t="s">
        <v>28</v>
      </c>
      <c r="E2257" s="70" t="s">
        <v>69</v>
      </c>
      <c r="F2257" s="70" t="s">
        <v>70</v>
      </c>
      <c r="G2257" s="71">
        <v>44443766890</v>
      </c>
      <c r="H2257" s="70" t="s">
        <v>68</v>
      </c>
    </row>
    <row r="2258" spans="1:8" ht="17.25" customHeight="1" x14ac:dyDescent="0.2">
      <c r="A2258" s="69">
        <v>2027</v>
      </c>
      <c r="B2258" s="70" t="s">
        <v>66</v>
      </c>
      <c r="C2258" s="70" t="s">
        <v>27</v>
      </c>
      <c r="D2258" s="70" t="s">
        <v>29</v>
      </c>
      <c r="E2258" s="70" t="s">
        <v>67</v>
      </c>
      <c r="F2258" s="70" t="s">
        <v>67</v>
      </c>
      <c r="G2258" s="71">
        <v>15032131969</v>
      </c>
      <c r="H2258" s="70" t="s">
        <v>68</v>
      </c>
    </row>
    <row r="2259" spans="1:8" ht="17.25" customHeight="1" x14ac:dyDescent="0.2">
      <c r="A2259" s="69">
        <v>2027</v>
      </c>
      <c r="B2259" s="70" t="s">
        <v>66</v>
      </c>
      <c r="C2259" s="70" t="s">
        <v>27</v>
      </c>
      <c r="D2259" s="70" t="s">
        <v>29</v>
      </c>
      <c r="E2259" s="70" t="s">
        <v>69</v>
      </c>
      <c r="F2259" s="70" t="s">
        <v>71</v>
      </c>
      <c r="G2259" s="71">
        <v>8048135727</v>
      </c>
      <c r="H2259" s="70" t="s">
        <v>68</v>
      </c>
    </row>
    <row r="2260" spans="1:8" ht="17.25" customHeight="1" x14ac:dyDescent="0.2">
      <c r="A2260" s="69">
        <v>2027</v>
      </c>
      <c r="B2260" s="70" t="s">
        <v>66</v>
      </c>
      <c r="C2260" s="70" t="s">
        <v>27</v>
      </c>
      <c r="D2260" s="70" t="s">
        <v>29</v>
      </c>
      <c r="E2260" s="70" t="s">
        <v>69</v>
      </c>
      <c r="F2260" s="70" t="s">
        <v>70</v>
      </c>
      <c r="G2260" s="71">
        <v>15423024566</v>
      </c>
      <c r="H2260" s="70" t="s">
        <v>68</v>
      </c>
    </row>
    <row r="2261" spans="1:8" ht="17.25" customHeight="1" x14ac:dyDescent="0.2">
      <c r="A2261" s="69">
        <v>2027</v>
      </c>
      <c r="B2261" s="70" t="s">
        <v>66</v>
      </c>
      <c r="C2261" s="70" t="s">
        <v>27</v>
      </c>
      <c r="D2261" s="70" t="s">
        <v>30</v>
      </c>
      <c r="E2261" s="70" t="s">
        <v>67</v>
      </c>
      <c r="F2261" s="70" t="s">
        <v>67</v>
      </c>
      <c r="G2261" s="71">
        <v>27647312567</v>
      </c>
      <c r="H2261" s="70" t="s">
        <v>68</v>
      </c>
    </row>
    <row r="2262" spans="1:8" ht="17.25" customHeight="1" x14ac:dyDescent="0.2">
      <c r="A2262" s="69">
        <v>2027</v>
      </c>
      <c r="B2262" s="70" t="s">
        <v>66</v>
      </c>
      <c r="C2262" s="70" t="s">
        <v>27</v>
      </c>
      <c r="D2262" s="70" t="s">
        <v>30</v>
      </c>
      <c r="E2262" s="70" t="s">
        <v>69</v>
      </c>
      <c r="F2262" s="70" t="s">
        <v>71</v>
      </c>
      <c r="G2262" s="71">
        <v>15938394819</v>
      </c>
      <c r="H2262" s="70" t="s">
        <v>68</v>
      </c>
    </row>
    <row r="2263" spans="1:8" ht="17.25" customHeight="1" x14ac:dyDescent="0.2">
      <c r="A2263" s="69">
        <v>2027</v>
      </c>
      <c r="B2263" s="70" t="s">
        <v>66</v>
      </c>
      <c r="C2263" s="70" t="s">
        <v>27</v>
      </c>
      <c r="D2263" s="70" t="s">
        <v>30</v>
      </c>
      <c r="E2263" s="70" t="s">
        <v>69</v>
      </c>
      <c r="F2263" s="70" t="s">
        <v>70</v>
      </c>
      <c r="G2263" s="71">
        <v>49843384960</v>
      </c>
      <c r="H2263" s="70" t="s">
        <v>68</v>
      </c>
    </row>
    <row r="2264" spans="1:8" ht="17.25" customHeight="1" x14ac:dyDescent="0.2">
      <c r="A2264" s="69">
        <v>2027</v>
      </c>
      <c r="B2264" s="70" t="s">
        <v>66</v>
      </c>
      <c r="C2264" s="70" t="s">
        <v>27</v>
      </c>
      <c r="D2264" s="70" t="s">
        <v>31</v>
      </c>
      <c r="E2264" s="70" t="s">
        <v>67</v>
      </c>
      <c r="F2264" s="70" t="s">
        <v>67</v>
      </c>
      <c r="G2264" s="71">
        <v>4879692982</v>
      </c>
      <c r="H2264" s="70" t="s">
        <v>68</v>
      </c>
    </row>
    <row r="2265" spans="1:8" ht="17.25" customHeight="1" x14ac:dyDescent="0.2">
      <c r="A2265" s="69">
        <v>2027</v>
      </c>
      <c r="B2265" s="70" t="s">
        <v>66</v>
      </c>
      <c r="C2265" s="70" t="s">
        <v>27</v>
      </c>
      <c r="D2265" s="70" t="s">
        <v>31</v>
      </c>
      <c r="E2265" s="70" t="s">
        <v>69</v>
      </c>
      <c r="F2265" s="70" t="s">
        <v>71</v>
      </c>
      <c r="G2265" s="71">
        <v>5911171229</v>
      </c>
      <c r="H2265" s="70" t="s">
        <v>68</v>
      </c>
    </row>
    <row r="2266" spans="1:8" ht="17.25" customHeight="1" x14ac:dyDescent="0.2">
      <c r="A2266" s="69">
        <v>2027</v>
      </c>
      <c r="B2266" s="70" t="s">
        <v>66</v>
      </c>
      <c r="C2266" s="70" t="s">
        <v>27</v>
      </c>
      <c r="D2266" s="70" t="s">
        <v>31</v>
      </c>
      <c r="E2266" s="70" t="s">
        <v>69</v>
      </c>
      <c r="F2266" s="70" t="s">
        <v>70</v>
      </c>
      <c r="G2266" s="71">
        <v>15328275406</v>
      </c>
      <c r="H2266" s="70" t="s">
        <v>68</v>
      </c>
    </row>
    <row r="2267" spans="1:8" ht="17.25" customHeight="1" x14ac:dyDescent="0.2">
      <c r="A2267" s="69">
        <v>2027</v>
      </c>
      <c r="B2267" s="70" t="s">
        <v>66</v>
      </c>
      <c r="C2267" s="70" t="s">
        <v>27</v>
      </c>
      <c r="D2267" s="70" t="s">
        <v>32</v>
      </c>
      <c r="E2267" s="70" t="s">
        <v>67</v>
      </c>
      <c r="F2267" s="70" t="s">
        <v>67</v>
      </c>
      <c r="G2267" s="71">
        <v>16239281969</v>
      </c>
      <c r="H2267" s="70" t="s">
        <v>68</v>
      </c>
    </row>
    <row r="2268" spans="1:8" ht="17.25" customHeight="1" x14ac:dyDescent="0.2">
      <c r="A2268" s="69">
        <v>2027</v>
      </c>
      <c r="B2268" s="70" t="s">
        <v>66</v>
      </c>
      <c r="C2268" s="70" t="s">
        <v>27</v>
      </c>
      <c r="D2268" s="70" t="s">
        <v>32</v>
      </c>
      <c r="E2268" s="70" t="s">
        <v>69</v>
      </c>
      <c r="F2268" s="70" t="s">
        <v>71</v>
      </c>
      <c r="G2268" s="71">
        <v>14209716460</v>
      </c>
      <c r="H2268" s="70" t="s">
        <v>68</v>
      </c>
    </row>
    <row r="2269" spans="1:8" ht="17.25" customHeight="1" x14ac:dyDescent="0.2">
      <c r="A2269" s="69">
        <v>2027</v>
      </c>
      <c r="B2269" s="70" t="s">
        <v>66</v>
      </c>
      <c r="C2269" s="70" t="s">
        <v>27</v>
      </c>
      <c r="D2269" s="70" t="s">
        <v>32</v>
      </c>
      <c r="E2269" s="70" t="s">
        <v>69</v>
      </c>
      <c r="F2269" s="70" t="s">
        <v>70</v>
      </c>
      <c r="G2269" s="71">
        <v>16462260336</v>
      </c>
      <c r="H2269" s="70" t="s">
        <v>68</v>
      </c>
    </row>
    <row r="2270" spans="1:8" ht="17.25" customHeight="1" x14ac:dyDescent="0.2">
      <c r="A2270" s="69">
        <v>2027</v>
      </c>
      <c r="B2270" s="70" t="s">
        <v>66</v>
      </c>
      <c r="C2270" s="70" t="s">
        <v>27</v>
      </c>
      <c r="D2270" s="70" t="s">
        <v>33</v>
      </c>
      <c r="E2270" s="70" t="s">
        <v>67</v>
      </c>
      <c r="F2270" s="70" t="s">
        <v>67</v>
      </c>
      <c r="G2270" s="71">
        <v>12622234694</v>
      </c>
      <c r="H2270" s="70" t="s">
        <v>68</v>
      </c>
    </row>
    <row r="2271" spans="1:8" ht="17.25" customHeight="1" x14ac:dyDescent="0.2">
      <c r="A2271" s="69">
        <v>2027</v>
      </c>
      <c r="B2271" s="70" t="s">
        <v>66</v>
      </c>
      <c r="C2271" s="70" t="s">
        <v>27</v>
      </c>
      <c r="D2271" s="70" t="s">
        <v>33</v>
      </c>
      <c r="E2271" s="70" t="s">
        <v>69</v>
      </c>
      <c r="F2271" s="70" t="s">
        <v>71</v>
      </c>
      <c r="G2271" s="71">
        <v>14187194242</v>
      </c>
      <c r="H2271" s="70" t="s">
        <v>68</v>
      </c>
    </row>
    <row r="2272" spans="1:8" ht="17.25" customHeight="1" x14ac:dyDescent="0.2">
      <c r="A2272" s="69">
        <v>2027</v>
      </c>
      <c r="B2272" s="70" t="s">
        <v>66</v>
      </c>
      <c r="C2272" s="70" t="s">
        <v>27</v>
      </c>
      <c r="D2272" s="70" t="s">
        <v>33</v>
      </c>
      <c r="E2272" s="70" t="s">
        <v>69</v>
      </c>
      <c r="F2272" s="70" t="s">
        <v>70</v>
      </c>
      <c r="G2272" s="71">
        <v>52438052106</v>
      </c>
      <c r="H2272" s="70" t="s">
        <v>68</v>
      </c>
    </row>
    <row r="2273" spans="1:8" ht="17.25" customHeight="1" x14ac:dyDescent="0.2">
      <c r="A2273" s="69">
        <v>2027</v>
      </c>
      <c r="B2273" s="70" t="s">
        <v>66</v>
      </c>
      <c r="C2273" s="70" t="s">
        <v>35</v>
      </c>
      <c r="D2273" s="70" t="s">
        <v>34</v>
      </c>
      <c r="E2273" s="70" t="s">
        <v>67</v>
      </c>
      <c r="F2273" s="70" t="s">
        <v>67</v>
      </c>
      <c r="G2273" s="71">
        <v>5756083614</v>
      </c>
      <c r="H2273" s="70" t="s">
        <v>68</v>
      </c>
    </row>
    <row r="2274" spans="1:8" ht="17.25" customHeight="1" x14ac:dyDescent="0.2">
      <c r="A2274" s="69">
        <v>2027</v>
      </c>
      <c r="B2274" s="70" t="s">
        <v>66</v>
      </c>
      <c r="C2274" s="70" t="s">
        <v>35</v>
      </c>
      <c r="D2274" s="70" t="s">
        <v>34</v>
      </c>
      <c r="E2274" s="70" t="s">
        <v>69</v>
      </c>
      <c r="F2274" s="70" t="s">
        <v>71</v>
      </c>
      <c r="G2274" s="71">
        <v>2653038645</v>
      </c>
      <c r="H2274" s="70" t="s">
        <v>68</v>
      </c>
    </row>
    <row r="2275" spans="1:8" ht="17.25" customHeight="1" x14ac:dyDescent="0.2">
      <c r="A2275" s="69">
        <v>2027</v>
      </c>
      <c r="B2275" s="70" t="s">
        <v>66</v>
      </c>
      <c r="C2275" s="70" t="s">
        <v>35</v>
      </c>
      <c r="D2275" s="70" t="s">
        <v>34</v>
      </c>
      <c r="E2275" s="70" t="s">
        <v>69</v>
      </c>
      <c r="F2275" s="70" t="s">
        <v>70</v>
      </c>
      <c r="G2275" s="71">
        <v>2728402202</v>
      </c>
      <c r="H2275" s="70" t="s">
        <v>68</v>
      </c>
    </row>
    <row r="2276" spans="1:8" ht="17.25" customHeight="1" x14ac:dyDescent="0.2">
      <c r="A2276" s="69">
        <v>2027</v>
      </c>
      <c r="B2276" s="70" t="s">
        <v>66</v>
      </c>
      <c r="C2276" s="70" t="s">
        <v>35</v>
      </c>
      <c r="D2276" s="70" t="s">
        <v>36</v>
      </c>
      <c r="E2276" s="70" t="s">
        <v>67</v>
      </c>
      <c r="F2276" s="70" t="s">
        <v>67</v>
      </c>
      <c r="G2276" s="71">
        <v>14200506763</v>
      </c>
      <c r="H2276" s="70" t="s">
        <v>68</v>
      </c>
    </row>
    <row r="2277" spans="1:8" ht="17.25" customHeight="1" x14ac:dyDescent="0.2">
      <c r="A2277" s="69">
        <v>2027</v>
      </c>
      <c r="B2277" s="70" t="s">
        <v>66</v>
      </c>
      <c r="C2277" s="70" t="s">
        <v>35</v>
      </c>
      <c r="D2277" s="70" t="s">
        <v>36</v>
      </c>
      <c r="E2277" s="70" t="s">
        <v>69</v>
      </c>
      <c r="F2277" s="70" t="s">
        <v>71</v>
      </c>
      <c r="G2277" s="71">
        <v>8451090087</v>
      </c>
      <c r="H2277" s="70" t="s">
        <v>68</v>
      </c>
    </row>
    <row r="2278" spans="1:8" ht="17.25" customHeight="1" x14ac:dyDescent="0.2">
      <c r="A2278" s="69">
        <v>2027</v>
      </c>
      <c r="B2278" s="70" t="s">
        <v>66</v>
      </c>
      <c r="C2278" s="70" t="s">
        <v>35</v>
      </c>
      <c r="D2278" s="70" t="s">
        <v>36</v>
      </c>
      <c r="E2278" s="70" t="s">
        <v>69</v>
      </c>
      <c r="F2278" s="70" t="s">
        <v>70</v>
      </c>
      <c r="G2278" s="71">
        <v>7692308274</v>
      </c>
      <c r="H2278" s="70" t="s">
        <v>68</v>
      </c>
    </row>
    <row r="2279" spans="1:8" ht="17.25" customHeight="1" x14ac:dyDescent="0.2">
      <c r="A2279" s="69">
        <v>2027</v>
      </c>
      <c r="B2279" s="70" t="s">
        <v>66</v>
      </c>
      <c r="C2279" s="70" t="s">
        <v>35</v>
      </c>
      <c r="D2279" s="70" t="s">
        <v>37</v>
      </c>
      <c r="E2279" s="70" t="s">
        <v>67</v>
      </c>
      <c r="F2279" s="70" t="s">
        <v>67</v>
      </c>
      <c r="G2279" s="71">
        <v>2397583538</v>
      </c>
      <c r="H2279" s="70" t="s">
        <v>68</v>
      </c>
    </row>
    <row r="2280" spans="1:8" ht="17.25" customHeight="1" x14ac:dyDescent="0.2">
      <c r="A2280" s="69">
        <v>2027</v>
      </c>
      <c r="B2280" s="70" t="s">
        <v>66</v>
      </c>
      <c r="C2280" s="70" t="s">
        <v>35</v>
      </c>
      <c r="D2280" s="70" t="s">
        <v>37</v>
      </c>
      <c r="E2280" s="70" t="s">
        <v>69</v>
      </c>
      <c r="F2280" s="70" t="s">
        <v>71</v>
      </c>
      <c r="G2280" s="71">
        <v>1489924229</v>
      </c>
      <c r="H2280" s="70" t="s">
        <v>68</v>
      </c>
    </row>
    <row r="2281" spans="1:8" ht="17.25" customHeight="1" x14ac:dyDescent="0.2">
      <c r="A2281" s="69">
        <v>2027</v>
      </c>
      <c r="B2281" s="70" t="s">
        <v>66</v>
      </c>
      <c r="C2281" s="70" t="s">
        <v>35</v>
      </c>
      <c r="D2281" s="70" t="s">
        <v>37</v>
      </c>
      <c r="E2281" s="70" t="s">
        <v>69</v>
      </c>
      <c r="F2281" s="70" t="s">
        <v>70</v>
      </c>
      <c r="G2281" s="71">
        <v>1893923045</v>
      </c>
      <c r="H2281" s="70" t="s">
        <v>68</v>
      </c>
    </row>
    <row r="2282" spans="1:8" ht="17.25" customHeight="1" x14ac:dyDescent="0.2">
      <c r="A2282" s="69">
        <v>2027</v>
      </c>
      <c r="B2282" s="70" t="s">
        <v>66</v>
      </c>
      <c r="C2282" s="70" t="s">
        <v>35</v>
      </c>
      <c r="D2282" s="70" t="s">
        <v>38</v>
      </c>
      <c r="E2282" s="70" t="s">
        <v>67</v>
      </c>
      <c r="F2282" s="70" t="s">
        <v>67</v>
      </c>
      <c r="G2282" s="71">
        <v>3585941185</v>
      </c>
      <c r="H2282" s="70" t="s">
        <v>68</v>
      </c>
    </row>
    <row r="2283" spans="1:8" ht="17.25" customHeight="1" x14ac:dyDescent="0.2">
      <c r="A2283" s="69">
        <v>2027</v>
      </c>
      <c r="B2283" s="70" t="s">
        <v>66</v>
      </c>
      <c r="C2283" s="70" t="s">
        <v>35</v>
      </c>
      <c r="D2283" s="70" t="s">
        <v>38</v>
      </c>
      <c r="E2283" s="70" t="s">
        <v>69</v>
      </c>
      <c r="F2283" s="70" t="s">
        <v>71</v>
      </c>
      <c r="G2283" s="71">
        <v>1896089709</v>
      </c>
      <c r="H2283" s="70" t="s">
        <v>68</v>
      </c>
    </row>
    <row r="2284" spans="1:8" ht="17.25" customHeight="1" x14ac:dyDescent="0.2">
      <c r="A2284" s="69">
        <v>2027</v>
      </c>
      <c r="B2284" s="70" t="s">
        <v>66</v>
      </c>
      <c r="C2284" s="70" t="s">
        <v>35</v>
      </c>
      <c r="D2284" s="70" t="s">
        <v>38</v>
      </c>
      <c r="E2284" s="70" t="s">
        <v>69</v>
      </c>
      <c r="F2284" s="70" t="s">
        <v>70</v>
      </c>
      <c r="G2284" s="71">
        <v>2388991811</v>
      </c>
      <c r="H2284" s="70" t="s">
        <v>68</v>
      </c>
    </row>
    <row r="2285" spans="1:8" ht="17.25" customHeight="1" x14ac:dyDescent="0.2">
      <c r="A2285" s="69">
        <v>2027</v>
      </c>
      <c r="B2285" s="70" t="s">
        <v>66</v>
      </c>
      <c r="C2285" s="70" t="s">
        <v>35</v>
      </c>
      <c r="D2285" s="70" t="s">
        <v>39</v>
      </c>
      <c r="E2285" s="70" t="s">
        <v>67</v>
      </c>
      <c r="F2285" s="70" t="s">
        <v>67</v>
      </c>
      <c r="G2285" s="71">
        <v>18315051255</v>
      </c>
      <c r="H2285" s="70" t="s">
        <v>68</v>
      </c>
    </row>
    <row r="2286" spans="1:8" ht="17.25" customHeight="1" x14ac:dyDescent="0.2">
      <c r="A2286" s="69">
        <v>2027</v>
      </c>
      <c r="B2286" s="70" t="s">
        <v>66</v>
      </c>
      <c r="C2286" s="70" t="s">
        <v>35</v>
      </c>
      <c r="D2286" s="70" t="s">
        <v>39</v>
      </c>
      <c r="E2286" s="70" t="s">
        <v>69</v>
      </c>
      <c r="F2286" s="70" t="s">
        <v>71</v>
      </c>
      <c r="G2286" s="71">
        <v>11059011020</v>
      </c>
      <c r="H2286" s="70" t="s">
        <v>68</v>
      </c>
    </row>
    <row r="2287" spans="1:8" ht="17.25" customHeight="1" x14ac:dyDescent="0.2">
      <c r="A2287" s="69">
        <v>2027</v>
      </c>
      <c r="B2287" s="70" t="s">
        <v>66</v>
      </c>
      <c r="C2287" s="70" t="s">
        <v>35</v>
      </c>
      <c r="D2287" s="70" t="s">
        <v>39</v>
      </c>
      <c r="E2287" s="70" t="s">
        <v>69</v>
      </c>
      <c r="F2287" s="70" t="s">
        <v>70</v>
      </c>
      <c r="G2287" s="71">
        <v>11246265453</v>
      </c>
      <c r="H2287" s="70" t="s">
        <v>68</v>
      </c>
    </row>
    <row r="2288" spans="1:8" ht="17.25" customHeight="1" x14ac:dyDescent="0.2">
      <c r="A2288" s="69">
        <v>2027</v>
      </c>
      <c r="B2288" s="70" t="s">
        <v>66</v>
      </c>
      <c r="C2288" s="70" t="s">
        <v>41</v>
      </c>
      <c r="D2288" s="70" t="s">
        <v>40</v>
      </c>
      <c r="E2288" s="70" t="s">
        <v>67</v>
      </c>
      <c r="F2288" s="70" t="s">
        <v>67</v>
      </c>
      <c r="G2288" s="71">
        <v>1644215466</v>
      </c>
      <c r="H2288" s="70" t="s">
        <v>68</v>
      </c>
    </row>
    <row r="2289" spans="1:8" ht="17.25" customHeight="1" x14ac:dyDescent="0.2">
      <c r="A2289" s="69">
        <v>2027</v>
      </c>
      <c r="B2289" s="70" t="s">
        <v>66</v>
      </c>
      <c r="C2289" s="70" t="s">
        <v>41</v>
      </c>
      <c r="D2289" s="70" t="s">
        <v>40</v>
      </c>
      <c r="E2289" s="70" t="s">
        <v>69</v>
      </c>
      <c r="F2289" s="70" t="s">
        <v>71</v>
      </c>
      <c r="G2289" s="71">
        <v>714883483</v>
      </c>
      <c r="H2289" s="70" t="s">
        <v>68</v>
      </c>
    </row>
    <row r="2290" spans="1:8" ht="17.25" customHeight="1" x14ac:dyDescent="0.2">
      <c r="A2290" s="69">
        <v>2027</v>
      </c>
      <c r="B2290" s="70" t="s">
        <v>66</v>
      </c>
      <c r="C2290" s="70" t="s">
        <v>41</v>
      </c>
      <c r="D2290" s="70" t="s">
        <v>40</v>
      </c>
      <c r="E2290" s="70" t="s">
        <v>69</v>
      </c>
      <c r="F2290" s="70" t="s">
        <v>70</v>
      </c>
      <c r="G2290" s="71">
        <v>677079743</v>
      </c>
      <c r="H2290" s="70" t="s">
        <v>68</v>
      </c>
    </row>
    <row r="2291" spans="1:8" ht="17.25" customHeight="1" x14ac:dyDescent="0.2">
      <c r="A2291" s="69">
        <v>2027</v>
      </c>
      <c r="B2291" s="70" t="s">
        <v>66</v>
      </c>
      <c r="C2291" s="70" t="s">
        <v>41</v>
      </c>
      <c r="D2291" s="70" t="s">
        <v>42</v>
      </c>
      <c r="E2291" s="70" t="s">
        <v>67</v>
      </c>
      <c r="F2291" s="70" t="s">
        <v>67</v>
      </c>
      <c r="G2291" s="71">
        <v>10490473483</v>
      </c>
      <c r="H2291" s="70" t="s">
        <v>68</v>
      </c>
    </row>
    <row r="2292" spans="1:8" ht="17.25" customHeight="1" x14ac:dyDescent="0.2">
      <c r="A2292" s="69">
        <v>2027</v>
      </c>
      <c r="B2292" s="70" t="s">
        <v>66</v>
      </c>
      <c r="C2292" s="70" t="s">
        <v>41</v>
      </c>
      <c r="D2292" s="70" t="s">
        <v>42</v>
      </c>
      <c r="E2292" s="70" t="s">
        <v>69</v>
      </c>
      <c r="F2292" s="70" t="s">
        <v>71</v>
      </c>
      <c r="G2292" s="71">
        <v>2218757677</v>
      </c>
      <c r="H2292" s="70" t="s">
        <v>68</v>
      </c>
    </row>
    <row r="2293" spans="1:8" ht="17.25" customHeight="1" x14ac:dyDescent="0.2">
      <c r="A2293" s="69">
        <v>2027</v>
      </c>
      <c r="B2293" s="70" t="s">
        <v>66</v>
      </c>
      <c r="C2293" s="70" t="s">
        <v>41</v>
      </c>
      <c r="D2293" s="70" t="s">
        <v>42</v>
      </c>
      <c r="E2293" s="70" t="s">
        <v>69</v>
      </c>
      <c r="F2293" s="70" t="s">
        <v>70</v>
      </c>
      <c r="G2293" s="71">
        <v>8020999236</v>
      </c>
      <c r="H2293" s="70" t="s">
        <v>68</v>
      </c>
    </row>
    <row r="2294" spans="1:8" ht="17.25" customHeight="1" x14ac:dyDescent="0.2">
      <c r="A2294" s="69">
        <v>2027</v>
      </c>
      <c r="B2294" s="70" t="s">
        <v>66</v>
      </c>
      <c r="C2294" s="70" t="s">
        <v>41</v>
      </c>
      <c r="D2294" s="70" t="s">
        <v>43</v>
      </c>
      <c r="E2294" s="70" t="s">
        <v>67</v>
      </c>
      <c r="F2294" s="70" t="s">
        <v>67</v>
      </c>
      <c r="G2294" s="71">
        <v>7614718101</v>
      </c>
      <c r="H2294" s="70" t="s">
        <v>68</v>
      </c>
    </row>
    <row r="2295" spans="1:8" ht="17.25" customHeight="1" x14ac:dyDescent="0.2">
      <c r="A2295" s="69">
        <v>2027</v>
      </c>
      <c r="B2295" s="70" t="s">
        <v>66</v>
      </c>
      <c r="C2295" s="70" t="s">
        <v>41</v>
      </c>
      <c r="D2295" s="70" t="s">
        <v>43</v>
      </c>
      <c r="E2295" s="70" t="s">
        <v>69</v>
      </c>
      <c r="F2295" s="70" t="s">
        <v>71</v>
      </c>
      <c r="G2295" s="71">
        <v>3271305311</v>
      </c>
      <c r="H2295" s="70" t="s">
        <v>68</v>
      </c>
    </row>
    <row r="2296" spans="1:8" ht="17.25" customHeight="1" x14ac:dyDescent="0.2">
      <c r="A2296" s="69">
        <v>2027</v>
      </c>
      <c r="B2296" s="70" t="s">
        <v>66</v>
      </c>
      <c r="C2296" s="70" t="s">
        <v>41</v>
      </c>
      <c r="D2296" s="70" t="s">
        <v>43</v>
      </c>
      <c r="E2296" s="70" t="s">
        <v>69</v>
      </c>
      <c r="F2296" s="70" t="s">
        <v>70</v>
      </c>
      <c r="G2296" s="71">
        <v>4035409736</v>
      </c>
      <c r="H2296" s="70" t="s">
        <v>68</v>
      </c>
    </row>
    <row r="2297" spans="1:8" ht="17.25" customHeight="1" x14ac:dyDescent="0.2">
      <c r="A2297" s="69">
        <v>2027</v>
      </c>
      <c r="B2297" s="70" t="s">
        <v>66</v>
      </c>
      <c r="C2297" s="70" t="s">
        <v>41</v>
      </c>
      <c r="D2297" s="70" t="s">
        <v>44</v>
      </c>
      <c r="E2297" s="70" t="s">
        <v>67</v>
      </c>
      <c r="F2297" s="70" t="s">
        <v>67</v>
      </c>
      <c r="G2297" s="71">
        <v>11358960396</v>
      </c>
      <c r="H2297" s="70" t="s">
        <v>68</v>
      </c>
    </row>
    <row r="2298" spans="1:8" ht="17.25" customHeight="1" x14ac:dyDescent="0.2">
      <c r="A2298" s="69">
        <v>2027</v>
      </c>
      <c r="B2298" s="70" t="s">
        <v>66</v>
      </c>
      <c r="C2298" s="70" t="s">
        <v>41</v>
      </c>
      <c r="D2298" s="70" t="s">
        <v>44</v>
      </c>
      <c r="E2298" s="70" t="s">
        <v>69</v>
      </c>
      <c r="F2298" s="70" t="s">
        <v>71</v>
      </c>
      <c r="G2298" s="71">
        <v>6207792363</v>
      </c>
      <c r="H2298" s="70" t="s">
        <v>68</v>
      </c>
    </row>
    <row r="2299" spans="1:8" ht="17.25" customHeight="1" x14ac:dyDescent="0.2">
      <c r="A2299" s="69">
        <v>2027</v>
      </c>
      <c r="B2299" s="70" t="s">
        <v>66</v>
      </c>
      <c r="C2299" s="70" t="s">
        <v>41</v>
      </c>
      <c r="D2299" s="70" t="s">
        <v>44</v>
      </c>
      <c r="E2299" s="70" t="s">
        <v>69</v>
      </c>
      <c r="F2299" s="70" t="s">
        <v>70</v>
      </c>
      <c r="G2299" s="71">
        <v>10446628417</v>
      </c>
      <c r="H2299" s="70" t="s">
        <v>68</v>
      </c>
    </row>
    <row r="2300" spans="1:8" ht="17.25" customHeight="1" x14ac:dyDescent="0.2">
      <c r="A2300" s="69">
        <v>2027</v>
      </c>
      <c r="B2300" s="70" t="s">
        <v>66</v>
      </c>
      <c r="C2300" s="70" t="s">
        <v>41</v>
      </c>
      <c r="D2300" s="70" t="s">
        <v>45</v>
      </c>
      <c r="E2300" s="70" t="s">
        <v>67</v>
      </c>
      <c r="F2300" s="70" t="s">
        <v>67</v>
      </c>
      <c r="G2300" s="71">
        <v>27258670742</v>
      </c>
      <c r="H2300" s="70" t="s">
        <v>68</v>
      </c>
    </row>
    <row r="2301" spans="1:8" ht="17.25" customHeight="1" x14ac:dyDescent="0.2">
      <c r="A2301" s="69">
        <v>2027</v>
      </c>
      <c r="B2301" s="70" t="s">
        <v>66</v>
      </c>
      <c r="C2301" s="70" t="s">
        <v>41</v>
      </c>
      <c r="D2301" s="70" t="s">
        <v>45</v>
      </c>
      <c r="E2301" s="70" t="s">
        <v>69</v>
      </c>
      <c r="F2301" s="70" t="s">
        <v>71</v>
      </c>
      <c r="G2301" s="71">
        <v>9085416717</v>
      </c>
      <c r="H2301" s="70" t="s">
        <v>68</v>
      </c>
    </row>
    <row r="2302" spans="1:8" ht="17.25" customHeight="1" x14ac:dyDescent="0.2">
      <c r="A2302" s="69">
        <v>2027</v>
      </c>
      <c r="B2302" s="70" t="s">
        <v>66</v>
      </c>
      <c r="C2302" s="70" t="s">
        <v>41</v>
      </c>
      <c r="D2302" s="70" t="s">
        <v>45</v>
      </c>
      <c r="E2302" s="70" t="s">
        <v>69</v>
      </c>
      <c r="F2302" s="70" t="s">
        <v>70</v>
      </c>
      <c r="G2302" s="71">
        <v>24185008989</v>
      </c>
      <c r="H2302" s="70" t="s">
        <v>68</v>
      </c>
    </row>
    <row r="2303" spans="1:8" ht="17.25" customHeight="1" x14ac:dyDescent="0.2">
      <c r="A2303" s="69">
        <v>2027</v>
      </c>
      <c r="B2303" s="70" t="s">
        <v>66</v>
      </c>
      <c r="C2303" s="70" t="s">
        <v>47</v>
      </c>
      <c r="D2303" s="70" t="s">
        <v>46</v>
      </c>
      <c r="E2303" s="70" t="s">
        <v>72</v>
      </c>
      <c r="F2303" s="70" t="s">
        <v>73</v>
      </c>
      <c r="G2303" s="71">
        <v>8711357347</v>
      </c>
      <c r="H2303" s="70" t="s">
        <v>68</v>
      </c>
    </row>
    <row r="2304" spans="1:8" ht="17.25" customHeight="1" x14ac:dyDescent="0.2">
      <c r="A2304" s="69">
        <v>2027</v>
      </c>
      <c r="B2304" s="70" t="s">
        <v>66</v>
      </c>
      <c r="C2304" s="70" t="s">
        <v>47</v>
      </c>
      <c r="D2304" s="70" t="s">
        <v>46</v>
      </c>
      <c r="E2304" s="70" t="s">
        <v>67</v>
      </c>
      <c r="F2304" s="70" t="s">
        <v>74</v>
      </c>
      <c r="G2304" s="71">
        <v>8201207297</v>
      </c>
      <c r="H2304" s="70" t="s">
        <v>68</v>
      </c>
    </row>
    <row r="2305" spans="1:8" ht="17.25" customHeight="1" x14ac:dyDescent="0.2">
      <c r="A2305" s="69">
        <v>2027</v>
      </c>
      <c r="B2305" s="70" t="s">
        <v>66</v>
      </c>
      <c r="C2305" s="70" t="s">
        <v>47</v>
      </c>
      <c r="D2305" s="70" t="s">
        <v>46</v>
      </c>
      <c r="E2305" s="70" t="s">
        <v>69</v>
      </c>
      <c r="F2305" s="70" t="s">
        <v>71</v>
      </c>
      <c r="G2305" s="71">
        <v>11594703060</v>
      </c>
      <c r="H2305" s="70" t="s">
        <v>68</v>
      </c>
    </row>
    <row r="2306" spans="1:8" ht="17.25" customHeight="1" x14ac:dyDescent="0.2">
      <c r="A2306" s="69">
        <v>2027</v>
      </c>
      <c r="B2306" s="70" t="s">
        <v>66</v>
      </c>
      <c r="C2306" s="70" t="s">
        <v>47</v>
      </c>
      <c r="D2306" s="70" t="s">
        <v>46</v>
      </c>
      <c r="E2306" s="70" t="s">
        <v>69</v>
      </c>
      <c r="F2306" s="70" t="s">
        <v>70</v>
      </c>
      <c r="G2306" s="71">
        <v>17708764572</v>
      </c>
      <c r="H2306" s="70" t="s">
        <v>68</v>
      </c>
    </row>
    <row r="2307" spans="1:8" ht="17.25" customHeight="1" x14ac:dyDescent="0.2">
      <c r="A2307" s="69">
        <v>2027</v>
      </c>
      <c r="B2307" s="70" t="s">
        <v>66</v>
      </c>
      <c r="C2307" s="70" t="s">
        <v>47</v>
      </c>
      <c r="D2307" s="70" t="s">
        <v>48</v>
      </c>
      <c r="E2307" s="70" t="s">
        <v>72</v>
      </c>
      <c r="F2307" s="70" t="s">
        <v>73</v>
      </c>
      <c r="G2307" s="71">
        <v>87741743601</v>
      </c>
      <c r="H2307" s="70" t="s">
        <v>68</v>
      </c>
    </row>
    <row r="2308" spans="1:8" ht="17.25" customHeight="1" x14ac:dyDescent="0.2">
      <c r="A2308" s="69">
        <v>2027</v>
      </c>
      <c r="B2308" s="70" t="s">
        <v>66</v>
      </c>
      <c r="C2308" s="70" t="s">
        <v>47</v>
      </c>
      <c r="D2308" s="70" t="s">
        <v>48</v>
      </c>
      <c r="E2308" s="70" t="s">
        <v>67</v>
      </c>
      <c r="F2308" s="70" t="s">
        <v>74</v>
      </c>
      <c r="G2308" s="71">
        <v>116388953255</v>
      </c>
      <c r="H2308" s="70" t="s">
        <v>68</v>
      </c>
    </row>
    <row r="2309" spans="1:8" ht="17.25" customHeight="1" x14ac:dyDescent="0.2">
      <c r="A2309" s="69">
        <v>2027</v>
      </c>
      <c r="B2309" s="70" t="s">
        <v>66</v>
      </c>
      <c r="C2309" s="70" t="s">
        <v>47</v>
      </c>
      <c r="D2309" s="70" t="s">
        <v>48</v>
      </c>
      <c r="E2309" s="70" t="s">
        <v>69</v>
      </c>
      <c r="F2309" s="70" t="s">
        <v>71</v>
      </c>
      <c r="G2309" s="71">
        <v>119331486357</v>
      </c>
      <c r="H2309" s="70" t="s">
        <v>68</v>
      </c>
    </row>
    <row r="2310" spans="1:8" ht="17.25" customHeight="1" x14ac:dyDescent="0.2">
      <c r="A2310" s="69">
        <v>2027</v>
      </c>
      <c r="B2310" s="70" t="s">
        <v>66</v>
      </c>
      <c r="C2310" s="70" t="s">
        <v>47</v>
      </c>
      <c r="D2310" s="70" t="s">
        <v>48</v>
      </c>
      <c r="E2310" s="70" t="s">
        <v>69</v>
      </c>
      <c r="F2310" s="70" t="s">
        <v>70</v>
      </c>
      <c r="G2310" s="71">
        <v>245027904788</v>
      </c>
      <c r="H2310" s="70" t="s">
        <v>68</v>
      </c>
    </row>
  </sheetData>
  <autoFilter ref="A1:H2310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K279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 x14ac:dyDescent="0.2"/>
  <cols>
    <col min="6" max="6" width="32.1640625" customWidth="1"/>
    <col min="7" max="7" width="23.1640625" customWidth="1"/>
    <col min="11" max="11" width="21.5" customWidth="1"/>
  </cols>
  <sheetData>
    <row r="1" spans="1:37" ht="35.25" customHeight="1" x14ac:dyDescent="0.2">
      <c r="A1" s="73" t="s">
        <v>0</v>
      </c>
      <c r="B1" s="74" t="s">
        <v>57</v>
      </c>
      <c r="C1" s="74" t="s">
        <v>2</v>
      </c>
      <c r="D1" s="74" t="s">
        <v>1</v>
      </c>
      <c r="E1" s="74" t="s">
        <v>58</v>
      </c>
      <c r="F1" s="74" t="s">
        <v>59</v>
      </c>
      <c r="G1" s="75" t="s">
        <v>60</v>
      </c>
      <c r="H1" s="76"/>
      <c r="I1" s="77" t="s">
        <v>0</v>
      </c>
      <c r="J1" s="78" t="s">
        <v>1</v>
      </c>
      <c r="K1" s="78" t="s">
        <v>75</v>
      </c>
      <c r="L1" s="78"/>
      <c r="M1" s="7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</row>
    <row r="2" spans="1:37" ht="34" x14ac:dyDescent="0.2">
      <c r="A2" s="37">
        <v>2005</v>
      </c>
      <c r="B2" s="38" t="s">
        <v>66</v>
      </c>
      <c r="C2" s="38" t="s">
        <v>4</v>
      </c>
      <c r="D2" s="38" t="s">
        <v>3</v>
      </c>
      <c r="E2" s="38" t="s">
        <v>67</v>
      </c>
      <c r="F2" s="38" t="s">
        <v>67</v>
      </c>
      <c r="G2" s="79">
        <f ca="1">IFERROR(__xludf.DUMMYFUNCTION("IFERROR(
  IF(A2 = 2008,
    IF(E2 = ""Online"",
      FILTER('Raw PhocalPoint Data'!G:G,
        'Raw PhocalPoint Data'!A:A = 2009,
        'Raw PhocalPoint Data'!D:D = D2,
        'Raw PhocalPoint Data'!E:E = E2,
        'Raw PhocalPoint Data'!F:F = F2
"&amp;"      ) /
      (
        FILTER('Raw PhocalPoint Data'!G:G,
          'Raw PhocalPoint Data'!A:A = 2012,
          'Raw PhocalPoint Data'!D:D = D2,
          'Raw PhocalPoint Data'!E:E = E2,
          'Raw PhocalPoint Data'!F:F = F2
        ) /
        F"&amp;"ILTER('Raw PhocalPoint Data'!G:G,
          'Raw PhocalPoint Data'!A:A = 2011,
          'Raw PhocalPoint Data'!D:D = D2,
          'Raw PhocalPoint Data'!E:E = E2,
          'Raw PhocalPoint Data'!F:F = F2
        )
      ),
      FILTER('Raw PhocalPoint"&amp;" Data'!G:G,
        'Raw PhocalPoint Data'!A:A = 2009,
        'Raw PhocalPoint Data'!D:D = D2,
        'Raw PhocalPoint Data'!E:E = E2,
        'Raw PhocalPoint Data'!F:F = F2
      ) *
      (
        INDEX('Raw GDP data'!$I$2:$M$100,
          MATCH(D2"&amp;", 'Raw GDP data'!$H$2:$H$100, 0),
          MATCH(2008, 'Raw GDP data'!$I$1:$M$1, 0)
        ) /
        INDEX('Raw GDP data'!$I$2:$M$100,
          MATCH(D2, 'Raw GDP data'!$H$2:$H$100, 0),
          MATCH(2009, 'Raw GDP data'!$I$1:$M$1, 0)
        )
   "&amp;"   )
    ),
  IF(A2 &lt; 2008,
    (
      FILTER(G:G,
        A:A = 2008,
        D:D = D2,
        E:E = E2,
        F:F = F2
      ) /
      PRODUCT(
        ARRAYFORMULA(
          (
            (
              FILTER('Raw PhocalPoint Data'!G:G,
        "&amp;"        'Raw PhocalPoint Data'!A:A = 2012,
                'Raw PhocalPoint Data'!D:D = D2,
                'Raw PhocalPoint Data'!E:E = E2,
                'Raw PhocalPoint Data'!F:F = F2
              ) /
              FILTER('Raw PhocalPoint Data'!G:G,"&amp;"
                'Raw PhocalPoint Data'!A:A = 2011,
                'Raw PhocalPoint Data'!D:D = D2,
                'Raw PhocalPoint Data'!E:E = E2,
                'Raw PhocalPoint Data'!F:F = F2
              ) -
              ROW(INDIRECT(""1:"" &amp; (20"&amp;"08 - A2))) *
              (
                (
                  FILTER('Raw PhocalPoint Data'!G:G,
                    'Raw PhocalPoint Data'!A:A = 2012,
                    'Raw PhocalPoint Data'!D:D = D2,
                    'Raw PhocalPoint Data'!E:E "&amp;"= E2,
                    'Raw PhocalPoint Data'!F:F = F2
                  ) /
                  FILTER('Raw PhocalPoint Data'!G:G,
                    'Raw PhocalPoint Data'!A:A = 2011,
                    'Raw PhocalPoint Data'!D:D = D2,
              "&amp;"      'Raw PhocalPoint Data'!E:E = E2,
                    'Raw PhocalPoint Data'!F:F = F2
                  ) - 1
                ) / 5
              )
            )
          )
        )
      )
    ),
    (
      FILTER('Raw PhocalPoint Data'!G:G,
    "&amp;"    'Raw PhocalPoint Data'!A:A = 2009,
        'Raw PhocalPoint Data'!D:D = D2,
        'Raw PhocalPoint Data'!E:E = E2,
        'Raw PhocalPoint Data'!F:F = F2
      ) /
      PRODUCT(
        ARRAYFORMULA(
          (
            FILTER('Raw PhocalPoint"&amp;" Data'!G:G,
              'Raw PhocalPoint Data'!A:A = 2012,
              'Raw PhocalPoint Data'!D:D = D2,
              'Raw PhocalPoint Data'!E:E = E2,
              'Raw PhocalPoint Data'!F:F = F2
            ) /
            FILTER('Raw PhocalPoint Da"&amp;"ta'!G:G,
              'Raw PhocalPoint Data'!A:A = 2011,
              'Raw PhocalPoint Data'!D:D = D2,
              'Raw PhocalPoint Data'!E:E = E2,
              'Raw PhocalPoint Data'!F:F = F2
            ) -
            (ROW(INDIRECT(""1:"" &amp; (2010 "&amp;"- A2))) - 1) *
            (
              (
                FILTER('Raw PhocalPoint Data'!G:G,
                  'Raw PhocalPoint Data'!A:A = 2012,
                  'Raw PhocalPoint Data'!D:D = D2,
                  'Raw PhocalPoint Data'!E:E = E2,
    "&amp;"              'Raw PhocalPoint Data'!F:F = F2
                ) /
                FILTER('Raw PhocalPoint Data'!G:G,
                  'Raw PhocalPoint Data'!A:A = 2011,
                  'Raw PhocalPoint Data'!D:D = D2,
                  'Raw PhocalPoint"&amp;" Data'!E:E = E2,
                  'Raw PhocalPoint Data'!F:F = F2
                ) - 1
              ) / 5
            )
          )
        )
      )
    ) *
    INDEX('Raw GDP data'!$I$2:$M$100,
      MATCH(D2, 'Raw GDP data'!$H$2:$H$100, 0),
      MA"&amp;"TCH(A2, 'Raw GDP data'!$I$1:$M$1, 0)
    )
  )),
  """"
)
"),17259180082.0012)</f>
        <v>17259180082.001202</v>
      </c>
      <c r="H2" s="80"/>
      <c r="I2" s="81">
        <f ca="1">IFERROR(__xludf.DUMMYFUNCTION("UNIQUE(FILTER({ 'New Backfilled Data'!A:A, 'New Backfilled Data'!D:D },
               ISNUMBER('New Backfilled Data'!A:A)))
"),2005)</f>
        <v>2005</v>
      </c>
      <c r="J2" s="82" t="str">
        <f ca="1">IFERROR(__xludf.DUMMYFUNCTION("""COMPUTED_VALUE"""),"Australia-New Zealand")</f>
        <v>Australia-New Zealand</v>
      </c>
      <c r="K2" s="83">
        <f ca="1">IFERROR(
  SUMIFS(
    'New Backfilled Data'!G:G,
    'New Backfilled Data'!A:A, I2,
    'New Backfilled Data'!D:D, J2,
    'New Backfilled Data'!E:E, "Online"
  ) /
  SUMIFS(
    'New Backfilled Data'!G:G,
    'New Backfilled Data'!A:A, I2,
    'New Backfilled Data'!D:D, J2
  ),
  ""
)</f>
        <v>0.26028882640617729</v>
      </c>
      <c r="L2" s="84"/>
      <c r="M2" s="84"/>
    </row>
    <row r="3" spans="1:37" ht="17" x14ac:dyDescent="0.2">
      <c r="A3" s="44">
        <v>2005</v>
      </c>
      <c r="B3" s="45" t="s">
        <v>66</v>
      </c>
      <c r="C3" s="45" t="s">
        <v>4</v>
      </c>
      <c r="D3" s="45" t="s">
        <v>3</v>
      </c>
      <c r="E3" s="45" t="s">
        <v>69</v>
      </c>
      <c r="F3" s="45" t="s">
        <v>71</v>
      </c>
      <c r="G3" s="85">
        <f ca="1">IFERROR(__xludf.DUMMYFUNCTION("IFERROR(
  IF(A3 = 2008,
    IF(E3 = ""Online"",
      FILTER('Raw PhocalPoint Data'!G:G,
        'Raw PhocalPoint Data'!A:A = 2009,
        'Raw PhocalPoint Data'!D:D = D3,
        'Raw PhocalPoint Data'!E:E = E3,
        'Raw PhocalPoint Data'!F:F = F3
"&amp;"      ) /
      (
        FILTER('Raw PhocalPoint Data'!G:G,
          'Raw PhocalPoint Data'!A:A = 2012,
          'Raw PhocalPoint Data'!D:D = D3,
          'Raw PhocalPoint Data'!E:E = E3,
          'Raw PhocalPoint Data'!F:F = F3
        ) /
        F"&amp;"ILTER('Raw PhocalPoint Data'!G:G,
          'Raw PhocalPoint Data'!A:A = 2011,
          'Raw PhocalPoint Data'!D:D = D3,
          'Raw PhocalPoint Data'!E:E = E3,
          'Raw PhocalPoint Data'!F:F = F3
        )
      ),
      FILTER('Raw PhocalPoint"&amp;" Data'!G:G,
        'Raw PhocalPoint Data'!A:A = 2009,
        'Raw PhocalPoint Data'!D:D = D3,
        'Raw PhocalPoint Data'!E:E = E3,
        'Raw PhocalPoint Data'!F:F = F3
      ) *
      (
        INDEX('Raw GDP data'!$I$2:$M$100,
          MATCH(D3"&amp;", 'Raw GDP data'!$H$2:$H$100, 0),
          MATCH(2008, 'Raw GDP data'!$I$1:$M$1, 0)
        ) /
        INDEX('Raw GDP data'!$I$2:$M$100,
          MATCH(D3, 'Raw GDP data'!$H$2:$H$100, 0),
          MATCH(2009, 'Raw GDP data'!$I$1:$M$1, 0)
        )
   "&amp;"   )
    ),
  IF(A3 &lt; 2008,
    (
      FILTER(G:G,
        A:A = 2008,
        D:D = D3,
        E:E = E3,
        F:F = F3
      ) /
      PRODUCT(
        ARRAYFORMULA(
          (
            (
              FILTER('Raw PhocalPoint Data'!G:G,
        "&amp;"        'Raw PhocalPoint Data'!A:A = 2012,
                'Raw PhocalPoint Data'!D:D = D3,
                'Raw PhocalPoint Data'!E:E = E3,
                'Raw PhocalPoint Data'!F:F = F3
              ) /
              FILTER('Raw PhocalPoint Data'!G:G,"&amp;"
                'Raw PhocalPoint Data'!A:A = 2011,
                'Raw PhocalPoint Data'!D:D = D3,
                'Raw PhocalPoint Data'!E:E = E3,
                'Raw PhocalPoint Data'!F:F = F3
              ) -
              ROW(INDIRECT(""1:"" &amp; (20"&amp;"08 - A3))) *
              (
                (
                  FILTER('Raw PhocalPoint Data'!G:G,
                    'Raw PhocalPoint Data'!A:A = 2012,
                    'Raw PhocalPoint Data'!D:D = D3,
                    'Raw PhocalPoint Data'!E:E "&amp;"= E3,
                    'Raw PhocalPoint Data'!F:F = F3
                  ) /
                  FILTER('Raw PhocalPoint Data'!G:G,
                    'Raw PhocalPoint Data'!A:A = 2011,
                    'Raw PhocalPoint Data'!D:D = D3,
              "&amp;"      'Raw PhocalPoint Data'!E:E = E3,
                    'Raw PhocalPoint Data'!F:F = F3
                  ) - 1
                ) / 5
              )
            )
          )
        )
      )
    ),
    (
      FILTER('Raw PhocalPoint Data'!G:G,
    "&amp;"    'Raw PhocalPoint Data'!A:A = 2009,
        'Raw PhocalPoint Data'!D:D = D3,
        'Raw PhocalPoint Data'!E:E = E3,
        'Raw PhocalPoint Data'!F:F = F3
      ) /
      PRODUCT(
        ARRAYFORMULA(
          (
            FILTER('Raw PhocalPoint"&amp;" Data'!G:G,
              'Raw PhocalPoint Data'!A:A = 2012,
              'Raw PhocalPoint Data'!D:D = D3,
              'Raw PhocalPoint Data'!E:E = E3,
              'Raw PhocalPoint Data'!F:F = F3
            ) /
            FILTER('Raw PhocalPoint Da"&amp;"ta'!G:G,
              'Raw PhocalPoint Data'!A:A = 2011,
              'Raw PhocalPoint Data'!D:D = D3,
              'Raw PhocalPoint Data'!E:E = E3,
              'Raw PhocalPoint Data'!F:F = F3
            ) -
            (ROW(INDIRECT(""1:"" &amp; (2010 "&amp;"- A3))) - 1) *
            (
              (
                FILTER('Raw PhocalPoint Data'!G:G,
                  'Raw PhocalPoint Data'!A:A = 2012,
                  'Raw PhocalPoint Data'!D:D = D3,
                  'Raw PhocalPoint Data'!E:E = E3,
    "&amp;"              'Raw PhocalPoint Data'!F:F = F3
                ) /
                FILTER('Raw PhocalPoint Data'!G:G,
                  'Raw PhocalPoint Data'!A:A = 2011,
                  'Raw PhocalPoint Data'!D:D = D3,
                  'Raw PhocalPoint"&amp;" Data'!E:E = E3,
                  'Raw PhocalPoint Data'!F:F = F3
                ) - 1
              ) / 5
            )
          )
        )
      )
    ) *
    INDEX('Raw GDP data'!$I$2:$M$100,
      MATCH(D3, 'Raw GDP data'!$H$2:$H$100, 0),
      MA"&amp;"TCH(A3, 'Raw GDP data'!$I$1:$M$1, 0)
    )
  )),
  """"
)
"),641355239.705069)</f>
        <v>641355239.70506895</v>
      </c>
      <c r="H3" s="86"/>
      <c r="I3" s="87">
        <f ca="1">IFERROR(__xludf.DUMMYFUNCTION("""COMPUTED_VALUE"""),2005)</f>
        <v>2005</v>
      </c>
      <c r="J3" s="88" t="str">
        <f ca="1">IFERROR(__xludf.DUMMYFUNCTION("""COMPUTED_VALUE"""),"China")</f>
        <v>China</v>
      </c>
      <c r="K3" s="89">
        <f ca="1">IFERROR(
  SUMIFS(
    'New Backfilled Data'!G:G,
    'New Backfilled Data'!A:A, I3,
    'New Backfilled Data'!D:D, J3,
    'New Backfilled Data'!E:E, "Online"
  ) /
  SUMIFS(
    'New Backfilled Data'!G:G,
    'New Backfilled Data'!A:A, I3,
    'New Backfilled Data'!D:D, J3
  ),
  ""
)</f>
        <v>3.4639797603077921E-2</v>
      </c>
      <c r="L3" s="90"/>
      <c r="M3" s="90"/>
    </row>
    <row r="4" spans="1:37" ht="17" x14ac:dyDescent="0.2">
      <c r="A4" s="37">
        <v>2005</v>
      </c>
      <c r="B4" s="38" t="s">
        <v>66</v>
      </c>
      <c r="C4" s="38" t="s">
        <v>4</v>
      </c>
      <c r="D4" s="38" t="s">
        <v>3</v>
      </c>
      <c r="E4" s="38" t="s">
        <v>69</v>
      </c>
      <c r="F4" s="38" t="s">
        <v>70</v>
      </c>
      <c r="G4" s="79">
        <f ca="1">IFERROR(__xludf.DUMMYFUNCTION("IFERROR(
  IF(A4 = 2008,
    IF(E4 = ""Online"",
      FILTER('Raw PhocalPoint Data'!G:G,
        'Raw PhocalPoint Data'!A:A = 2009,
        'Raw PhocalPoint Data'!D:D = D4,
        'Raw PhocalPoint Data'!E:E = E4,
        'Raw PhocalPoint Data'!F:F = F4
"&amp;"      ) /
      (
        FILTER('Raw PhocalPoint Data'!G:G,
          'Raw PhocalPoint Data'!A:A = 2012,
          'Raw PhocalPoint Data'!D:D = D4,
          'Raw PhocalPoint Data'!E:E = E4,
          'Raw PhocalPoint Data'!F:F = F4
        ) /
        F"&amp;"ILTER('Raw PhocalPoint Data'!G:G,
          'Raw PhocalPoint Data'!A:A = 2011,
          'Raw PhocalPoint Data'!D:D = D4,
          'Raw PhocalPoint Data'!E:E = E4,
          'Raw PhocalPoint Data'!F:F = F4
        )
      ),
      FILTER('Raw PhocalPoint"&amp;" Data'!G:G,
        'Raw PhocalPoint Data'!A:A = 2009,
        'Raw PhocalPoint Data'!D:D = D4,
        'Raw PhocalPoint Data'!E:E = E4,
        'Raw PhocalPoint Data'!F:F = F4
      ) *
      (
        INDEX('Raw GDP data'!$I$2:$M$100,
          MATCH(D4"&amp;", 'Raw GDP data'!$H$2:$H$100, 0),
          MATCH(2008, 'Raw GDP data'!$I$1:$M$1, 0)
        ) /
        INDEX('Raw GDP data'!$I$2:$M$100,
          MATCH(D4, 'Raw GDP data'!$H$2:$H$100, 0),
          MATCH(2009, 'Raw GDP data'!$I$1:$M$1, 0)
        )
   "&amp;"   )
    ),
  IF(A4 &lt; 2008,
    (
      FILTER(G:G,
        A:A = 2008,
        D:D = D4,
        E:E = E4,
        F:F = F4
      ) /
      PRODUCT(
        ARRAYFORMULA(
          (
            (
              FILTER('Raw PhocalPoint Data'!G:G,
        "&amp;"        'Raw PhocalPoint Data'!A:A = 2012,
                'Raw PhocalPoint Data'!D:D = D4,
                'Raw PhocalPoint Data'!E:E = E4,
                'Raw PhocalPoint Data'!F:F = F4
              ) /
              FILTER('Raw PhocalPoint Data'!G:G,"&amp;"
                'Raw PhocalPoint Data'!A:A = 2011,
                'Raw PhocalPoint Data'!D:D = D4,
                'Raw PhocalPoint Data'!E:E = E4,
                'Raw PhocalPoint Data'!F:F = F4
              ) -
              ROW(INDIRECT(""1:"" &amp; (20"&amp;"08 - A4))) *
              (
                (
                  FILTER('Raw PhocalPoint Data'!G:G,
                    'Raw PhocalPoint Data'!A:A = 2012,
                    'Raw PhocalPoint Data'!D:D = D4,
                    'Raw PhocalPoint Data'!E:E "&amp;"= E4,
                    'Raw PhocalPoint Data'!F:F = F4
                  ) /
                  FILTER('Raw PhocalPoint Data'!G:G,
                    'Raw PhocalPoint Data'!A:A = 2011,
                    'Raw PhocalPoint Data'!D:D = D4,
              "&amp;"      'Raw PhocalPoint Data'!E:E = E4,
                    'Raw PhocalPoint Data'!F:F = F4
                  ) - 1
                ) / 5
              )
            )
          )
        )
      )
    ),
    (
      FILTER('Raw PhocalPoint Data'!G:G,
    "&amp;"    'Raw PhocalPoint Data'!A:A = 2009,
        'Raw PhocalPoint Data'!D:D = D4,
        'Raw PhocalPoint Data'!E:E = E4,
        'Raw PhocalPoint Data'!F:F = F4
      ) /
      PRODUCT(
        ARRAYFORMULA(
          (
            FILTER('Raw PhocalPoint"&amp;" Data'!G:G,
              'Raw PhocalPoint Data'!A:A = 2012,
              'Raw PhocalPoint Data'!D:D = D4,
              'Raw PhocalPoint Data'!E:E = E4,
              'Raw PhocalPoint Data'!F:F = F4
            ) /
            FILTER('Raw PhocalPoint Da"&amp;"ta'!G:G,
              'Raw PhocalPoint Data'!A:A = 2011,
              'Raw PhocalPoint Data'!D:D = D4,
              'Raw PhocalPoint Data'!E:E = E4,
              'Raw PhocalPoint Data'!F:F = F4
            ) -
            (ROW(INDIRECT(""1:"" &amp; (2010 "&amp;"- A4))) - 1) *
            (
              (
                FILTER('Raw PhocalPoint Data'!G:G,
                  'Raw PhocalPoint Data'!A:A = 2012,
                  'Raw PhocalPoint Data'!D:D = D4,
                  'Raw PhocalPoint Data'!E:E = E4,
    "&amp;"              'Raw PhocalPoint Data'!F:F = F4
                ) /
                FILTER('Raw PhocalPoint Data'!G:G,
                  'Raw PhocalPoint Data'!A:A = 2011,
                  'Raw PhocalPoint Data'!D:D = D4,
                  'Raw PhocalPoint"&amp;" Data'!E:E = E4,
                  'Raw PhocalPoint Data'!F:F = F4
                ) - 1
              ) / 5
            )
          )
        )
      )
    ) *
    INDEX('Raw GDP data'!$I$2:$M$100,
      MATCH(D4, 'Raw GDP data'!$H$2:$H$100, 0),
      MA"&amp;"TCH(A4, 'Raw GDP data'!$I$1:$M$1, 0)
    )
  )),
  """"
)
"),5431787749.94475)</f>
        <v>5431787749.9447498</v>
      </c>
      <c r="H4" s="80"/>
      <c r="I4" s="81">
        <f ca="1">IFERROR(__xludf.DUMMYFUNCTION("""COMPUTED_VALUE"""),2005)</f>
        <v>2005</v>
      </c>
      <c r="J4" s="82" t="str">
        <f ca="1">IFERROR(__xludf.DUMMYFUNCTION("""COMPUTED_VALUE"""),"Hong Kong")</f>
        <v>Hong Kong</v>
      </c>
      <c r="K4" s="83">
        <f ca="1">IFERROR(
  SUMIFS(
    'New Backfilled Data'!G:G,
    'New Backfilled Data'!A:A, I4,
    'New Backfilled Data'!D:D, J4,
    'New Backfilled Data'!E:E, "Online"
  ) /
  SUMIFS(
    'New Backfilled Data'!G:G,
    'New Backfilled Data'!A:A, I4,
    'New Backfilled Data'!D:D, J4
  ),
  ""
)</f>
        <v>2.7010709657549141E-2</v>
      </c>
      <c r="L4" s="84"/>
      <c r="M4" s="84"/>
    </row>
    <row r="5" spans="1:37" ht="17" x14ac:dyDescent="0.2">
      <c r="A5" s="44">
        <v>2005</v>
      </c>
      <c r="B5" s="45" t="s">
        <v>66</v>
      </c>
      <c r="C5" s="45" t="s">
        <v>4</v>
      </c>
      <c r="D5" s="45" t="s">
        <v>5</v>
      </c>
      <c r="E5" s="45" t="s">
        <v>67</v>
      </c>
      <c r="F5" s="45" t="s">
        <v>67</v>
      </c>
      <c r="G5" s="85">
        <f ca="1">IFERROR(__xludf.DUMMYFUNCTION("IFERROR(
  IF(A5 = 2008,
    IF(E5 = ""Online"",
      FILTER('Raw PhocalPoint Data'!G:G,
        'Raw PhocalPoint Data'!A:A = 2009,
        'Raw PhocalPoint Data'!D:D = D5,
        'Raw PhocalPoint Data'!E:E = E5,
        'Raw PhocalPoint Data'!F:F = F5
"&amp;"      ) /
      (
        FILTER('Raw PhocalPoint Data'!G:G,
          'Raw PhocalPoint Data'!A:A = 2012,
          'Raw PhocalPoint Data'!D:D = D5,
          'Raw PhocalPoint Data'!E:E = E5,
          'Raw PhocalPoint Data'!F:F = F5
        ) /
        F"&amp;"ILTER('Raw PhocalPoint Data'!G:G,
          'Raw PhocalPoint Data'!A:A = 2011,
          'Raw PhocalPoint Data'!D:D = D5,
          'Raw PhocalPoint Data'!E:E = E5,
          'Raw PhocalPoint Data'!F:F = F5
        )
      ),
      FILTER('Raw PhocalPoint"&amp;" Data'!G:G,
        'Raw PhocalPoint Data'!A:A = 2009,
        'Raw PhocalPoint Data'!D:D = D5,
        'Raw PhocalPoint Data'!E:E = E5,
        'Raw PhocalPoint Data'!F:F = F5
      ) *
      (
        INDEX('Raw GDP data'!$I$2:$M$100,
          MATCH(D5"&amp;", 'Raw GDP data'!$H$2:$H$100, 0),
          MATCH(2008, 'Raw GDP data'!$I$1:$M$1, 0)
        ) /
        INDEX('Raw GDP data'!$I$2:$M$100,
          MATCH(D5, 'Raw GDP data'!$H$2:$H$100, 0),
          MATCH(2009, 'Raw GDP data'!$I$1:$M$1, 0)
        )
   "&amp;"   )
    ),
  IF(A5 &lt; 2008,
    (
      FILTER(G:G,
        A:A = 2008,
        D:D = D5,
        E:E = E5,
        F:F = F5
      ) /
      PRODUCT(
        ARRAYFORMULA(
          (
            (
              FILTER('Raw PhocalPoint Data'!G:G,
        "&amp;"        'Raw PhocalPoint Data'!A:A = 2012,
                'Raw PhocalPoint Data'!D:D = D5,
                'Raw PhocalPoint Data'!E:E = E5,
                'Raw PhocalPoint Data'!F:F = F5
              ) /
              FILTER('Raw PhocalPoint Data'!G:G,"&amp;"
                'Raw PhocalPoint Data'!A:A = 2011,
                'Raw PhocalPoint Data'!D:D = D5,
                'Raw PhocalPoint Data'!E:E = E5,
                'Raw PhocalPoint Data'!F:F = F5
              ) -
              ROW(INDIRECT(""1:"" &amp; (20"&amp;"08 - A5))) *
              (
                (
                  FILTER('Raw PhocalPoint Data'!G:G,
                    'Raw PhocalPoint Data'!A:A = 2012,
                    'Raw PhocalPoint Data'!D:D = D5,
                    'Raw PhocalPoint Data'!E:E "&amp;"= E5,
                    'Raw PhocalPoint Data'!F:F = F5
                  ) /
                  FILTER('Raw PhocalPoint Data'!G:G,
                    'Raw PhocalPoint Data'!A:A = 2011,
                    'Raw PhocalPoint Data'!D:D = D5,
              "&amp;"      'Raw PhocalPoint Data'!E:E = E5,
                    'Raw PhocalPoint Data'!F:F = F5
                  ) - 1
                ) / 5
              )
            )
          )
        )
      )
    ),
    (
      FILTER('Raw PhocalPoint Data'!G:G,
    "&amp;"    'Raw PhocalPoint Data'!A:A = 2009,
        'Raw PhocalPoint Data'!D:D = D5,
        'Raw PhocalPoint Data'!E:E = E5,
        'Raw PhocalPoint Data'!F:F = F5
      ) /
      PRODUCT(
        ARRAYFORMULA(
          (
            FILTER('Raw PhocalPoint"&amp;" Data'!G:G,
              'Raw PhocalPoint Data'!A:A = 2012,
              'Raw PhocalPoint Data'!D:D = D5,
              'Raw PhocalPoint Data'!E:E = E5,
              'Raw PhocalPoint Data'!F:F = F5
            ) /
            FILTER('Raw PhocalPoint Da"&amp;"ta'!G:G,
              'Raw PhocalPoint Data'!A:A = 2011,
              'Raw PhocalPoint Data'!D:D = D5,
              'Raw PhocalPoint Data'!E:E = E5,
              'Raw PhocalPoint Data'!F:F = F5
            ) -
            (ROW(INDIRECT(""1:"" &amp; (2010 "&amp;"- A5))) - 1) *
            (
              (
                FILTER('Raw PhocalPoint Data'!G:G,
                  'Raw PhocalPoint Data'!A:A = 2012,
                  'Raw PhocalPoint Data'!D:D = D5,
                  'Raw PhocalPoint Data'!E:E = E5,
    "&amp;"              'Raw PhocalPoint Data'!F:F = F5
                ) /
                FILTER('Raw PhocalPoint Data'!G:G,
                  'Raw PhocalPoint Data'!A:A = 2011,
                  'Raw PhocalPoint Data'!D:D = D5,
                  'Raw PhocalPoint"&amp;" Data'!E:E = E5,
                  'Raw PhocalPoint Data'!F:F = F5
                ) - 1
              ) / 5
            )
          )
        )
      )
    ) *
    INDEX('Raw GDP data'!$I$2:$M$100,
      MATCH(D5, 'Raw GDP data'!$H$2:$H$100, 0),
      MA"&amp;"TCH(A5, 'Raw GDP data'!$I$1:$M$1, 0)
    )
  )),
  """"
)
"),40122779308.1306)</f>
        <v>40122779308.1306</v>
      </c>
      <c r="H5" s="86"/>
      <c r="I5" s="87">
        <f ca="1">IFERROR(__xludf.DUMMYFUNCTION("""COMPUTED_VALUE"""),2005)</f>
        <v>2005</v>
      </c>
      <c r="J5" s="88" t="str">
        <f ca="1">IFERROR(__xludf.DUMMYFUNCTION("""COMPUTED_VALUE"""),"India")</f>
        <v>India</v>
      </c>
      <c r="K5" s="89">
        <f ca="1">IFERROR(
  SUMIFS(
    'New Backfilled Data'!G:G,
    'New Backfilled Data'!A:A, I5,
    'New Backfilled Data'!D:D, J5,
    'New Backfilled Data'!E:E, "Online"
  ) /
  SUMIFS(
    'New Backfilled Data'!G:G,
    'New Backfilled Data'!A:A, I5,
    'New Backfilled Data'!D:D, J5
  ),
  ""
)</f>
        <v>0.23905642283257972</v>
      </c>
      <c r="L5" s="90"/>
      <c r="M5" s="90"/>
    </row>
    <row r="6" spans="1:37" ht="17" x14ac:dyDescent="0.2">
      <c r="A6" s="37">
        <v>2005</v>
      </c>
      <c r="B6" s="38" t="s">
        <v>66</v>
      </c>
      <c r="C6" s="38" t="s">
        <v>4</v>
      </c>
      <c r="D6" s="38" t="s">
        <v>5</v>
      </c>
      <c r="E6" s="38" t="s">
        <v>69</v>
      </c>
      <c r="F6" s="38" t="s">
        <v>71</v>
      </c>
      <c r="G6" s="79">
        <f ca="1">IFERROR(__xludf.DUMMYFUNCTION("IFERROR(
  IF(A6 = 2008,
    IF(E6 = ""Online"",
      FILTER('Raw PhocalPoint Data'!G:G,
        'Raw PhocalPoint Data'!A:A = 2009,
        'Raw PhocalPoint Data'!D:D = D6,
        'Raw PhocalPoint Data'!E:E = E6,
        'Raw PhocalPoint Data'!F:F = F6
"&amp;"      ) /
      (
        FILTER('Raw PhocalPoint Data'!G:G,
          'Raw PhocalPoint Data'!A:A = 2012,
          'Raw PhocalPoint Data'!D:D = D6,
          'Raw PhocalPoint Data'!E:E = E6,
          'Raw PhocalPoint Data'!F:F = F6
        ) /
        F"&amp;"ILTER('Raw PhocalPoint Data'!G:G,
          'Raw PhocalPoint Data'!A:A = 2011,
          'Raw PhocalPoint Data'!D:D = D6,
          'Raw PhocalPoint Data'!E:E = E6,
          'Raw PhocalPoint Data'!F:F = F6
        )
      ),
      FILTER('Raw PhocalPoint"&amp;" Data'!G:G,
        'Raw PhocalPoint Data'!A:A = 2009,
        'Raw PhocalPoint Data'!D:D = D6,
        'Raw PhocalPoint Data'!E:E = E6,
        'Raw PhocalPoint Data'!F:F = F6
      ) *
      (
        INDEX('Raw GDP data'!$I$2:$M$100,
          MATCH(D6"&amp;", 'Raw GDP data'!$H$2:$H$100, 0),
          MATCH(2008, 'Raw GDP data'!$I$1:$M$1, 0)
        ) /
        INDEX('Raw GDP data'!$I$2:$M$100,
          MATCH(D6, 'Raw GDP data'!$H$2:$H$100, 0),
          MATCH(2009, 'Raw GDP data'!$I$1:$M$1, 0)
        )
   "&amp;"   )
    ),
  IF(A6 &lt; 2008,
    (
      FILTER(G:G,
        A:A = 2008,
        D:D = D6,
        E:E = E6,
        F:F = F6
      ) /
      PRODUCT(
        ARRAYFORMULA(
          (
            (
              FILTER('Raw PhocalPoint Data'!G:G,
        "&amp;"        'Raw PhocalPoint Data'!A:A = 2012,
                'Raw PhocalPoint Data'!D:D = D6,
                'Raw PhocalPoint Data'!E:E = E6,
                'Raw PhocalPoint Data'!F:F = F6
              ) /
              FILTER('Raw PhocalPoint Data'!G:G,"&amp;"
                'Raw PhocalPoint Data'!A:A = 2011,
                'Raw PhocalPoint Data'!D:D = D6,
                'Raw PhocalPoint Data'!E:E = E6,
                'Raw PhocalPoint Data'!F:F = F6
              ) -
              ROW(INDIRECT(""1:"" &amp; (20"&amp;"08 - A6))) *
              (
                (
                  FILTER('Raw PhocalPoint Data'!G:G,
                    'Raw PhocalPoint Data'!A:A = 2012,
                    'Raw PhocalPoint Data'!D:D = D6,
                    'Raw PhocalPoint Data'!E:E "&amp;"= E6,
                    'Raw PhocalPoint Data'!F:F = F6
                  ) /
                  FILTER('Raw PhocalPoint Data'!G:G,
                    'Raw PhocalPoint Data'!A:A = 2011,
                    'Raw PhocalPoint Data'!D:D = D6,
              "&amp;"      'Raw PhocalPoint Data'!E:E = E6,
                    'Raw PhocalPoint Data'!F:F = F6
                  ) - 1
                ) / 5
              )
            )
          )
        )
      )
    ),
    (
      FILTER('Raw PhocalPoint Data'!G:G,
    "&amp;"    'Raw PhocalPoint Data'!A:A = 2009,
        'Raw PhocalPoint Data'!D:D = D6,
        'Raw PhocalPoint Data'!E:E = E6,
        'Raw PhocalPoint Data'!F:F = F6
      ) /
      PRODUCT(
        ARRAYFORMULA(
          (
            FILTER('Raw PhocalPoint"&amp;" Data'!G:G,
              'Raw PhocalPoint Data'!A:A = 2012,
              'Raw PhocalPoint Data'!D:D = D6,
              'Raw PhocalPoint Data'!E:E = E6,
              'Raw PhocalPoint Data'!F:F = F6
            ) /
            FILTER('Raw PhocalPoint Da"&amp;"ta'!G:G,
              'Raw PhocalPoint Data'!A:A = 2011,
              'Raw PhocalPoint Data'!D:D = D6,
              'Raw PhocalPoint Data'!E:E = E6,
              'Raw PhocalPoint Data'!F:F = F6
            ) -
            (ROW(INDIRECT(""1:"" &amp; (2010 "&amp;"- A6))) - 1) *
            (
              (
                FILTER('Raw PhocalPoint Data'!G:G,
                  'Raw PhocalPoint Data'!A:A = 2012,
                  'Raw PhocalPoint Data'!D:D = D6,
                  'Raw PhocalPoint Data'!E:E = E6,
    "&amp;"              'Raw PhocalPoint Data'!F:F = F6
                ) /
                FILTER('Raw PhocalPoint Data'!G:G,
                  'Raw PhocalPoint Data'!A:A = 2011,
                  'Raw PhocalPoint Data'!D:D = D6,
                  'Raw PhocalPoint"&amp;" Data'!E:E = E6,
                  'Raw PhocalPoint Data'!F:F = F6
                ) - 1
              ) / 5
            )
          )
        )
      )
    ) *
    INDEX('Raw GDP data'!$I$2:$M$100,
      MATCH(D6, 'Raw GDP data'!$H$2:$H$100, 0),
      MA"&amp;"TCH(A6, 'Raw GDP data'!$I$1:$M$1, 0)
    )
  )),
  """"
)
"),631830092.197894)</f>
        <v>631830092.19789398</v>
      </c>
      <c r="H6" s="80"/>
      <c r="I6" s="81">
        <f ca="1">IFERROR(__xludf.DUMMYFUNCTION("""COMPUTED_VALUE"""),2005)</f>
        <v>2005</v>
      </c>
      <c r="J6" s="82" t="str">
        <f ca="1">IFERROR(__xludf.DUMMYFUNCTION("""COMPUTED_VALUE"""),"Indonesia")</f>
        <v>Indonesia</v>
      </c>
      <c r="K6" s="83">
        <f ca="1">IFERROR(
  SUMIFS(
    'New Backfilled Data'!G:G,
    'New Backfilled Data'!A:A, I6,
    'New Backfilled Data'!D:D, J6,
    'New Backfilled Data'!E:E, "Online"
  ) /
  SUMIFS(
    'New Backfilled Data'!G:G,
    'New Backfilled Data'!A:A, I6,
    'New Backfilled Data'!D:D, J6
  ),
  ""
)</f>
        <v>7.9637147569524298E-3</v>
      </c>
      <c r="L6" s="84"/>
      <c r="M6" s="84"/>
    </row>
    <row r="7" spans="1:37" ht="17" x14ac:dyDescent="0.2">
      <c r="A7" s="44">
        <v>2005</v>
      </c>
      <c r="B7" s="45" t="s">
        <v>66</v>
      </c>
      <c r="C7" s="45" t="s">
        <v>4</v>
      </c>
      <c r="D7" s="45" t="s">
        <v>5</v>
      </c>
      <c r="E7" s="45" t="s">
        <v>69</v>
      </c>
      <c r="F7" s="45" t="s">
        <v>70</v>
      </c>
      <c r="G7" s="85">
        <f ca="1">IFERROR(__xludf.DUMMYFUNCTION("IFERROR(
  IF(A7 = 2008,
    IF(E7 = ""Online"",
      FILTER('Raw PhocalPoint Data'!G:G,
        'Raw PhocalPoint Data'!A:A = 2009,
        'Raw PhocalPoint Data'!D:D = D7,
        'Raw PhocalPoint Data'!E:E = E7,
        'Raw PhocalPoint Data'!F:F = F7
"&amp;"      ) /
      (
        FILTER('Raw PhocalPoint Data'!G:G,
          'Raw PhocalPoint Data'!A:A = 2012,
          'Raw PhocalPoint Data'!D:D = D7,
          'Raw PhocalPoint Data'!E:E = E7,
          'Raw PhocalPoint Data'!F:F = F7
        ) /
        F"&amp;"ILTER('Raw PhocalPoint Data'!G:G,
          'Raw PhocalPoint Data'!A:A = 2011,
          'Raw PhocalPoint Data'!D:D = D7,
          'Raw PhocalPoint Data'!E:E = E7,
          'Raw PhocalPoint Data'!F:F = F7
        )
      ),
      FILTER('Raw PhocalPoint"&amp;" Data'!G:G,
        'Raw PhocalPoint Data'!A:A = 2009,
        'Raw PhocalPoint Data'!D:D = D7,
        'Raw PhocalPoint Data'!E:E = E7,
        'Raw PhocalPoint Data'!F:F = F7
      ) *
      (
        INDEX('Raw GDP data'!$I$2:$M$100,
          MATCH(D7"&amp;", 'Raw GDP data'!$H$2:$H$100, 0),
          MATCH(2008, 'Raw GDP data'!$I$1:$M$1, 0)
        ) /
        INDEX('Raw GDP data'!$I$2:$M$100,
          MATCH(D7, 'Raw GDP data'!$H$2:$H$100, 0),
          MATCH(2009, 'Raw GDP data'!$I$1:$M$1, 0)
        )
   "&amp;"   )
    ),
  IF(A7 &lt; 2008,
    (
      FILTER(G:G,
        A:A = 2008,
        D:D = D7,
        E:E = E7,
        F:F = F7
      ) /
      PRODUCT(
        ARRAYFORMULA(
          (
            (
              FILTER('Raw PhocalPoint Data'!G:G,
        "&amp;"        'Raw PhocalPoint Data'!A:A = 2012,
                'Raw PhocalPoint Data'!D:D = D7,
                'Raw PhocalPoint Data'!E:E = E7,
                'Raw PhocalPoint Data'!F:F = F7
              ) /
              FILTER('Raw PhocalPoint Data'!G:G,"&amp;"
                'Raw PhocalPoint Data'!A:A = 2011,
                'Raw PhocalPoint Data'!D:D = D7,
                'Raw PhocalPoint Data'!E:E = E7,
                'Raw PhocalPoint Data'!F:F = F7
              ) -
              ROW(INDIRECT(""1:"" &amp; (20"&amp;"08 - A7))) *
              (
                (
                  FILTER('Raw PhocalPoint Data'!G:G,
                    'Raw PhocalPoint Data'!A:A = 2012,
                    'Raw PhocalPoint Data'!D:D = D7,
                    'Raw PhocalPoint Data'!E:E "&amp;"= E7,
                    'Raw PhocalPoint Data'!F:F = F7
                  ) /
                  FILTER('Raw PhocalPoint Data'!G:G,
                    'Raw PhocalPoint Data'!A:A = 2011,
                    'Raw PhocalPoint Data'!D:D = D7,
              "&amp;"      'Raw PhocalPoint Data'!E:E = E7,
                    'Raw PhocalPoint Data'!F:F = F7
                  ) - 1
                ) / 5
              )
            )
          )
        )
      )
    ),
    (
      FILTER('Raw PhocalPoint Data'!G:G,
    "&amp;"    'Raw PhocalPoint Data'!A:A = 2009,
        'Raw PhocalPoint Data'!D:D = D7,
        'Raw PhocalPoint Data'!E:E = E7,
        'Raw PhocalPoint Data'!F:F = F7
      ) /
      PRODUCT(
        ARRAYFORMULA(
          (
            FILTER('Raw PhocalPoint"&amp;" Data'!G:G,
              'Raw PhocalPoint Data'!A:A = 2012,
              'Raw PhocalPoint Data'!D:D = D7,
              'Raw PhocalPoint Data'!E:E = E7,
              'Raw PhocalPoint Data'!F:F = F7
            ) /
            FILTER('Raw PhocalPoint Da"&amp;"ta'!G:G,
              'Raw PhocalPoint Data'!A:A = 2011,
              'Raw PhocalPoint Data'!D:D = D7,
              'Raw PhocalPoint Data'!E:E = E7,
              'Raw PhocalPoint Data'!F:F = F7
            ) -
            (ROW(INDIRECT(""1:"" &amp; (2010 "&amp;"- A7))) - 1) *
            (
              (
                FILTER('Raw PhocalPoint Data'!G:G,
                  'Raw PhocalPoint Data'!A:A = 2012,
                  'Raw PhocalPoint Data'!D:D = D7,
                  'Raw PhocalPoint Data'!E:E = E7,
    "&amp;"              'Raw PhocalPoint Data'!F:F = F7
                ) /
                FILTER('Raw PhocalPoint Data'!G:G,
                  'Raw PhocalPoint Data'!A:A = 2011,
                  'Raw PhocalPoint Data'!D:D = D7,
                  'Raw PhocalPoint"&amp;" Data'!E:E = E7,
                  'Raw PhocalPoint Data'!F:F = F7
                ) - 1
              ) / 5
            )
          )
        )
      )
    ) *
    INDEX('Raw GDP data'!$I$2:$M$100,
      MATCH(D7, 'Raw GDP data'!$H$2:$H$100, 0),
      MA"&amp;"TCH(A7, 'Raw GDP data'!$I$1:$M$1, 0)
    )
  )),
  """"
)
"),807886348.417452)</f>
        <v>807886348.41745198</v>
      </c>
      <c r="H7" s="86"/>
      <c r="I7" s="87">
        <f ca="1">IFERROR(__xludf.DUMMYFUNCTION("""COMPUTED_VALUE"""),2005)</f>
        <v>2005</v>
      </c>
      <c r="J7" s="88" t="str">
        <f ca="1">IFERROR(__xludf.DUMMYFUNCTION("""COMPUTED_VALUE"""),"Japan")</f>
        <v>Japan</v>
      </c>
      <c r="K7" s="89">
        <f ca="1">IFERROR(
  SUMIFS(
    'New Backfilled Data'!G:G,
    'New Backfilled Data'!A:A, I7,
    'New Backfilled Data'!D:D, J7,
    'New Backfilled Data'!E:E, "Online"
  ) /
  SUMIFS(
    'New Backfilled Data'!G:G,
    'New Backfilled Data'!A:A, I7,
    'New Backfilled Data'!D:D, J7
  ),
  ""
)</f>
        <v>0.17655600875906696</v>
      </c>
      <c r="L7" s="90"/>
      <c r="M7" s="90"/>
    </row>
    <row r="8" spans="1:37" ht="17" x14ac:dyDescent="0.2">
      <c r="A8" s="37">
        <v>2005</v>
      </c>
      <c r="B8" s="38" t="s">
        <v>66</v>
      </c>
      <c r="C8" s="38" t="s">
        <v>4</v>
      </c>
      <c r="D8" s="38" t="s">
        <v>6</v>
      </c>
      <c r="E8" s="38" t="s">
        <v>67</v>
      </c>
      <c r="F8" s="38" t="s">
        <v>67</v>
      </c>
      <c r="G8" s="79">
        <f ca="1">IFERROR(__xludf.DUMMYFUNCTION("IFERROR(
  IF(A8 = 2008,
    IF(E8 = ""Online"",
      FILTER('Raw PhocalPoint Data'!G:G,
        'Raw PhocalPoint Data'!A:A = 2009,
        'Raw PhocalPoint Data'!D:D = D8,
        'Raw PhocalPoint Data'!E:E = E8,
        'Raw PhocalPoint Data'!F:F = F8
"&amp;"      ) /
      (
        FILTER('Raw PhocalPoint Data'!G:G,
          'Raw PhocalPoint Data'!A:A = 2012,
          'Raw PhocalPoint Data'!D:D = D8,
          'Raw PhocalPoint Data'!E:E = E8,
          'Raw PhocalPoint Data'!F:F = F8
        ) /
        F"&amp;"ILTER('Raw PhocalPoint Data'!G:G,
          'Raw PhocalPoint Data'!A:A = 2011,
          'Raw PhocalPoint Data'!D:D = D8,
          'Raw PhocalPoint Data'!E:E = E8,
          'Raw PhocalPoint Data'!F:F = F8
        )
      ),
      FILTER('Raw PhocalPoint"&amp;" Data'!G:G,
        'Raw PhocalPoint Data'!A:A = 2009,
        'Raw PhocalPoint Data'!D:D = D8,
        'Raw PhocalPoint Data'!E:E = E8,
        'Raw PhocalPoint Data'!F:F = F8
      ) *
      (
        INDEX('Raw GDP data'!$I$2:$M$100,
          MATCH(D8"&amp;", 'Raw GDP data'!$H$2:$H$100, 0),
          MATCH(2008, 'Raw GDP data'!$I$1:$M$1, 0)
        ) /
        INDEX('Raw GDP data'!$I$2:$M$100,
          MATCH(D8, 'Raw GDP data'!$H$2:$H$100, 0),
          MATCH(2009, 'Raw GDP data'!$I$1:$M$1, 0)
        )
   "&amp;"   )
    ),
  IF(A8 &lt; 2008,
    (
      FILTER(G:G,
        A:A = 2008,
        D:D = D8,
        E:E = E8,
        F:F = F8
      ) /
      PRODUCT(
        ARRAYFORMULA(
          (
            (
              FILTER('Raw PhocalPoint Data'!G:G,
        "&amp;"        'Raw PhocalPoint Data'!A:A = 2012,
                'Raw PhocalPoint Data'!D:D = D8,
                'Raw PhocalPoint Data'!E:E = E8,
                'Raw PhocalPoint Data'!F:F = F8
              ) /
              FILTER('Raw PhocalPoint Data'!G:G,"&amp;"
                'Raw PhocalPoint Data'!A:A = 2011,
                'Raw PhocalPoint Data'!D:D = D8,
                'Raw PhocalPoint Data'!E:E = E8,
                'Raw PhocalPoint Data'!F:F = F8
              ) -
              ROW(INDIRECT(""1:"" &amp; (20"&amp;"08 - A8))) *
              (
                (
                  FILTER('Raw PhocalPoint Data'!G:G,
                    'Raw PhocalPoint Data'!A:A = 2012,
                    'Raw PhocalPoint Data'!D:D = D8,
                    'Raw PhocalPoint Data'!E:E "&amp;"= E8,
                    'Raw PhocalPoint Data'!F:F = F8
                  ) /
                  FILTER('Raw PhocalPoint Data'!G:G,
                    'Raw PhocalPoint Data'!A:A = 2011,
                    'Raw PhocalPoint Data'!D:D = D8,
              "&amp;"      'Raw PhocalPoint Data'!E:E = E8,
                    'Raw PhocalPoint Data'!F:F = F8
                  ) - 1
                ) / 5
              )
            )
          )
        )
      )
    ),
    (
      FILTER('Raw PhocalPoint Data'!G:G,
    "&amp;"    'Raw PhocalPoint Data'!A:A = 2009,
        'Raw PhocalPoint Data'!D:D = D8,
        'Raw PhocalPoint Data'!E:E = E8,
        'Raw PhocalPoint Data'!F:F = F8
      ) /
      PRODUCT(
        ARRAYFORMULA(
          (
            FILTER('Raw PhocalPoint"&amp;" Data'!G:G,
              'Raw PhocalPoint Data'!A:A = 2012,
              'Raw PhocalPoint Data'!D:D = D8,
              'Raw PhocalPoint Data'!E:E = E8,
              'Raw PhocalPoint Data'!F:F = F8
            ) /
            FILTER('Raw PhocalPoint Da"&amp;"ta'!G:G,
              'Raw PhocalPoint Data'!A:A = 2011,
              'Raw PhocalPoint Data'!D:D = D8,
              'Raw PhocalPoint Data'!E:E = E8,
              'Raw PhocalPoint Data'!F:F = F8
            ) -
            (ROW(INDIRECT(""1:"" &amp; (2010 "&amp;"- A8))) - 1) *
            (
              (
                FILTER('Raw PhocalPoint Data'!G:G,
                  'Raw PhocalPoint Data'!A:A = 2012,
                  'Raw PhocalPoint Data'!D:D = D8,
                  'Raw PhocalPoint Data'!E:E = E8,
    "&amp;"              'Raw PhocalPoint Data'!F:F = F8
                ) /
                FILTER('Raw PhocalPoint Data'!G:G,
                  'Raw PhocalPoint Data'!A:A = 2011,
                  'Raw PhocalPoint Data'!D:D = D8,
                  'Raw PhocalPoint"&amp;" Data'!E:E = E8,
                  'Raw PhocalPoint Data'!F:F = F8
                ) - 1
              ) / 5
            )
          )
        )
      )
    ) *
    INDEX('Raw GDP data'!$I$2:$M$100,
      MATCH(D8, 'Raw GDP data'!$H$2:$H$100, 0),
      MA"&amp;"TCH(A8, 'Raw GDP data'!$I$1:$M$1, 0)
    )
  )),
  """"
)
"),8446831315.17425)</f>
        <v>8446831315.1742496</v>
      </c>
      <c r="H8" s="80"/>
      <c r="I8" s="81">
        <f ca="1">IFERROR(__xludf.DUMMYFUNCTION("""COMPUTED_VALUE"""),2005)</f>
        <v>2005</v>
      </c>
      <c r="J8" s="82" t="str">
        <f ca="1">IFERROR(__xludf.DUMMYFUNCTION("""COMPUTED_VALUE"""),"Macau")</f>
        <v>Macau</v>
      </c>
      <c r="K8" s="83">
        <f ca="1">IFERROR(
  SUMIFS(
    'New Backfilled Data'!G:G,
    'New Backfilled Data'!A:A, I8,
    'New Backfilled Data'!D:D, J8,
    'New Backfilled Data'!E:E, "Online"
  ) /
  SUMIFS(
    'New Backfilled Data'!G:G,
    'New Backfilled Data'!A:A, I8,
    'New Backfilled Data'!D:D, J8
  ),
  ""
)</f>
        <v>6.6292343293959848E-3</v>
      </c>
      <c r="L8" s="84"/>
      <c r="M8" s="84"/>
    </row>
    <row r="9" spans="1:37" ht="17" x14ac:dyDescent="0.2">
      <c r="A9" s="44">
        <v>2005</v>
      </c>
      <c r="B9" s="45" t="s">
        <v>66</v>
      </c>
      <c r="C9" s="45" t="s">
        <v>4</v>
      </c>
      <c r="D9" s="45" t="s">
        <v>6</v>
      </c>
      <c r="E9" s="45" t="s">
        <v>69</v>
      </c>
      <c r="F9" s="45" t="s">
        <v>71</v>
      </c>
      <c r="G9" s="85">
        <f ca="1">IFERROR(__xludf.DUMMYFUNCTION("IFERROR(
  IF(A9 = 2008,
    IF(E9 = ""Online"",
      FILTER('Raw PhocalPoint Data'!G:G,
        'Raw PhocalPoint Data'!A:A = 2009,
        'Raw PhocalPoint Data'!D:D = D9,
        'Raw PhocalPoint Data'!E:E = E9,
        'Raw PhocalPoint Data'!F:F = F9
"&amp;"      ) /
      (
        FILTER('Raw PhocalPoint Data'!G:G,
          'Raw PhocalPoint Data'!A:A = 2012,
          'Raw PhocalPoint Data'!D:D = D9,
          'Raw PhocalPoint Data'!E:E = E9,
          'Raw PhocalPoint Data'!F:F = F9
        ) /
        F"&amp;"ILTER('Raw PhocalPoint Data'!G:G,
          'Raw PhocalPoint Data'!A:A = 2011,
          'Raw PhocalPoint Data'!D:D = D9,
          'Raw PhocalPoint Data'!E:E = E9,
          'Raw PhocalPoint Data'!F:F = F9
        )
      ),
      FILTER('Raw PhocalPoint"&amp;" Data'!G:G,
        'Raw PhocalPoint Data'!A:A = 2009,
        'Raw PhocalPoint Data'!D:D = D9,
        'Raw PhocalPoint Data'!E:E = E9,
        'Raw PhocalPoint Data'!F:F = F9
      ) *
      (
        INDEX('Raw GDP data'!$I$2:$M$100,
          MATCH(D9"&amp;", 'Raw GDP data'!$H$2:$H$100, 0),
          MATCH(2008, 'Raw GDP data'!$I$1:$M$1, 0)
        ) /
        INDEX('Raw GDP data'!$I$2:$M$100,
          MATCH(D9, 'Raw GDP data'!$H$2:$H$100, 0),
          MATCH(2009, 'Raw GDP data'!$I$1:$M$1, 0)
        )
   "&amp;"   )
    ),
  IF(A9 &lt; 2008,
    (
      FILTER(G:G,
        A:A = 2008,
        D:D = D9,
        E:E = E9,
        F:F = F9
      ) /
      PRODUCT(
        ARRAYFORMULA(
          (
            (
              FILTER('Raw PhocalPoint Data'!G:G,
        "&amp;"        'Raw PhocalPoint Data'!A:A = 2012,
                'Raw PhocalPoint Data'!D:D = D9,
                'Raw PhocalPoint Data'!E:E = E9,
                'Raw PhocalPoint Data'!F:F = F9
              ) /
              FILTER('Raw PhocalPoint Data'!G:G,"&amp;"
                'Raw PhocalPoint Data'!A:A = 2011,
                'Raw PhocalPoint Data'!D:D = D9,
                'Raw PhocalPoint Data'!E:E = E9,
                'Raw PhocalPoint Data'!F:F = F9
              ) -
              ROW(INDIRECT(""1:"" &amp; (20"&amp;"08 - A9))) *
              (
                (
                  FILTER('Raw PhocalPoint Data'!G:G,
                    'Raw PhocalPoint Data'!A:A = 2012,
                    'Raw PhocalPoint Data'!D:D = D9,
                    'Raw PhocalPoint Data'!E:E "&amp;"= E9,
                    'Raw PhocalPoint Data'!F:F = F9
                  ) /
                  FILTER('Raw PhocalPoint Data'!G:G,
                    'Raw PhocalPoint Data'!A:A = 2011,
                    'Raw PhocalPoint Data'!D:D = D9,
              "&amp;"      'Raw PhocalPoint Data'!E:E = E9,
                    'Raw PhocalPoint Data'!F:F = F9
                  ) - 1
                ) / 5
              )
            )
          )
        )
      )
    ),
    (
      FILTER('Raw PhocalPoint Data'!G:G,
    "&amp;"    'Raw PhocalPoint Data'!A:A = 2009,
        'Raw PhocalPoint Data'!D:D = D9,
        'Raw PhocalPoint Data'!E:E = E9,
        'Raw PhocalPoint Data'!F:F = F9
      ) /
      PRODUCT(
        ARRAYFORMULA(
          (
            FILTER('Raw PhocalPoint"&amp;" Data'!G:G,
              'Raw PhocalPoint Data'!A:A = 2012,
              'Raw PhocalPoint Data'!D:D = D9,
              'Raw PhocalPoint Data'!E:E = E9,
              'Raw PhocalPoint Data'!F:F = F9
            ) /
            FILTER('Raw PhocalPoint Da"&amp;"ta'!G:G,
              'Raw PhocalPoint Data'!A:A = 2011,
              'Raw PhocalPoint Data'!D:D = D9,
              'Raw PhocalPoint Data'!E:E = E9,
              'Raw PhocalPoint Data'!F:F = F9
            ) -
            (ROW(INDIRECT(""1:"" &amp; (2010 "&amp;"- A9))) - 1) *
            (
              (
                FILTER('Raw PhocalPoint Data'!G:G,
                  'Raw PhocalPoint Data'!A:A = 2012,
                  'Raw PhocalPoint Data'!D:D = D9,
                  'Raw PhocalPoint Data'!E:E = E9,
    "&amp;"              'Raw PhocalPoint Data'!F:F = F9
                ) /
                FILTER('Raw PhocalPoint Data'!G:G,
                  'Raw PhocalPoint Data'!A:A = 2011,
                  'Raw PhocalPoint Data'!D:D = D9,
                  'Raw PhocalPoint"&amp;" Data'!E:E = E9,
                  'Raw PhocalPoint Data'!F:F = F9
                ) - 1
              ) / 5
            )
          )
        )
      )
    ) *
    INDEX('Raw GDP data'!$I$2:$M$100,
      MATCH(D9, 'Raw GDP data'!$H$2:$H$100, 0),
      MA"&amp;"TCH(A9, 'Raw GDP data'!$I$1:$M$1, 0)
    )
  )),
  """"
)
"),33858432.8006026)</f>
        <v>33858432.8006026</v>
      </c>
      <c r="H9" s="86"/>
      <c r="I9" s="87">
        <f ca="1">IFERROR(__xludf.DUMMYFUNCTION("""COMPUTED_VALUE"""),2005)</f>
        <v>2005</v>
      </c>
      <c r="J9" s="88" t="str">
        <f ca="1">IFERROR(__xludf.DUMMYFUNCTION("""COMPUTED_VALUE"""),"Malaysia")</f>
        <v>Malaysia</v>
      </c>
      <c r="K9" s="89">
        <f ca="1">IFERROR(
  SUMIFS(
    'New Backfilled Data'!G:G,
    'New Backfilled Data'!A:A, I9,
    'New Backfilled Data'!D:D, J9,
    'New Backfilled Data'!E:E, "Online"
  ) /
  SUMIFS(
    'New Backfilled Data'!G:G,
    'New Backfilled Data'!A:A, I9,
    'New Backfilled Data'!D:D, J9
  ),
  ""
)</f>
        <v>0.2036488287617283</v>
      </c>
      <c r="L9" s="90"/>
      <c r="M9" s="90"/>
    </row>
    <row r="10" spans="1:37" ht="17" x14ac:dyDescent="0.2">
      <c r="A10" s="37">
        <v>2005</v>
      </c>
      <c r="B10" s="38" t="s">
        <v>66</v>
      </c>
      <c r="C10" s="38" t="s">
        <v>4</v>
      </c>
      <c r="D10" s="38" t="s">
        <v>6</v>
      </c>
      <c r="E10" s="38" t="s">
        <v>69</v>
      </c>
      <c r="F10" s="38" t="s">
        <v>70</v>
      </c>
      <c r="G10" s="79">
        <f ca="1">IFERROR(__xludf.DUMMYFUNCTION("IFERROR(
  IF(A10 = 2008,
    IF(E10 = ""Online"",
      FILTER('Raw PhocalPoint Data'!G:G,
        'Raw PhocalPoint Data'!A:A = 2009,
        'Raw PhocalPoint Data'!D:D = D10,
        'Raw PhocalPoint Data'!E:E = E10,
        'Raw PhocalPoint Data'!F:F ="&amp;" F10
      ) /
      (
        FILTER('Raw PhocalPoint Data'!G:G,
          'Raw PhocalPoint Data'!A:A = 2012,
          'Raw PhocalPoint Data'!D:D = D10,
          'Raw PhocalPoint Data'!E:E = E10,
          'Raw PhocalPoint Data'!F:F = F10
        ) /
 "&amp;"       FILTER('Raw PhocalPoint Data'!G:G,
          'Raw PhocalPoint Data'!A:A = 2011,
          'Raw PhocalPoint Data'!D:D = D10,
          'Raw PhocalPoint Data'!E:E = E10,
          'Raw PhocalPoint Data'!F:F = F10
        )
      ),
      FILTER('Raw "&amp;"PhocalPoint Data'!G:G,
        'Raw PhocalPoint Data'!A:A = 2009,
        'Raw PhocalPoint Data'!D:D = D10,
        'Raw PhocalPoint Data'!E:E = E10,
        'Raw PhocalPoint Data'!F:F = F10
      ) *
      (
        INDEX('Raw GDP data'!$I$2:$M$100,
    "&amp;"      MATCH(D10, 'Raw GDP data'!$H$2:$H$100, 0),
          MATCH(2008, 'Raw GDP data'!$I$1:$M$1, 0)
        ) /
        INDEX('Raw GDP data'!$I$2:$M$100,
          MATCH(D10, 'Raw GDP data'!$H$2:$H$100, 0),
          MATCH(2009, 'Raw GDP data'!$I$1:$M$1, "&amp;"0)
        )
      )
    ),
  IF(A10 &lt; 2008,
    (
      FILTER(G:G,
        A:A = 2008,
        D:D = D10,
        E:E = E10,
        F:F = F10
      ) /
      PRODUCT(
        ARRAYFORMULA(
          (
            (
              FILTER('Raw PhocalPoint"&amp;" Data'!G:G,
                'Raw PhocalPoint Data'!A:A = 2012,
                'Raw PhocalPoint Data'!D:D = D10,
                'Raw PhocalPoint Data'!E:E = E10,
                'Raw PhocalPoint Data'!F:F = F10
              ) /
              FILTER('Raw"&amp;" PhocalPoint Data'!G:G,
                'Raw PhocalPoint Data'!A:A = 2011,
                'Raw PhocalPoint Data'!D:D = D10,
                'Raw PhocalPoint Data'!E:E = E10,
                'Raw PhocalPoint Data'!F:F = F10
              ) -
             "&amp;" ROW(INDIRECT(""1:"" &amp; (2008 - A10))) *
              (
                (
                  FILTER('Raw PhocalPoint Data'!G:G,
                    'Raw PhocalPoint Data'!A:A = 2012,
                    'Raw PhocalPoint Data'!D:D = D10,
                   "&amp;" 'Raw PhocalPoint Data'!E:E = E10,
                    'Raw PhocalPoint Data'!F:F = F10
                  ) /
                  FILTER('Raw PhocalPoint Data'!G:G,
                    'Raw PhocalPoint Data'!A:A = 2011,
                    'Raw PhocalPoint "&amp;"Data'!D:D = D10,
                    'Raw PhocalPoint Data'!E:E = E10,
                    'Raw PhocalPoint Data'!F:F = F10
                  ) - 1
                ) / 5
              )
            )
          )
        )
      )
    ),
    (
      FILTER"&amp;"('Raw PhocalPoint Data'!G:G,
        'Raw PhocalPoint Data'!A:A = 2009,
        'Raw PhocalPoint Data'!D:D = D10,
        'Raw PhocalPoint Data'!E:E = E10,
        'Raw PhocalPoint Data'!F:F = F10
      ) /
      PRODUCT(
        ARRAYFORMULA(
          ("&amp;"
            FILTER('Raw PhocalPoint Data'!G:G,
              'Raw PhocalPoint Data'!A:A = 2012,
              'Raw PhocalPoint Data'!D:D = D10,
              'Raw PhocalPoint Data'!E:E = E10,
              'Raw PhocalPoint Data'!F:F = F10
            ) /"&amp;"
            FILTER('Raw PhocalPoint Data'!G:G,
              'Raw PhocalPoint Data'!A:A = 2011,
              'Raw PhocalPoint Data'!D:D = D10,
              'Raw PhocalPoint Data'!E:E = E10,
              'Raw PhocalPoint Data'!F:F = F10
            ) -"&amp;"
            (ROW(INDIRECT(""1:"" &amp; (2010 - A10))) - 1) *
            (
              (
                FILTER('Raw PhocalPoint Data'!G:G,
                  'Raw PhocalPoint Data'!A:A = 2012,
                  'Raw PhocalPoint Data'!D:D = D10,
           "&amp;"       'Raw PhocalPoint Data'!E:E = E10,
                  'Raw PhocalPoint Data'!F:F = F10
                ) /
                FILTER('Raw PhocalPoint Data'!G:G,
                  'Raw PhocalPoint Data'!A:A = 2011,
                  'Raw PhocalPoint Data"&amp;"'!D:D = D10,
                  'Raw PhocalPoint Data'!E:E = E10,
                  'Raw PhocalPoint Data'!F:F = F10
                ) - 1
              ) / 5
            )
          )
        )
      )
    ) *
    INDEX('Raw GDP data'!$I$2:$M$100,
      M"&amp;"ATCH(D10, 'Raw GDP data'!$H$2:$H$100, 0),
      MATCH(A10, 'Raw GDP data'!$I$1:$M$1, 0)
    )
  )),
  """"
)
"),200630179.196519)</f>
        <v>200630179.19651899</v>
      </c>
      <c r="H10" s="80"/>
      <c r="I10" s="81">
        <f ca="1">IFERROR(__xludf.DUMMYFUNCTION("""COMPUTED_VALUE"""),2005)</f>
        <v>2005</v>
      </c>
      <c r="J10" s="82" t="str">
        <f ca="1">IFERROR(__xludf.DUMMYFUNCTION("""COMPUTED_VALUE"""),"Singapore")</f>
        <v>Singapore</v>
      </c>
      <c r="K10" s="83">
        <f ca="1">IFERROR(
  SUMIFS(
    'New Backfilled Data'!G:G,
    'New Backfilled Data'!A:A, I10,
    'New Backfilled Data'!D:D, J10,
    'New Backfilled Data'!E:E, "Online"
  ) /
  SUMIFS(
    'New Backfilled Data'!G:G,
    'New Backfilled Data'!A:A, I10,
    'New Backfilled Data'!D:D, J10
  ),
  ""
)</f>
        <v>0.1854467623788002</v>
      </c>
      <c r="L10" s="84"/>
      <c r="M10" s="84"/>
    </row>
    <row r="11" spans="1:37" ht="17" x14ac:dyDescent="0.2">
      <c r="A11" s="44">
        <v>2005</v>
      </c>
      <c r="B11" s="45" t="s">
        <v>66</v>
      </c>
      <c r="C11" s="45" t="s">
        <v>4</v>
      </c>
      <c r="D11" s="45" t="s">
        <v>7</v>
      </c>
      <c r="E11" s="45" t="s">
        <v>67</v>
      </c>
      <c r="F11" s="45" t="s">
        <v>67</v>
      </c>
      <c r="G11" s="85">
        <f ca="1">IFERROR(__xludf.DUMMYFUNCTION("IFERROR(
  IF(A11 = 2008,
    IF(E11 = ""Online"",
      FILTER('Raw PhocalPoint Data'!G:G,
        'Raw PhocalPoint Data'!A:A = 2009,
        'Raw PhocalPoint Data'!D:D = D11,
        'Raw PhocalPoint Data'!E:E = E11,
        'Raw PhocalPoint Data'!F:F ="&amp;" F11
      ) /
      (
        FILTER('Raw PhocalPoint Data'!G:G,
          'Raw PhocalPoint Data'!A:A = 2012,
          'Raw PhocalPoint Data'!D:D = D11,
          'Raw PhocalPoint Data'!E:E = E11,
          'Raw PhocalPoint Data'!F:F = F11
        ) /
 "&amp;"       FILTER('Raw PhocalPoint Data'!G:G,
          'Raw PhocalPoint Data'!A:A = 2011,
          'Raw PhocalPoint Data'!D:D = D11,
          'Raw PhocalPoint Data'!E:E = E11,
          'Raw PhocalPoint Data'!F:F = F11
        )
      ),
      FILTER('Raw "&amp;"PhocalPoint Data'!G:G,
        'Raw PhocalPoint Data'!A:A = 2009,
        'Raw PhocalPoint Data'!D:D = D11,
        'Raw PhocalPoint Data'!E:E = E11,
        'Raw PhocalPoint Data'!F:F = F11
      ) *
      (
        INDEX('Raw GDP data'!$I$2:$M$100,
    "&amp;"      MATCH(D11, 'Raw GDP data'!$H$2:$H$100, 0),
          MATCH(2008, 'Raw GDP data'!$I$1:$M$1, 0)
        ) /
        INDEX('Raw GDP data'!$I$2:$M$100,
          MATCH(D11, 'Raw GDP data'!$H$2:$H$100, 0),
          MATCH(2009, 'Raw GDP data'!$I$1:$M$1, "&amp;"0)
        )
      )
    ),
  IF(A11 &lt; 2008,
    (
      FILTER(G:G,
        A:A = 2008,
        D:D = D11,
        E:E = E11,
        F:F = F11
      ) /
      PRODUCT(
        ARRAYFORMULA(
          (
            (
              FILTER('Raw PhocalPoint"&amp;" Data'!G:G,
                'Raw PhocalPoint Data'!A:A = 2012,
                'Raw PhocalPoint Data'!D:D = D11,
                'Raw PhocalPoint Data'!E:E = E11,
                'Raw PhocalPoint Data'!F:F = F11
              ) /
              FILTER('Raw"&amp;" PhocalPoint Data'!G:G,
                'Raw PhocalPoint Data'!A:A = 2011,
                'Raw PhocalPoint Data'!D:D = D11,
                'Raw PhocalPoint Data'!E:E = E11,
                'Raw PhocalPoint Data'!F:F = F11
              ) -
             "&amp;" ROW(INDIRECT(""1:"" &amp; (2008 - A11))) *
              (
                (
                  FILTER('Raw PhocalPoint Data'!G:G,
                    'Raw PhocalPoint Data'!A:A = 2012,
                    'Raw PhocalPoint Data'!D:D = D11,
                   "&amp;" 'Raw PhocalPoint Data'!E:E = E11,
                    'Raw PhocalPoint Data'!F:F = F11
                  ) /
                  FILTER('Raw PhocalPoint Data'!G:G,
                    'Raw PhocalPoint Data'!A:A = 2011,
                    'Raw PhocalPoint "&amp;"Data'!D:D = D11,
                    'Raw PhocalPoint Data'!E:E = E11,
                    'Raw PhocalPoint Data'!F:F = F11
                  ) - 1
                ) / 5
              )
            )
          )
        )
      )
    ),
    (
      FILTER"&amp;"('Raw PhocalPoint Data'!G:G,
        'Raw PhocalPoint Data'!A:A = 2009,
        'Raw PhocalPoint Data'!D:D = D11,
        'Raw PhocalPoint Data'!E:E = E11,
        'Raw PhocalPoint Data'!F:F = F11
      ) /
      PRODUCT(
        ARRAYFORMULA(
          ("&amp;"
            FILTER('Raw PhocalPoint Data'!G:G,
              'Raw PhocalPoint Data'!A:A = 2012,
              'Raw PhocalPoint Data'!D:D = D11,
              'Raw PhocalPoint Data'!E:E = E11,
              'Raw PhocalPoint Data'!F:F = F11
            ) /"&amp;"
            FILTER('Raw PhocalPoint Data'!G:G,
              'Raw PhocalPoint Data'!A:A = 2011,
              'Raw PhocalPoint Data'!D:D = D11,
              'Raw PhocalPoint Data'!E:E = E11,
              'Raw PhocalPoint Data'!F:F = F11
            ) -"&amp;"
            (ROW(INDIRECT(""1:"" &amp; (2010 - A11))) - 1) *
            (
              (
                FILTER('Raw PhocalPoint Data'!G:G,
                  'Raw PhocalPoint Data'!A:A = 2012,
                  'Raw PhocalPoint Data'!D:D = D11,
           "&amp;"       'Raw PhocalPoint Data'!E:E = E11,
                  'Raw PhocalPoint Data'!F:F = F11
                ) /
                FILTER('Raw PhocalPoint Data'!G:G,
                  'Raw PhocalPoint Data'!A:A = 2011,
                  'Raw PhocalPoint Data"&amp;"'!D:D = D11,
                  'Raw PhocalPoint Data'!E:E = E11,
                  'Raw PhocalPoint Data'!F:F = F11
                ) - 1
              ) / 5
            )
          )
        )
      )
    ) *
    INDEX('Raw GDP data'!$I$2:$M$100,
      M"&amp;"ATCH(D11, 'Raw GDP data'!$H$2:$H$100, 0),
      MATCH(A11, 'Raw GDP data'!$I$1:$M$1, 0)
    )
  )),
  """"
)
"),12072107931.5047)</f>
        <v>12072107931.5047</v>
      </c>
      <c r="H11" s="86"/>
      <c r="I11" s="87">
        <f ca="1">IFERROR(__xludf.DUMMYFUNCTION("""COMPUTED_VALUE"""),2005)</f>
        <v>2005</v>
      </c>
      <c r="J11" s="88" t="str">
        <f ca="1">IFERROR(__xludf.DUMMYFUNCTION("""COMPUTED_VALUE"""),"South Korea")</f>
        <v>South Korea</v>
      </c>
      <c r="K11" s="89">
        <f ca="1">IFERROR(
  SUMIFS(
    'New Backfilled Data'!G:G,
    'New Backfilled Data'!A:A, I11,
    'New Backfilled Data'!D:D, J11,
    'New Backfilled Data'!E:E, "Online"
  ) /
  SUMIFS(
    'New Backfilled Data'!G:G,
    'New Backfilled Data'!A:A, I11,
    'New Backfilled Data'!D:D, J11
  ),
  ""
)</f>
        <v>4.4545567452873275E-2</v>
      </c>
      <c r="L11" s="90"/>
      <c r="M11" s="90"/>
    </row>
    <row r="12" spans="1:37" ht="17" x14ac:dyDescent="0.2">
      <c r="A12" s="37">
        <v>2005</v>
      </c>
      <c r="B12" s="38" t="s">
        <v>66</v>
      </c>
      <c r="C12" s="38" t="s">
        <v>4</v>
      </c>
      <c r="D12" s="38" t="s">
        <v>7</v>
      </c>
      <c r="E12" s="38" t="s">
        <v>69</v>
      </c>
      <c r="F12" s="38" t="s">
        <v>71</v>
      </c>
      <c r="G12" s="79">
        <f ca="1">IFERROR(__xludf.DUMMYFUNCTION("IFERROR(
  IF(A12 = 2008,
    IF(E12 = ""Online"",
      FILTER('Raw PhocalPoint Data'!G:G,
        'Raw PhocalPoint Data'!A:A = 2009,
        'Raw PhocalPoint Data'!D:D = D12,
        'Raw PhocalPoint Data'!E:E = E12,
        'Raw PhocalPoint Data'!F:F ="&amp;" F12
      ) /
      (
        FILTER('Raw PhocalPoint Data'!G:G,
          'Raw PhocalPoint Data'!A:A = 2012,
          'Raw PhocalPoint Data'!D:D = D12,
          'Raw PhocalPoint Data'!E:E = E12,
          'Raw PhocalPoint Data'!F:F = F12
        ) /
 "&amp;"       FILTER('Raw PhocalPoint Data'!G:G,
          'Raw PhocalPoint Data'!A:A = 2011,
          'Raw PhocalPoint Data'!D:D = D12,
          'Raw PhocalPoint Data'!E:E = E12,
          'Raw PhocalPoint Data'!F:F = F12
        )
      ),
      FILTER('Raw "&amp;"PhocalPoint Data'!G:G,
        'Raw PhocalPoint Data'!A:A = 2009,
        'Raw PhocalPoint Data'!D:D = D12,
        'Raw PhocalPoint Data'!E:E = E12,
        'Raw PhocalPoint Data'!F:F = F12
      ) *
      (
        INDEX('Raw GDP data'!$I$2:$M$100,
    "&amp;"      MATCH(D12, 'Raw GDP data'!$H$2:$H$100, 0),
          MATCH(2008, 'Raw GDP data'!$I$1:$M$1, 0)
        ) /
        INDEX('Raw GDP data'!$I$2:$M$100,
          MATCH(D12, 'Raw GDP data'!$H$2:$H$100, 0),
          MATCH(2009, 'Raw GDP data'!$I$1:$M$1, "&amp;"0)
        )
      )
    ),
  IF(A12 &lt; 2008,
    (
      FILTER(G:G,
        A:A = 2008,
        D:D = D12,
        E:E = E12,
        F:F = F12
      ) /
      PRODUCT(
        ARRAYFORMULA(
          (
            (
              FILTER('Raw PhocalPoint"&amp;" Data'!G:G,
                'Raw PhocalPoint Data'!A:A = 2012,
                'Raw PhocalPoint Data'!D:D = D12,
                'Raw PhocalPoint Data'!E:E = E12,
                'Raw PhocalPoint Data'!F:F = F12
              ) /
              FILTER('Raw"&amp;" PhocalPoint Data'!G:G,
                'Raw PhocalPoint Data'!A:A = 2011,
                'Raw PhocalPoint Data'!D:D = D12,
                'Raw PhocalPoint Data'!E:E = E12,
                'Raw PhocalPoint Data'!F:F = F12
              ) -
             "&amp;" ROW(INDIRECT(""1:"" &amp; (2008 - A12))) *
              (
                (
                  FILTER('Raw PhocalPoint Data'!G:G,
                    'Raw PhocalPoint Data'!A:A = 2012,
                    'Raw PhocalPoint Data'!D:D = D12,
                   "&amp;" 'Raw PhocalPoint Data'!E:E = E12,
                    'Raw PhocalPoint Data'!F:F = F12
                  ) /
                  FILTER('Raw PhocalPoint Data'!G:G,
                    'Raw PhocalPoint Data'!A:A = 2011,
                    'Raw PhocalPoint "&amp;"Data'!D:D = D12,
                    'Raw PhocalPoint Data'!E:E = E12,
                    'Raw PhocalPoint Data'!F:F = F12
                  ) - 1
                ) / 5
              )
            )
          )
        )
      )
    ),
    (
      FILTER"&amp;"('Raw PhocalPoint Data'!G:G,
        'Raw PhocalPoint Data'!A:A = 2009,
        'Raw PhocalPoint Data'!D:D = D12,
        'Raw PhocalPoint Data'!E:E = E12,
        'Raw PhocalPoint Data'!F:F = F12
      ) /
      PRODUCT(
        ARRAYFORMULA(
          ("&amp;"
            FILTER('Raw PhocalPoint Data'!G:G,
              'Raw PhocalPoint Data'!A:A = 2012,
              'Raw PhocalPoint Data'!D:D = D12,
              'Raw PhocalPoint Data'!E:E = E12,
              'Raw PhocalPoint Data'!F:F = F12
            ) /"&amp;"
            FILTER('Raw PhocalPoint Data'!G:G,
              'Raw PhocalPoint Data'!A:A = 2011,
              'Raw PhocalPoint Data'!D:D = D12,
              'Raw PhocalPoint Data'!E:E = E12,
              'Raw PhocalPoint Data'!F:F = F12
            ) -"&amp;"
            (ROW(INDIRECT(""1:"" &amp; (2010 - A12))) - 1) *
            (
              (
                FILTER('Raw PhocalPoint Data'!G:G,
                  'Raw PhocalPoint Data'!A:A = 2012,
                  'Raw PhocalPoint Data'!D:D = D12,
           "&amp;"       'Raw PhocalPoint Data'!E:E = E12,
                  'Raw PhocalPoint Data'!F:F = F12
                ) /
                FILTER('Raw PhocalPoint Data'!G:G,
                  'Raw PhocalPoint Data'!A:A = 2011,
                  'Raw PhocalPoint Data"&amp;"'!D:D = D12,
                  'Raw PhocalPoint Data'!E:E = E12,
                  'Raw PhocalPoint Data'!F:F = F12
                ) - 1
              ) / 5
            )
          )
        )
      )
    ) *
    INDEX('Raw GDP data'!$I$2:$M$100,
      M"&amp;"ATCH(D12, 'Raw GDP data'!$H$2:$H$100, 0),
      MATCH(A12, 'Raw GDP data'!$I$1:$M$1, 0)
    )
  )),
  """"
)
"),1282107842.88091)</f>
        <v>1282107842.8809099</v>
      </c>
      <c r="H12" s="80"/>
      <c r="I12" s="81">
        <f ca="1">IFERROR(__xludf.DUMMYFUNCTION("""COMPUTED_VALUE"""),2005)</f>
        <v>2005</v>
      </c>
      <c r="J12" s="82" t="str">
        <f ca="1">IFERROR(__xludf.DUMMYFUNCTION("""COMPUTED_VALUE"""),"Taiwan")</f>
        <v>Taiwan</v>
      </c>
      <c r="K12" s="83">
        <f ca="1">IFERROR(
  SUMIFS(
    'New Backfilled Data'!G:G,
    'New Backfilled Data'!A:A, I12,
    'New Backfilled Data'!D:D, J12,
    'New Backfilled Data'!E:E, "Online"
  ) /
  SUMIFS(
    'New Backfilled Data'!G:G,
    'New Backfilled Data'!A:A, I12,
    'New Backfilled Data'!D:D, J12
  ),
  ""
)</f>
        <v>5.0575671127762345E-2</v>
      </c>
      <c r="L12" s="84"/>
      <c r="M12" s="84"/>
    </row>
    <row r="13" spans="1:37" ht="17" x14ac:dyDescent="0.2">
      <c r="A13" s="44">
        <v>2005</v>
      </c>
      <c r="B13" s="45" t="s">
        <v>66</v>
      </c>
      <c r="C13" s="45" t="s">
        <v>4</v>
      </c>
      <c r="D13" s="45" t="s">
        <v>7</v>
      </c>
      <c r="E13" s="45" t="s">
        <v>69</v>
      </c>
      <c r="F13" s="45" t="s">
        <v>70</v>
      </c>
      <c r="G13" s="85">
        <f ca="1">IFERROR(__xludf.DUMMYFUNCTION("IFERROR(
  IF(A13 = 2008,
    IF(E13 = ""Online"",
      FILTER('Raw PhocalPoint Data'!G:G,
        'Raw PhocalPoint Data'!A:A = 2009,
        'Raw PhocalPoint Data'!D:D = D13,
        'Raw PhocalPoint Data'!E:E = E13,
        'Raw PhocalPoint Data'!F:F ="&amp;" F13
      ) /
      (
        FILTER('Raw PhocalPoint Data'!G:G,
          'Raw PhocalPoint Data'!A:A = 2012,
          'Raw PhocalPoint Data'!D:D = D13,
          'Raw PhocalPoint Data'!E:E = E13,
          'Raw PhocalPoint Data'!F:F = F13
        ) /
 "&amp;"       FILTER('Raw PhocalPoint Data'!G:G,
          'Raw PhocalPoint Data'!A:A = 2011,
          'Raw PhocalPoint Data'!D:D = D13,
          'Raw PhocalPoint Data'!E:E = E13,
          'Raw PhocalPoint Data'!F:F = F13
        )
      ),
      FILTER('Raw "&amp;"PhocalPoint Data'!G:G,
        'Raw PhocalPoint Data'!A:A = 2009,
        'Raw PhocalPoint Data'!D:D = D13,
        'Raw PhocalPoint Data'!E:E = E13,
        'Raw PhocalPoint Data'!F:F = F13
      ) *
      (
        INDEX('Raw GDP data'!$I$2:$M$100,
    "&amp;"      MATCH(D13, 'Raw GDP data'!$H$2:$H$100, 0),
          MATCH(2008, 'Raw GDP data'!$I$1:$M$1, 0)
        ) /
        INDEX('Raw GDP data'!$I$2:$M$100,
          MATCH(D13, 'Raw GDP data'!$H$2:$H$100, 0),
          MATCH(2009, 'Raw GDP data'!$I$1:$M$1, "&amp;"0)
        )
      )
    ),
  IF(A13 &lt; 2008,
    (
      FILTER(G:G,
        A:A = 2008,
        D:D = D13,
        E:E = E13,
        F:F = F13
      ) /
      PRODUCT(
        ARRAYFORMULA(
          (
            (
              FILTER('Raw PhocalPoint"&amp;" Data'!G:G,
                'Raw PhocalPoint Data'!A:A = 2012,
                'Raw PhocalPoint Data'!D:D = D13,
                'Raw PhocalPoint Data'!E:E = E13,
                'Raw PhocalPoint Data'!F:F = F13
              ) /
              FILTER('Raw"&amp;" PhocalPoint Data'!G:G,
                'Raw PhocalPoint Data'!A:A = 2011,
                'Raw PhocalPoint Data'!D:D = D13,
                'Raw PhocalPoint Data'!E:E = E13,
                'Raw PhocalPoint Data'!F:F = F13
              ) -
             "&amp;" ROW(INDIRECT(""1:"" &amp; (2008 - A13))) *
              (
                (
                  FILTER('Raw PhocalPoint Data'!G:G,
                    'Raw PhocalPoint Data'!A:A = 2012,
                    'Raw PhocalPoint Data'!D:D = D13,
                   "&amp;" 'Raw PhocalPoint Data'!E:E = E13,
                    'Raw PhocalPoint Data'!F:F = F13
                  ) /
                  FILTER('Raw PhocalPoint Data'!G:G,
                    'Raw PhocalPoint Data'!A:A = 2011,
                    'Raw PhocalPoint "&amp;"Data'!D:D = D13,
                    'Raw PhocalPoint Data'!E:E = E13,
                    'Raw PhocalPoint Data'!F:F = F13
                  ) - 1
                ) / 5
              )
            )
          )
        )
      )
    ),
    (
      FILTER"&amp;"('Raw PhocalPoint Data'!G:G,
        'Raw PhocalPoint Data'!A:A = 2009,
        'Raw PhocalPoint Data'!D:D = D13,
        'Raw PhocalPoint Data'!E:E = E13,
        'Raw PhocalPoint Data'!F:F = F13
      ) /
      PRODUCT(
        ARRAYFORMULA(
          ("&amp;"
            FILTER('Raw PhocalPoint Data'!G:G,
              'Raw PhocalPoint Data'!A:A = 2012,
              'Raw PhocalPoint Data'!D:D = D13,
              'Raw PhocalPoint Data'!E:E = E13,
              'Raw PhocalPoint Data'!F:F = F13
            ) /"&amp;"
            FILTER('Raw PhocalPoint Data'!G:G,
              'Raw PhocalPoint Data'!A:A = 2011,
              'Raw PhocalPoint Data'!D:D = D13,
              'Raw PhocalPoint Data'!E:E = E13,
              'Raw PhocalPoint Data'!F:F = F13
            ) -"&amp;"
            (ROW(INDIRECT(""1:"" &amp; (2010 - A13))) - 1) *
            (
              (
                FILTER('Raw PhocalPoint Data'!G:G,
                  'Raw PhocalPoint Data'!A:A = 2012,
                  'Raw PhocalPoint Data'!D:D = D13,
           "&amp;"       'Raw PhocalPoint Data'!E:E = E13,
                  'Raw PhocalPoint Data'!F:F = F13
                ) /
                FILTER('Raw PhocalPoint Data'!G:G,
                  'Raw PhocalPoint Data'!A:A = 2011,
                  'Raw PhocalPoint Data"&amp;"'!D:D = D13,
                  'Raw PhocalPoint Data'!E:E = E13,
                  'Raw PhocalPoint Data'!F:F = F13
                ) - 1
              ) / 5
            )
          )
        )
      )
    ) *
    INDEX('Raw GDP data'!$I$2:$M$100,
      M"&amp;"ATCH(D13, 'Raw GDP data'!$H$2:$H$100, 0),
      MATCH(A13, 'Raw GDP data'!$I$1:$M$1, 0)
    )
  )),
  """"
)
"),2510440021.04485)</f>
        <v>2510440021.0448499</v>
      </c>
      <c r="H13" s="86"/>
      <c r="I13" s="87">
        <f ca="1">IFERROR(__xludf.DUMMYFUNCTION("""COMPUTED_VALUE"""),2005)</f>
        <v>2005</v>
      </c>
      <c r="J13" s="88" t="str">
        <f ca="1">IFERROR(__xludf.DUMMYFUNCTION("""COMPUTED_VALUE"""),"Thailand")</f>
        <v>Thailand</v>
      </c>
      <c r="K13" s="89">
        <f ca="1">IFERROR(
  SUMIFS(
    'New Backfilled Data'!G:G,
    'New Backfilled Data'!A:A, I13,
    'New Backfilled Data'!D:D, J13,
    'New Backfilled Data'!E:E, "Online"
  ) /
  SUMIFS(
    'New Backfilled Data'!G:G,
    'New Backfilled Data'!A:A, I13,
    'New Backfilled Data'!D:D, J13
  ),
  ""
)</f>
        <v>9.1131960798073661E-2</v>
      </c>
      <c r="L13" s="90"/>
      <c r="M13" s="90"/>
    </row>
    <row r="14" spans="1:37" ht="17" x14ac:dyDescent="0.2">
      <c r="A14" s="37">
        <v>2005</v>
      </c>
      <c r="B14" s="38" t="s">
        <v>66</v>
      </c>
      <c r="C14" s="38" t="s">
        <v>4</v>
      </c>
      <c r="D14" s="38" t="s">
        <v>8</v>
      </c>
      <c r="E14" s="38" t="s">
        <v>67</v>
      </c>
      <c r="F14" s="38" t="s">
        <v>67</v>
      </c>
      <c r="G14" s="79">
        <f ca="1">IFERROR(__xludf.DUMMYFUNCTION("IFERROR(
  IF(A14 = 2008,
    IF(E14 = ""Online"",
      FILTER('Raw PhocalPoint Data'!G:G,
        'Raw PhocalPoint Data'!A:A = 2009,
        'Raw PhocalPoint Data'!D:D = D14,
        'Raw PhocalPoint Data'!E:E = E14,
        'Raw PhocalPoint Data'!F:F ="&amp;" F14
      ) /
      (
        FILTER('Raw PhocalPoint Data'!G:G,
          'Raw PhocalPoint Data'!A:A = 2012,
          'Raw PhocalPoint Data'!D:D = D14,
          'Raw PhocalPoint Data'!E:E = E14,
          'Raw PhocalPoint Data'!F:F = F14
        ) /
 "&amp;"       FILTER('Raw PhocalPoint Data'!G:G,
          'Raw PhocalPoint Data'!A:A = 2011,
          'Raw PhocalPoint Data'!D:D = D14,
          'Raw PhocalPoint Data'!E:E = E14,
          'Raw PhocalPoint Data'!F:F = F14
        )
      ),
      FILTER('Raw "&amp;"PhocalPoint Data'!G:G,
        'Raw PhocalPoint Data'!A:A = 2009,
        'Raw PhocalPoint Data'!D:D = D14,
        'Raw PhocalPoint Data'!E:E = E14,
        'Raw PhocalPoint Data'!F:F = F14
      ) *
      (
        INDEX('Raw GDP data'!$I$2:$M$100,
    "&amp;"      MATCH(D14, 'Raw GDP data'!$H$2:$H$100, 0),
          MATCH(2008, 'Raw GDP data'!$I$1:$M$1, 0)
        ) /
        INDEX('Raw GDP data'!$I$2:$M$100,
          MATCH(D14, 'Raw GDP data'!$H$2:$H$100, 0),
          MATCH(2009, 'Raw GDP data'!$I$1:$M$1, "&amp;"0)
        )
      )
    ),
  IF(A14 &lt; 2008,
    (
      FILTER(G:G,
        A:A = 2008,
        D:D = D14,
        E:E = E14,
        F:F = F14
      ) /
      PRODUCT(
        ARRAYFORMULA(
          (
            (
              FILTER('Raw PhocalPoint"&amp;" Data'!G:G,
                'Raw PhocalPoint Data'!A:A = 2012,
                'Raw PhocalPoint Data'!D:D = D14,
                'Raw PhocalPoint Data'!E:E = E14,
                'Raw PhocalPoint Data'!F:F = F14
              ) /
              FILTER('Raw"&amp;" PhocalPoint Data'!G:G,
                'Raw PhocalPoint Data'!A:A = 2011,
                'Raw PhocalPoint Data'!D:D = D14,
                'Raw PhocalPoint Data'!E:E = E14,
                'Raw PhocalPoint Data'!F:F = F14
              ) -
             "&amp;" ROW(INDIRECT(""1:"" &amp; (2008 - A14))) *
              (
                (
                  FILTER('Raw PhocalPoint Data'!G:G,
                    'Raw PhocalPoint Data'!A:A = 2012,
                    'Raw PhocalPoint Data'!D:D = D14,
                   "&amp;" 'Raw PhocalPoint Data'!E:E = E14,
                    'Raw PhocalPoint Data'!F:F = F14
                  ) /
                  FILTER('Raw PhocalPoint Data'!G:G,
                    'Raw PhocalPoint Data'!A:A = 2011,
                    'Raw PhocalPoint "&amp;"Data'!D:D = D14,
                    'Raw PhocalPoint Data'!E:E = E14,
                    'Raw PhocalPoint Data'!F:F = F14
                  ) - 1
                ) / 5
              )
            )
          )
        )
      )
    ),
    (
      FILTER"&amp;"('Raw PhocalPoint Data'!G:G,
        'Raw PhocalPoint Data'!A:A = 2009,
        'Raw PhocalPoint Data'!D:D = D14,
        'Raw PhocalPoint Data'!E:E = E14,
        'Raw PhocalPoint Data'!F:F = F14
      ) /
      PRODUCT(
        ARRAYFORMULA(
          ("&amp;"
            FILTER('Raw PhocalPoint Data'!G:G,
              'Raw PhocalPoint Data'!A:A = 2012,
              'Raw PhocalPoint Data'!D:D = D14,
              'Raw PhocalPoint Data'!E:E = E14,
              'Raw PhocalPoint Data'!F:F = F14
            ) /"&amp;"
            FILTER('Raw PhocalPoint Data'!G:G,
              'Raw PhocalPoint Data'!A:A = 2011,
              'Raw PhocalPoint Data'!D:D = D14,
              'Raw PhocalPoint Data'!E:E = E14,
              'Raw PhocalPoint Data'!F:F = F14
            ) -"&amp;"
            (ROW(INDIRECT(""1:"" &amp; (2010 - A14))) - 1) *
            (
              (
                FILTER('Raw PhocalPoint Data'!G:G,
                  'Raw PhocalPoint Data'!A:A = 2012,
                  'Raw PhocalPoint Data'!D:D = D14,
           "&amp;"       'Raw PhocalPoint Data'!E:E = E14,
                  'Raw PhocalPoint Data'!F:F = F14
                ) /
                FILTER('Raw PhocalPoint Data'!G:G,
                  'Raw PhocalPoint Data'!A:A = 2011,
                  'Raw PhocalPoint Data"&amp;"'!D:D = D14,
                  'Raw PhocalPoint Data'!E:E = E14,
                  'Raw PhocalPoint Data'!F:F = F14
                ) - 1
              ) / 5
            )
          )
        )
      )
    ) *
    INDEX('Raw GDP data'!$I$2:$M$100,
      M"&amp;"ATCH(D14, 'Raw GDP data'!$H$2:$H$100, 0),
      MATCH(A14, 'Raw GDP data'!$I$1:$M$1, 0)
    )
  )),
  """"
)
"),4111615382.1441)</f>
        <v>4111615382.1441002</v>
      </c>
      <c r="H14" s="80"/>
      <c r="I14" s="81">
        <f ca="1">IFERROR(__xludf.DUMMYFUNCTION("""COMPUTED_VALUE"""),2005)</f>
        <v>2005</v>
      </c>
      <c r="J14" s="82" t="str">
        <f ca="1">IFERROR(__xludf.DUMMYFUNCTION("""COMPUTED_VALUE"""),"Bulgaria")</f>
        <v>Bulgaria</v>
      </c>
      <c r="K14" s="83">
        <f ca="1">IFERROR(
  SUMIFS(
    'New Backfilled Data'!G:G,
    'New Backfilled Data'!A:A, I14,
    'New Backfilled Data'!D:D, J14,
    'New Backfilled Data'!E:E, "Online"
  ) /
  SUMIFS(
    'New Backfilled Data'!G:G,
    'New Backfilled Data'!A:A, I14,
    'New Backfilled Data'!D:D, J14
  ),
  ""
)</f>
        <v>3.6130722566954591E-2</v>
      </c>
      <c r="L14" s="84"/>
      <c r="M14" s="84"/>
    </row>
    <row r="15" spans="1:37" ht="17" x14ac:dyDescent="0.2">
      <c r="A15" s="44">
        <v>2005</v>
      </c>
      <c r="B15" s="45" t="s">
        <v>66</v>
      </c>
      <c r="C15" s="45" t="s">
        <v>4</v>
      </c>
      <c r="D15" s="45" t="s">
        <v>8</v>
      </c>
      <c r="E15" s="45" t="s">
        <v>69</v>
      </c>
      <c r="F15" s="45" t="s">
        <v>71</v>
      </c>
      <c r="G15" s="85">
        <f ca="1">IFERROR(__xludf.DUMMYFUNCTION("IFERROR(
  IF(A15 = 2008,
    IF(E15 = ""Online"",
      FILTER('Raw PhocalPoint Data'!G:G,
        'Raw PhocalPoint Data'!A:A = 2009,
        'Raw PhocalPoint Data'!D:D = D15,
        'Raw PhocalPoint Data'!E:E = E15,
        'Raw PhocalPoint Data'!F:F ="&amp;" F15
      ) /
      (
        FILTER('Raw PhocalPoint Data'!G:G,
          'Raw PhocalPoint Data'!A:A = 2012,
          'Raw PhocalPoint Data'!D:D = D15,
          'Raw PhocalPoint Data'!E:E = E15,
          'Raw PhocalPoint Data'!F:F = F15
        ) /
 "&amp;"       FILTER('Raw PhocalPoint Data'!G:G,
          'Raw PhocalPoint Data'!A:A = 2011,
          'Raw PhocalPoint Data'!D:D = D15,
          'Raw PhocalPoint Data'!E:E = E15,
          'Raw PhocalPoint Data'!F:F = F15
        )
      ),
      FILTER('Raw "&amp;"PhocalPoint Data'!G:G,
        'Raw PhocalPoint Data'!A:A = 2009,
        'Raw PhocalPoint Data'!D:D = D15,
        'Raw PhocalPoint Data'!E:E = E15,
        'Raw PhocalPoint Data'!F:F = F15
      ) *
      (
        INDEX('Raw GDP data'!$I$2:$M$100,
    "&amp;"      MATCH(D15, 'Raw GDP data'!$H$2:$H$100, 0),
          MATCH(2008, 'Raw GDP data'!$I$1:$M$1, 0)
        ) /
        INDEX('Raw GDP data'!$I$2:$M$100,
          MATCH(D15, 'Raw GDP data'!$H$2:$H$100, 0),
          MATCH(2009, 'Raw GDP data'!$I$1:$M$1, "&amp;"0)
        )
      )
    ),
  IF(A15 &lt; 2008,
    (
      FILTER(G:G,
        A:A = 2008,
        D:D = D15,
        E:E = E15,
        F:F = F15
      ) /
      PRODUCT(
        ARRAYFORMULA(
          (
            (
              FILTER('Raw PhocalPoint"&amp;" Data'!G:G,
                'Raw PhocalPoint Data'!A:A = 2012,
                'Raw PhocalPoint Data'!D:D = D15,
                'Raw PhocalPoint Data'!E:E = E15,
                'Raw PhocalPoint Data'!F:F = F15
              ) /
              FILTER('Raw"&amp;" PhocalPoint Data'!G:G,
                'Raw PhocalPoint Data'!A:A = 2011,
                'Raw PhocalPoint Data'!D:D = D15,
                'Raw PhocalPoint Data'!E:E = E15,
                'Raw PhocalPoint Data'!F:F = F15
              ) -
             "&amp;" ROW(INDIRECT(""1:"" &amp; (2008 - A15))) *
              (
                (
                  FILTER('Raw PhocalPoint Data'!G:G,
                    'Raw PhocalPoint Data'!A:A = 2012,
                    'Raw PhocalPoint Data'!D:D = D15,
                   "&amp;" 'Raw PhocalPoint Data'!E:E = E15,
                    'Raw PhocalPoint Data'!F:F = F15
                  ) /
                  FILTER('Raw PhocalPoint Data'!G:G,
                    'Raw PhocalPoint Data'!A:A = 2011,
                    'Raw PhocalPoint "&amp;"Data'!D:D = D15,
                    'Raw PhocalPoint Data'!E:E = E15,
                    'Raw PhocalPoint Data'!F:F = F15
                  ) - 1
                ) / 5
              )
            )
          )
        )
      )
    ),
    (
      FILTER"&amp;"('Raw PhocalPoint Data'!G:G,
        'Raw PhocalPoint Data'!A:A = 2009,
        'Raw PhocalPoint Data'!D:D = D15,
        'Raw PhocalPoint Data'!E:E = E15,
        'Raw PhocalPoint Data'!F:F = F15
      ) /
      PRODUCT(
        ARRAYFORMULA(
          ("&amp;"
            FILTER('Raw PhocalPoint Data'!G:G,
              'Raw PhocalPoint Data'!A:A = 2012,
              'Raw PhocalPoint Data'!D:D = D15,
              'Raw PhocalPoint Data'!E:E = E15,
              'Raw PhocalPoint Data'!F:F = F15
            ) /"&amp;"
            FILTER('Raw PhocalPoint Data'!G:G,
              'Raw PhocalPoint Data'!A:A = 2011,
              'Raw PhocalPoint Data'!D:D = D15,
              'Raw PhocalPoint Data'!E:E = E15,
              'Raw PhocalPoint Data'!F:F = F15
            ) -"&amp;"
            (ROW(INDIRECT(""1:"" &amp; (2010 - A15))) - 1) *
            (
              (
                FILTER('Raw PhocalPoint Data'!G:G,
                  'Raw PhocalPoint Data'!A:A = 2012,
                  'Raw PhocalPoint Data'!D:D = D15,
           "&amp;"       'Raw PhocalPoint Data'!E:E = E15,
                  'Raw PhocalPoint Data'!F:F = F15
                ) /
                FILTER('Raw PhocalPoint Data'!G:G,
                  'Raw PhocalPoint Data'!A:A = 2011,
                  'Raw PhocalPoint Data"&amp;"'!D:D = D15,
                  'Raw PhocalPoint Data'!E:E = E15,
                  'Raw PhocalPoint Data'!F:F = F15
                ) - 1
              ) / 5
            )
          )
        )
      )
    ) *
    INDEX('Raw GDP data'!$I$2:$M$100,
      M"&amp;"ATCH(D15, 'Raw GDP data'!$H$2:$H$100, 0),
      MATCH(A15, 'Raw GDP data'!$I$1:$M$1, 0)
    )
  )),
  """"
)
"),6372814.78529831)</f>
        <v>6372814.7852983102</v>
      </c>
      <c r="H15" s="86"/>
      <c r="I15" s="87">
        <f ca="1">IFERROR(__xludf.DUMMYFUNCTION("""COMPUTED_VALUE"""),2005)</f>
        <v>2005</v>
      </c>
      <c r="J15" s="88" t="str">
        <f ca="1">IFERROR(__xludf.DUMMYFUNCTION("""COMPUTED_VALUE"""),"Czech Republic")</f>
        <v>Czech Republic</v>
      </c>
      <c r="K15" s="89">
        <f ca="1">IFERROR(
  SUMIFS(
    'New Backfilled Data'!G:G,
    'New Backfilled Data'!A:A, I15,
    'New Backfilled Data'!D:D, J15,
    'New Backfilled Data'!E:E, "Online"
  ) /
  SUMIFS(
    'New Backfilled Data'!G:G,
    'New Backfilled Data'!A:A, I15,
    'New Backfilled Data'!D:D, J15
  ),
  ""
)</f>
        <v>0.10478520376140356</v>
      </c>
      <c r="L15" s="90"/>
      <c r="M15" s="90"/>
    </row>
    <row r="16" spans="1:37" ht="17" x14ac:dyDescent="0.2">
      <c r="A16" s="37">
        <v>2005</v>
      </c>
      <c r="B16" s="38" t="s">
        <v>66</v>
      </c>
      <c r="C16" s="38" t="s">
        <v>4</v>
      </c>
      <c r="D16" s="38" t="s">
        <v>8</v>
      </c>
      <c r="E16" s="38" t="s">
        <v>69</v>
      </c>
      <c r="F16" s="38" t="s">
        <v>70</v>
      </c>
      <c r="G16" s="79">
        <f ca="1">IFERROR(__xludf.DUMMYFUNCTION("IFERROR(
  IF(A16 = 2008,
    IF(E16 = ""Online"",
      FILTER('Raw PhocalPoint Data'!G:G,
        'Raw PhocalPoint Data'!A:A = 2009,
        'Raw PhocalPoint Data'!D:D = D16,
        'Raw PhocalPoint Data'!E:E = E16,
        'Raw PhocalPoint Data'!F:F ="&amp;" F16
      ) /
      (
        FILTER('Raw PhocalPoint Data'!G:G,
          'Raw PhocalPoint Data'!A:A = 2012,
          'Raw PhocalPoint Data'!D:D = D16,
          'Raw PhocalPoint Data'!E:E = E16,
          'Raw PhocalPoint Data'!F:F = F16
        ) /
 "&amp;"       FILTER('Raw PhocalPoint Data'!G:G,
          'Raw PhocalPoint Data'!A:A = 2011,
          'Raw PhocalPoint Data'!D:D = D16,
          'Raw PhocalPoint Data'!E:E = E16,
          'Raw PhocalPoint Data'!F:F = F16
        )
      ),
      FILTER('Raw "&amp;"PhocalPoint Data'!G:G,
        'Raw PhocalPoint Data'!A:A = 2009,
        'Raw PhocalPoint Data'!D:D = D16,
        'Raw PhocalPoint Data'!E:E = E16,
        'Raw PhocalPoint Data'!F:F = F16
      ) *
      (
        INDEX('Raw GDP data'!$I$2:$M$100,
    "&amp;"      MATCH(D16, 'Raw GDP data'!$H$2:$H$100, 0),
          MATCH(2008, 'Raw GDP data'!$I$1:$M$1, 0)
        ) /
        INDEX('Raw GDP data'!$I$2:$M$100,
          MATCH(D16, 'Raw GDP data'!$H$2:$H$100, 0),
          MATCH(2009, 'Raw GDP data'!$I$1:$M$1, "&amp;"0)
        )
      )
    ),
  IF(A16 &lt; 2008,
    (
      FILTER(G:G,
        A:A = 2008,
        D:D = D16,
        E:E = E16,
        F:F = F16
      ) /
      PRODUCT(
        ARRAYFORMULA(
          (
            (
              FILTER('Raw PhocalPoint"&amp;" Data'!G:G,
                'Raw PhocalPoint Data'!A:A = 2012,
                'Raw PhocalPoint Data'!D:D = D16,
                'Raw PhocalPoint Data'!E:E = E16,
                'Raw PhocalPoint Data'!F:F = F16
              ) /
              FILTER('Raw"&amp;" PhocalPoint Data'!G:G,
                'Raw PhocalPoint Data'!A:A = 2011,
                'Raw PhocalPoint Data'!D:D = D16,
                'Raw PhocalPoint Data'!E:E = E16,
                'Raw PhocalPoint Data'!F:F = F16
              ) -
             "&amp;" ROW(INDIRECT(""1:"" &amp; (2008 - A16))) *
              (
                (
                  FILTER('Raw PhocalPoint Data'!G:G,
                    'Raw PhocalPoint Data'!A:A = 2012,
                    'Raw PhocalPoint Data'!D:D = D16,
                   "&amp;" 'Raw PhocalPoint Data'!E:E = E16,
                    'Raw PhocalPoint Data'!F:F = F16
                  ) /
                  FILTER('Raw PhocalPoint Data'!G:G,
                    'Raw PhocalPoint Data'!A:A = 2011,
                    'Raw PhocalPoint "&amp;"Data'!D:D = D16,
                    'Raw PhocalPoint Data'!E:E = E16,
                    'Raw PhocalPoint Data'!F:F = F16
                  ) - 1
                ) / 5
              )
            )
          )
        )
      )
    ),
    (
      FILTER"&amp;"('Raw PhocalPoint Data'!G:G,
        'Raw PhocalPoint Data'!A:A = 2009,
        'Raw PhocalPoint Data'!D:D = D16,
        'Raw PhocalPoint Data'!E:E = E16,
        'Raw PhocalPoint Data'!F:F = F16
      ) /
      PRODUCT(
        ARRAYFORMULA(
          ("&amp;"
            FILTER('Raw PhocalPoint Data'!G:G,
              'Raw PhocalPoint Data'!A:A = 2012,
              'Raw PhocalPoint Data'!D:D = D16,
              'Raw PhocalPoint Data'!E:E = E16,
              'Raw PhocalPoint Data'!F:F = F16
            ) /"&amp;"
            FILTER('Raw PhocalPoint Data'!G:G,
              'Raw PhocalPoint Data'!A:A = 2011,
              'Raw PhocalPoint Data'!D:D = D16,
              'Raw PhocalPoint Data'!E:E = E16,
              'Raw PhocalPoint Data'!F:F = F16
            ) -"&amp;"
            (ROW(INDIRECT(""1:"" &amp; (2010 - A16))) - 1) *
            (
              (
                FILTER('Raw PhocalPoint Data'!G:G,
                  'Raw PhocalPoint Data'!A:A = 2012,
                  'Raw PhocalPoint Data'!D:D = D16,
           "&amp;"       'Raw PhocalPoint Data'!E:E = E16,
                  'Raw PhocalPoint Data'!F:F = F16
                ) /
                FILTER('Raw PhocalPoint Data'!G:G,
                  'Raw PhocalPoint Data'!A:A = 2011,
                  'Raw PhocalPoint Data"&amp;"'!D:D = D16,
                  'Raw PhocalPoint Data'!E:E = E16,
                  'Raw PhocalPoint Data'!F:F = F16
                ) - 1
              ) / 5
            )
          )
        )
      )
    ) *
    INDEX('Raw GDP data'!$I$2:$M$100,
      M"&amp;"ATCH(D16, 'Raw GDP data'!$H$2:$H$100, 0),
      MATCH(A16, 'Raw GDP data'!$I$1:$M$1, 0)
    )
  )),
  """"
)
"),26633772.3534689)</f>
        <v>26633772.353468899</v>
      </c>
      <c r="H16" s="80"/>
      <c r="I16" s="81">
        <f ca="1">IFERROR(__xludf.DUMMYFUNCTION("""COMPUTED_VALUE"""),2005)</f>
        <v>2005</v>
      </c>
      <c r="J16" s="82" t="str">
        <f ca="1">IFERROR(__xludf.DUMMYFUNCTION("""COMPUTED_VALUE"""),"Greece")</f>
        <v>Greece</v>
      </c>
      <c r="K16" s="83">
        <f ca="1">IFERROR(
  SUMIFS(
    'New Backfilled Data'!G:G,
    'New Backfilled Data'!A:A, I16,
    'New Backfilled Data'!D:D, J16,
    'New Backfilled Data'!E:E, "Online"
  ) /
  SUMIFS(
    'New Backfilled Data'!G:G,
    'New Backfilled Data'!A:A, I16,
    'New Backfilled Data'!D:D, J16
  ),
  ""
)</f>
        <v>0.16241476544404121</v>
      </c>
      <c r="L16" s="84"/>
      <c r="M16" s="84"/>
    </row>
    <row r="17" spans="1:13" ht="17" x14ac:dyDescent="0.2">
      <c r="A17" s="44">
        <v>2005</v>
      </c>
      <c r="B17" s="45" t="s">
        <v>66</v>
      </c>
      <c r="C17" s="45" t="s">
        <v>4</v>
      </c>
      <c r="D17" s="45" t="s">
        <v>9</v>
      </c>
      <c r="E17" s="45" t="s">
        <v>67</v>
      </c>
      <c r="F17" s="45" t="s">
        <v>67</v>
      </c>
      <c r="G17" s="85">
        <f ca="1">IFERROR(__xludf.DUMMYFUNCTION("IFERROR(
  IF(A17 = 2008,
    IF(E17 = ""Online"",
      FILTER('Raw PhocalPoint Data'!G:G,
        'Raw PhocalPoint Data'!A:A = 2009,
        'Raw PhocalPoint Data'!D:D = D17,
        'Raw PhocalPoint Data'!E:E = E17,
        'Raw PhocalPoint Data'!F:F ="&amp;" F17
      ) /
      (
        FILTER('Raw PhocalPoint Data'!G:G,
          'Raw PhocalPoint Data'!A:A = 2012,
          'Raw PhocalPoint Data'!D:D = D17,
          'Raw PhocalPoint Data'!E:E = E17,
          'Raw PhocalPoint Data'!F:F = F17
        ) /
 "&amp;"       FILTER('Raw PhocalPoint Data'!G:G,
          'Raw PhocalPoint Data'!A:A = 2011,
          'Raw PhocalPoint Data'!D:D = D17,
          'Raw PhocalPoint Data'!E:E = E17,
          'Raw PhocalPoint Data'!F:F = F17
        )
      ),
      FILTER('Raw "&amp;"PhocalPoint Data'!G:G,
        'Raw PhocalPoint Data'!A:A = 2009,
        'Raw PhocalPoint Data'!D:D = D17,
        'Raw PhocalPoint Data'!E:E = E17,
        'Raw PhocalPoint Data'!F:F = F17
      ) *
      (
        INDEX('Raw GDP data'!$I$2:$M$100,
    "&amp;"      MATCH(D17, 'Raw GDP data'!$H$2:$H$100, 0),
          MATCH(2008, 'Raw GDP data'!$I$1:$M$1, 0)
        ) /
        INDEX('Raw GDP data'!$I$2:$M$100,
          MATCH(D17, 'Raw GDP data'!$H$2:$H$100, 0),
          MATCH(2009, 'Raw GDP data'!$I$1:$M$1, "&amp;"0)
        )
      )
    ),
  IF(A17 &lt; 2008,
    (
      FILTER(G:G,
        A:A = 2008,
        D:D = D17,
        E:E = E17,
        F:F = F17
      ) /
      PRODUCT(
        ARRAYFORMULA(
          (
            (
              FILTER('Raw PhocalPoint"&amp;" Data'!G:G,
                'Raw PhocalPoint Data'!A:A = 2012,
                'Raw PhocalPoint Data'!D:D = D17,
                'Raw PhocalPoint Data'!E:E = E17,
                'Raw PhocalPoint Data'!F:F = F17
              ) /
              FILTER('Raw"&amp;" PhocalPoint Data'!G:G,
                'Raw PhocalPoint Data'!A:A = 2011,
                'Raw PhocalPoint Data'!D:D = D17,
                'Raw PhocalPoint Data'!E:E = E17,
                'Raw PhocalPoint Data'!F:F = F17
              ) -
             "&amp;" ROW(INDIRECT(""1:"" &amp; (2008 - A17))) *
              (
                (
                  FILTER('Raw PhocalPoint Data'!G:G,
                    'Raw PhocalPoint Data'!A:A = 2012,
                    'Raw PhocalPoint Data'!D:D = D17,
                   "&amp;" 'Raw PhocalPoint Data'!E:E = E17,
                    'Raw PhocalPoint Data'!F:F = F17
                  ) /
                  FILTER('Raw PhocalPoint Data'!G:G,
                    'Raw PhocalPoint Data'!A:A = 2011,
                    'Raw PhocalPoint "&amp;"Data'!D:D = D17,
                    'Raw PhocalPoint Data'!E:E = E17,
                    'Raw PhocalPoint Data'!F:F = F17
                  ) - 1
                ) / 5
              )
            )
          )
        )
      )
    ),
    (
      FILTER"&amp;"('Raw PhocalPoint Data'!G:G,
        'Raw PhocalPoint Data'!A:A = 2009,
        'Raw PhocalPoint Data'!D:D = D17,
        'Raw PhocalPoint Data'!E:E = E17,
        'Raw PhocalPoint Data'!F:F = F17
      ) /
      PRODUCT(
        ARRAYFORMULA(
          ("&amp;"
            FILTER('Raw PhocalPoint Data'!G:G,
              'Raw PhocalPoint Data'!A:A = 2012,
              'Raw PhocalPoint Data'!D:D = D17,
              'Raw PhocalPoint Data'!E:E = E17,
              'Raw PhocalPoint Data'!F:F = F17
            ) /"&amp;"
            FILTER('Raw PhocalPoint Data'!G:G,
              'Raw PhocalPoint Data'!A:A = 2011,
              'Raw PhocalPoint Data'!D:D = D17,
              'Raw PhocalPoint Data'!E:E = E17,
              'Raw PhocalPoint Data'!F:F = F17
            ) -"&amp;"
            (ROW(INDIRECT(""1:"" &amp; (2010 - A17))) - 1) *
            (
              (
                FILTER('Raw PhocalPoint Data'!G:G,
                  'Raw PhocalPoint Data'!A:A = 2012,
                  'Raw PhocalPoint Data'!D:D = D17,
           "&amp;"       'Raw PhocalPoint Data'!E:E = E17,
                  'Raw PhocalPoint Data'!F:F = F17
                ) /
                FILTER('Raw PhocalPoint Data'!G:G,
                  'Raw PhocalPoint Data'!A:A = 2011,
                  'Raw PhocalPoint Data"&amp;"'!D:D = D17,
                  'Raw PhocalPoint Data'!E:E = E17,
                  'Raw PhocalPoint Data'!F:F = F17
                ) - 1
              ) / 5
            )
          )
        )
      )
    ) *
    INDEX('Raw GDP data'!$I$2:$M$100,
      M"&amp;"ATCH(D17, 'Raw GDP data'!$H$2:$H$100, 0),
      MATCH(A17, 'Raw GDP data'!$I$1:$M$1, 0)
    )
  )),
  """"
)
"),68950449739.9103)</f>
        <v>68950449739.910294</v>
      </c>
      <c r="H17" s="86"/>
      <c r="I17" s="87">
        <f ca="1">IFERROR(__xludf.DUMMYFUNCTION("""COMPUTED_VALUE"""),2005)</f>
        <v>2005</v>
      </c>
      <c r="J17" s="88" t="str">
        <f ca="1">IFERROR(__xludf.DUMMYFUNCTION("""COMPUTED_VALUE"""),"Hungary")</f>
        <v>Hungary</v>
      </c>
      <c r="K17" s="89">
        <f ca="1">IFERROR(
  SUMIFS(
    'New Backfilled Data'!G:G,
    'New Backfilled Data'!A:A, I17,
    'New Backfilled Data'!D:D, J17,
    'New Backfilled Data'!E:E, "Online"
  ) /
  SUMIFS(
    'New Backfilled Data'!G:G,
    'New Backfilled Data'!A:A, I17,
    'New Backfilled Data'!D:D, J17
  ),
  ""
)</f>
        <v>0.11087015755699332</v>
      </c>
      <c r="L17" s="90"/>
      <c r="M17" s="90"/>
    </row>
    <row r="18" spans="1:13" ht="17" x14ac:dyDescent="0.2">
      <c r="A18" s="37">
        <v>2005</v>
      </c>
      <c r="B18" s="38" t="s">
        <v>66</v>
      </c>
      <c r="C18" s="38" t="s">
        <v>4</v>
      </c>
      <c r="D18" s="38" t="s">
        <v>9</v>
      </c>
      <c r="E18" s="38" t="s">
        <v>69</v>
      </c>
      <c r="F18" s="38" t="s">
        <v>71</v>
      </c>
      <c r="G18" s="79">
        <f ca="1">IFERROR(__xludf.DUMMYFUNCTION("IFERROR(
  IF(A18 = 2008,
    IF(E18 = ""Online"",
      FILTER('Raw PhocalPoint Data'!G:G,
        'Raw PhocalPoint Data'!A:A = 2009,
        'Raw PhocalPoint Data'!D:D = D18,
        'Raw PhocalPoint Data'!E:E = E18,
        'Raw PhocalPoint Data'!F:F ="&amp;" F18
      ) /
      (
        FILTER('Raw PhocalPoint Data'!G:G,
          'Raw PhocalPoint Data'!A:A = 2012,
          'Raw PhocalPoint Data'!D:D = D18,
          'Raw PhocalPoint Data'!E:E = E18,
          'Raw PhocalPoint Data'!F:F = F18
        ) /
 "&amp;"       FILTER('Raw PhocalPoint Data'!G:G,
          'Raw PhocalPoint Data'!A:A = 2011,
          'Raw PhocalPoint Data'!D:D = D18,
          'Raw PhocalPoint Data'!E:E = E18,
          'Raw PhocalPoint Data'!F:F = F18
        )
      ),
      FILTER('Raw "&amp;"PhocalPoint Data'!G:G,
        'Raw PhocalPoint Data'!A:A = 2009,
        'Raw PhocalPoint Data'!D:D = D18,
        'Raw PhocalPoint Data'!E:E = E18,
        'Raw PhocalPoint Data'!F:F = F18
      ) *
      (
        INDEX('Raw GDP data'!$I$2:$M$100,
    "&amp;"      MATCH(D18, 'Raw GDP data'!$H$2:$H$100, 0),
          MATCH(2008, 'Raw GDP data'!$I$1:$M$1, 0)
        ) /
        INDEX('Raw GDP data'!$I$2:$M$100,
          MATCH(D18, 'Raw GDP data'!$H$2:$H$100, 0),
          MATCH(2009, 'Raw GDP data'!$I$1:$M$1, "&amp;"0)
        )
      )
    ),
  IF(A18 &lt; 2008,
    (
      FILTER(G:G,
        A:A = 2008,
        D:D = D18,
        E:E = E18,
        F:F = F18
      ) /
      PRODUCT(
        ARRAYFORMULA(
          (
            (
              FILTER('Raw PhocalPoint"&amp;" Data'!G:G,
                'Raw PhocalPoint Data'!A:A = 2012,
                'Raw PhocalPoint Data'!D:D = D18,
                'Raw PhocalPoint Data'!E:E = E18,
                'Raw PhocalPoint Data'!F:F = F18
              ) /
              FILTER('Raw"&amp;" PhocalPoint Data'!G:G,
                'Raw PhocalPoint Data'!A:A = 2011,
                'Raw PhocalPoint Data'!D:D = D18,
                'Raw PhocalPoint Data'!E:E = E18,
                'Raw PhocalPoint Data'!F:F = F18
              ) -
             "&amp;" ROW(INDIRECT(""1:"" &amp; (2008 - A18))) *
              (
                (
                  FILTER('Raw PhocalPoint Data'!G:G,
                    'Raw PhocalPoint Data'!A:A = 2012,
                    'Raw PhocalPoint Data'!D:D = D18,
                   "&amp;" 'Raw PhocalPoint Data'!E:E = E18,
                    'Raw PhocalPoint Data'!F:F = F18
                  ) /
                  FILTER('Raw PhocalPoint Data'!G:G,
                    'Raw PhocalPoint Data'!A:A = 2011,
                    'Raw PhocalPoint "&amp;"Data'!D:D = D18,
                    'Raw PhocalPoint Data'!E:E = E18,
                    'Raw PhocalPoint Data'!F:F = F18
                  ) - 1
                ) / 5
              )
            )
          )
        )
      )
    ),
    (
      FILTER"&amp;"('Raw PhocalPoint Data'!G:G,
        'Raw PhocalPoint Data'!A:A = 2009,
        'Raw PhocalPoint Data'!D:D = D18,
        'Raw PhocalPoint Data'!E:E = E18,
        'Raw PhocalPoint Data'!F:F = F18
      ) /
      PRODUCT(
        ARRAYFORMULA(
          ("&amp;"
            FILTER('Raw PhocalPoint Data'!G:G,
              'Raw PhocalPoint Data'!A:A = 2012,
              'Raw PhocalPoint Data'!D:D = D18,
              'Raw PhocalPoint Data'!E:E = E18,
              'Raw PhocalPoint Data'!F:F = F18
            ) /"&amp;"
            FILTER('Raw PhocalPoint Data'!G:G,
              'Raw PhocalPoint Data'!A:A = 2011,
              'Raw PhocalPoint Data'!D:D = D18,
              'Raw PhocalPoint Data'!E:E = E18,
              'Raw PhocalPoint Data'!F:F = F18
            ) -"&amp;"
            (ROW(INDIRECT(""1:"" &amp; (2010 - A18))) - 1) *
            (
              (
                FILTER('Raw PhocalPoint Data'!G:G,
                  'Raw PhocalPoint Data'!A:A = 2012,
                  'Raw PhocalPoint Data'!D:D = D18,
           "&amp;"       'Raw PhocalPoint Data'!E:E = E18,
                  'Raw PhocalPoint Data'!F:F = F18
                ) /
                FILTER('Raw PhocalPoint Data'!G:G,
                  'Raw PhocalPoint Data'!A:A = 2011,
                  'Raw PhocalPoint Data"&amp;"'!D:D = D18,
                  'Raw PhocalPoint Data'!E:E = E18,
                  'Raw PhocalPoint Data'!F:F = F18
                ) - 1
              ) / 5
            )
          )
        )
      )
    ) *
    INDEX('Raw GDP data'!$I$2:$M$100,
      M"&amp;"ATCH(D18, 'Raw GDP data'!$H$2:$H$100, 0),
      MATCH(A18, 'Raw GDP data'!$I$1:$M$1, 0)
    )
  )),
  """"
)
"),3700266556.6772)</f>
        <v>3700266556.6771998</v>
      </c>
      <c r="H18" s="80"/>
      <c r="I18" s="81">
        <f ca="1">IFERROR(__xludf.DUMMYFUNCTION("""COMPUTED_VALUE"""),2005)</f>
        <v>2005</v>
      </c>
      <c r="J18" s="82" t="str">
        <f ca="1">IFERROR(__xludf.DUMMYFUNCTION("""COMPUTED_VALUE"""),"Poland")</f>
        <v>Poland</v>
      </c>
      <c r="K18" s="83">
        <f ca="1">IFERROR(
  SUMIFS(
    'New Backfilled Data'!G:G,
    'New Backfilled Data'!A:A, I18,
    'New Backfilled Data'!D:D, J18,
    'New Backfilled Data'!E:E, "Online"
  ) /
  SUMIFS(
    'New Backfilled Data'!G:G,
    'New Backfilled Data'!A:A, I18,
    'New Backfilled Data'!D:D, J18
  ),
  ""
)</f>
        <v>9.8891634919954785E-2</v>
      </c>
      <c r="L18" s="84"/>
      <c r="M18" s="84"/>
    </row>
    <row r="19" spans="1:13" ht="34" x14ac:dyDescent="0.2">
      <c r="A19" s="44">
        <v>2005</v>
      </c>
      <c r="B19" s="45" t="s">
        <v>66</v>
      </c>
      <c r="C19" s="45" t="s">
        <v>4</v>
      </c>
      <c r="D19" s="45" t="s">
        <v>9</v>
      </c>
      <c r="E19" s="45" t="s">
        <v>69</v>
      </c>
      <c r="F19" s="45" t="s">
        <v>70</v>
      </c>
      <c r="G19" s="85">
        <f ca="1">IFERROR(__xludf.DUMMYFUNCTION("IFERROR(
  IF(A19 = 2008,
    IF(E19 = ""Online"",
      FILTER('Raw PhocalPoint Data'!G:G,
        'Raw PhocalPoint Data'!A:A = 2009,
        'Raw PhocalPoint Data'!D:D = D19,
        'Raw PhocalPoint Data'!E:E = E19,
        'Raw PhocalPoint Data'!F:F ="&amp;" F19
      ) /
      (
        FILTER('Raw PhocalPoint Data'!G:G,
          'Raw PhocalPoint Data'!A:A = 2012,
          'Raw PhocalPoint Data'!D:D = D19,
          'Raw PhocalPoint Data'!E:E = E19,
          'Raw PhocalPoint Data'!F:F = F19
        ) /
 "&amp;"       FILTER('Raw PhocalPoint Data'!G:G,
          'Raw PhocalPoint Data'!A:A = 2011,
          'Raw PhocalPoint Data'!D:D = D19,
          'Raw PhocalPoint Data'!E:E = E19,
          'Raw PhocalPoint Data'!F:F = F19
        )
      ),
      FILTER('Raw "&amp;"PhocalPoint Data'!G:G,
        'Raw PhocalPoint Data'!A:A = 2009,
        'Raw PhocalPoint Data'!D:D = D19,
        'Raw PhocalPoint Data'!E:E = E19,
        'Raw PhocalPoint Data'!F:F = F19
      ) *
      (
        INDEX('Raw GDP data'!$I$2:$M$100,
    "&amp;"      MATCH(D19, 'Raw GDP data'!$H$2:$H$100, 0),
          MATCH(2008, 'Raw GDP data'!$I$1:$M$1, 0)
        ) /
        INDEX('Raw GDP data'!$I$2:$M$100,
          MATCH(D19, 'Raw GDP data'!$H$2:$H$100, 0),
          MATCH(2009, 'Raw GDP data'!$I$1:$M$1, "&amp;"0)
        )
      )
    ),
  IF(A19 &lt; 2008,
    (
      FILTER(G:G,
        A:A = 2008,
        D:D = D19,
        E:E = E19,
        F:F = F19
      ) /
      PRODUCT(
        ARRAYFORMULA(
          (
            (
              FILTER('Raw PhocalPoint"&amp;" Data'!G:G,
                'Raw PhocalPoint Data'!A:A = 2012,
                'Raw PhocalPoint Data'!D:D = D19,
                'Raw PhocalPoint Data'!E:E = E19,
                'Raw PhocalPoint Data'!F:F = F19
              ) /
              FILTER('Raw"&amp;" PhocalPoint Data'!G:G,
                'Raw PhocalPoint Data'!A:A = 2011,
                'Raw PhocalPoint Data'!D:D = D19,
                'Raw PhocalPoint Data'!E:E = E19,
                'Raw PhocalPoint Data'!F:F = F19
              ) -
             "&amp;" ROW(INDIRECT(""1:"" &amp; (2008 - A19))) *
              (
                (
                  FILTER('Raw PhocalPoint Data'!G:G,
                    'Raw PhocalPoint Data'!A:A = 2012,
                    'Raw PhocalPoint Data'!D:D = D19,
                   "&amp;" 'Raw PhocalPoint Data'!E:E = E19,
                    'Raw PhocalPoint Data'!F:F = F19
                  ) /
                  FILTER('Raw PhocalPoint Data'!G:G,
                    'Raw PhocalPoint Data'!A:A = 2011,
                    'Raw PhocalPoint "&amp;"Data'!D:D = D19,
                    'Raw PhocalPoint Data'!E:E = E19,
                    'Raw PhocalPoint Data'!F:F = F19
                  ) - 1
                ) / 5
              )
            )
          )
        )
      )
    ),
    (
      FILTER"&amp;"('Raw PhocalPoint Data'!G:G,
        'Raw PhocalPoint Data'!A:A = 2009,
        'Raw PhocalPoint Data'!D:D = D19,
        'Raw PhocalPoint Data'!E:E = E19,
        'Raw PhocalPoint Data'!F:F = F19
      ) /
      PRODUCT(
        ARRAYFORMULA(
          ("&amp;"
            FILTER('Raw PhocalPoint Data'!G:G,
              'Raw PhocalPoint Data'!A:A = 2012,
              'Raw PhocalPoint Data'!D:D = D19,
              'Raw PhocalPoint Data'!E:E = E19,
              'Raw PhocalPoint Data'!F:F = F19
            ) /"&amp;"
            FILTER('Raw PhocalPoint Data'!G:G,
              'Raw PhocalPoint Data'!A:A = 2011,
              'Raw PhocalPoint Data'!D:D = D19,
              'Raw PhocalPoint Data'!E:E = E19,
              'Raw PhocalPoint Data'!F:F = F19
            ) -"&amp;"
            (ROW(INDIRECT(""1:"" &amp; (2010 - A19))) - 1) *
            (
              (
                FILTER('Raw PhocalPoint Data'!G:G,
                  'Raw PhocalPoint Data'!A:A = 2012,
                  'Raw PhocalPoint Data'!D:D = D19,
           "&amp;"       'Raw PhocalPoint Data'!E:E = E19,
                  'Raw PhocalPoint Data'!F:F = F19
                ) /
                FILTER('Raw PhocalPoint Data'!G:G,
                  'Raw PhocalPoint Data'!A:A = 2011,
                  'Raw PhocalPoint Data"&amp;"'!D:D = D19,
                  'Raw PhocalPoint Data'!E:E = E19,
                  'Raw PhocalPoint Data'!F:F = F19
                ) - 1
              ) / 5
            )
          )
        )
      )
    ) *
    INDEX('Raw GDP data'!$I$2:$M$100,
      M"&amp;"ATCH(D19, 'Raw GDP data'!$H$2:$H$100, 0),
      MATCH(A19, 'Raw GDP data'!$I$1:$M$1, 0)
    )
  )),
  """"
)
"),11083515142.7624)</f>
        <v>11083515142.7624</v>
      </c>
      <c r="H19" s="86"/>
      <c r="I19" s="87">
        <f ca="1">IFERROR(__xludf.DUMMYFUNCTION("""COMPUTED_VALUE"""),2005)</f>
        <v>2005</v>
      </c>
      <c r="J19" s="88" t="str">
        <f ca="1">IFERROR(__xludf.DUMMYFUNCTION("""COMPUTED_VALUE"""),"Rest of Eastern Europe")</f>
        <v>Rest of Eastern Europe</v>
      </c>
      <c r="K19" s="89">
        <f ca="1">IFERROR(
  SUMIFS(
    'New Backfilled Data'!G:G,
    'New Backfilled Data'!A:A, I19,
    'New Backfilled Data'!D:D, J19,
    'New Backfilled Data'!E:E, "Online"
  ) /
  SUMIFS(
    'New Backfilled Data'!G:G,
    'New Backfilled Data'!A:A, I19,
    'New Backfilled Data'!D:D, J19
  ),
  ""
)</f>
        <v>0.10844552777705321</v>
      </c>
      <c r="L19" s="90"/>
      <c r="M19" s="90"/>
    </row>
    <row r="20" spans="1:13" ht="17" x14ac:dyDescent="0.2">
      <c r="A20" s="37">
        <v>2005</v>
      </c>
      <c r="B20" s="38" t="s">
        <v>66</v>
      </c>
      <c r="C20" s="38" t="s">
        <v>4</v>
      </c>
      <c r="D20" s="38" t="s">
        <v>10</v>
      </c>
      <c r="E20" s="38" t="s">
        <v>67</v>
      </c>
      <c r="F20" s="38" t="s">
        <v>67</v>
      </c>
      <c r="G20" s="79">
        <f ca="1">IFERROR(__xludf.DUMMYFUNCTION("IFERROR(
  IF(A20 = 2008,
    IF(E20 = ""Online"",
      FILTER('Raw PhocalPoint Data'!G:G,
        'Raw PhocalPoint Data'!A:A = 2009,
        'Raw PhocalPoint Data'!D:D = D20,
        'Raw PhocalPoint Data'!E:E = E20,
        'Raw PhocalPoint Data'!F:F ="&amp;" F20
      ) /
      (
        FILTER('Raw PhocalPoint Data'!G:G,
          'Raw PhocalPoint Data'!A:A = 2012,
          'Raw PhocalPoint Data'!D:D = D20,
          'Raw PhocalPoint Data'!E:E = E20,
          'Raw PhocalPoint Data'!F:F = F20
        ) /
 "&amp;"       FILTER('Raw PhocalPoint Data'!G:G,
          'Raw PhocalPoint Data'!A:A = 2011,
          'Raw PhocalPoint Data'!D:D = D20,
          'Raw PhocalPoint Data'!E:E = E20,
          'Raw PhocalPoint Data'!F:F = F20
        )
      ),
      FILTER('Raw "&amp;"PhocalPoint Data'!G:G,
        'Raw PhocalPoint Data'!A:A = 2009,
        'Raw PhocalPoint Data'!D:D = D20,
        'Raw PhocalPoint Data'!E:E = E20,
        'Raw PhocalPoint Data'!F:F = F20
      ) *
      (
        INDEX('Raw GDP data'!$I$2:$M$100,
    "&amp;"      MATCH(D20, 'Raw GDP data'!$H$2:$H$100, 0),
          MATCH(2008, 'Raw GDP data'!$I$1:$M$1, 0)
        ) /
        INDEX('Raw GDP data'!$I$2:$M$100,
          MATCH(D20, 'Raw GDP data'!$H$2:$H$100, 0),
          MATCH(2009, 'Raw GDP data'!$I$1:$M$1, "&amp;"0)
        )
      )
    ),
  IF(A20 &lt; 2008,
    (
      FILTER(G:G,
        A:A = 2008,
        D:D = D20,
        E:E = E20,
        F:F = F20
      ) /
      PRODUCT(
        ARRAYFORMULA(
          (
            (
              FILTER('Raw PhocalPoint"&amp;" Data'!G:G,
                'Raw PhocalPoint Data'!A:A = 2012,
                'Raw PhocalPoint Data'!D:D = D20,
                'Raw PhocalPoint Data'!E:E = E20,
                'Raw PhocalPoint Data'!F:F = F20
              ) /
              FILTER('Raw"&amp;" PhocalPoint Data'!G:G,
                'Raw PhocalPoint Data'!A:A = 2011,
                'Raw PhocalPoint Data'!D:D = D20,
                'Raw PhocalPoint Data'!E:E = E20,
                'Raw PhocalPoint Data'!F:F = F20
              ) -
             "&amp;" ROW(INDIRECT(""1:"" &amp; (2008 - A20))) *
              (
                (
                  FILTER('Raw PhocalPoint Data'!G:G,
                    'Raw PhocalPoint Data'!A:A = 2012,
                    'Raw PhocalPoint Data'!D:D = D20,
                   "&amp;" 'Raw PhocalPoint Data'!E:E = E20,
                    'Raw PhocalPoint Data'!F:F = F20
                  ) /
                  FILTER('Raw PhocalPoint Data'!G:G,
                    'Raw PhocalPoint Data'!A:A = 2011,
                    'Raw PhocalPoint "&amp;"Data'!D:D = D20,
                    'Raw PhocalPoint Data'!E:E = E20,
                    'Raw PhocalPoint Data'!F:F = F20
                  ) - 1
                ) / 5
              )
            )
          )
        )
      )
    ),
    (
      FILTER"&amp;"('Raw PhocalPoint Data'!G:G,
        'Raw PhocalPoint Data'!A:A = 2009,
        'Raw PhocalPoint Data'!D:D = D20,
        'Raw PhocalPoint Data'!E:E = E20,
        'Raw PhocalPoint Data'!F:F = F20
      ) /
      PRODUCT(
        ARRAYFORMULA(
          ("&amp;"
            FILTER('Raw PhocalPoint Data'!G:G,
              'Raw PhocalPoint Data'!A:A = 2012,
              'Raw PhocalPoint Data'!D:D = D20,
              'Raw PhocalPoint Data'!E:E = E20,
              'Raw PhocalPoint Data'!F:F = F20
            ) /"&amp;"
            FILTER('Raw PhocalPoint Data'!G:G,
              'Raw PhocalPoint Data'!A:A = 2011,
              'Raw PhocalPoint Data'!D:D = D20,
              'Raw PhocalPoint Data'!E:E = E20,
              'Raw PhocalPoint Data'!F:F = F20
            ) -"&amp;"
            (ROW(INDIRECT(""1:"" &amp; (2010 - A20))) - 1) *
            (
              (
                FILTER('Raw PhocalPoint Data'!G:G,
                  'Raw PhocalPoint Data'!A:A = 2012,
                  'Raw PhocalPoint Data'!D:D = D20,
           "&amp;"       'Raw PhocalPoint Data'!E:E = E20,
                  'Raw PhocalPoint Data'!F:F = F20
                ) /
                FILTER('Raw PhocalPoint Data'!G:G,
                  'Raw PhocalPoint Data'!A:A = 2011,
                  'Raw PhocalPoint Data"&amp;"'!D:D = D20,
                  'Raw PhocalPoint Data'!E:E = E20,
                  'Raw PhocalPoint Data'!F:F = F20
                ) - 1
              ) / 5
            )
          )
        )
      )
    ) *
    INDEX('Raw GDP data'!$I$2:$M$100,
      M"&amp;"ATCH(D20, 'Raw GDP data'!$H$2:$H$100, 0),
      MATCH(A20, 'Raw GDP data'!$I$1:$M$1, 0)
    )
  )),
  """"
)
"),499665884.66663)</f>
        <v>499665884.66663003</v>
      </c>
      <c r="H20" s="80"/>
      <c r="I20" s="81">
        <f ca="1">IFERROR(__xludf.DUMMYFUNCTION("""COMPUTED_VALUE"""),2005)</f>
        <v>2005</v>
      </c>
      <c r="J20" s="82" t="str">
        <f ca="1">IFERROR(__xludf.DUMMYFUNCTION("""COMPUTED_VALUE"""),"Romania")</f>
        <v>Romania</v>
      </c>
      <c r="K20" s="83">
        <f ca="1">IFERROR(
  SUMIFS(
    'New Backfilled Data'!G:G,
    'New Backfilled Data'!A:A, I20,
    'New Backfilled Data'!D:D, J20,
    'New Backfilled Data'!E:E, "Online"
  ) /
  SUMIFS(
    'New Backfilled Data'!G:G,
    'New Backfilled Data'!A:A, I20,
    'New Backfilled Data'!D:D, J20
  ),
  ""
)</f>
        <v>5.1838792264665617E-2</v>
      </c>
      <c r="L20" s="84"/>
      <c r="M20" s="84"/>
    </row>
    <row r="21" spans="1:13" ht="17" x14ac:dyDescent="0.2">
      <c r="A21" s="44">
        <v>2005</v>
      </c>
      <c r="B21" s="45" t="s">
        <v>66</v>
      </c>
      <c r="C21" s="45" t="s">
        <v>4</v>
      </c>
      <c r="D21" s="45" t="s">
        <v>10</v>
      </c>
      <c r="E21" s="45" t="s">
        <v>69</v>
      </c>
      <c r="F21" s="45" t="s">
        <v>71</v>
      </c>
      <c r="G21" s="85">
        <f ca="1">IFERROR(__xludf.DUMMYFUNCTION("IFERROR(
  IF(A21 = 2008,
    IF(E21 = ""Online"",
      FILTER('Raw PhocalPoint Data'!G:G,
        'Raw PhocalPoint Data'!A:A = 2009,
        'Raw PhocalPoint Data'!D:D = D21,
        'Raw PhocalPoint Data'!E:E = E21,
        'Raw PhocalPoint Data'!F:F ="&amp;" F21
      ) /
      (
        FILTER('Raw PhocalPoint Data'!G:G,
          'Raw PhocalPoint Data'!A:A = 2012,
          'Raw PhocalPoint Data'!D:D = D21,
          'Raw PhocalPoint Data'!E:E = E21,
          'Raw PhocalPoint Data'!F:F = F21
        ) /
 "&amp;"       FILTER('Raw PhocalPoint Data'!G:G,
          'Raw PhocalPoint Data'!A:A = 2011,
          'Raw PhocalPoint Data'!D:D = D21,
          'Raw PhocalPoint Data'!E:E = E21,
          'Raw PhocalPoint Data'!F:F = F21
        )
      ),
      FILTER('Raw "&amp;"PhocalPoint Data'!G:G,
        'Raw PhocalPoint Data'!A:A = 2009,
        'Raw PhocalPoint Data'!D:D = D21,
        'Raw PhocalPoint Data'!E:E = E21,
        'Raw PhocalPoint Data'!F:F = F21
      ) *
      (
        INDEX('Raw GDP data'!$I$2:$M$100,
    "&amp;"      MATCH(D21, 'Raw GDP data'!$H$2:$H$100, 0),
          MATCH(2008, 'Raw GDP data'!$I$1:$M$1, 0)
        ) /
        INDEX('Raw GDP data'!$I$2:$M$100,
          MATCH(D21, 'Raw GDP data'!$H$2:$H$100, 0),
          MATCH(2009, 'Raw GDP data'!$I$1:$M$1, "&amp;"0)
        )
      )
    ),
  IF(A21 &lt; 2008,
    (
      FILTER(G:G,
        A:A = 2008,
        D:D = D21,
        E:E = E21,
        F:F = F21
      ) /
      PRODUCT(
        ARRAYFORMULA(
          (
            (
              FILTER('Raw PhocalPoint"&amp;" Data'!G:G,
                'Raw PhocalPoint Data'!A:A = 2012,
                'Raw PhocalPoint Data'!D:D = D21,
                'Raw PhocalPoint Data'!E:E = E21,
                'Raw PhocalPoint Data'!F:F = F21
              ) /
              FILTER('Raw"&amp;" PhocalPoint Data'!G:G,
                'Raw PhocalPoint Data'!A:A = 2011,
                'Raw PhocalPoint Data'!D:D = D21,
                'Raw PhocalPoint Data'!E:E = E21,
                'Raw PhocalPoint Data'!F:F = F21
              ) -
             "&amp;" ROW(INDIRECT(""1:"" &amp; (2008 - A21))) *
              (
                (
                  FILTER('Raw PhocalPoint Data'!G:G,
                    'Raw PhocalPoint Data'!A:A = 2012,
                    'Raw PhocalPoint Data'!D:D = D21,
                   "&amp;" 'Raw PhocalPoint Data'!E:E = E21,
                    'Raw PhocalPoint Data'!F:F = F21
                  ) /
                  FILTER('Raw PhocalPoint Data'!G:G,
                    'Raw PhocalPoint Data'!A:A = 2011,
                    'Raw PhocalPoint "&amp;"Data'!D:D = D21,
                    'Raw PhocalPoint Data'!E:E = E21,
                    'Raw PhocalPoint Data'!F:F = F21
                  ) - 1
                ) / 5
              )
            )
          )
        )
      )
    ),
    (
      FILTER"&amp;"('Raw PhocalPoint Data'!G:G,
        'Raw PhocalPoint Data'!A:A = 2009,
        'Raw PhocalPoint Data'!D:D = D21,
        'Raw PhocalPoint Data'!E:E = E21,
        'Raw PhocalPoint Data'!F:F = F21
      ) /
      PRODUCT(
        ARRAYFORMULA(
          ("&amp;"
            FILTER('Raw PhocalPoint Data'!G:G,
              'Raw PhocalPoint Data'!A:A = 2012,
              'Raw PhocalPoint Data'!D:D = D21,
              'Raw PhocalPoint Data'!E:E = E21,
              'Raw PhocalPoint Data'!F:F = F21
            ) /"&amp;"
            FILTER('Raw PhocalPoint Data'!G:G,
              'Raw PhocalPoint Data'!A:A = 2011,
              'Raw PhocalPoint Data'!D:D = D21,
              'Raw PhocalPoint Data'!E:E = E21,
              'Raw PhocalPoint Data'!F:F = F21
            ) -"&amp;"
            (ROW(INDIRECT(""1:"" &amp; (2010 - A21))) - 1) *
            (
              (
                FILTER('Raw PhocalPoint Data'!G:G,
                  'Raw PhocalPoint Data'!A:A = 2012,
                  'Raw PhocalPoint Data'!D:D = D21,
           "&amp;"       'Raw PhocalPoint Data'!E:E = E21,
                  'Raw PhocalPoint Data'!F:F = F21
                ) /
                FILTER('Raw PhocalPoint Data'!G:G,
                  'Raw PhocalPoint Data'!A:A = 2011,
                  'Raw PhocalPoint Data"&amp;"'!D:D = D21,
                  'Raw PhocalPoint Data'!E:E = E21,
                  'Raw PhocalPoint Data'!F:F = F21
                ) - 1
              ) / 5
            )
          )
        )
      )
    ) *
    INDEX('Raw GDP data'!$I$2:$M$100,
      M"&amp;"ATCH(D21, 'Raw GDP data'!$H$2:$H$100, 0),
      MATCH(A21, 'Raw GDP data'!$I$1:$M$1, 0)
    )
  )),
  """"
)
"),1256025.35233341)</f>
        <v>1256025.3523334099</v>
      </c>
      <c r="H21" s="86"/>
      <c r="I21" s="87">
        <f ca="1">IFERROR(__xludf.DUMMYFUNCTION("""COMPUTED_VALUE"""),2005)</f>
        <v>2005</v>
      </c>
      <c r="J21" s="88" t="str">
        <f ca="1">IFERROR(__xludf.DUMMYFUNCTION("""COMPUTED_VALUE"""),"Russia")</f>
        <v>Russia</v>
      </c>
      <c r="K21" s="89">
        <f ca="1">IFERROR(
  SUMIFS(
    'New Backfilled Data'!G:G,
    'New Backfilled Data'!A:A, I21,
    'New Backfilled Data'!D:D, J21,
    'New Backfilled Data'!E:E, "Online"
  ) /
  SUMIFS(
    'New Backfilled Data'!G:G,
    'New Backfilled Data'!A:A, I21,
    'New Backfilled Data'!D:D, J21
  ),
  ""
)</f>
        <v>1.3749083425378023E-2</v>
      </c>
      <c r="L21" s="90"/>
      <c r="M21" s="90"/>
    </row>
    <row r="22" spans="1:13" ht="17" x14ac:dyDescent="0.2">
      <c r="A22" s="37">
        <v>2005</v>
      </c>
      <c r="B22" s="38" t="s">
        <v>66</v>
      </c>
      <c r="C22" s="38" t="s">
        <v>4</v>
      </c>
      <c r="D22" s="38" t="s">
        <v>10</v>
      </c>
      <c r="E22" s="38" t="s">
        <v>69</v>
      </c>
      <c r="F22" s="38" t="s">
        <v>70</v>
      </c>
      <c r="G22" s="79">
        <f ca="1">IFERROR(__xludf.DUMMYFUNCTION("IFERROR(
  IF(A22 = 2008,
    IF(E22 = ""Online"",
      FILTER('Raw PhocalPoint Data'!G:G,
        'Raw PhocalPoint Data'!A:A = 2009,
        'Raw PhocalPoint Data'!D:D = D22,
        'Raw PhocalPoint Data'!E:E = E22,
        'Raw PhocalPoint Data'!F:F ="&amp;" F22
      ) /
      (
        FILTER('Raw PhocalPoint Data'!G:G,
          'Raw PhocalPoint Data'!A:A = 2012,
          'Raw PhocalPoint Data'!D:D = D22,
          'Raw PhocalPoint Data'!E:E = E22,
          'Raw PhocalPoint Data'!F:F = F22
        ) /
 "&amp;"       FILTER('Raw PhocalPoint Data'!G:G,
          'Raw PhocalPoint Data'!A:A = 2011,
          'Raw PhocalPoint Data'!D:D = D22,
          'Raw PhocalPoint Data'!E:E = E22,
          'Raw PhocalPoint Data'!F:F = F22
        )
      ),
      FILTER('Raw "&amp;"PhocalPoint Data'!G:G,
        'Raw PhocalPoint Data'!A:A = 2009,
        'Raw PhocalPoint Data'!D:D = D22,
        'Raw PhocalPoint Data'!E:E = E22,
        'Raw PhocalPoint Data'!F:F = F22
      ) *
      (
        INDEX('Raw GDP data'!$I$2:$M$100,
    "&amp;"      MATCH(D22, 'Raw GDP data'!$H$2:$H$100, 0),
          MATCH(2008, 'Raw GDP data'!$I$1:$M$1, 0)
        ) /
        INDEX('Raw GDP data'!$I$2:$M$100,
          MATCH(D22, 'Raw GDP data'!$H$2:$H$100, 0),
          MATCH(2009, 'Raw GDP data'!$I$1:$M$1, "&amp;"0)
        )
      )
    ),
  IF(A22 &lt; 2008,
    (
      FILTER(G:G,
        A:A = 2008,
        D:D = D22,
        E:E = E22,
        F:F = F22
      ) /
      PRODUCT(
        ARRAYFORMULA(
          (
            (
              FILTER('Raw PhocalPoint"&amp;" Data'!G:G,
                'Raw PhocalPoint Data'!A:A = 2012,
                'Raw PhocalPoint Data'!D:D = D22,
                'Raw PhocalPoint Data'!E:E = E22,
                'Raw PhocalPoint Data'!F:F = F22
              ) /
              FILTER('Raw"&amp;" PhocalPoint Data'!G:G,
                'Raw PhocalPoint Data'!A:A = 2011,
                'Raw PhocalPoint Data'!D:D = D22,
                'Raw PhocalPoint Data'!E:E = E22,
                'Raw PhocalPoint Data'!F:F = F22
              ) -
             "&amp;" ROW(INDIRECT(""1:"" &amp; (2008 - A22))) *
              (
                (
                  FILTER('Raw PhocalPoint Data'!G:G,
                    'Raw PhocalPoint Data'!A:A = 2012,
                    'Raw PhocalPoint Data'!D:D = D22,
                   "&amp;" 'Raw PhocalPoint Data'!E:E = E22,
                    'Raw PhocalPoint Data'!F:F = F22
                  ) /
                  FILTER('Raw PhocalPoint Data'!G:G,
                    'Raw PhocalPoint Data'!A:A = 2011,
                    'Raw PhocalPoint "&amp;"Data'!D:D = D22,
                    'Raw PhocalPoint Data'!E:E = E22,
                    'Raw PhocalPoint Data'!F:F = F22
                  ) - 1
                ) / 5
              )
            )
          )
        )
      )
    ),
    (
      FILTER"&amp;"('Raw PhocalPoint Data'!G:G,
        'Raw PhocalPoint Data'!A:A = 2009,
        'Raw PhocalPoint Data'!D:D = D22,
        'Raw PhocalPoint Data'!E:E = E22,
        'Raw PhocalPoint Data'!F:F = F22
      ) /
      PRODUCT(
        ARRAYFORMULA(
          ("&amp;"
            FILTER('Raw PhocalPoint Data'!G:G,
              'Raw PhocalPoint Data'!A:A = 2012,
              'Raw PhocalPoint Data'!D:D = D22,
              'Raw PhocalPoint Data'!E:E = E22,
              'Raw PhocalPoint Data'!F:F = F22
            ) /"&amp;"
            FILTER('Raw PhocalPoint Data'!G:G,
              'Raw PhocalPoint Data'!A:A = 2011,
              'Raw PhocalPoint Data'!D:D = D22,
              'Raw PhocalPoint Data'!E:E = E22,
              'Raw PhocalPoint Data'!F:F = F22
            ) -"&amp;"
            (ROW(INDIRECT(""1:"" &amp; (2010 - A22))) - 1) *
            (
              (
                FILTER('Raw PhocalPoint Data'!G:G,
                  'Raw PhocalPoint Data'!A:A = 2012,
                  'Raw PhocalPoint Data'!D:D = D22,
           "&amp;"       'Raw PhocalPoint Data'!E:E = E22,
                  'Raw PhocalPoint Data'!F:F = F22
                ) /
                FILTER('Raw PhocalPoint Data'!G:G,
                  'Raw PhocalPoint Data'!A:A = 2011,
                  'Raw PhocalPoint Data"&amp;"'!D:D = D22,
                  'Raw PhocalPoint Data'!E:E = E22,
                  'Raw PhocalPoint Data'!F:F = F22
                ) - 1
              ) / 5
            )
          )
        )
      )
    ) *
    INDEX('Raw GDP data'!$I$2:$M$100,
      M"&amp;"ATCH(D22, 'Raw GDP data'!$H$2:$H$100, 0),
      MATCH(A22, 'Raw GDP data'!$I$1:$M$1, 0)
    )
  )),
  """"
)
"),2078482.11490004)</f>
        <v>2078482.11490004</v>
      </c>
      <c r="H22" s="80"/>
      <c r="I22" s="81">
        <f ca="1">IFERROR(__xludf.DUMMYFUNCTION("""COMPUTED_VALUE"""),2005)</f>
        <v>2005</v>
      </c>
      <c r="J22" s="82" t="str">
        <f ca="1">IFERROR(__xludf.DUMMYFUNCTION("""COMPUTED_VALUE"""),"Ukraine")</f>
        <v>Ukraine</v>
      </c>
      <c r="K22" s="83">
        <f ca="1">IFERROR(
  SUMIFS(
    'New Backfilled Data'!G:G,
    'New Backfilled Data'!A:A, I22,
    'New Backfilled Data'!D:D, J22,
    'New Backfilled Data'!E:E, "Online"
  ) /
  SUMIFS(
    'New Backfilled Data'!G:G,
    'New Backfilled Data'!A:A, I22,
    'New Backfilled Data'!D:D, J22
  ),
  ""
)</f>
        <v>5.4832114605894676E-2</v>
      </c>
      <c r="L22" s="84"/>
      <c r="M22" s="84"/>
    </row>
    <row r="23" spans="1:13" ht="17" x14ac:dyDescent="0.2">
      <c r="A23" s="44">
        <v>2005</v>
      </c>
      <c r="B23" s="45" t="s">
        <v>66</v>
      </c>
      <c r="C23" s="45" t="s">
        <v>4</v>
      </c>
      <c r="D23" s="45" t="s">
        <v>11</v>
      </c>
      <c r="E23" s="45" t="s">
        <v>67</v>
      </c>
      <c r="F23" s="45" t="s">
        <v>67</v>
      </c>
      <c r="G23" s="85">
        <f ca="1">IFERROR(__xludf.DUMMYFUNCTION("IFERROR(
  IF(A23 = 2008,
    IF(E23 = ""Online"",
      FILTER('Raw PhocalPoint Data'!G:G,
        'Raw PhocalPoint Data'!A:A = 2009,
        'Raw PhocalPoint Data'!D:D = D23,
        'Raw PhocalPoint Data'!E:E = E23,
        'Raw PhocalPoint Data'!F:F ="&amp;" F23
      ) /
      (
        FILTER('Raw PhocalPoint Data'!G:G,
          'Raw PhocalPoint Data'!A:A = 2012,
          'Raw PhocalPoint Data'!D:D = D23,
          'Raw PhocalPoint Data'!E:E = E23,
          'Raw PhocalPoint Data'!F:F = F23
        ) /
 "&amp;"       FILTER('Raw PhocalPoint Data'!G:G,
          'Raw PhocalPoint Data'!A:A = 2011,
          'Raw PhocalPoint Data'!D:D = D23,
          'Raw PhocalPoint Data'!E:E = E23,
          'Raw PhocalPoint Data'!F:F = F23
        )
      ),
      FILTER('Raw "&amp;"PhocalPoint Data'!G:G,
        'Raw PhocalPoint Data'!A:A = 2009,
        'Raw PhocalPoint Data'!D:D = D23,
        'Raw PhocalPoint Data'!E:E = E23,
        'Raw PhocalPoint Data'!F:F = F23
      ) *
      (
        INDEX('Raw GDP data'!$I$2:$M$100,
    "&amp;"      MATCH(D23, 'Raw GDP data'!$H$2:$H$100, 0),
          MATCH(2008, 'Raw GDP data'!$I$1:$M$1, 0)
        ) /
        INDEX('Raw GDP data'!$I$2:$M$100,
          MATCH(D23, 'Raw GDP data'!$H$2:$H$100, 0),
          MATCH(2009, 'Raw GDP data'!$I$1:$M$1, "&amp;"0)
        )
      )
    ),
  IF(A23 &lt; 2008,
    (
      FILTER(G:G,
        A:A = 2008,
        D:D = D23,
        E:E = E23,
        F:F = F23
      ) /
      PRODUCT(
        ARRAYFORMULA(
          (
            (
              FILTER('Raw PhocalPoint"&amp;" Data'!G:G,
                'Raw PhocalPoint Data'!A:A = 2012,
                'Raw PhocalPoint Data'!D:D = D23,
                'Raw PhocalPoint Data'!E:E = E23,
                'Raw PhocalPoint Data'!F:F = F23
              ) /
              FILTER('Raw"&amp;" PhocalPoint Data'!G:G,
                'Raw PhocalPoint Data'!A:A = 2011,
                'Raw PhocalPoint Data'!D:D = D23,
                'Raw PhocalPoint Data'!E:E = E23,
                'Raw PhocalPoint Data'!F:F = F23
              ) -
             "&amp;" ROW(INDIRECT(""1:"" &amp; (2008 - A23))) *
              (
                (
                  FILTER('Raw PhocalPoint Data'!G:G,
                    'Raw PhocalPoint Data'!A:A = 2012,
                    'Raw PhocalPoint Data'!D:D = D23,
                   "&amp;" 'Raw PhocalPoint Data'!E:E = E23,
                    'Raw PhocalPoint Data'!F:F = F23
                  ) /
                  FILTER('Raw PhocalPoint Data'!G:G,
                    'Raw PhocalPoint Data'!A:A = 2011,
                    'Raw PhocalPoint "&amp;"Data'!D:D = D23,
                    'Raw PhocalPoint Data'!E:E = E23,
                    'Raw PhocalPoint Data'!F:F = F23
                  ) - 1
                ) / 5
              )
            )
          )
        )
      )
    ),
    (
      FILTER"&amp;"('Raw PhocalPoint Data'!G:G,
        'Raw PhocalPoint Data'!A:A = 2009,
        'Raw PhocalPoint Data'!D:D = D23,
        'Raw PhocalPoint Data'!E:E = E23,
        'Raw PhocalPoint Data'!F:F = F23
      ) /
      PRODUCT(
        ARRAYFORMULA(
          ("&amp;"
            FILTER('Raw PhocalPoint Data'!G:G,
              'Raw PhocalPoint Data'!A:A = 2012,
              'Raw PhocalPoint Data'!D:D = D23,
              'Raw PhocalPoint Data'!E:E = E23,
              'Raw PhocalPoint Data'!F:F = F23
            ) /"&amp;"
            FILTER('Raw PhocalPoint Data'!G:G,
              'Raw PhocalPoint Data'!A:A = 2011,
              'Raw PhocalPoint Data'!D:D = D23,
              'Raw PhocalPoint Data'!E:E = E23,
              'Raw PhocalPoint Data'!F:F = F23
            ) -"&amp;"
            (ROW(INDIRECT(""1:"" &amp; (2010 - A23))) - 1) *
            (
              (
                FILTER('Raw PhocalPoint Data'!G:G,
                  'Raw PhocalPoint Data'!A:A = 2012,
                  'Raw PhocalPoint Data'!D:D = D23,
           "&amp;"       'Raw PhocalPoint Data'!E:E = E23,
                  'Raw PhocalPoint Data'!F:F = F23
                ) /
                FILTER('Raw PhocalPoint Data'!G:G,
                  'Raw PhocalPoint Data'!A:A = 2011,
                  'Raw PhocalPoint Data"&amp;"'!D:D = D23,
                  'Raw PhocalPoint Data'!E:E = E23,
                  'Raw PhocalPoint Data'!F:F = F23
                ) - 1
              ) / 5
            )
          )
        )
      )
    ) *
    INDEX('Raw GDP data'!$I$2:$M$100,
      M"&amp;"ATCH(D23, 'Raw GDP data'!$H$2:$H$100, 0),
      MATCH(A23, 'Raw GDP data'!$I$1:$M$1, 0)
    )
  )),
  """"
)
"),4315265683.87503)</f>
        <v>4315265683.8750296</v>
      </c>
      <c r="H23" s="86"/>
      <c r="I23" s="87">
        <f ca="1">IFERROR(__xludf.DUMMYFUNCTION("""COMPUTED_VALUE"""),2005)</f>
        <v>2005</v>
      </c>
      <c r="J23" s="88" t="str">
        <f ca="1">IFERROR(__xludf.DUMMYFUNCTION("""COMPUTED_VALUE"""),"France")</f>
        <v>France</v>
      </c>
      <c r="K23" s="89">
        <f ca="1">IFERROR(
  SUMIFS(
    'New Backfilled Data'!G:G,
    'New Backfilled Data'!A:A, I23,
    'New Backfilled Data'!D:D, J23,
    'New Backfilled Data'!E:E, "Online"
  ) /
  SUMIFS(
    'New Backfilled Data'!G:G,
    'New Backfilled Data'!A:A, I23,
    'New Backfilled Data'!D:D, J23
  ),
  ""
)</f>
        <v>0.2397963115461523</v>
      </c>
      <c r="L23" s="90"/>
      <c r="M23" s="90"/>
    </row>
    <row r="24" spans="1:13" ht="17" x14ac:dyDescent="0.2">
      <c r="A24" s="37">
        <v>2005</v>
      </c>
      <c r="B24" s="38" t="s">
        <v>66</v>
      </c>
      <c r="C24" s="38" t="s">
        <v>4</v>
      </c>
      <c r="D24" s="38" t="s">
        <v>11</v>
      </c>
      <c r="E24" s="38" t="s">
        <v>69</v>
      </c>
      <c r="F24" s="38" t="s">
        <v>71</v>
      </c>
      <c r="G24" s="79">
        <f ca="1">IFERROR(__xludf.DUMMYFUNCTION("IFERROR(
  IF(A24 = 2008,
    IF(E24 = ""Online"",
      FILTER('Raw PhocalPoint Data'!G:G,
        'Raw PhocalPoint Data'!A:A = 2009,
        'Raw PhocalPoint Data'!D:D = D24,
        'Raw PhocalPoint Data'!E:E = E24,
        'Raw PhocalPoint Data'!F:F ="&amp;" F24
      ) /
      (
        FILTER('Raw PhocalPoint Data'!G:G,
          'Raw PhocalPoint Data'!A:A = 2012,
          'Raw PhocalPoint Data'!D:D = D24,
          'Raw PhocalPoint Data'!E:E = E24,
          'Raw PhocalPoint Data'!F:F = F24
        ) /
 "&amp;"       FILTER('Raw PhocalPoint Data'!G:G,
          'Raw PhocalPoint Data'!A:A = 2011,
          'Raw PhocalPoint Data'!D:D = D24,
          'Raw PhocalPoint Data'!E:E = E24,
          'Raw PhocalPoint Data'!F:F = F24
        )
      ),
      FILTER('Raw "&amp;"PhocalPoint Data'!G:G,
        'Raw PhocalPoint Data'!A:A = 2009,
        'Raw PhocalPoint Data'!D:D = D24,
        'Raw PhocalPoint Data'!E:E = E24,
        'Raw PhocalPoint Data'!F:F = F24
      ) *
      (
        INDEX('Raw GDP data'!$I$2:$M$100,
    "&amp;"      MATCH(D24, 'Raw GDP data'!$H$2:$H$100, 0),
          MATCH(2008, 'Raw GDP data'!$I$1:$M$1, 0)
        ) /
        INDEX('Raw GDP data'!$I$2:$M$100,
          MATCH(D24, 'Raw GDP data'!$H$2:$H$100, 0),
          MATCH(2009, 'Raw GDP data'!$I$1:$M$1, "&amp;"0)
        )
      )
    ),
  IF(A24 &lt; 2008,
    (
      FILTER(G:G,
        A:A = 2008,
        D:D = D24,
        E:E = E24,
        F:F = F24
      ) /
      PRODUCT(
        ARRAYFORMULA(
          (
            (
              FILTER('Raw PhocalPoint"&amp;" Data'!G:G,
                'Raw PhocalPoint Data'!A:A = 2012,
                'Raw PhocalPoint Data'!D:D = D24,
                'Raw PhocalPoint Data'!E:E = E24,
                'Raw PhocalPoint Data'!F:F = F24
              ) /
              FILTER('Raw"&amp;" PhocalPoint Data'!G:G,
                'Raw PhocalPoint Data'!A:A = 2011,
                'Raw PhocalPoint Data'!D:D = D24,
                'Raw PhocalPoint Data'!E:E = E24,
                'Raw PhocalPoint Data'!F:F = F24
              ) -
             "&amp;" ROW(INDIRECT(""1:"" &amp; (2008 - A24))) *
              (
                (
                  FILTER('Raw PhocalPoint Data'!G:G,
                    'Raw PhocalPoint Data'!A:A = 2012,
                    'Raw PhocalPoint Data'!D:D = D24,
                   "&amp;" 'Raw PhocalPoint Data'!E:E = E24,
                    'Raw PhocalPoint Data'!F:F = F24
                  ) /
                  FILTER('Raw PhocalPoint Data'!G:G,
                    'Raw PhocalPoint Data'!A:A = 2011,
                    'Raw PhocalPoint "&amp;"Data'!D:D = D24,
                    'Raw PhocalPoint Data'!E:E = E24,
                    'Raw PhocalPoint Data'!F:F = F24
                  ) - 1
                ) / 5
              )
            )
          )
        )
      )
    ),
    (
      FILTER"&amp;"('Raw PhocalPoint Data'!G:G,
        'Raw PhocalPoint Data'!A:A = 2009,
        'Raw PhocalPoint Data'!D:D = D24,
        'Raw PhocalPoint Data'!E:E = E24,
        'Raw PhocalPoint Data'!F:F = F24
      ) /
      PRODUCT(
        ARRAYFORMULA(
          ("&amp;"
            FILTER('Raw PhocalPoint Data'!G:G,
              'Raw PhocalPoint Data'!A:A = 2012,
              'Raw PhocalPoint Data'!D:D = D24,
              'Raw PhocalPoint Data'!E:E = E24,
              'Raw PhocalPoint Data'!F:F = F24
            ) /"&amp;"
            FILTER('Raw PhocalPoint Data'!G:G,
              'Raw PhocalPoint Data'!A:A = 2011,
              'Raw PhocalPoint Data'!D:D = D24,
              'Raw PhocalPoint Data'!E:E = E24,
              'Raw PhocalPoint Data'!F:F = F24
            ) -"&amp;"
            (ROW(INDIRECT(""1:"" &amp; (2010 - A24))) - 1) *
            (
              (
                FILTER('Raw PhocalPoint Data'!G:G,
                  'Raw PhocalPoint Data'!A:A = 2012,
                  'Raw PhocalPoint Data'!D:D = D24,
           "&amp;"       'Raw PhocalPoint Data'!E:E = E24,
                  'Raw PhocalPoint Data'!F:F = F24
                ) /
                FILTER('Raw PhocalPoint Data'!G:G,
                  'Raw PhocalPoint Data'!A:A = 2011,
                  'Raw PhocalPoint Data"&amp;"'!D:D = D24,
                  'Raw PhocalPoint Data'!E:E = E24,
                  'Raw PhocalPoint Data'!F:F = F24
                ) - 1
              ) / 5
            )
          )
        )
      )
    ) *
    INDEX('Raw GDP data'!$I$2:$M$100,
      M"&amp;"ATCH(D24, 'Raw GDP data'!$H$2:$H$100, 0),
      MATCH(A24, 'Raw GDP data'!$I$1:$M$1, 0)
    )
  )),
  """"
)
"),18542777.6173775)</f>
        <v>18542777.617377501</v>
      </c>
      <c r="H24" s="80"/>
      <c r="I24" s="81">
        <f ca="1">IFERROR(__xludf.DUMMYFUNCTION("""COMPUTED_VALUE"""),2005)</f>
        <v>2005</v>
      </c>
      <c r="J24" s="82" t="str">
        <f ca="1">IFERROR(__xludf.DUMMYFUNCTION("""COMPUTED_VALUE"""),"Germany")</f>
        <v>Germany</v>
      </c>
      <c r="K24" s="83">
        <f ca="1">IFERROR(
  SUMIFS(
    'New Backfilled Data'!G:G,
    'New Backfilled Data'!A:A, I24,
    'New Backfilled Data'!D:D, J24,
    'New Backfilled Data'!E:E, "Online"
  ) /
  SUMIFS(
    'New Backfilled Data'!G:G,
    'New Backfilled Data'!A:A, I24,
    'New Backfilled Data'!D:D, J24
  ),
  ""
)</f>
        <v>0.25758773130702561</v>
      </c>
      <c r="L24" s="84"/>
      <c r="M24" s="84"/>
    </row>
    <row r="25" spans="1:13" ht="17" x14ac:dyDescent="0.2">
      <c r="A25" s="44">
        <v>2005</v>
      </c>
      <c r="B25" s="45" t="s">
        <v>66</v>
      </c>
      <c r="C25" s="45" t="s">
        <v>4</v>
      </c>
      <c r="D25" s="45" t="s">
        <v>11</v>
      </c>
      <c r="E25" s="45" t="s">
        <v>69</v>
      </c>
      <c r="F25" s="45" t="s">
        <v>70</v>
      </c>
      <c r="G25" s="85">
        <f ca="1">IFERROR(__xludf.DUMMYFUNCTION("IFERROR(
  IF(A25 = 2008,
    IF(E25 = ""Online"",
      FILTER('Raw PhocalPoint Data'!G:G,
        'Raw PhocalPoint Data'!A:A = 2009,
        'Raw PhocalPoint Data'!D:D = D25,
        'Raw PhocalPoint Data'!E:E = E25,
        'Raw PhocalPoint Data'!F:F ="&amp;" F25
      ) /
      (
        FILTER('Raw PhocalPoint Data'!G:G,
          'Raw PhocalPoint Data'!A:A = 2012,
          'Raw PhocalPoint Data'!D:D = D25,
          'Raw PhocalPoint Data'!E:E = E25,
          'Raw PhocalPoint Data'!F:F = F25
        ) /
 "&amp;"       FILTER('Raw PhocalPoint Data'!G:G,
          'Raw PhocalPoint Data'!A:A = 2011,
          'Raw PhocalPoint Data'!D:D = D25,
          'Raw PhocalPoint Data'!E:E = E25,
          'Raw PhocalPoint Data'!F:F = F25
        )
      ),
      FILTER('Raw "&amp;"PhocalPoint Data'!G:G,
        'Raw PhocalPoint Data'!A:A = 2009,
        'Raw PhocalPoint Data'!D:D = D25,
        'Raw PhocalPoint Data'!E:E = E25,
        'Raw PhocalPoint Data'!F:F = F25
      ) *
      (
        INDEX('Raw GDP data'!$I$2:$M$100,
    "&amp;"      MATCH(D25, 'Raw GDP data'!$H$2:$H$100, 0),
          MATCH(2008, 'Raw GDP data'!$I$1:$M$1, 0)
        ) /
        INDEX('Raw GDP data'!$I$2:$M$100,
          MATCH(D25, 'Raw GDP data'!$H$2:$H$100, 0),
          MATCH(2009, 'Raw GDP data'!$I$1:$M$1, "&amp;"0)
        )
      )
    ),
  IF(A25 &lt; 2008,
    (
      FILTER(G:G,
        A:A = 2008,
        D:D = D25,
        E:E = E25,
        F:F = F25
      ) /
      PRODUCT(
        ARRAYFORMULA(
          (
            (
              FILTER('Raw PhocalPoint"&amp;" Data'!G:G,
                'Raw PhocalPoint Data'!A:A = 2012,
                'Raw PhocalPoint Data'!D:D = D25,
                'Raw PhocalPoint Data'!E:E = E25,
                'Raw PhocalPoint Data'!F:F = F25
              ) /
              FILTER('Raw"&amp;" PhocalPoint Data'!G:G,
                'Raw PhocalPoint Data'!A:A = 2011,
                'Raw PhocalPoint Data'!D:D = D25,
                'Raw PhocalPoint Data'!E:E = E25,
                'Raw PhocalPoint Data'!F:F = F25
              ) -
             "&amp;" ROW(INDIRECT(""1:"" &amp; (2008 - A25))) *
              (
                (
                  FILTER('Raw PhocalPoint Data'!G:G,
                    'Raw PhocalPoint Data'!A:A = 2012,
                    'Raw PhocalPoint Data'!D:D = D25,
                   "&amp;" 'Raw PhocalPoint Data'!E:E = E25,
                    'Raw PhocalPoint Data'!F:F = F25
                  ) /
                  FILTER('Raw PhocalPoint Data'!G:G,
                    'Raw PhocalPoint Data'!A:A = 2011,
                    'Raw PhocalPoint "&amp;"Data'!D:D = D25,
                    'Raw PhocalPoint Data'!E:E = E25,
                    'Raw PhocalPoint Data'!F:F = F25
                  ) - 1
                ) / 5
              )
            )
          )
        )
      )
    ),
    (
      FILTER"&amp;"('Raw PhocalPoint Data'!G:G,
        'Raw PhocalPoint Data'!A:A = 2009,
        'Raw PhocalPoint Data'!D:D = D25,
        'Raw PhocalPoint Data'!E:E = E25,
        'Raw PhocalPoint Data'!F:F = F25
      ) /
      PRODUCT(
        ARRAYFORMULA(
          ("&amp;"
            FILTER('Raw PhocalPoint Data'!G:G,
              'Raw PhocalPoint Data'!A:A = 2012,
              'Raw PhocalPoint Data'!D:D = D25,
              'Raw PhocalPoint Data'!E:E = E25,
              'Raw PhocalPoint Data'!F:F = F25
            ) /"&amp;"
            FILTER('Raw PhocalPoint Data'!G:G,
              'Raw PhocalPoint Data'!A:A = 2011,
              'Raw PhocalPoint Data'!D:D = D25,
              'Raw PhocalPoint Data'!E:E = E25,
              'Raw PhocalPoint Data'!F:F = F25
            ) -"&amp;"
            (ROW(INDIRECT(""1:"" &amp; (2010 - A25))) - 1) *
            (
              (
                FILTER('Raw PhocalPoint Data'!G:G,
                  'Raw PhocalPoint Data'!A:A = 2012,
                  'Raw PhocalPoint Data'!D:D = D25,
           "&amp;"       'Raw PhocalPoint Data'!E:E = E25,
                  'Raw PhocalPoint Data'!F:F = F25
                ) /
                FILTER('Raw PhocalPoint Data'!G:G,
                  'Raw PhocalPoint Data'!A:A = 2011,
                  'Raw PhocalPoint Data"&amp;"'!D:D = D25,
                  'Raw PhocalPoint Data'!E:E = E25,
                  'Raw PhocalPoint Data'!F:F = F25
                ) - 1
              ) / 5
            )
          )
        )
      )
    ) *
    INDEX('Raw GDP data'!$I$2:$M$100,
      M"&amp;"ATCH(D25, 'Raw GDP data'!$H$2:$H$100, 0),
      MATCH(A25, 'Raw GDP data'!$I$1:$M$1, 0)
    )
  )),
  """"
)
"),1084988973.2688)</f>
        <v>1084988973.2688</v>
      </c>
      <c r="H25" s="86"/>
      <c r="I25" s="87">
        <f ca="1">IFERROR(__xludf.DUMMYFUNCTION("""COMPUTED_VALUE"""),2005)</f>
        <v>2005</v>
      </c>
      <c r="J25" s="88" t="str">
        <f ca="1">IFERROR(__xludf.DUMMYFUNCTION("""COMPUTED_VALUE"""),"Italy")</f>
        <v>Italy</v>
      </c>
      <c r="K25" s="89">
        <f ca="1">IFERROR(
  SUMIFS(
    'New Backfilled Data'!G:G,
    'New Backfilled Data'!A:A, I25,
    'New Backfilled Data'!D:D, J25,
    'New Backfilled Data'!E:E, "Online"
  ) /
  SUMIFS(
    'New Backfilled Data'!G:G,
    'New Backfilled Data'!A:A, I25,
    'New Backfilled Data'!D:D, J25
  ),
  ""
)</f>
        <v>0.1688335220512022</v>
      </c>
      <c r="L25" s="90"/>
      <c r="M25" s="90"/>
    </row>
    <row r="26" spans="1:13" ht="17" x14ac:dyDescent="0.2">
      <c r="A26" s="37">
        <v>2005</v>
      </c>
      <c r="B26" s="38" t="s">
        <v>66</v>
      </c>
      <c r="C26" s="38" t="s">
        <v>4</v>
      </c>
      <c r="D26" s="38" t="s">
        <v>12</v>
      </c>
      <c r="E26" s="38" t="s">
        <v>67</v>
      </c>
      <c r="F26" s="38" t="s">
        <v>67</v>
      </c>
      <c r="G26" s="79">
        <f ca="1">IFERROR(__xludf.DUMMYFUNCTION("IFERROR(
  IF(A26 = 2008,
    IF(E26 = ""Online"",
      FILTER('Raw PhocalPoint Data'!G:G,
        'Raw PhocalPoint Data'!A:A = 2009,
        'Raw PhocalPoint Data'!D:D = D26,
        'Raw PhocalPoint Data'!E:E = E26,
        'Raw PhocalPoint Data'!F:F ="&amp;" F26
      ) /
      (
        FILTER('Raw PhocalPoint Data'!G:G,
          'Raw PhocalPoint Data'!A:A = 2012,
          'Raw PhocalPoint Data'!D:D = D26,
          'Raw PhocalPoint Data'!E:E = E26,
          'Raw PhocalPoint Data'!F:F = F26
        ) /
 "&amp;"       FILTER('Raw PhocalPoint Data'!G:G,
          'Raw PhocalPoint Data'!A:A = 2011,
          'Raw PhocalPoint Data'!D:D = D26,
          'Raw PhocalPoint Data'!E:E = E26,
          'Raw PhocalPoint Data'!F:F = F26
        )
      ),
      FILTER('Raw "&amp;"PhocalPoint Data'!G:G,
        'Raw PhocalPoint Data'!A:A = 2009,
        'Raw PhocalPoint Data'!D:D = D26,
        'Raw PhocalPoint Data'!E:E = E26,
        'Raw PhocalPoint Data'!F:F = F26
      ) *
      (
        INDEX('Raw GDP data'!$I$2:$M$100,
    "&amp;"      MATCH(D26, 'Raw GDP data'!$H$2:$H$100, 0),
          MATCH(2008, 'Raw GDP data'!$I$1:$M$1, 0)
        ) /
        INDEX('Raw GDP data'!$I$2:$M$100,
          MATCH(D26, 'Raw GDP data'!$H$2:$H$100, 0),
          MATCH(2009, 'Raw GDP data'!$I$1:$M$1, "&amp;"0)
        )
      )
    ),
  IF(A26 &lt; 2008,
    (
      FILTER(G:G,
        A:A = 2008,
        D:D = D26,
        E:E = E26,
        F:F = F26
      ) /
      PRODUCT(
        ARRAYFORMULA(
          (
            (
              FILTER('Raw PhocalPoint"&amp;" Data'!G:G,
                'Raw PhocalPoint Data'!A:A = 2012,
                'Raw PhocalPoint Data'!D:D = D26,
                'Raw PhocalPoint Data'!E:E = E26,
                'Raw PhocalPoint Data'!F:F = F26
              ) /
              FILTER('Raw"&amp;" PhocalPoint Data'!G:G,
                'Raw PhocalPoint Data'!A:A = 2011,
                'Raw PhocalPoint Data'!D:D = D26,
                'Raw PhocalPoint Data'!E:E = E26,
                'Raw PhocalPoint Data'!F:F = F26
              ) -
             "&amp;" ROW(INDIRECT(""1:"" &amp; (2008 - A26))) *
              (
                (
                  FILTER('Raw PhocalPoint Data'!G:G,
                    'Raw PhocalPoint Data'!A:A = 2012,
                    'Raw PhocalPoint Data'!D:D = D26,
                   "&amp;" 'Raw PhocalPoint Data'!E:E = E26,
                    'Raw PhocalPoint Data'!F:F = F26
                  ) /
                  FILTER('Raw PhocalPoint Data'!G:G,
                    'Raw PhocalPoint Data'!A:A = 2011,
                    'Raw PhocalPoint "&amp;"Data'!D:D = D26,
                    'Raw PhocalPoint Data'!E:E = E26,
                    'Raw PhocalPoint Data'!F:F = F26
                  ) - 1
                ) / 5
              )
            )
          )
        )
      )
    ),
    (
      FILTER"&amp;"('Raw PhocalPoint Data'!G:G,
        'Raw PhocalPoint Data'!A:A = 2009,
        'Raw PhocalPoint Data'!D:D = D26,
        'Raw PhocalPoint Data'!E:E = E26,
        'Raw PhocalPoint Data'!F:F = F26
      ) /
      PRODUCT(
        ARRAYFORMULA(
          ("&amp;"
            FILTER('Raw PhocalPoint Data'!G:G,
              'Raw PhocalPoint Data'!A:A = 2012,
              'Raw PhocalPoint Data'!D:D = D26,
              'Raw PhocalPoint Data'!E:E = E26,
              'Raw PhocalPoint Data'!F:F = F26
            ) /"&amp;"
            FILTER('Raw PhocalPoint Data'!G:G,
              'Raw PhocalPoint Data'!A:A = 2011,
              'Raw PhocalPoint Data'!D:D = D26,
              'Raw PhocalPoint Data'!E:E = E26,
              'Raw PhocalPoint Data'!F:F = F26
            ) -"&amp;"
            (ROW(INDIRECT(""1:"" &amp; (2010 - A26))) - 1) *
            (
              (
                FILTER('Raw PhocalPoint Data'!G:G,
                  'Raw PhocalPoint Data'!A:A = 2012,
                  'Raw PhocalPoint Data'!D:D = D26,
           "&amp;"       'Raw PhocalPoint Data'!E:E = E26,
                  'Raw PhocalPoint Data'!F:F = F26
                ) /
                FILTER('Raw PhocalPoint Data'!G:G,
                  'Raw PhocalPoint Data'!A:A = 2011,
                  'Raw PhocalPoint Data"&amp;"'!D:D = D26,
                  'Raw PhocalPoint Data'!E:E = E26,
                  'Raw PhocalPoint Data'!F:F = F26
                ) - 1
              ) / 5
            )
          )
        )
      )
    ) *
    INDEX('Raw GDP data'!$I$2:$M$100,
      M"&amp;"ATCH(D26, 'Raw GDP data'!$H$2:$H$100, 0),
      MATCH(A26, 'Raw GDP data'!$I$1:$M$1, 0)
    )
  )),
  """"
)
"),4685226151.55125)</f>
        <v>4685226151.5512505</v>
      </c>
      <c r="H26" s="80"/>
      <c r="I26" s="81">
        <f ca="1">IFERROR(__xludf.DUMMYFUNCTION("""COMPUTED_VALUE"""),2005)</f>
        <v>2005</v>
      </c>
      <c r="J26" s="82" t="str">
        <f ca="1">IFERROR(__xludf.DUMMYFUNCTION("""COMPUTED_VALUE"""),"Rest of Europe")</f>
        <v>Rest of Europe</v>
      </c>
      <c r="K26" s="83">
        <f ca="1">IFERROR(
  SUMIFS(
    'New Backfilled Data'!G:G,
    'New Backfilled Data'!A:A, I26,
    'New Backfilled Data'!D:D, J26,
    'New Backfilled Data'!E:E, "Online"
  ) /
  SUMIFS(
    'New Backfilled Data'!G:G,
    'New Backfilled Data'!A:A, I26,
    'New Backfilled Data'!D:D, J26
  ),
  ""
)</f>
        <v>0.16679041837549524</v>
      </c>
      <c r="L26" s="84"/>
      <c r="M26" s="84"/>
    </row>
    <row r="27" spans="1:13" ht="17" x14ac:dyDescent="0.2">
      <c r="A27" s="44">
        <v>2005</v>
      </c>
      <c r="B27" s="45" t="s">
        <v>66</v>
      </c>
      <c r="C27" s="45" t="s">
        <v>4</v>
      </c>
      <c r="D27" s="45" t="s">
        <v>12</v>
      </c>
      <c r="E27" s="45" t="s">
        <v>69</v>
      </c>
      <c r="F27" s="45" t="s">
        <v>71</v>
      </c>
      <c r="G27" s="85">
        <f ca="1">IFERROR(__xludf.DUMMYFUNCTION("IFERROR(
  IF(A27 = 2008,
    IF(E27 = ""Online"",
      FILTER('Raw PhocalPoint Data'!G:G,
        'Raw PhocalPoint Data'!A:A = 2009,
        'Raw PhocalPoint Data'!D:D = D27,
        'Raw PhocalPoint Data'!E:E = E27,
        'Raw PhocalPoint Data'!F:F ="&amp;" F27
      ) /
      (
        FILTER('Raw PhocalPoint Data'!G:G,
          'Raw PhocalPoint Data'!A:A = 2012,
          'Raw PhocalPoint Data'!D:D = D27,
          'Raw PhocalPoint Data'!E:E = E27,
          'Raw PhocalPoint Data'!F:F = F27
        ) /
 "&amp;"       FILTER('Raw PhocalPoint Data'!G:G,
          'Raw PhocalPoint Data'!A:A = 2011,
          'Raw PhocalPoint Data'!D:D = D27,
          'Raw PhocalPoint Data'!E:E = E27,
          'Raw PhocalPoint Data'!F:F = F27
        )
      ),
      FILTER('Raw "&amp;"PhocalPoint Data'!G:G,
        'Raw PhocalPoint Data'!A:A = 2009,
        'Raw PhocalPoint Data'!D:D = D27,
        'Raw PhocalPoint Data'!E:E = E27,
        'Raw PhocalPoint Data'!F:F = F27
      ) *
      (
        INDEX('Raw GDP data'!$I$2:$M$100,
    "&amp;"      MATCH(D27, 'Raw GDP data'!$H$2:$H$100, 0),
          MATCH(2008, 'Raw GDP data'!$I$1:$M$1, 0)
        ) /
        INDEX('Raw GDP data'!$I$2:$M$100,
          MATCH(D27, 'Raw GDP data'!$H$2:$H$100, 0),
          MATCH(2009, 'Raw GDP data'!$I$1:$M$1, "&amp;"0)
        )
      )
    ),
  IF(A27 &lt; 2008,
    (
      FILTER(G:G,
        A:A = 2008,
        D:D = D27,
        E:E = E27,
        F:F = F27
      ) /
      PRODUCT(
        ARRAYFORMULA(
          (
            (
              FILTER('Raw PhocalPoint"&amp;" Data'!G:G,
                'Raw PhocalPoint Data'!A:A = 2012,
                'Raw PhocalPoint Data'!D:D = D27,
                'Raw PhocalPoint Data'!E:E = E27,
                'Raw PhocalPoint Data'!F:F = F27
              ) /
              FILTER('Raw"&amp;" PhocalPoint Data'!G:G,
                'Raw PhocalPoint Data'!A:A = 2011,
                'Raw PhocalPoint Data'!D:D = D27,
                'Raw PhocalPoint Data'!E:E = E27,
                'Raw PhocalPoint Data'!F:F = F27
              ) -
             "&amp;" ROW(INDIRECT(""1:"" &amp; (2008 - A27))) *
              (
                (
                  FILTER('Raw PhocalPoint Data'!G:G,
                    'Raw PhocalPoint Data'!A:A = 2012,
                    'Raw PhocalPoint Data'!D:D = D27,
                   "&amp;" 'Raw PhocalPoint Data'!E:E = E27,
                    'Raw PhocalPoint Data'!F:F = F27
                  ) /
                  FILTER('Raw PhocalPoint Data'!G:G,
                    'Raw PhocalPoint Data'!A:A = 2011,
                    'Raw PhocalPoint "&amp;"Data'!D:D = D27,
                    'Raw PhocalPoint Data'!E:E = E27,
                    'Raw PhocalPoint Data'!F:F = F27
                  ) - 1
                ) / 5
              )
            )
          )
        )
      )
    ),
    (
      FILTER"&amp;"('Raw PhocalPoint Data'!G:G,
        'Raw PhocalPoint Data'!A:A = 2009,
        'Raw PhocalPoint Data'!D:D = D27,
        'Raw PhocalPoint Data'!E:E = E27,
        'Raw PhocalPoint Data'!F:F = F27
      ) /
      PRODUCT(
        ARRAYFORMULA(
          ("&amp;"
            FILTER('Raw PhocalPoint Data'!G:G,
              'Raw PhocalPoint Data'!A:A = 2012,
              'Raw PhocalPoint Data'!D:D = D27,
              'Raw PhocalPoint Data'!E:E = E27,
              'Raw PhocalPoint Data'!F:F = F27
            ) /"&amp;"
            FILTER('Raw PhocalPoint Data'!G:G,
              'Raw PhocalPoint Data'!A:A = 2011,
              'Raw PhocalPoint Data'!D:D = D27,
              'Raw PhocalPoint Data'!E:E = E27,
              'Raw PhocalPoint Data'!F:F = F27
            ) -"&amp;"
            (ROW(INDIRECT(""1:"" &amp; (2010 - A27))) - 1) *
            (
              (
                FILTER('Raw PhocalPoint Data'!G:G,
                  'Raw PhocalPoint Data'!A:A = 2012,
                  'Raw PhocalPoint Data'!D:D = D27,
           "&amp;"       'Raw PhocalPoint Data'!E:E = E27,
                  'Raw PhocalPoint Data'!F:F = F27
                ) /
                FILTER('Raw PhocalPoint Data'!G:G,
                  'Raw PhocalPoint Data'!A:A = 2011,
                  'Raw PhocalPoint Data"&amp;"'!D:D = D27,
                  'Raw PhocalPoint Data'!E:E = E27,
                  'Raw PhocalPoint Data'!F:F = F27
                ) - 1
              ) / 5
            )
          )
        )
      )
    ) *
    INDEX('Raw GDP data'!$I$2:$M$100,
      M"&amp;"ATCH(D27, 'Raw GDP data'!$H$2:$H$100, 0),
      MATCH(A27, 'Raw GDP data'!$I$1:$M$1, 0)
    )
  )),
  """"
)
"),94438903.0511237)</f>
        <v>94438903.051123694</v>
      </c>
      <c r="H27" s="86"/>
      <c r="I27" s="87">
        <f ca="1">IFERROR(__xludf.DUMMYFUNCTION("""COMPUTED_VALUE"""),2005)</f>
        <v>2005</v>
      </c>
      <c r="J27" s="88" t="str">
        <f ca="1">IFERROR(__xludf.DUMMYFUNCTION("""COMPUTED_VALUE"""),"Scandinavia")</f>
        <v>Scandinavia</v>
      </c>
      <c r="K27" s="89">
        <f ca="1">IFERROR(
  SUMIFS(
    'New Backfilled Data'!G:G,
    'New Backfilled Data'!A:A, I27,
    'New Backfilled Data'!D:D, J27,
    'New Backfilled Data'!E:E, "Online"
  ) /
  SUMIFS(
    'New Backfilled Data'!G:G,
    'New Backfilled Data'!A:A, I27,
    'New Backfilled Data'!D:D, J27
  ),
  ""
)</f>
        <v>0.2776845703192205</v>
      </c>
      <c r="L27" s="90"/>
      <c r="M27" s="90"/>
    </row>
    <row r="28" spans="1:13" ht="17" x14ac:dyDescent="0.2">
      <c r="A28" s="37">
        <v>2005</v>
      </c>
      <c r="B28" s="38" t="s">
        <v>66</v>
      </c>
      <c r="C28" s="38" t="s">
        <v>4</v>
      </c>
      <c r="D28" s="38" t="s">
        <v>12</v>
      </c>
      <c r="E28" s="38" t="s">
        <v>69</v>
      </c>
      <c r="F28" s="38" t="s">
        <v>70</v>
      </c>
      <c r="G28" s="79">
        <f ca="1">IFERROR(__xludf.DUMMYFUNCTION("IFERROR(
  IF(A28 = 2008,
    IF(E28 = ""Online"",
      FILTER('Raw PhocalPoint Data'!G:G,
        'Raw PhocalPoint Data'!A:A = 2009,
        'Raw PhocalPoint Data'!D:D = D28,
        'Raw PhocalPoint Data'!E:E = E28,
        'Raw PhocalPoint Data'!F:F ="&amp;" F28
      ) /
      (
        FILTER('Raw PhocalPoint Data'!G:G,
          'Raw PhocalPoint Data'!A:A = 2012,
          'Raw PhocalPoint Data'!D:D = D28,
          'Raw PhocalPoint Data'!E:E = E28,
          'Raw PhocalPoint Data'!F:F = F28
        ) /
 "&amp;"       FILTER('Raw PhocalPoint Data'!G:G,
          'Raw PhocalPoint Data'!A:A = 2011,
          'Raw PhocalPoint Data'!D:D = D28,
          'Raw PhocalPoint Data'!E:E = E28,
          'Raw PhocalPoint Data'!F:F = F28
        )
      ),
      FILTER('Raw "&amp;"PhocalPoint Data'!G:G,
        'Raw PhocalPoint Data'!A:A = 2009,
        'Raw PhocalPoint Data'!D:D = D28,
        'Raw PhocalPoint Data'!E:E = E28,
        'Raw PhocalPoint Data'!F:F = F28
      ) *
      (
        INDEX('Raw GDP data'!$I$2:$M$100,
    "&amp;"      MATCH(D28, 'Raw GDP data'!$H$2:$H$100, 0),
          MATCH(2008, 'Raw GDP data'!$I$1:$M$1, 0)
        ) /
        INDEX('Raw GDP data'!$I$2:$M$100,
          MATCH(D28, 'Raw GDP data'!$H$2:$H$100, 0),
          MATCH(2009, 'Raw GDP data'!$I$1:$M$1, "&amp;"0)
        )
      )
    ),
  IF(A28 &lt; 2008,
    (
      FILTER(G:G,
        A:A = 2008,
        D:D = D28,
        E:E = E28,
        F:F = F28
      ) /
      PRODUCT(
        ARRAYFORMULA(
          (
            (
              FILTER('Raw PhocalPoint"&amp;" Data'!G:G,
                'Raw PhocalPoint Data'!A:A = 2012,
                'Raw PhocalPoint Data'!D:D = D28,
                'Raw PhocalPoint Data'!E:E = E28,
                'Raw PhocalPoint Data'!F:F = F28
              ) /
              FILTER('Raw"&amp;" PhocalPoint Data'!G:G,
                'Raw PhocalPoint Data'!A:A = 2011,
                'Raw PhocalPoint Data'!D:D = D28,
                'Raw PhocalPoint Data'!E:E = E28,
                'Raw PhocalPoint Data'!F:F = F28
              ) -
             "&amp;" ROW(INDIRECT(""1:"" &amp; (2008 - A28))) *
              (
                (
                  FILTER('Raw PhocalPoint Data'!G:G,
                    'Raw PhocalPoint Data'!A:A = 2012,
                    'Raw PhocalPoint Data'!D:D = D28,
                   "&amp;" 'Raw PhocalPoint Data'!E:E = E28,
                    'Raw PhocalPoint Data'!F:F = F28
                  ) /
                  FILTER('Raw PhocalPoint Data'!G:G,
                    'Raw PhocalPoint Data'!A:A = 2011,
                    'Raw PhocalPoint "&amp;"Data'!D:D = D28,
                    'Raw PhocalPoint Data'!E:E = E28,
                    'Raw PhocalPoint Data'!F:F = F28
                  ) - 1
                ) / 5
              )
            )
          )
        )
      )
    ),
    (
      FILTER"&amp;"('Raw PhocalPoint Data'!G:G,
        'Raw PhocalPoint Data'!A:A = 2009,
        'Raw PhocalPoint Data'!D:D = D28,
        'Raw PhocalPoint Data'!E:E = E28,
        'Raw PhocalPoint Data'!F:F = F28
      ) /
      PRODUCT(
        ARRAYFORMULA(
          ("&amp;"
            FILTER('Raw PhocalPoint Data'!G:G,
              'Raw PhocalPoint Data'!A:A = 2012,
              'Raw PhocalPoint Data'!D:D = D28,
              'Raw PhocalPoint Data'!E:E = E28,
              'Raw PhocalPoint Data'!F:F = F28
            ) /"&amp;"
            FILTER('Raw PhocalPoint Data'!G:G,
              'Raw PhocalPoint Data'!A:A = 2011,
              'Raw PhocalPoint Data'!D:D = D28,
              'Raw PhocalPoint Data'!E:E = E28,
              'Raw PhocalPoint Data'!F:F = F28
            ) -"&amp;"
            (ROW(INDIRECT(""1:"" &amp; (2010 - A28))) - 1) *
            (
              (
                FILTER('Raw PhocalPoint Data'!G:G,
                  'Raw PhocalPoint Data'!A:A = 2012,
                  'Raw PhocalPoint Data'!D:D = D28,
           "&amp;"       'Raw PhocalPoint Data'!E:E = E28,
                  'Raw PhocalPoint Data'!F:F = F28
                ) /
                FILTER('Raw PhocalPoint Data'!G:G,
                  'Raw PhocalPoint Data'!A:A = 2011,
                  'Raw PhocalPoint Data"&amp;"'!D:D = D28,
                  'Raw PhocalPoint Data'!E:E = E28,
                  'Raw PhocalPoint Data'!F:F = F28
                ) - 1
              ) / 5
            )
          )
        )
      )
    ) *
    INDEX('Raw GDP data'!$I$2:$M$100,
      M"&amp;"ATCH(D28, 'Raw GDP data'!$H$2:$H$100, 0),
      MATCH(A28, 'Raw GDP data'!$I$1:$M$1, 0)
    )
  )),
  """"
)
"),972231733.91677)</f>
        <v>972231733.91676998</v>
      </c>
      <c r="H28" s="80"/>
      <c r="I28" s="81">
        <f ca="1">IFERROR(__xludf.DUMMYFUNCTION("""COMPUTED_VALUE"""),2005)</f>
        <v>2005</v>
      </c>
      <c r="J28" s="82" t="str">
        <f ca="1">IFERROR(__xludf.DUMMYFUNCTION("""COMPUTED_VALUE"""),"Spain")</f>
        <v>Spain</v>
      </c>
      <c r="K28" s="83">
        <f ca="1">IFERROR(
  SUMIFS(
    'New Backfilled Data'!G:G,
    'New Backfilled Data'!A:A, I28,
    'New Backfilled Data'!D:D, J28,
    'New Backfilled Data'!E:E, "Online"
  ) /
  SUMIFS(
    'New Backfilled Data'!G:G,
    'New Backfilled Data'!A:A, I28,
    'New Backfilled Data'!D:D, J28
  ),
  ""
)</f>
        <v>0.13175770301481421</v>
      </c>
      <c r="L28" s="84"/>
      <c r="M28" s="84"/>
    </row>
    <row r="29" spans="1:13" ht="17" x14ac:dyDescent="0.2">
      <c r="A29" s="44">
        <v>2005</v>
      </c>
      <c r="B29" s="45" t="s">
        <v>66</v>
      </c>
      <c r="C29" s="45" t="s">
        <v>4</v>
      </c>
      <c r="D29" s="45" t="s">
        <v>13</v>
      </c>
      <c r="E29" s="45" t="s">
        <v>67</v>
      </c>
      <c r="F29" s="45" t="s">
        <v>67</v>
      </c>
      <c r="G29" s="85">
        <f ca="1">IFERROR(__xludf.DUMMYFUNCTION("IFERROR(
  IF(A29 = 2008,
    IF(E29 = ""Online"",
      FILTER('Raw PhocalPoint Data'!G:G,
        'Raw PhocalPoint Data'!A:A = 2009,
        'Raw PhocalPoint Data'!D:D = D29,
        'Raw PhocalPoint Data'!E:E = E29,
        'Raw PhocalPoint Data'!F:F ="&amp;" F29
      ) /
      (
        FILTER('Raw PhocalPoint Data'!G:G,
          'Raw PhocalPoint Data'!A:A = 2012,
          'Raw PhocalPoint Data'!D:D = D29,
          'Raw PhocalPoint Data'!E:E = E29,
          'Raw PhocalPoint Data'!F:F = F29
        ) /
 "&amp;"       FILTER('Raw PhocalPoint Data'!G:G,
          'Raw PhocalPoint Data'!A:A = 2011,
          'Raw PhocalPoint Data'!D:D = D29,
          'Raw PhocalPoint Data'!E:E = E29,
          'Raw PhocalPoint Data'!F:F = F29
        )
      ),
      FILTER('Raw "&amp;"PhocalPoint Data'!G:G,
        'Raw PhocalPoint Data'!A:A = 2009,
        'Raw PhocalPoint Data'!D:D = D29,
        'Raw PhocalPoint Data'!E:E = E29,
        'Raw PhocalPoint Data'!F:F = F29
      ) *
      (
        INDEX('Raw GDP data'!$I$2:$M$100,
    "&amp;"      MATCH(D29, 'Raw GDP data'!$H$2:$H$100, 0),
          MATCH(2008, 'Raw GDP data'!$I$1:$M$1, 0)
        ) /
        INDEX('Raw GDP data'!$I$2:$M$100,
          MATCH(D29, 'Raw GDP data'!$H$2:$H$100, 0),
          MATCH(2009, 'Raw GDP data'!$I$1:$M$1, "&amp;"0)
        )
      )
    ),
  IF(A29 &lt; 2008,
    (
      FILTER(G:G,
        A:A = 2008,
        D:D = D29,
        E:E = E29,
        F:F = F29
      ) /
      PRODUCT(
        ARRAYFORMULA(
          (
            (
              FILTER('Raw PhocalPoint"&amp;" Data'!G:G,
                'Raw PhocalPoint Data'!A:A = 2012,
                'Raw PhocalPoint Data'!D:D = D29,
                'Raw PhocalPoint Data'!E:E = E29,
                'Raw PhocalPoint Data'!F:F = F29
              ) /
              FILTER('Raw"&amp;" PhocalPoint Data'!G:G,
                'Raw PhocalPoint Data'!A:A = 2011,
                'Raw PhocalPoint Data'!D:D = D29,
                'Raw PhocalPoint Data'!E:E = E29,
                'Raw PhocalPoint Data'!F:F = F29
              ) -
             "&amp;" ROW(INDIRECT(""1:"" &amp; (2008 - A29))) *
              (
                (
                  FILTER('Raw PhocalPoint Data'!G:G,
                    'Raw PhocalPoint Data'!A:A = 2012,
                    'Raw PhocalPoint Data'!D:D = D29,
                   "&amp;" 'Raw PhocalPoint Data'!E:E = E29,
                    'Raw PhocalPoint Data'!F:F = F29
                  ) /
                  FILTER('Raw PhocalPoint Data'!G:G,
                    'Raw PhocalPoint Data'!A:A = 2011,
                    'Raw PhocalPoint "&amp;"Data'!D:D = D29,
                    'Raw PhocalPoint Data'!E:E = E29,
                    'Raw PhocalPoint Data'!F:F = F29
                  ) - 1
                ) / 5
              )
            )
          )
        )
      )
    ),
    (
      FILTER"&amp;"('Raw PhocalPoint Data'!G:G,
        'Raw PhocalPoint Data'!A:A = 2009,
        'Raw PhocalPoint Data'!D:D = D29,
        'Raw PhocalPoint Data'!E:E = E29,
        'Raw PhocalPoint Data'!F:F = F29
      ) /
      PRODUCT(
        ARRAYFORMULA(
          ("&amp;"
            FILTER('Raw PhocalPoint Data'!G:G,
              'Raw PhocalPoint Data'!A:A = 2012,
              'Raw PhocalPoint Data'!D:D = D29,
              'Raw PhocalPoint Data'!E:E = E29,
              'Raw PhocalPoint Data'!F:F = F29
            ) /"&amp;"
            FILTER('Raw PhocalPoint Data'!G:G,
              'Raw PhocalPoint Data'!A:A = 2011,
              'Raw PhocalPoint Data'!D:D = D29,
              'Raw PhocalPoint Data'!E:E = E29,
              'Raw PhocalPoint Data'!F:F = F29
            ) -"&amp;"
            (ROW(INDIRECT(""1:"" &amp; (2010 - A29))) - 1) *
            (
              (
                FILTER('Raw PhocalPoint Data'!G:G,
                  'Raw PhocalPoint Data'!A:A = 2012,
                  'Raw PhocalPoint Data'!D:D = D29,
           "&amp;"       'Raw PhocalPoint Data'!E:E = E29,
                  'Raw PhocalPoint Data'!F:F = F29
                ) /
                FILTER('Raw PhocalPoint Data'!G:G,
                  'Raw PhocalPoint Data'!A:A = 2011,
                  'Raw PhocalPoint Data"&amp;"'!D:D = D29,
                  'Raw PhocalPoint Data'!E:E = E29,
                  'Raw PhocalPoint Data'!F:F = F29
                ) - 1
              ) / 5
            )
          )
        )
      )
    ) *
    INDEX('Raw GDP data'!$I$2:$M$100,
      M"&amp;"ATCH(D29, 'Raw GDP data'!$H$2:$H$100, 0),
      MATCH(A29, 'Raw GDP data'!$I$1:$M$1, 0)
    )
  )),
  """"
)
"),10295992892.9229)</f>
        <v>10295992892.922899</v>
      </c>
      <c r="H29" s="86"/>
      <c r="I29" s="87">
        <f ca="1">IFERROR(__xludf.DUMMYFUNCTION("""COMPUTED_VALUE"""),2005)</f>
        <v>2005</v>
      </c>
      <c r="J29" s="88" t="str">
        <f ca="1">IFERROR(__xludf.DUMMYFUNCTION("""COMPUTED_VALUE"""),"U.K.")</f>
        <v>U.K.</v>
      </c>
      <c r="K29" s="89">
        <f ca="1">IFERROR(
  SUMIFS(
    'New Backfilled Data'!G:G,
    'New Backfilled Data'!A:A, I29,
    'New Backfilled Data'!D:D, J29,
    'New Backfilled Data'!E:E, "Online"
  ) /
  SUMIFS(
    'New Backfilled Data'!G:G,
    'New Backfilled Data'!A:A, I29,
    'New Backfilled Data'!D:D, J29
  ),
  ""
)</f>
        <v>0.29767684467025535</v>
      </c>
      <c r="L29" s="90"/>
      <c r="M29" s="90"/>
    </row>
    <row r="30" spans="1:13" ht="17" x14ac:dyDescent="0.2">
      <c r="A30" s="37">
        <v>2005</v>
      </c>
      <c r="B30" s="38" t="s">
        <v>66</v>
      </c>
      <c r="C30" s="38" t="s">
        <v>4</v>
      </c>
      <c r="D30" s="38" t="s">
        <v>13</v>
      </c>
      <c r="E30" s="38" t="s">
        <v>69</v>
      </c>
      <c r="F30" s="38" t="s">
        <v>71</v>
      </c>
      <c r="G30" s="79">
        <f ca="1">IFERROR(__xludf.DUMMYFUNCTION("IFERROR(
  IF(A30 = 2008,
    IF(E30 = ""Online"",
      FILTER('Raw PhocalPoint Data'!G:G,
        'Raw PhocalPoint Data'!A:A = 2009,
        'Raw PhocalPoint Data'!D:D = D30,
        'Raw PhocalPoint Data'!E:E = E30,
        'Raw PhocalPoint Data'!F:F ="&amp;" F30
      ) /
      (
        FILTER('Raw PhocalPoint Data'!G:G,
          'Raw PhocalPoint Data'!A:A = 2012,
          'Raw PhocalPoint Data'!D:D = D30,
          'Raw PhocalPoint Data'!E:E = E30,
          'Raw PhocalPoint Data'!F:F = F30
        ) /
 "&amp;"       FILTER('Raw PhocalPoint Data'!G:G,
          'Raw PhocalPoint Data'!A:A = 2011,
          'Raw PhocalPoint Data'!D:D = D30,
          'Raw PhocalPoint Data'!E:E = E30,
          'Raw PhocalPoint Data'!F:F = F30
        )
      ),
      FILTER('Raw "&amp;"PhocalPoint Data'!G:G,
        'Raw PhocalPoint Data'!A:A = 2009,
        'Raw PhocalPoint Data'!D:D = D30,
        'Raw PhocalPoint Data'!E:E = E30,
        'Raw PhocalPoint Data'!F:F = F30
      ) *
      (
        INDEX('Raw GDP data'!$I$2:$M$100,
    "&amp;"      MATCH(D30, 'Raw GDP data'!$H$2:$H$100, 0),
          MATCH(2008, 'Raw GDP data'!$I$1:$M$1, 0)
        ) /
        INDEX('Raw GDP data'!$I$2:$M$100,
          MATCH(D30, 'Raw GDP data'!$H$2:$H$100, 0),
          MATCH(2009, 'Raw GDP data'!$I$1:$M$1, "&amp;"0)
        )
      )
    ),
  IF(A30 &lt; 2008,
    (
      FILTER(G:G,
        A:A = 2008,
        D:D = D30,
        E:E = E30,
        F:F = F30
      ) /
      PRODUCT(
        ARRAYFORMULA(
          (
            (
              FILTER('Raw PhocalPoint"&amp;" Data'!G:G,
                'Raw PhocalPoint Data'!A:A = 2012,
                'Raw PhocalPoint Data'!D:D = D30,
                'Raw PhocalPoint Data'!E:E = E30,
                'Raw PhocalPoint Data'!F:F = F30
              ) /
              FILTER('Raw"&amp;" PhocalPoint Data'!G:G,
                'Raw PhocalPoint Data'!A:A = 2011,
                'Raw PhocalPoint Data'!D:D = D30,
                'Raw PhocalPoint Data'!E:E = E30,
                'Raw PhocalPoint Data'!F:F = F30
              ) -
             "&amp;" ROW(INDIRECT(""1:"" &amp; (2008 - A30))) *
              (
                (
                  FILTER('Raw PhocalPoint Data'!G:G,
                    'Raw PhocalPoint Data'!A:A = 2012,
                    'Raw PhocalPoint Data'!D:D = D30,
                   "&amp;" 'Raw PhocalPoint Data'!E:E = E30,
                    'Raw PhocalPoint Data'!F:F = F30
                  ) /
                  FILTER('Raw PhocalPoint Data'!G:G,
                    'Raw PhocalPoint Data'!A:A = 2011,
                    'Raw PhocalPoint "&amp;"Data'!D:D = D30,
                    'Raw PhocalPoint Data'!E:E = E30,
                    'Raw PhocalPoint Data'!F:F = F30
                  ) - 1
                ) / 5
              )
            )
          )
        )
      )
    ),
    (
      FILTER"&amp;"('Raw PhocalPoint Data'!G:G,
        'Raw PhocalPoint Data'!A:A = 2009,
        'Raw PhocalPoint Data'!D:D = D30,
        'Raw PhocalPoint Data'!E:E = E30,
        'Raw PhocalPoint Data'!F:F = F30
      ) /
      PRODUCT(
        ARRAYFORMULA(
          ("&amp;"
            FILTER('Raw PhocalPoint Data'!G:G,
              'Raw PhocalPoint Data'!A:A = 2012,
              'Raw PhocalPoint Data'!D:D = D30,
              'Raw PhocalPoint Data'!E:E = E30,
              'Raw PhocalPoint Data'!F:F = F30
            ) /"&amp;"
            FILTER('Raw PhocalPoint Data'!G:G,
              'Raw PhocalPoint Data'!A:A = 2011,
              'Raw PhocalPoint Data'!D:D = D30,
              'Raw PhocalPoint Data'!E:E = E30,
              'Raw PhocalPoint Data'!F:F = F30
            ) -"&amp;"
            (ROW(INDIRECT(""1:"" &amp; (2010 - A30))) - 1) *
            (
              (
                FILTER('Raw PhocalPoint Data'!G:G,
                  'Raw PhocalPoint Data'!A:A = 2012,
                  'Raw PhocalPoint Data'!D:D = D30,
           "&amp;"       'Raw PhocalPoint Data'!E:E = E30,
                  'Raw PhocalPoint Data'!F:F = F30
                ) /
                FILTER('Raw PhocalPoint Data'!G:G,
                  'Raw PhocalPoint Data'!A:A = 2011,
                  'Raw PhocalPoint Data"&amp;"'!D:D = D30,
                  'Raw PhocalPoint Data'!E:E = E30,
                  'Raw PhocalPoint Data'!F:F = F30
                ) - 1
              ) / 5
            )
          )
        )
      )
    ) *
    INDEX('Raw GDP data'!$I$2:$M$100,
      M"&amp;"ATCH(D30, 'Raw GDP data'!$H$2:$H$100, 0),
      MATCH(A30, 'Raw GDP data'!$I$1:$M$1, 0)
    )
  )),
  """"
)
"),9210574.83861781)</f>
        <v>9210574.8386178091</v>
      </c>
      <c r="H30" s="80"/>
      <c r="I30" s="81">
        <f ca="1">IFERROR(__xludf.DUMMYFUNCTION("""COMPUTED_VALUE"""),2005)</f>
        <v>2005</v>
      </c>
      <c r="J30" s="82" t="str">
        <f ca="1">IFERROR(__xludf.DUMMYFUNCTION("""COMPUTED_VALUE"""),"Argentina")</f>
        <v>Argentina</v>
      </c>
      <c r="K30" s="83">
        <f ca="1">IFERROR(
  SUMIFS(
    'New Backfilled Data'!G:G,
    'New Backfilled Data'!A:A, I30,
    'New Backfilled Data'!D:D, J30,
    'New Backfilled Data'!E:E, "Online"
  ) /
  SUMIFS(
    'New Backfilled Data'!G:G,
    'New Backfilled Data'!A:A, I30,
    'New Backfilled Data'!D:D, J30
  ),
  ""
)</f>
        <v>1.902920308038605E-2</v>
      </c>
      <c r="L30" s="84"/>
      <c r="M30" s="84"/>
    </row>
    <row r="31" spans="1:13" ht="17" x14ac:dyDescent="0.2">
      <c r="A31" s="44">
        <v>2005</v>
      </c>
      <c r="B31" s="45" t="s">
        <v>66</v>
      </c>
      <c r="C31" s="45" t="s">
        <v>4</v>
      </c>
      <c r="D31" s="45" t="s">
        <v>13</v>
      </c>
      <c r="E31" s="45" t="s">
        <v>69</v>
      </c>
      <c r="F31" s="45" t="s">
        <v>70</v>
      </c>
      <c r="G31" s="85">
        <f ca="1">IFERROR(__xludf.DUMMYFUNCTION("IFERROR(
  IF(A31 = 2008,
    IF(E31 = ""Online"",
      FILTER('Raw PhocalPoint Data'!G:G,
        'Raw PhocalPoint Data'!A:A = 2009,
        'Raw PhocalPoint Data'!D:D = D31,
        'Raw PhocalPoint Data'!E:E = E31,
        'Raw PhocalPoint Data'!F:F ="&amp;" F31
      ) /
      (
        FILTER('Raw PhocalPoint Data'!G:G,
          'Raw PhocalPoint Data'!A:A = 2012,
          'Raw PhocalPoint Data'!D:D = D31,
          'Raw PhocalPoint Data'!E:E = E31,
          'Raw PhocalPoint Data'!F:F = F31
        ) /
 "&amp;"       FILTER('Raw PhocalPoint Data'!G:G,
          'Raw PhocalPoint Data'!A:A = 2011,
          'Raw PhocalPoint Data'!D:D = D31,
          'Raw PhocalPoint Data'!E:E = E31,
          'Raw PhocalPoint Data'!F:F = F31
        )
      ),
      FILTER('Raw "&amp;"PhocalPoint Data'!G:G,
        'Raw PhocalPoint Data'!A:A = 2009,
        'Raw PhocalPoint Data'!D:D = D31,
        'Raw PhocalPoint Data'!E:E = E31,
        'Raw PhocalPoint Data'!F:F = F31
      ) *
      (
        INDEX('Raw GDP data'!$I$2:$M$100,
    "&amp;"      MATCH(D31, 'Raw GDP data'!$H$2:$H$100, 0),
          MATCH(2008, 'Raw GDP data'!$I$1:$M$1, 0)
        ) /
        INDEX('Raw GDP data'!$I$2:$M$100,
          MATCH(D31, 'Raw GDP data'!$H$2:$H$100, 0),
          MATCH(2009, 'Raw GDP data'!$I$1:$M$1, "&amp;"0)
        )
      )
    ),
  IF(A31 &lt; 2008,
    (
      FILTER(G:G,
        A:A = 2008,
        D:D = D31,
        E:E = E31,
        F:F = F31
      ) /
      PRODUCT(
        ARRAYFORMULA(
          (
            (
              FILTER('Raw PhocalPoint"&amp;" Data'!G:G,
                'Raw PhocalPoint Data'!A:A = 2012,
                'Raw PhocalPoint Data'!D:D = D31,
                'Raw PhocalPoint Data'!E:E = E31,
                'Raw PhocalPoint Data'!F:F = F31
              ) /
              FILTER('Raw"&amp;" PhocalPoint Data'!G:G,
                'Raw PhocalPoint Data'!A:A = 2011,
                'Raw PhocalPoint Data'!D:D = D31,
                'Raw PhocalPoint Data'!E:E = E31,
                'Raw PhocalPoint Data'!F:F = F31
              ) -
             "&amp;" ROW(INDIRECT(""1:"" &amp; (2008 - A31))) *
              (
                (
                  FILTER('Raw PhocalPoint Data'!G:G,
                    'Raw PhocalPoint Data'!A:A = 2012,
                    'Raw PhocalPoint Data'!D:D = D31,
                   "&amp;" 'Raw PhocalPoint Data'!E:E = E31,
                    'Raw PhocalPoint Data'!F:F = F31
                  ) /
                  FILTER('Raw PhocalPoint Data'!G:G,
                    'Raw PhocalPoint Data'!A:A = 2011,
                    'Raw PhocalPoint "&amp;"Data'!D:D = D31,
                    'Raw PhocalPoint Data'!E:E = E31,
                    'Raw PhocalPoint Data'!F:F = F31
                  ) - 1
                ) / 5
              )
            )
          )
        )
      )
    ),
    (
      FILTER"&amp;"('Raw PhocalPoint Data'!G:G,
        'Raw PhocalPoint Data'!A:A = 2009,
        'Raw PhocalPoint Data'!D:D = D31,
        'Raw PhocalPoint Data'!E:E = E31,
        'Raw PhocalPoint Data'!F:F = F31
      ) /
      PRODUCT(
        ARRAYFORMULA(
          ("&amp;"
            FILTER('Raw PhocalPoint Data'!G:G,
              'Raw PhocalPoint Data'!A:A = 2012,
              'Raw PhocalPoint Data'!D:D = D31,
              'Raw PhocalPoint Data'!E:E = E31,
              'Raw PhocalPoint Data'!F:F = F31
            ) /"&amp;"
            FILTER('Raw PhocalPoint Data'!G:G,
              'Raw PhocalPoint Data'!A:A = 2011,
              'Raw PhocalPoint Data'!D:D = D31,
              'Raw PhocalPoint Data'!E:E = E31,
              'Raw PhocalPoint Data'!F:F = F31
            ) -"&amp;"
            (ROW(INDIRECT(""1:"" &amp; (2010 - A31))) - 1) *
            (
              (
                FILTER('Raw PhocalPoint Data'!G:G,
                  'Raw PhocalPoint Data'!A:A = 2012,
                  'Raw PhocalPoint Data'!D:D = D31,
           "&amp;"       'Raw PhocalPoint Data'!E:E = E31,
                  'Raw PhocalPoint Data'!F:F = F31
                ) /
                FILTER('Raw PhocalPoint Data'!G:G,
                  'Raw PhocalPoint Data'!A:A = 2011,
                  'Raw PhocalPoint Data"&amp;"'!D:D = D31,
                  'Raw PhocalPoint Data'!E:E = E31,
                  'Raw PhocalPoint Data'!F:F = F31
                ) - 1
              ) / 5
            )
          )
        )
      )
    ) *
    INDEX('Raw GDP data'!$I$2:$M$100,
      M"&amp;"ATCH(D31, 'Raw GDP data'!$H$2:$H$100, 0),
      MATCH(A31, 'Raw GDP data'!$I$1:$M$1, 0)
    )
  )),
  """"
)
"),470813202.625389)</f>
        <v>470813202.62538898</v>
      </c>
      <c r="H31" s="86"/>
      <c r="I31" s="87">
        <f ca="1">IFERROR(__xludf.DUMMYFUNCTION("""COMPUTED_VALUE"""),2005)</f>
        <v>2005</v>
      </c>
      <c r="J31" s="88" t="str">
        <f ca="1">IFERROR(__xludf.DUMMYFUNCTION("""COMPUTED_VALUE"""),"Brazil")</f>
        <v>Brazil</v>
      </c>
      <c r="K31" s="89">
        <f ca="1">IFERROR(
  SUMIFS(
    'New Backfilled Data'!G:G,
    'New Backfilled Data'!A:A, I31,
    'New Backfilled Data'!D:D, J31,
    'New Backfilled Data'!E:E, "Online"
  ) /
  SUMIFS(
    'New Backfilled Data'!G:G,
    'New Backfilled Data'!A:A, I31,
    'New Backfilled Data'!D:D, J31
  ),
  ""
)</f>
        <v>5.1851871342469456E-2</v>
      </c>
      <c r="L31" s="90"/>
      <c r="M31" s="90"/>
    </row>
    <row r="32" spans="1:13" ht="17" x14ac:dyDescent="0.2">
      <c r="A32" s="37">
        <v>2005</v>
      </c>
      <c r="B32" s="38" t="s">
        <v>66</v>
      </c>
      <c r="C32" s="38" t="s">
        <v>4</v>
      </c>
      <c r="D32" s="38" t="s">
        <v>14</v>
      </c>
      <c r="E32" s="38" t="s">
        <v>67</v>
      </c>
      <c r="F32" s="38" t="s">
        <v>67</v>
      </c>
      <c r="G32" s="79">
        <f ca="1">IFERROR(__xludf.DUMMYFUNCTION("IFERROR(
  IF(A32 = 2008,
    IF(E32 = ""Online"",
      FILTER('Raw PhocalPoint Data'!G:G,
        'Raw PhocalPoint Data'!A:A = 2009,
        'Raw PhocalPoint Data'!D:D = D32,
        'Raw PhocalPoint Data'!E:E = E32,
        'Raw PhocalPoint Data'!F:F ="&amp;" F32
      ) /
      (
        FILTER('Raw PhocalPoint Data'!G:G,
          'Raw PhocalPoint Data'!A:A = 2012,
          'Raw PhocalPoint Data'!D:D = D32,
          'Raw PhocalPoint Data'!E:E = E32,
          'Raw PhocalPoint Data'!F:F = F32
        ) /
 "&amp;"       FILTER('Raw PhocalPoint Data'!G:G,
          'Raw PhocalPoint Data'!A:A = 2011,
          'Raw PhocalPoint Data'!D:D = D32,
          'Raw PhocalPoint Data'!E:E = E32,
          'Raw PhocalPoint Data'!F:F = F32
        )
      ),
      FILTER('Raw "&amp;"PhocalPoint Data'!G:G,
        'Raw PhocalPoint Data'!A:A = 2009,
        'Raw PhocalPoint Data'!D:D = D32,
        'Raw PhocalPoint Data'!E:E = E32,
        'Raw PhocalPoint Data'!F:F = F32
      ) *
      (
        INDEX('Raw GDP data'!$I$2:$M$100,
    "&amp;"      MATCH(D32, 'Raw GDP data'!$H$2:$H$100, 0),
          MATCH(2008, 'Raw GDP data'!$I$1:$M$1, 0)
        ) /
        INDEX('Raw GDP data'!$I$2:$M$100,
          MATCH(D32, 'Raw GDP data'!$H$2:$H$100, 0),
          MATCH(2009, 'Raw GDP data'!$I$1:$M$1, "&amp;"0)
        )
      )
    ),
  IF(A32 &lt; 2008,
    (
      FILTER(G:G,
        A:A = 2008,
        D:D = D32,
        E:E = E32,
        F:F = F32
      ) /
      PRODUCT(
        ARRAYFORMULA(
          (
            (
              FILTER('Raw PhocalPoint"&amp;" Data'!G:G,
                'Raw PhocalPoint Data'!A:A = 2012,
                'Raw PhocalPoint Data'!D:D = D32,
                'Raw PhocalPoint Data'!E:E = E32,
                'Raw PhocalPoint Data'!F:F = F32
              ) /
              FILTER('Raw"&amp;" PhocalPoint Data'!G:G,
                'Raw PhocalPoint Data'!A:A = 2011,
                'Raw PhocalPoint Data'!D:D = D32,
                'Raw PhocalPoint Data'!E:E = E32,
                'Raw PhocalPoint Data'!F:F = F32
              ) -
             "&amp;" ROW(INDIRECT(""1:"" &amp; (2008 - A32))) *
              (
                (
                  FILTER('Raw PhocalPoint Data'!G:G,
                    'Raw PhocalPoint Data'!A:A = 2012,
                    'Raw PhocalPoint Data'!D:D = D32,
                   "&amp;" 'Raw PhocalPoint Data'!E:E = E32,
                    'Raw PhocalPoint Data'!F:F = F32
                  ) /
                  FILTER('Raw PhocalPoint Data'!G:G,
                    'Raw PhocalPoint Data'!A:A = 2011,
                    'Raw PhocalPoint "&amp;"Data'!D:D = D32,
                    'Raw PhocalPoint Data'!E:E = E32,
                    'Raw PhocalPoint Data'!F:F = F32
                  ) - 1
                ) / 5
              )
            )
          )
        )
      )
    ),
    (
      FILTER"&amp;"('Raw PhocalPoint Data'!G:G,
        'Raw PhocalPoint Data'!A:A = 2009,
        'Raw PhocalPoint Data'!D:D = D32,
        'Raw PhocalPoint Data'!E:E = E32,
        'Raw PhocalPoint Data'!F:F = F32
      ) /
      PRODUCT(
        ARRAYFORMULA(
          ("&amp;"
            FILTER('Raw PhocalPoint Data'!G:G,
              'Raw PhocalPoint Data'!A:A = 2012,
              'Raw PhocalPoint Data'!D:D = D32,
              'Raw PhocalPoint Data'!E:E = E32,
              'Raw PhocalPoint Data'!F:F = F32
            ) /"&amp;"
            FILTER('Raw PhocalPoint Data'!G:G,
              'Raw PhocalPoint Data'!A:A = 2011,
              'Raw PhocalPoint Data'!D:D = D32,
              'Raw PhocalPoint Data'!E:E = E32,
              'Raw PhocalPoint Data'!F:F = F32
            ) -"&amp;"
            (ROW(INDIRECT(""1:"" &amp; (2010 - A32))) - 1) *
            (
              (
                FILTER('Raw PhocalPoint Data'!G:G,
                  'Raw PhocalPoint Data'!A:A = 2012,
                  'Raw PhocalPoint Data'!D:D = D32,
           "&amp;"       'Raw PhocalPoint Data'!E:E = E32,
                  'Raw PhocalPoint Data'!F:F = F32
                ) /
                FILTER('Raw PhocalPoint Data'!G:G,
                  'Raw PhocalPoint Data'!A:A = 2011,
                  'Raw PhocalPoint Data"&amp;"'!D:D = D32,
                  'Raw PhocalPoint Data'!E:E = E32,
                  'Raw PhocalPoint Data'!F:F = F32
                ) - 1
              ) / 5
            )
          )
        )
      )
    ) *
    INDEX('Raw GDP data'!$I$2:$M$100,
      M"&amp;"ATCH(D32, 'Raw GDP data'!$H$2:$H$100, 0),
      MATCH(A32, 'Raw GDP data'!$I$1:$M$1, 0)
    )
  )),
  """"
)
"),3127498899.19463)</f>
        <v>3127498899.1946301</v>
      </c>
      <c r="H32" s="80"/>
      <c r="I32" s="81">
        <f ca="1">IFERROR(__xludf.DUMMYFUNCTION("""COMPUTED_VALUE"""),2005)</f>
        <v>2005</v>
      </c>
      <c r="J32" s="82" t="str">
        <f ca="1">IFERROR(__xludf.DUMMYFUNCTION("""COMPUTED_VALUE"""),"Chile")</f>
        <v>Chile</v>
      </c>
      <c r="K32" s="83">
        <f ca="1">IFERROR(
  SUMIFS(
    'New Backfilled Data'!G:G,
    'New Backfilled Data'!A:A, I32,
    'New Backfilled Data'!D:D, J32,
    'New Backfilled Data'!E:E, "Online"
  ) /
  SUMIFS(
    'New Backfilled Data'!G:G,
    'New Backfilled Data'!A:A, I32,
    'New Backfilled Data'!D:D, J32
  ),
  ""
)</f>
        <v>0.13636151339885508</v>
      </c>
      <c r="L32" s="84"/>
      <c r="M32" s="84"/>
    </row>
    <row r="33" spans="1:13" ht="17" x14ac:dyDescent="0.2">
      <c r="A33" s="44">
        <v>2005</v>
      </c>
      <c r="B33" s="45" t="s">
        <v>66</v>
      </c>
      <c r="C33" s="45" t="s">
        <v>4</v>
      </c>
      <c r="D33" s="45" t="s">
        <v>14</v>
      </c>
      <c r="E33" s="45" t="s">
        <v>69</v>
      </c>
      <c r="F33" s="45" t="s">
        <v>71</v>
      </c>
      <c r="G33" s="85">
        <f ca="1">IFERROR(__xludf.DUMMYFUNCTION("IFERROR(
  IF(A33 = 2008,
    IF(E33 = ""Online"",
      FILTER('Raw PhocalPoint Data'!G:G,
        'Raw PhocalPoint Data'!A:A = 2009,
        'Raw PhocalPoint Data'!D:D = D33,
        'Raw PhocalPoint Data'!E:E = E33,
        'Raw PhocalPoint Data'!F:F ="&amp;" F33
      ) /
      (
        FILTER('Raw PhocalPoint Data'!G:G,
          'Raw PhocalPoint Data'!A:A = 2012,
          'Raw PhocalPoint Data'!D:D = D33,
          'Raw PhocalPoint Data'!E:E = E33,
          'Raw PhocalPoint Data'!F:F = F33
        ) /
 "&amp;"       FILTER('Raw PhocalPoint Data'!G:G,
          'Raw PhocalPoint Data'!A:A = 2011,
          'Raw PhocalPoint Data'!D:D = D33,
          'Raw PhocalPoint Data'!E:E = E33,
          'Raw PhocalPoint Data'!F:F = F33
        )
      ),
      FILTER('Raw "&amp;"PhocalPoint Data'!G:G,
        'Raw PhocalPoint Data'!A:A = 2009,
        'Raw PhocalPoint Data'!D:D = D33,
        'Raw PhocalPoint Data'!E:E = E33,
        'Raw PhocalPoint Data'!F:F = F33
      ) *
      (
        INDEX('Raw GDP data'!$I$2:$M$100,
    "&amp;"      MATCH(D33, 'Raw GDP data'!$H$2:$H$100, 0),
          MATCH(2008, 'Raw GDP data'!$I$1:$M$1, 0)
        ) /
        INDEX('Raw GDP data'!$I$2:$M$100,
          MATCH(D33, 'Raw GDP data'!$H$2:$H$100, 0),
          MATCH(2009, 'Raw GDP data'!$I$1:$M$1, "&amp;"0)
        )
      )
    ),
  IF(A33 &lt; 2008,
    (
      FILTER(G:G,
        A:A = 2008,
        D:D = D33,
        E:E = E33,
        F:F = F33
      ) /
      PRODUCT(
        ARRAYFORMULA(
          (
            (
              FILTER('Raw PhocalPoint"&amp;" Data'!G:G,
                'Raw PhocalPoint Data'!A:A = 2012,
                'Raw PhocalPoint Data'!D:D = D33,
                'Raw PhocalPoint Data'!E:E = E33,
                'Raw PhocalPoint Data'!F:F = F33
              ) /
              FILTER('Raw"&amp;" PhocalPoint Data'!G:G,
                'Raw PhocalPoint Data'!A:A = 2011,
                'Raw PhocalPoint Data'!D:D = D33,
                'Raw PhocalPoint Data'!E:E = E33,
                'Raw PhocalPoint Data'!F:F = F33
              ) -
             "&amp;" ROW(INDIRECT(""1:"" &amp; (2008 - A33))) *
              (
                (
                  FILTER('Raw PhocalPoint Data'!G:G,
                    'Raw PhocalPoint Data'!A:A = 2012,
                    'Raw PhocalPoint Data'!D:D = D33,
                   "&amp;" 'Raw PhocalPoint Data'!E:E = E33,
                    'Raw PhocalPoint Data'!F:F = F33
                  ) /
                  FILTER('Raw PhocalPoint Data'!G:G,
                    'Raw PhocalPoint Data'!A:A = 2011,
                    'Raw PhocalPoint "&amp;"Data'!D:D = D33,
                    'Raw PhocalPoint Data'!E:E = E33,
                    'Raw PhocalPoint Data'!F:F = F33
                  ) - 1
                ) / 5
              )
            )
          )
        )
      )
    ),
    (
      FILTER"&amp;"('Raw PhocalPoint Data'!G:G,
        'Raw PhocalPoint Data'!A:A = 2009,
        'Raw PhocalPoint Data'!D:D = D33,
        'Raw PhocalPoint Data'!E:E = E33,
        'Raw PhocalPoint Data'!F:F = F33
      ) /
      PRODUCT(
        ARRAYFORMULA(
          ("&amp;"
            FILTER('Raw PhocalPoint Data'!G:G,
              'Raw PhocalPoint Data'!A:A = 2012,
              'Raw PhocalPoint Data'!D:D = D33,
              'Raw PhocalPoint Data'!E:E = E33,
              'Raw PhocalPoint Data'!F:F = F33
            ) /"&amp;"
            FILTER('Raw PhocalPoint Data'!G:G,
              'Raw PhocalPoint Data'!A:A = 2011,
              'Raw PhocalPoint Data'!D:D = D33,
              'Raw PhocalPoint Data'!E:E = E33,
              'Raw PhocalPoint Data'!F:F = F33
            ) -"&amp;"
            (ROW(INDIRECT(""1:"" &amp; (2010 - A33))) - 1) *
            (
              (
                FILTER('Raw PhocalPoint Data'!G:G,
                  'Raw PhocalPoint Data'!A:A = 2012,
                  'Raw PhocalPoint Data'!D:D = D33,
           "&amp;"       'Raw PhocalPoint Data'!E:E = E33,
                  'Raw PhocalPoint Data'!F:F = F33
                ) /
                FILTER('Raw PhocalPoint Data'!G:G,
                  'Raw PhocalPoint Data'!A:A = 2011,
                  'Raw PhocalPoint Data"&amp;"'!D:D = D33,
                  'Raw PhocalPoint Data'!E:E = E33,
                  'Raw PhocalPoint Data'!F:F = F33
                ) - 1
              ) / 5
            )
          )
        )
      )
    ) *
    INDEX('Raw GDP data'!$I$2:$M$100,
      M"&amp;"ATCH(D33, 'Raw GDP data'!$H$2:$H$100, 0),
      MATCH(A33, 'Raw GDP data'!$I$1:$M$1, 0)
    )
  )),
  """"
)
"),37537875.7426433)</f>
        <v>37537875.742643297</v>
      </c>
      <c r="H33" s="86"/>
      <c r="I33" s="87">
        <f ca="1">IFERROR(__xludf.DUMMYFUNCTION("""COMPUTED_VALUE"""),2005)</f>
        <v>2005</v>
      </c>
      <c r="J33" s="88" t="str">
        <f ca="1">IFERROR(__xludf.DUMMYFUNCTION("""COMPUTED_VALUE"""),"Colombia")</f>
        <v>Colombia</v>
      </c>
      <c r="K33" s="89">
        <f ca="1">IFERROR(
  SUMIFS(
    'New Backfilled Data'!G:G,
    'New Backfilled Data'!A:A, I33,
    'New Backfilled Data'!D:D, J33,
    'New Backfilled Data'!E:E, "Online"
  ) /
  SUMIFS(
    'New Backfilled Data'!G:G,
    'New Backfilled Data'!A:A, I33,
    'New Backfilled Data'!D:D, J33
  ),
  ""
)</f>
        <v>3.0256056292493751E-2</v>
      </c>
      <c r="L33" s="90"/>
      <c r="M33" s="90"/>
    </row>
    <row r="34" spans="1:13" ht="17" x14ac:dyDescent="0.2">
      <c r="A34" s="37">
        <v>2005</v>
      </c>
      <c r="B34" s="38" t="s">
        <v>66</v>
      </c>
      <c r="C34" s="38" t="s">
        <v>4</v>
      </c>
      <c r="D34" s="38" t="s">
        <v>14</v>
      </c>
      <c r="E34" s="38" t="s">
        <v>69</v>
      </c>
      <c r="F34" s="38" t="s">
        <v>70</v>
      </c>
      <c r="G34" s="79">
        <f ca="1">IFERROR(__xludf.DUMMYFUNCTION("IFERROR(
  IF(A34 = 2008,
    IF(E34 = ""Online"",
      FILTER('Raw PhocalPoint Data'!G:G,
        'Raw PhocalPoint Data'!A:A = 2009,
        'Raw PhocalPoint Data'!D:D = D34,
        'Raw PhocalPoint Data'!E:E = E34,
        'Raw PhocalPoint Data'!F:F ="&amp;" F34
      ) /
      (
        FILTER('Raw PhocalPoint Data'!G:G,
          'Raw PhocalPoint Data'!A:A = 2012,
          'Raw PhocalPoint Data'!D:D = D34,
          'Raw PhocalPoint Data'!E:E = E34,
          'Raw PhocalPoint Data'!F:F = F34
        ) /
 "&amp;"       FILTER('Raw PhocalPoint Data'!G:G,
          'Raw PhocalPoint Data'!A:A = 2011,
          'Raw PhocalPoint Data'!D:D = D34,
          'Raw PhocalPoint Data'!E:E = E34,
          'Raw PhocalPoint Data'!F:F = F34
        )
      ),
      FILTER('Raw "&amp;"PhocalPoint Data'!G:G,
        'Raw PhocalPoint Data'!A:A = 2009,
        'Raw PhocalPoint Data'!D:D = D34,
        'Raw PhocalPoint Data'!E:E = E34,
        'Raw PhocalPoint Data'!F:F = F34
      ) *
      (
        INDEX('Raw GDP data'!$I$2:$M$100,
    "&amp;"      MATCH(D34, 'Raw GDP data'!$H$2:$H$100, 0),
          MATCH(2008, 'Raw GDP data'!$I$1:$M$1, 0)
        ) /
        INDEX('Raw GDP data'!$I$2:$M$100,
          MATCH(D34, 'Raw GDP data'!$H$2:$H$100, 0),
          MATCH(2009, 'Raw GDP data'!$I$1:$M$1, "&amp;"0)
        )
      )
    ),
  IF(A34 &lt; 2008,
    (
      FILTER(G:G,
        A:A = 2008,
        D:D = D34,
        E:E = E34,
        F:F = F34
      ) /
      PRODUCT(
        ARRAYFORMULA(
          (
            (
              FILTER('Raw PhocalPoint"&amp;" Data'!G:G,
                'Raw PhocalPoint Data'!A:A = 2012,
                'Raw PhocalPoint Data'!D:D = D34,
                'Raw PhocalPoint Data'!E:E = E34,
                'Raw PhocalPoint Data'!F:F = F34
              ) /
              FILTER('Raw"&amp;" PhocalPoint Data'!G:G,
                'Raw PhocalPoint Data'!A:A = 2011,
                'Raw PhocalPoint Data'!D:D = D34,
                'Raw PhocalPoint Data'!E:E = E34,
                'Raw PhocalPoint Data'!F:F = F34
              ) -
             "&amp;" ROW(INDIRECT(""1:"" &amp; (2008 - A34))) *
              (
                (
                  FILTER('Raw PhocalPoint Data'!G:G,
                    'Raw PhocalPoint Data'!A:A = 2012,
                    'Raw PhocalPoint Data'!D:D = D34,
                   "&amp;" 'Raw PhocalPoint Data'!E:E = E34,
                    'Raw PhocalPoint Data'!F:F = F34
                  ) /
                  FILTER('Raw PhocalPoint Data'!G:G,
                    'Raw PhocalPoint Data'!A:A = 2011,
                    'Raw PhocalPoint "&amp;"Data'!D:D = D34,
                    'Raw PhocalPoint Data'!E:E = E34,
                    'Raw PhocalPoint Data'!F:F = F34
                  ) - 1
                ) / 5
              )
            )
          )
        )
      )
    ),
    (
      FILTER"&amp;"('Raw PhocalPoint Data'!G:G,
        'Raw PhocalPoint Data'!A:A = 2009,
        'Raw PhocalPoint Data'!D:D = D34,
        'Raw PhocalPoint Data'!E:E = E34,
        'Raw PhocalPoint Data'!F:F = F34
      ) /
      PRODUCT(
        ARRAYFORMULA(
          ("&amp;"
            FILTER('Raw PhocalPoint Data'!G:G,
              'Raw PhocalPoint Data'!A:A = 2012,
              'Raw PhocalPoint Data'!D:D = D34,
              'Raw PhocalPoint Data'!E:E = E34,
              'Raw PhocalPoint Data'!F:F = F34
            ) /"&amp;"
            FILTER('Raw PhocalPoint Data'!G:G,
              'Raw PhocalPoint Data'!A:A = 2011,
              'Raw PhocalPoint Data'!D:D = D34,
              'Raw PhocalPoint Data'!E:E = E34,
              'Raw PhocalPoint Data'!F:F = F34
            ) -"&amp;"
            (ROW(INDIRECT(""1:"" &amp; (2010 - A34))) - 1) *
            (
              (
                FILTER('Raw PhocalPoint Data'!G:G,
                  'Raw PhocalPoint Data'!A:A = 2012,
                  'Raw PhocalPoint Data'!D:D = D34,
           "&amp;"       'Raw PhocalPoint Data'!E:E = E34,
                  'Raw PhocalPoint Data'!F:F = F34
                ) /
                FILTER('Raw PhocalPoint Data'!G:G,
                  'Raw PhocalPoint Data'!A:A = 2011,
                  'Raw PhocalPoint Data"&amp;"'!D:D = D34,
                  'Raw PhocalPoint Data'!E:E = E34,
                  'Raw PhocalPoint Data'!F:F = F34
                ) - 1
              ) / 5
            )
          )
        )
      )
    ) *
    INDEX('Raw GDP data'!$I$2:$M$100,
      M"&amp;"ATCH(D34, 'Raw GDP data'!$H$2:$H$100, 0),
      MATCH(A34, 'Raw GDP data'!$I$1:$M$1, 0)
    )
  )),
  """"
)
"),129063454.103194)</f>
        <v>129063454.103194</v>
      </c>
      <c r="H34" s="80"/>
      <c r="I34" s="81">
        <f ca="1">IFERROR(__xludf.DUMMYFUNCTION("""COMPUTED_VALUE"""),2005)</f>
        <v>2005</v>
      </c>
      <c r="J34" s="82" t="str">
        <f ca="1">IFERROR(__xludf.DUMMYFUNCTION("""COMPUTED_VALUE"""),"Mexico")</f>
        <v>Mexico</v>
      </c>
      <c r="K34" s="83">
        <f ca="1">IFERROR(
  SUMIFS(
    'New Backfilled Data'!G:G,
    'New Backfilled Data'!A:A, I34,
    'New Backfilled Data'!D:D, J34,
    'New Backfilled Data'!E:E, "Online"
  ) /
  SUMIFS(
    'New Backfilled Data'!G:G,
    'New Backfilled Data'!A:A, I34,
    'New Backfilled Data'!D:D, J34
  ),
  ""
)</f>
        <v>8.0818065939530656E-2</v>
      </c>
      <c r="L34" s="84"/>
      <c r="M34" s="84"/>
    </row>
    <row r="35" spans="1:13" ht="17" x14ac:dyDescent="0.2">
      <c r="A35" s="44">
        <v>2005</v>
      </c>
      <c r="B35" s="45" t="s">
        <v>66</v>
      </c>
      <c r="C35" s="45" t="s">
        <v>4</v>
      </c>
      <c r="D35" s="45" t="s">
        <v>15</v>
      </c>
      <c r="E35" s="45" t="s">
        <v>67</v>
      </c>
      <c r="F35" s="45" t="s">
        <v>67</v>
      </c>
      <c r="G35" s="85">
        <f ca="1">IFERROR(__xludf.DUMMYFUNCTION("IFERROR(
  IF(A35 = 2008,
    IF(E35 = ""Online"",
      FILTER('Raw PhocalPoint Data'!G:G,
        'Raw PhocalPoint Data'!A:A = 2009,
        'Raw PhocalPoint Data'!D:D = D35,
        'Raw PhocalPoint Data'!E:E = E35,
        'Raw PhocalPoint Data'!F:F ="&amp;" F35
      ) /
      (
        FILTER('Raw PhocalPoint Data'!G:G,
          'Raw PhocalPoint Data'!A:A = 2012,
          'Raw PhocalPoint Data'!D:D = D35,
          'Raw PhocalPoint Data'!E:E = E35,
          'Raw PhocalPoint Data'!F:F = F35
        ) /
 "&amp;"       FILTER('Raw PhocalPoint Data'!G:G,
          'Raw PhocalPoint Data'!A:A = 2011,
          'Raw PhocalPoint Data'!D:D = D35,
          'Raw PhocalPoint Data'!E:E = E35,
          'Raw PhocalPoint Data'!F:F = F35
        )
      ),
      FILTER('Raw "&amp;"PhocalPoint Data'!G:G,
        'Raw PhocalPoint Data'!A:A = 2009,
        'Raw PhocalPoint Data'!D:D = D35,
        'Raw PhocalPoint Data'!E:E = E35,
        'Raw PhocalPoint Data'!F:F = F35
      ) *
      (
        INDEX('Raw GDP data'!$I$2:$M$100,
    "&amp;"      MATCH(D35, 'Raw GDP data'!$H$2:$H$100, 0),
          MATCH(2008, 'Raw GDP data'!$I$1:$M$1, 0)
        ) /
        INDEX('Raw GDP data'!$I$2:$M$100,
          MATCH(D35, 'Raw GDP data'!$H$2:$H$100, 0),
          MATCH(2009, 'Raw GDP data'!$I$1:$M$1, "&amp;"0)
        )
      )
    ),
  IF(A35 &lt; 2008,
    (
      FILTER(G:G,
        A:A = 2008,
        D:D = D35,
        E:E = E35,
        F:F = F35
      ) /
      PRODUCT(
        ARRAYFORMULA(
          (
            (
              FILTER('Raw PhocalPoint"&amp;" Data'!G:G,
                'Raw PhocalPoint Data'!A:A = 2012,
                'Raw PhocalPoint Data'!D:D = D35,
                'Raw PhocalPoint Data'!E:E = E35,
                'Raw PhocalPoint Data'!F:F = F35
              ) /
              FILTER('Raw"&amp;" PhocalPoint Data'!G:G,
                'Raw PhocalPoint Data'!A:A = 2011,
                'Raw PhocalPoint Data'!D:D = D35,
                'Raw PhocalPoint Data'!E:E = E35,
                'Raw PhocalPoint Data'!F:F = F35
              ) -
             "&amp;" ROW(INDIRECT(""1:"" &amp; (2008 - A35))) *
              (
                (
                  FILTER('Raw PhocalPoint Data'!G:G,
                    'Raw PhocalPoint Data'!A:A = 2012,
                    'Raw PhocalPoint Data'!D:D = D35,
                   "&amp;" 'Raw PhocalPoint Data'!E:E = E35,
                    'Raw PhocalPoint Data'!F:F = F35
                  ) /
                  FILTER('Raw PhocalPoint Data'!G:G,
                    'Raw PhocalPoint Data'!A:A = 2011,
                    'Raw PhocalPoint "&amp;"Data'!D:D = D35,
                    'Raw PhocalPoint Data'!E:E = E35,
                    'Raw PhocalPoint Data'!F:F = F35
                  ) - 1
                ) / 5
              )
            )
          )
        )
      )
    ),
    (
      FILTER"&amp;"('Raw PhocalPoint Data'!G:G,
        'Raw PhocalPoint Data'!A:A = 2009,
        'Raw PhocalPoint Data'!D:D = D35,
        'Raw PhocalPoint Data'!E:E = E35,
        'Raw PhocalPoint Data'!F:F = F35
      ) /
      PRODUCT(
        ARRAYFORMULA(
          ("&amp;"
            FILTER('Raw PhocalPoint Data'!G:G,
              'Raw PhocalPoint Data'!A:A = 2012,
              'Raw PhocalPoint Data'!D:D = D35,
              'Raw PhocalPoint Data'!E:E = E35,
              'Raw PhocalPoint Data'!F:F = F35
            ) /"&amp;"
            FILTER('Raw PhocalPoint Data'!G:G,
              'Raw PhocalPoint Data'!A:A = 2011,
              'Raw PhocalPoint Data'!D:D = D35,
              'Raw PhocalPoint Data'!E:E = E35,
              'Raw PhocalPoint Data'!F:F = F35
            ) -"&amp;"
            (ROW(INDIRECT(""1:"" &amp; (2010 - A35))) - 1) *
            (
              (
                FILTER('Raw PhocalPoint Data'!G:G,
                  'Raw PhocalPoint Data'!A:A = 2012,
                  'Raw PhocalPoint Data'!D:D = D35,
           "&amp;"       'Raw PhocalPoint Data'!E:E = E35,
                  'Raw PhocalPoint Data'!F:F = F35
                ) /
                FILTER('Raw PhocalPoint Data'!G:G,
                  'Raw PhocalPoint Data'!A:A = 2011,
                  'Raw PhocalPoint Data"&amp;"'!D:D = D35,
                  'Raw PhocalPoint Data'!E:E = E35,
                  'Raw PhocalPoint Data'!F:F = F35
                ) - 1
              ) / 5
            )
          )
        )
      )
    ) *
    INDEX('Raw GDP data'!$I$2:$M$100,
      M"&amp;"ATCH(D35, 'Raw GDP data'!$H$2:$H$100, 0),
      MATCH(A35, 'Raw GDP data'!$I$1:$M$1, 0)
    )
  )),
  """"
)
"),8957169406.83982)</f>
        <v>8957169406.8398209</v>
      </c>
      <c r="H35" s="86"/>
      <c r="I35" s="87">
        <f ca="1">IFERROR(__xludf.DUMMYFUNCTION("""COMPUTED_VALUE"""),2005)</f>
        <v>2005</v>
      </c>
      <c r="J35" s="88" t="str">
        <f ca="1">IFERROR(__xludf.DUMMYFUNCTION("""COMPUTED_VALUE"""),"Egypt")</f>
        <v>Egypt</v>
      </c>
      <c r="K35" s="89">
        <f ca="1">IFERROR(
  SUMIFS(
    'New Backfilled Data'!G:G,
    'New Backfilled Data'!A:A, I35,
    'New Backfilled Data'!D:D, J35,
    'New Backfilled Data'!E:E, "Online"
  ) /
  SUMIFS(
    'New Backfilled Data'!G:G,
    'New Backfilled Data'!A:A, I35,
    'New Backfilled Data'!D:D, J35
  ),
  ""
)</f>
        <v>4.1454590115616322E-2</v>
      </c>
      <c r="L35" s="90"/>
      <c r="M35" s="90"/>
    </row>
    <row r="36" spans="1:13" ht="17" x14ac:dyDescent="0.2">
      <c r="A36" s="37">
        <v>2005</v>
      </c>
      <c r="B36" s="38" t="s">
        <v>66</v>
      </c>
      <c r="C36" s="38" t="s">
        <v>4</v>
      </c>
      <c r="D36" s="38" t="s">
        <v>15</v>
      </c>
      <c r="E36" s="38" t="s">
        <v>69</v>
      </c>
      <c r="F36" s="38" t="s">
        <v>71</v>
      </c>
      <c r="G36" s="79">
        <f ca="1">IFERROR(__xludf.DUMMYFUNCTION("IFERROR(
  IF(A36 = 2008,
    IF(E36 = ""Online"",
      FILTER('Raw PhocalPoint Data'!G:G,
        'Raw PhocalPoint Data'!A:A = 2009,
        'Raw PhocalPoint Data'!D:D = D36,
        'Raw PhocalPoint Data'!E:E = E36,
        'Raw PhocalPoint Data'!F:F ="&amp;" F36
      ) /
      (
        FILTER('Raw PhocalPoint Data'!G:G,
          'Raw PhocalPoint Data'!A:A = 2012,
          'Raw PhocalPoint Data'!D:D = D36,
          'Raw PhocalPoint Data'!E:E = E36,
          'Raw PhocalPoint Data'!F:F = F36
        ) /
 "&amp;"       FILTER('Raw PhocalPoint Data'!G:G,
          'Raw PhocalPoint Data'!A:A = 2011,
          'Raw PhocalPoint Data'!D:D = D36,
          'Raw PhocalPoint Data'!E:E = E36,
          'Raw PhocalPoint Data'!F:F = F36
        )
      ),
      FILTER('Raw "&amp;"PhocalPoint Data'!G:G,
        'Raw PhocalPoint Data'!A:A = 2009,
        'Raw PhocalPoint Data'!D:D = D36,
        'Raw PhocalPoint Data'!E:E = E36,
        'Raw PhocalPoint Data'!F:F = F36
      ) *
      (
        INDEX('Raw GDP data'!$I$2:$M$100,
    "&amp;"      MATCH(D36, 'Raw GDP data'!$H$2:$H$100, 0),
          MATCH(2008, 'Raw GDP data'!$I$1:$M$1, 0)
        ) /
        INDEX('Raw GDP data'!$I$2:$M$100,
          MATCH(D36, 'Raw GDP data'!$H$2:$H$100, 0),
          MATCH(2009, 'Raw GDP data'!$I$1:$M$1, "&amp;"0)
        )
      )
    ),
  IF(A36 &lt; 2008,
    (
      FILTER(G:G,
        A:A = 2008,
        D:D = D36,
        E:E = E36,
        F:F = F36
      ) /
      PRODUCT(
        ARRAYFORMULA(
          (
            (
              FILTER('Raw PhocalPoint"&amp;" Data'!G:G,
                'Raw PhocalPoint Data'!A:A = 2012,
                'Raw PhocalPoint Data'!D:D = D36,
                'Raw PhocalPoint Data'!E:E = E36,
                'Raw PhocalPoint Data'!F:F = F36
              ) /
              FILTER('Raw"&amp;" PhocalPoint Data'!G:G,
                'Raw PhocalPoint Data'!A:A = 2011,
                'Raw PhocalPoint Data'!D:D = D36,
                'Raw PhocalPoint Data'!E:E = E36,
                'Raw PhocalPoint Data'!F:F = F36
              ) -
             "&amp;" ROW(INDIRECT(""1:"" &amp; (2008 - A36))) *
              (
                (
                  FILTER('Raw PhocalPoint Data'!G:G,
                    'Raw PhocalPoint Data'!A:A = 2012,
                    'Raw PhocalPoint Data'!D:D = D36,
                   "&amp;" 'Raw PhocalPoint Data'!E:E = E36,
                    'Raw PhocalPoint Data'!F:F = F36
                  ) /
                  FILTER('Raw PhocalPoint Data'!G:G,
                    'Raw PhocalPoint Data'!A:A = 2011,
                    'Raw PhocalPoint "&amp;"Data'!D:D = D36,
                    'Raw PhocalPoint Data'!E:E = E36,
                    'Raw PhocalPoint Data'!F:F = F36
                  ) - 1
                ) / 5
              )
            )
          )
        )
      )
    ),
    (
      FILTER"&amp;"('Raw PhocalPoint Data'!G:G,
        'Raw PhocalPoint Data'!A:A = 2009,
        'Raw PhocalPoint Data'!D:D = D36,
        'Raw PhocalPoint Data'!E:E = E36,
        'Raw PhocalPoint Data'!F:F = F36
      ) /
      PRODUCT(
        ARRAYFORMULA(
          ("&amp;"
            FILTER('Raw PhocalPoint Data'!G:G,
              'Raw PhocalPoint Data'!A:A = 2012,
              'Raw PhocalPoint Data'!D:D = D36,
              'Raw PhocalPoint Data'!E:E = E36,
              'Raw PhocalPoint Data'!F:F = F36
            ) /"&amp;"
            FILTER('Raw PhocalPoint Data'!G:G,
              'Raw PhocalPoint Data'!A:A = 2011,
              'Raw PhocalPoint Data'!D:D = D36,
              'Raw PhocalPoint Data'!E:E = E36,
              'Raw PhocalPoint Data'!F:F = F36
            ) -"&amp;"
            (ROW(INDIRECT(""1:"" &amp; (2010 - A36))) - 1) *
            (
              (
                FILTER('Raw PhocalPoint Data'!G:G,
                  'Raw PhocalPoint Data'!A:A = 2012,
                  'Raw PhocalPoint Data'!D:D = D36,
           "&amp;"       'Raw PhocalPoint Data'!E:E = E36,
                  'Raw PhocalPoint Data'!F:F = F36
                ) /
                FILTER('Raw PhocalPoint Data'!G:G,
                  'Raw PhocalPoint Data'!A:A = 2011,
                  'Raw PhocalPoint Data"&amp;"'!D:D = D36,
                  'Raw PhocalPoint Data'!E:E = E36,
                  'Raw PhocalPoint Data'!F:F = F36
                ) - 1
              ) / 5
            )
          )
        )
      )
    ) *
    INDEX('Raw GDP data'!$I$2:$M$100,
      M"&amp;"ATCH(D36, 'Raw GDP data'!$H$2:$H$100, 0),
      MATCH(A36, 'Raw GDP data'!$I$1:$M$1, 0)
    )
  )),
  """"
)
"),292385386.016019)</f>
        <v>292385386.01601899</v>
      </c>
      <c r="H36" s="80"/>
      <c r="I36" s="81">
        <f ca="1">IFERROR(__xludf.DUMMYFUNCTION("""COMPUTED_VALUE"""),2005)</f>
        <v>2005</v>
      </c>
      <c r="J36" s="82" t="str">
        <f ca="1">IFERROR(__xludf.DUMMYFUNCTION("""COMPUTED_VALUE"""),"Qatar")</f>
        <v>Qatar</v>
      </c>
      <c r="K36" s="83">
        <f ca="1">IFERROR(
  SUMIFS(
    'New Backfilled Data'!G:G,
    'New Backfilled Data'!A:A, I36,
    'New Backfilled Data'!D:D, J36,
    'New Backfilled Data'!E:E, "Online"
  ) /
  SUMIFS(
    'New Backfilled Data'!G:G,
    'New Backfilled Data'!A:A, I36,
    'New Backfilled Data'!D:D, J36
  ),
  ""
)</f>
        <v>0.10205384743903535</v>
      </c>
      <c r="L36" s="84"/>
      <c r="M36" s="84"/>
    </row>
    <row r="37" spans="1:13" ht="34" x14ac:dyDescent="0.2">
      <c r="A37" s="44">
        <v>2005</v>
      </c>
      <c r="B37" s="45" t="s">
        <v>66</v>
      </c>
      <c r="C37" s="45" t="s">
        <v>4</v>
      </c>
      <c r="D37" s="45" t="s">
        <v>15</v>
      </c>
      <c r="E37" s="45" t="s">
        <v>69</v>
      </c>
      <c r="F37" s="45" t="s">
        <v>70</v>
      </c>
      <c r="G37" s="85">
        <f ca="1">IFERROR(__xludf.DUMMYFUNCTION("IFERROR(
  IF(A37 = 2008,
    IF(E37 = ""Online"",
      FILTER('Raw PhocalPoint Data'!G:G,
        'Raw PhocalPoint Data'!A:A = 2009,
        'Raw PhocalPoint Data'!D:D = D37,
        'Raw PhocalPoint Data'!E:E = E37,
        'Raw PhocalPoint Data'!F:F ="&amp;" F37
      ) /
      (
        FILTER('Raw PhocalPoint Data'!G:G,
          'Raw PhocalPoint Data'!A:A = 2012,
          'Raw PhocalPoint Data'!D:D = D37,
          'Raw PhocalPoint Data'!E:E = E37,
          'Raw PhocalPoint Data'!F:F = F37
        ) /
 "&amp;"       FILTER('Raw PhocalPoint Data'!G:G,
          'Raw PhocalPoint Data'!A:A = 2011,
          'Raw PhocalPoint Data'!D:D = D37,
          'Raw PhocalPoint Data'!E:E = E37,
          'Raw PhocalPoint Data'!F:F = F37
        )
      ),
      FILTER('Raw "&amp;"PhocalPoint Data'!G:G,
        'Raw PhocalPoint Data'!A:A = 2009,
        'Raw PhocalPoint Data'!D:D = D37,
        'Raw PhocalPoint Data'!E:E = E37,
        'Raw PhocalPoint Data'!F:F = F37
      ) *
      (
        INDEX('Raw GDP data'!$I$2:$M$100,
    "&amp;"      MATCH(D37, 'Raw GDP data'!$H$2:$H$100, 0),
          MATCH(2008, 'Raw GDP data'!$I$1:$M$1, 0)
        ) /
        INDEX('Raw GDP data'!$I$2:$M$100,
          MATCH(D37, 'Raw GDP data'!$H$2:$H$100, 0),
          MATCH(2009, 'Raw GDP data'!$I$1:$M$1, "&amp;"0)
        )
      )
    ),
  IF(A37 &lt; 2008,
    (
      FILTER(G:G,
        A:A = 2008,
        D:D = D37,
        E:E = E37,
        F:F = F37
      ) /
      PRODUCT(
        ARRAYFORMULA(
          (
            (
              FILTER('Raw PhocalPoint"&amp;" Data'!G:G,
                'Raw PhocalPoint Data'!A:A = 2012,
                'Raw PhocalPoint Data'!D:D = D37,
                'Raw PhocalPoint Data'!E:E = E37,
                'Raw PhocalPoint Data'!F:F = F37
              ) /
              FILTER('Raw"&amp;" PhocalPoint Data'!G:G,
                'Raw PhocalPoint Data'!A:A = 2011,
                'Raw PhocalPoint Data'!D:D = D37,
                'Raw PhocalPoint Data'!E:E = E37,
                'Raw PhocalPoint Data'!F:F = F37
              ) -
             "&amp;" ROW(INDIRECT(""1:"" &amp; (2008 - A37))) *
              (
                (
                  FILTER('Raw PhocalPoint Data'!G:G,
                    'Raw PhocalPoint Data'!A:A = 2012,
                    'Raw PhocalPoint Data'!D:D = D37,
                   "&amp;" 'Raw PhocalPoint Data'!E:E = E37,
                    'Raw PhocalPoint Data'!F:F = F37
                  ) /
                  FILTER('Raw PhocalPoint Data'!G:G,
                    'Raw PhocalPoint Data'!A:A = 2011,
                    'Raw PhocalPoint "&amp;"Data'!D:D = D37,
                    'Raw PhocalPoint Data'!E:E = E37,
                    'Raw PhocalPoint Data'!F:F = F37
                  ) - 1
                ) / 5
              )
            )
          )
        )
      )
    ),
    (
      FILTER"&amp;"('Raw PhocalPoint Data'!G:G,
        'Raw PhocalPoint Data'!A:A = 2009,
        'Raw PhocalPoint Data'!D:D = D37,
        'Raw PhocalPoint Data'!E:E = E37,
        'Raw PhocalPoint Data'!F:F = F37
      ) /
      PRODUCT(
        ARRAYFORMULA(
          ("&amp;"
            FILTER('Raw PhocalPoint Data'!G:G,
              'Raw PhocalPoint Data'!A:A = 2012,
              'Raw PhocalPoint Data'!D:D = D37,
              'Raw PhocalPoint Data'!E:E = E37,
              'Raw PhocalPoint Data'!F:F = F37
            ) /"&amp;"
            FILTER('Raw PhocalPoint Data'!G:G,
              'Raw PhocalPoint Data'!A:A = 2011,
              'Raw PhocalPoint Data'!D:D = D37,
              'Raw PhocalPoint Data'!E:E = E37,
              'Raw PhocalPoint Data'!F:F = F37
            ) -"&amp;"
            (ROW(INDIRECT(""1:"" &amp; (2010 - A37))) - 1) *
            (
              (
                FILTER('Raw PhocalPoint Data'!G:G,
                  'Raw PhocalPoint Data'!A:A = 2012,
                  'Raw PhocalPoint Data'!D:D = D37,
           "&amp;"       'Raw PhocalPoint Data'!E:E = E37,
                  'Raw PhocalPoint Data'!F:F = F37
                ) /
                FILTER('Raw PhocalPoint Data'!G:G,
                  'Raw PhocalPoint Data'!A:A = 2011,
                  'Raw PhocalPoint Data"&amp;"'!D:D = D37,
                  'Raw PhocalPoint Data'!E:E = E37,
                  'Raw PhocalPoint Data'!F:F = F37
                ) - 1
              ) / 5
            )
          )
        )
      )
    ) *
    INDEX('Raw GDP data'!$I$2:$M$100,
      M"&amp;"ATCH(D37, 'Raw GDP data'!$H$2:$H$100, 0),
      MATCH(A37, 'Raw GDP data'!$I$1:$M$1, 0)
    )
  )),
  """"
)
"),605747649.845389)</f>
        <v>605747649.84538901</v>
      </c>
      <c r="H37" s="86"/>
      <c r="I37" s="87">
        <f ca="1">IFERROR(__xludf.DUMMYFUNCTION("""COMPUTED_VALUE"""),2005)</f>
        <v>2005</v>
      </c>
      <c r="J37" s="88" t="str">
        <f ca="1">IFERROR(__xludf.DUMMYFUNCTION("""COMPUTED_VALUE"""),"Rest of Middle East")</f>
        <v>Rest of Middle East</v>
      </c>
      <c r="K37" s="89">
        <f ca="1">IFERROR(
  SUMIFS(
    'New Backfilled Data'!G:G,
    'New Backfilled Data'!A:A, I37,
    'New Backfilled Data'!D:D, J37,
    'New Backfilled Data'!E:E, "Online"
  ) /
  SUMIFS(
    'New Backfilled Data'!G:G,
    'New Backfilled Data'!A:A, I37,
    'New Backfilled Data'!D:D, J37
  ),
  ""
)</f>
        <v>3.6620872592564552E-2</v>
      </c>
      <c r="L37" s="90"/>
      <c r="M37" s="90"/>
    </row>
    <row r="38" spans="1:13" ht="17" x14ac:dyDescent="0.2">
      <c r="A38" s="37">
        <v>2005</v>
      </c>
      <c r="B38" s="38" t="s">
        <v>66</v>
      </c>
      <c r="C38" s="38" t="s">
        <v>17</v>
      </c>
      <c r="D38" s="38" t="s">
        <v>16</v>
      </c>
      <c r="E38" s="38" t="s">
        <v>67</v>
      </c>
      <c r="F38" s="38" t="s">
        <v>67</v>
      </c>
      <c r="G38" s="79">
        <f ca="1">IFERROR(__xludf.DUMMYFUNCTION("IFERROR(
  IF(A38 = 2008,
    IF(E38 = ""Online"",
      FILTER('Raw PhocalPoint Data'!G:G,
        'Raw PhocalPoint Data'!A:A = 2009,
        'Raw PhocalPoint Data'!D:D = D38,
        'Raw PhocalPoint Data'!E:E = E38,
        'Raw PhocalPoint Data'!F:F ="&amp;" F38
      ) /
      (
        FILTER('Raw PhocalPoint Data'!G:G,
          'Raw PhocalPoint Data'!A:A = 2012,
          'Raw PhocalPoint Data'!D:D = D38,
          'Raw PhocalPoint Data'!E:E = E38,
          'Raw PhocalPoint Data'!F:F = F38
        ) /
 "&amp;"       FILTER('Raw PhocalPoint Data'!G:G,
          'Raw PhocalPoint Data'!A:A = 2011,
          'Raw PhocalPoint Data'!D:D = D38,
          'Raw PhocalPoint Data'!E:E = E38,
          'Raw PhocalPoint Data'!F:F = F38
        )
      ),
      FILTER('Raw "&amp;"PhocalPoint Data'!G:G,
        'Raw PhocalPoint Data'!A:A = 2009,
        'Raw PhocalPoint Data'!D:D = D38,
        'Raw PhocalPoint Data'!E:E = E38,
        'Raw PhocalPoint Data'!F:F = F38
      ) *
      (
        INDEX('Raw GDP data'!$I$2:$M$100,
    "&amp;"      MATCH(D38, 'Raw GDP data'!$H$2:$H$100, 0),
          MATCH(2008, 'Raw GDP data'!$I$1:$M$1, 0)
        ) /
        INDEX('Raw GDP data'!$I$2:$M$100,
          MATCH(D38, 'Raw GDP data'!$H$2:$H$100, 0),
          MATCH(2009, 'Raw GDP data'!$I$1:$M$1, "&amp;"0)
        )
      )
    ),
  IF(A38 &lt; 2008,
    (
      FILTER(G:G,
        A:A = 2008,
        D:D = D38,
        E:E = E38,
        F:F = F38
      ) /
      PRODUCT(
        ARRAYFORMULA(
          (
            (
              FILTER('Raw PhocalPoint"&amp;" Data'!G:G,
                'Raw PhocalPoint Data'!A:A = 2012,
                'Raw PhocalPoint Data'!D:D = D38,
                'Raw PhocalPoint Data'!E:E = E38,
                'Raw PhocalPoint Data'!F:F = F38
              ) /
              FILTER('Raw"&amp;" PhocalPoint Data'!G:G,
                'Raw PhocalPoint Data'!A:A = 2011,
                'Raw PhocalPoint Data'!D:D = D38,
                'Raw PhocalPoint Data'!E:E = E38,
                'Raw PhocalPoint Data'!F:F = F38
              ) -
             "&amp;" ROW(INDIRECT(""1:"" &amp; (2008 - A38))) *
              (
                (
                  FILTER('Raw PhocalPoint Data'!G:G,
                    'Raw PhocalPoint Data'!A:A = 2012,
                    'Raw PhocalPoint Data'!D:D = D38,
                   "&amp;" 'Raw PhocalPoint Data'!E:E = E38,
                    'Raw PhocalPoint Data'!F:F = F38
                  ) /
                  FILTER('Raw PhocalPoint Data'!G:G,
                    'Raw PhocalPoint Data'!A:A = 2011,
                    'Raw PhocalPoint "&amp;"Data'!D:D = D38,
                    'Raw PhocalPoint Data'!E:E = E38,
                    'Raw PhocalPoint Data'!F:F = F38
                  ) - 1
                ) / 5
              )
            )
          )
        )
      )
    ),
    (
      FILTER"&amp;"('Raw PhocalPoint Data'!G:G,
        'Raw PhocalPoint Data'!A:A = 2009,
        'Raw PhocalPoint Data'!D:D = D38,
        'Raw PhocalPoint Data'!E:E = E38,
        'Raw PhocalPoint Data'!F:F = F38
      ) /
      PRODUCT(
        ARRAYFORMULA(
          ("&amp;"
            FILTER('Raw PhocalPoint Data'!G:G,
              'Raw PhocalPoint Data'!A:A = 2012,
              'Raw PhocalPoint Data'!D:D = D38,
              'Raw PhocalPoint Data'!E:E = E38,
              'Raw PhocalPoint Data'!F:F = F38
            ) /"&amp;"
            FILTER('Raw PhocalPoint Data'!G:G,
              'Raw PhocalPoint Data'!A:A = 2011,
              'Raw PhocalPoint Data'!D:D = D38,
              'Raw PhocalPoint Data'!E:E = E38,
              'Raw PhocalPoint Data'!F:F = F38
            ) -"&amp;"
            (ROW(INDIRECT(""1:"" &amp; (2010 - A38))) - 1) *
            (
              (
                FILTER('Raw PhocalPoint Data'!G:G,
                  'Raw PhocalPoint Data'!A:A = 2012,
                  'Raw PhocalPoint Data'!D:D = D38,
           "&amp;"       'Raw PhocalPoint Data'!E:E = E38,
                  'Raw PhocalPoint Data'!F:F = F38
                ) /
                FILTER('Raw PhocalPoint Data'!G:G,
                  'Raw PhocalPoint Data'!A:A = 2011,
                  'Raw PhocalPoint Data"&amp;"'!D:D = D38,
                  'Raw PhocalPoint Data'!E:E = E38,
                  'Raw PhocalPoint Data'!F:F = F38
                ) - 1
              ) / 5
            )
          )
        )
      )
    ) *
    INDEX('Raw GDP data'!$I$2:$M$100,
      M"&amp;"ATCH(D38, 'Raw GDP data'!$H$2:$H$100, 0),
      MATCH(A38, 'Raw GDP data'!$I$1:$M$1, 0)
    )
  )),
  """"
)
"),1321310908.39009)</f>
        <v>1321310908.39009</v>
      </c>
      <c r="H38" s="80"/>
      <c r="I38" s="81">
        <f ca="1">IFERROR(__xludf.DUMMYFUNCTION("""COMPUTED_VALUE"""),2005)</f>
        <v>2005</v>
      </c>
      <c r="J38" s="82" t="str">
        <f ca="1">IFERROR(__xludf.DUMMYFUNCTION("""COMPUTED_VALUE"""),"Saudi Arabia")</f>
        <v>Saudi Arabia</v>
      </c>
      <c r="K38" s="83">
        <f ca="1">IFERROR(
  SUMIFS(
    'New Backfilled Data'!G:G,
    'New Backfilled Data'!A:A, I38,
    'New Backfilled Data'!D:D, J38,
    'New Backfilled Data'!E:E, "Online"
  ) /
  SUMIFS(
    'New Backfilled Data'!G:G,
    'New Backfilled Data'!A:A, I38,
    'New Backfilled Data'!D:D, J38
  ),
  ""
)</f>
        <v>6.0074986666600133E-2</v>
      </c>
      <c r="L38" s="84"/>
      <c r="M38" s="84"/>
    </row>
    <row r="39" spans="1:13" ht="17" x14ac:dyDescent="0.2">
      <c r="A39" s="44">
        <v>2005</v>
      </c>
      <c r="B39" s="45" t="s">
        <v>66</v>
      </c>
      <c r="C39" s="45" t="s">
        <v>17</v>
      </c>
      <c r="D39" s="45" t="s">
        <v>16</v>
      </c>
      <c r="E39" s="45" t="s">
        <v>69</v>
      </c>
      <c r="F39" s="45" t="s">
        <v>71</v>
      </c>
      <c r="G39" s="85">
        <f ca="1">IFERROR(__xludf.DUMMYFUNCTION("IFERROR(
  IF(A39 = 2008,
    IF(E39 = ""Online"",
      FILTER('Raw PhocalPoint Data'!G:G,
        'Raw PhocalPoint Data'!A:A = 2009,
        'Raw PhocalPoint Data'!D:D = D39,
        'Raw PhocalPoint Data'!E:E = E39,
        'Raw PhocalPoint Data'!F:F ="&amp;" F39
      ) /
      (
        FILTER('Raw PhocalPoint Data'!G:G,
          'Raw PhocalPoint Data'!A:A = 2012,
          'Raw PhocalPoint Data'!D:D = D39,
          'Raw PhocalPoint Data'!E:E = E39,
          'Raw PhocalPoint Data'!F:F = F39
        ) /
 "&amp;"       FILTER('Raw PhocalPoint Data'!G:G,
          'Raw PhocalPoint Data'!A:A = 2011,
          'Raw PhocalPoint Data'!D:D = D39,
          'Raw PhocalPoint Data'!E:E = E39,
          'Raw PhocalPoint Data'!F:F = F39
        )
      ),
      FILTER('Raw "&amp;"PhocalPoint Data'!G:G,
        'Raw PhocalPoint Data'!A:A = 2009,
        'Raw PhocalPoint Data'!D:D = D39,
        'Raw PhocalPoint Data'!E:E = E39,
        'Raw PhocalPoint Data'!F:F = F39
      ) *
      (
        INDEX('Raw GDP data'!$I$2:$M$100,
    "&amp;"      MATCH(D39, 'Raw GDP data'!$H$2:$H$100, 0),
          MATCH(2008, 'Raw GDP data'!$I$1:$M$1, 0)
        ) /
        INDEX('Raw GDP data'!$I$2:$M$100,
          MATCH(D39, 'Raw GDP data'!$H$2:$H$100, 0),
          MATCH(2009, 'Raw GDP data'!$I$1:$M$1, "&amp;"0)
        )
      )
    ),
  IF(A39 &lt; 2008,
    (
      FILTER(G:G,
        A:A = 2008,
        D:D = D39,
        E:E = E39,
        F:F = F39
      ) /
      PRODUCT(
        ARRAYFORMULA(
          (
            (
              FILTER('Raw PhocalPoint"&amp;" Data'!G:G,
                'Raw PhocalPoint Data'!A:A = 2012,
                'Raw PhocalPoint Data'!D:D = D39,
                'Raw PhocalPoint Data'!E:E = E39,
                'Raw PhocalPoint Data'!F:F = F39
              ) /
              FILTER('Raw"&amp;" PhocalPoint Data'!G:G,
                'Raw PhocalPoint Data'!A:A = 2011,
                'Raw PhocalPoint Data'!D:D = D39,
                'Raw PhocalPoint Data'!E:E = E39,
                'Raw PhocalPoint Data'!F:F = F39
              ) -
             "&amp;" ROW(INDIRECT(""1:"" &amp; (2008 - A39))) *
              (
                (
                  FILTER('Raw PhocalPoint Data'!G:G,
                    'Raw PhocalPoint Data'!A:A = 2012,
                    'Raw PhocalPoint Data'!D:D = D39,
                   "&amp;" 'Raw PhocalPoint Data'!E:E = E39,
                    'Raw PhocalPoint Data'!F:F = F39
                  ) /
                  FILTER('Raw PhocalPoint Data'!G:G,
                    'Raw PhocalPoint Data'!A:A = 2011,
                    'Raw PhocalPoint "&amp;"Data'!D:D = D39,
                    'Raw PhocalPoint Data'!E:E = E39,
                    'Raw PhocalPoint Data'!F:F = F39
                  ) - 1
                ) / 5
              )
            )
          )
        )
      )
    ),
    (
      FILTER"&amp;"('Raw PhocalPoint Data'!G:G,
        'Raw PhocalPoint Data'!A:A = 2009,
        'Raw PhocalPoint Data'!D:D = D39,
        'Raw PhocalPoint Data'!E:E = E39,
        'Raw PhocalPoint Data'!F:F = F39
      ) /
      PRODUCT(
        ARRAYFORMULA(
          ("&amp;"
            FILTER('Raw PhocalPoint Data'!G:G,
              'Raw PhocalPoint Data'!A:A = 2012,
              'Raw PhocalPoint Data'!D:D = D39,
              'Raw PhocalPoint Data'!E:E = E39,
              'Raw PhocalPoint Data'!F:F = F39
            ) /"&amp;"
            FILTER('Raw PhocalPoint Data'!G:G,
              'Raw PhocalPoint Data'!A:A = 2011,
              'Raw PhocalPoint Data'!D:D = D39,
              'Raw PhocalPoint Data'!E:E = E39,
              'Raw PhocalPoint Data'!F:F = F39
            ) -"&amp;"
            (ROW(INDIRECT(""1:"" &amp; (2010 - A39))) - 1) *
            (
              (
                FILTER('Raw PhocalPoint Data'!G:G,
                  'Raw PhocalPoint Data'!A:A = 2012,
                  'Raw PhocalPoint Data'!D:D = D39,
           "&amp;"       'Raw PhocalPoint Data'!E:E = E39,
                  'Raw PhocalPoint Data'!F:F = F39
                ) /
                FILTER('Raw PhocalPoint Data'!G:G,
                  'Raw PhocalPoint Data'!A:A = 2011,
                  'Raw PhocalPoint Data"&amp;"'!D:D = D39,
                  'Raw PhocalPoint Data'!E:E = E39,
                  'Raw PhocalPoint Data'!F:F = F39
                ) - 1
              ) / 5
            )
          )
        )
      )
    ) *
    INDEX('Raw GDP data'!$I$2:$M$100,
      M"&amp;"ATCH(D39, 'Raw GDP data'!$H$2:$H$100, 0),
      MATCH(A39, 'Raw GDP data'!$I$1:$M$1, 0)
    )
  )),
  """"
)
"),8154962.88065372)</f>
        <v>8154962.8806537203</v>
      </c>
      <c r="H39" s="86"/>
      <c r="I39" s="87">
        <f ca="1">IFERROR(__xludf.DUMMYFUNCTION("""COMPUTED_VALUE"""),2005)</f>
        <v>2005</v>
      </c>
      <c r="J39" s="88" t="str">
        <f ca="1">IFERROR(__xludf.DUMMYFUNCTION("""COMPUTED_VALUE"""),"U.A.E.")</f>
        <v>U.A.E.</v>
      </c>
      <c r="K39" s="89">
        <f ca="1">IFERROR(
  SUMIFS(
    'New Backfilled Data'!G:G,
    'New Backfilled Data'!A:A, I39,
    'New Backfilled Data'!D:D, J39,
    'New Backfilled Data'!E:E, "Online"
  ) /
  SUMIFS(
    'New Backfilled Data'!G:G,
    'New Backfilled Data'!A:A, I39,
    'New Backfilled Data'!D:D, J39
  ),
  ""
)</f>
        <v>7.836560527462369E-2</v>
      </c>
      <c r="L39" s="90"/>
      <c r="M39" s="90"/>
    </row>
    <row r="40" spans="1:13" ht="17" x14ac:dyDescent="0.2">
      <c r="A40" s="37">
        <v>2005</v>
      </c>
      <c r="B40" s="38" t="s">
        <v>66</v>
      </c>
      <c r="C40" s="38" t="s">
        <v>17</v>
      </c>
      <c r="D40" s="38" t="s">
        <v>16</v>
      </c>
      <c r="E40" s="38" t="s">
        <v>69</v>
      </c>
      <c r="F40" s="38" t="s">
        <v>70</v>
      </c>
      <c r="G40" s="79">
        <f ca="1">IFERROR(__xludf.DUMMYFUNCTION("IFERROR(
  IF(A40 = 2008,
    IF(E40 = ""Online"",
      FILTER('Raw PhocalPoint Data'!G:G,
        'Raw PhocalPoint Data'!A:A = 2009,
        'Raw PhocalPoint Data'!D:D = D40,
        'Raw PhocalPoint Data'!E:E = E40,
        'Raw PhocalPoint Data'!F:F ="&amp;" F40
      ) /
      (
        FILTER('Raw PhocalPoint Data'!G:G,
          'Raw PhocalPoint Data'!A:A = 2012,
          'Raw PhocalPoint Data'!D:D = D40,
          'Raw PhocalPoint Data'!E:E = E40,
          'Raw PhocalPoint Data'!F:F = F40
        ) /
 "&amp;"       FILTER('Raw PhocalPoint Data'!G:G,
          'Raw PhocalPoint Data'!A:A = 2011,
          'Raw PhocalPoint Data'!D:D = D40,
          'Raw PhocalPoint Data'!E:E = E40,
          'Raw PhocalPoint Data'!F:F = F40
        )
      ),
      FILTER('Raw "&amp;"PhocalPoint Data'!G:G,
        'Raw PhocalPoint Data'!A:A = 2009,
        'Raw PhocalPoint Data'!D:D = D40,
        'Raw PhocalPoint Data'!E:E = E40,
        'Raw PhocalPoint Data'!F:F = F40
      ) *
      (
        INDEX('Raw GDP data'!$I$2:$M$100,
    "&amp;"      MATCH(D40, 'Raw GDP data'!$H$2:$H$100, 0),
          MATCH(2008, 'Raw GDP data'!$I$1:$M$1, 0)
        ) /
        INDEX('Raw GDP data'!$I$2:$M$100,
          MATCH(D40, 'Raw GDP data'!$H$2:$H$100, 0),
          MATCH(2009, 'Raw GDP data'!$I$1:$M$1, "&amp;"0)
        )
      )
    ),
  IF(A40 &lt; 2008,
    (
      FILTER(G:G,
        A:A = 2008,
        D:D = D40,
        E:E = E40,
        F:F = F40
      ) /
      PRODUCT(
        ARRAYFORMULA(
          (
            (
              FILTER('Raw PhocalPoint"&amp;" Data'!G:G,
                'Raw PhocalPoint Data'!A:A = 2012,
                'Raw PhocalPoint Data'!D:D = D40,
                'Raw PhocalPoint Data'!E:E = E40,
                'Raw PhocalPoint Data'!F:F = F40
              ) /
              FILTER('Raw"&amp;" PhocalPoint Data'!G:G,
                'Raw PhocalPoint Data'!A:A = 2011,
                'Raw PhocalPoint Data'!D:D = D40,
                'Raw PhocalPoint Data'!E:E = E40,
                'Raw PhocalPoint Data'!F:F = F40
              ) -
             "&amp;" ROW(INDIRECT(""1:"" &amp; (2008 - A40))) *
              (
                (
                  FILTER('Raw PhocalPoint Data'!G:G,
                    'Raw PhocalPoint Data'!A:A = 2012,
                    'Raw PhocalPoint Data'!D:D = D40,
                   "&amp;" 'Raw PhocalPoint Data'!E:E = E40,
                    'Raw PhocalPoint Data'!F:F = F40
                  ) /
                  FILTER('Raw PhocalPoint Data'!G:G,
                    'Raw PhocalPoint Data'!A:A = 2011,
                    'Raw PhocalPoint "&amp;"Data'!D:D = D40,
                    'Raw PhocalPoint Data'!E:E = E40,
                    'Raw PhocalPoint Data'!F:F = F40
                  ) - 1
                ) / 5
              )
            )
          )
        )
      )
    ),
    (
      FILTER"&amp;"('Raw PhocalPoint Data'!G:G,
        'Raw PhocalPoint Data'!A:A = 2009,
        'Raw PhocalPoint Data'!D:D = D40,
        'Raw PhocalPoint Data'!E:E = E40,
        'Raw PhocalPoint Data'!F:F = F40
      ) /
      PRODUCT(
        ARRAYFORMULA(
          ("&amp;"
            FILTER('Raw PhocalPoint Data'!G:G,
              'Raw PhocalPoint Data'!A:A = 2012,
              'Raw PhocalPoint Data'!D:D = D40,
              'Raw PhocalPoint Data'!E:E = E40,
              'Raw PhocalPoint Data'!F:F = F40
            ) /"&amp;"
            FILTER('Raw PhocalPoint Data'!G:G,
              'Raw PhocalPoint Data'!A:A = 2011,
              'Raw PhocalPoint Data'!D:D = D40,
              'Raw PhocalPoint Data'!E:E = E40,
              'Raw PhocalPoint Data'!F:F = F40
            ) -"&amp;"
            (ROW(INDIRECT(""1:"" &amp; (2010 - A40))) - 1) *
            (
              (
                FILTER('Raw PhocalPoint Data'!G:G,
                  'Raw PhocalPoint Data'!A:A = 2012,
                  'Raw PhocalPoint Data'!D:D = D40,
           "&amp;"       'Raw PhocalPoint Data'!E:E = E40,
                  'Raw PhocalPoint Data'!F:F = F40
                ) /
                FILTER('Raw PhocalPoint Data'!G:G,
                  'Raw PhocalPoint Data'!A:A = 2011,
                  'Raw PhocalPoint Data"&amp;"'!D:D = D40,
                  'Raw PhocalPoint Data'!E:E = E40,
                  'Raw PhocalPoint Data'!F:F = F40
                ) - 1
              ) / 5
            )
          )
        )
      )
    ) *
    INDEX('Raw GDP data'!$I$2:$M$100,
      M"&amp;"ATCH(D40, 'Raw GDP data'!$H$2:$H$100, 0),
      MATCH(A40, 'Raw GDP data'!$I$1:$M$1, 0)
    )
  )),
  """"
)
"),41374489.892105)</f>
        <v>41374489.892104998</v>
      </c>
      <c r="H40" s="80"/>
      <c r="I40" s="81">
        <f ca="1">IFERROR(__xludf.DUMMYFUNCTION("""COMPUTED_VALUE"""),2005)</f>
        <v>2005</v>
      </c>
      <c r="J40" s="82" t="str">
        <f ca="1">IFERROR(__xludf.DUMMYFUNCTION("""COMPUTED_VALUE"""),"Canada")</f>
        <v>Canada</v>
      </c>
      <c r="K40" s="83">
        <f ca="1">IFERROR(
  SUMIFS(
    'New Backfilled Data'!G:G,
    'New Backfilled Data'!A:A, I40,
    'New Backfilled Data'!D:D, J40,
    'New Backfilled Data'!E:E, "Online"
  ) /
  SUMIFS(
    'New Backfilled Data'!G:G,
    'New Backfilled Data'!A:A, I40,
    'New Backfilled Data'!D:D, J40
  ),
  ""
)</f>
        <v>0.32136998948078632</v>
      </c>
      <c r="L40" s="84"/>
      <c r="M40" s="84"/>
    </row>
    <row r="41" spans="1:13" ht="17" x14ac:dyDescent="0.2">
      <c r="A41" s="44">
        <v>2005</v>
      </c>
      <c r="B41" s="45" t="s">
        <v>66</v>
      </c>
      <c r="C41" s="45" t="s">
        <v>17</v>
      </c>
      <c r="D41" s="45" t="s">
        <v>18</v>
      </c>
      <c r="E41" s="45" t="s">
        <v>67</v>
      </c>
      <c r="F41" s="45" t="s">
        <v>67</v>
      </c>
      <c r="G41" s="85">
        <f ca="1">IFERROR(__xludf.DUMMYFUNCTION("IFERROR(
  IF(A41 = 2008,
    IF(E41 = ""Online"",
      FILTER('Raw PhocalPoint Data'!G:G,
        'Raw PhocalPoint Data'!A:A = 2009,
        'Raw PhocalPoint Data'!D:D = D41,
        'Raw PhocalPoint Data'!E:E = E41,
        'Raw PhocalPoint Data'!F:F ="&amp;" F41
      ) /
      (
        FILTER('Raw PhocalPoint Data'!G:G,
          'Raw PhocalPoint Data'!A:A = 2012,
          'Raw PhocalPoint Data'!D:D = D41,
          'Raw PhocalPoint Data'!E:E = E41,
          'Raw PhocalPoint Data'!F:F = F41
        ) /
 "&amp;"       FILTER('Raw PhocalPoint Data'!G:G,
          'Raw PhocalPoint Data'!A:A = 2011,
          'Raw PhocalPoint Data'!D:D = D41,
          'Raw PhocalPoint Data'!E:E = E41,
          'Raw PhocalPoint Data'!F:F = F41
        )
      ),
      FILTER('Raw "&amp;"PhocalPoint Data'!G:G,
        'Raw PhocalPoint Data'!A:A = 2009,
        'Raw PhocalPoint Data'!D:D = D41,
        'Raw PhocalPoint Data'!E:E = E41,
        'Raw PhocalPoint Data'!F:F = F41
      ) *
      (
        INDEX('Raw GDP data'!$I$2:$M$100,
    "&amp;"      MATCH(D41, 'Raw GDP data'!$H$2:$H$100, 0),
          MATCH(2008, 'Raw GDP data'!$I$1:$M$1, 0)
        ) /
        INDEX('Raw GDP data'!$I$2:$M$100,
          MATCH(D41, 'Raw GDP data'!$H$2:$H$100, 0),
          MATCH(2009, 'Raw GDP data'!$I$1:$M$1, "&amp;"0)
        )
      )
    ),
  IF(A41 &lt; 2008,
    (
      FILTER(G:G,
        A:A = 2008,
        D:D = D41,
        E:E = E41,
        F:F = F41
      ) /
      PRODUCT(
        ARRAYFORMULA(
          (
            (
              FILTER('Raw PhocalPoint"&amp;" Data'!G:G,
                'Raw PhocalPoint Data'!A:A = 2012,
                'Raw PhocalPoint Data'!D:D = D41,
                'Raw PhocalPoint Data'!E:E = E41,
                'Raw PhocalPoint Data'!F:F = F41
              ) /
              FILTER('Raw"&amp;" PhocalPoint Data'!G:G,
                'Raw PhocalPoint Data'!A:A = 2011,
                'Raw PhocalPoint Data'!D:D = D41,
                'Raw PhocalPoint Data'!E:E = E41,
                'Raw PhocalPoint Data'!F:F = F41
              ) -
             "&amp;" ROW(INDIRECT(""1:"" &amp; (2008 - A41))) *
              (
                (
                  FILTER('Raw PhocalPoint Data'!G:G,
                    'Raw PhocalPoint Data'!A:A = 2012,
                    'Raw PhocalPoint Data'!D:D = D41,
                   "&amp;" 'Raw PhocalPoint Data'!E:E = E41,
                    'Raw PhocalPoint Data'!F:F = F41
                  ) /
                  FILTER('Raw PhocalPoint Data'!G:G,
                    'Raw PhocalPoint Data'!A:A = 2011,
                    'Raw PhocalPoint "&amp;"Data'!D:D = D41,
                    'Raw PhocalPoint Data'!E:E = E41,
                    'Raw PhocalPoint Data'!F:F = F41
                  ) - 1
                ) / 5
              )
            )
          )
        )
      )
    ),
    (
      FILTER"&amp;"('Raw PhocalPoint Data'!G:G,
        'Raw PhocalPoint Data'!A:A = 2009,
        'Raw PhocalPoint Data'!D:D = D41,
        'Raw PhocalPoint Data'!E:E = E41,
        'Raw PhocalPoint Data'!F:F = F41
      ) /
      PRODUCT(
        ARRAYFORMULA(
          ("&amp;"
            FILTER('Raw PhocalPoint Data'!G:G,
              'Raw PhocalPoint Data'!A:A = 2012,
              'Raw PhocalPoint Data'!D:D = D41,
              'Raw PhocalPoint Data'!E:E = E41,
              'Raw PhocalPoint Data'!F:F = F41
            ) /"&amp;"
            FILTER('Raw PhocalPoint Data'!G:G,
              'Raw PhocalPoint Data'!A:A = 2011,
              'Raw PhocalPoint Data'!D:D = D41,
              'Raw PhocalPoint Data'!E:E = E41,
              'Raw PhocalPoint Data'!F:F = F41
            ) -"&amp;"
            (ROW(INDIRECT(""1:"" &amp; (2010 - A41))) - 1) *
            (
              (
                FILTER('Raw PhocalPoint Data'!G:G,
                  'Raw PhocalPoint Data'!A:A = 2012,
                  'Raw PhocalPoint Data'!D:D = D41,
           "&amp;"       'Raw PhocalPoint Data'!E:E = E41,
                  'Raw PhocalPoint Data'!F:F = F41
                ) /
                FILTER('Raw PhocalPoint Data'!G:G,
                  'Raw PhocalPoint Data'!A:A = 2011,
                  'Raw PhocalPoint Data"&amp;"'!D:D = D41,
                  'Raw PhocalPoint Data'!E:E = E41,
                  'Raw PhocalPoint Data'!F:F = F41
                ) - 1
              ) / 5
            )
          )
        )
      )
    ) *
    INDEX('Raw GDP data'!$I$2:$M$100,
      M"&amp;"ATCH(D41, 'Raw GDP data'!$H$2:$H$100, 0),
      MATCH(A41, 'Raw GDP data'!$I$1:$M$1, 0)
    )
  )),
  """"
)
"),3102597945.2278)</f>
        <v>3102597945.2277999</v>
      </c>
      <c r="H41" s="86"/>
      <c r="I41" s="87">
        <f ca="1">IFERROR(__xludf.DUMMYFUNCTION("""COMPUTED_VALUE"""),2005)</f>
        <v>2005</v>
      </c>
      <c r="J41" s="88" t="str">
        <f ca="1">IFERROR(__xludf.DUMMYFUNCTION("""COMPUTED_VALUE"""),"U.S.")</f>
        <v>U.S.</v>
      </c>
      <c r="K41" s="89">
        <f ca="1">IFERROR(
  SUMIFS(
    'New Backfilled Data'!G:G,
    'New Backfilled Data'!A:A, I41,
    'New Backfilled Data'!D:D, J41,
    'New Backfilled Data'!E:E, "Online"
  ) /
  SUMIFS(
    'New Backfilled Data'!G:G,
    'New Backfilled Data'!A:A, I41,
    'New Backfilled Data'!D:D, J41
  ),
  ""
)</f>
        <v>0.17578921618222318</v>
      </c>
      <c r="L41" s="90"/>
      <c r="M41" s="90"/>
    </row>
    <row r="42" spans="1:13" ht="34" x14ac:dyDescent="0.2">
      <c r="A42" s="37">
        <v>2005</v>
      </c>
      <c r="B42" s="38" t="s">
        <v>66</v>
      </c>
      <c r="C42" s="38" t="s">
        <v>17</v>
      </c>
      <c r="D42" s="38" t="s">
        <v>18</v>
      </c>
      <c r="E42" s="38" t="s">
        <v>69</v>
      </c>
      <c r="F42" s="38" t="s">
        <v>71</v>
      </c>
      <c r="G42" s="79">
        <f ca="1">IFERROR(__xludf.DUMMYFUNCTION("IFERROR(
  IF(A42 = 2008,
    IF(E42 = ""Online"",
      FILTER('Raw PhocalPoint Data'!G:G,
        'Raw PhocalPoint Data'!A:A = 2009,
        'Raw PhocalPoint Data'!D:D = D42,
        'Raw PhocalPoint Data'!E:E = E42,
        'Raw PhocalPoint Data'!F:F ="&amp;" F42
      ) /
      (
        FILTER('Raw PhocalPoint Data'!G:G,
          'Raw PhocalPoint Data'!A:A = 2012,
          'Raw PhocalPoint Data'!D:D = D42,
          'Raw PhocalPoint Data'!E:E = E42,
          'Raw PhocalPoint Data'!F:F = F42
        ) /
 "&amp;"       FILTER('Raw PhocalPoint Data'!G:G,
          'Raw PhocalPoint Data'!A:A = 2011,
          'Raw PhocalPoint Data'!D:D = D42,
          'Raw PhocalPoint Data'!E:E = E42,
          'Raw PhocalPoint Data'!F:F = F42
        )
      ),
      FILTER('Raw "&amp;"PhocalPoint Data'!G:G,
        'Raw PhocalPoint Data'!A:A = 2009,
        'Raw PhocalPoint Data'!D:D = D42,
        'Raw PhocalPoint Data'!E:E = E42,
        'Raw PhocalPoint Data'!F:F = F42
      ) *
      (
        INDEX('Raw GDP data'!$I$2:$M$100,
    "&amp;"      MATCH(D42, 'Raw GDP data'!$H$2:$H$100, 0),
          MATCH(2008, 'Raw GDP data'!$I$1:$M$1, 0)
        ) /
        INDEX('Raw GDP data'!$I$2:$M$100,
          MATCH(D42, 'Raw GDP data'!$H$2:$H$100, 0),
          MATCH(2009, 'Raw GDP data'!$I$1:$M$1, "&amp;"0)
        )
      )
    ),
  IF(A42 &lt; 2008,
    (
      FILTER(G:G,
        A:A = 2008,
        D:D = D42,
        E:E = E42,
        F:F = F42
      ) /
      PRODUCT(
        ARRAYFORMULA(
          (
            (
              FILTER('Raw PhocalPoint"&amp;" Data'!G:G,
                'Raw PhocalPoint Data'!A:A = 2012,
                'Raw PhocalPoint Data'!D:D = D42,
                'Raw PhocalPoint Data'!E:E = E42,
                'Raw PhocalPoint Data'!F:F = F42
              ) /
              FILTER('Raw"&amp;" PhocalPoint Data'!G:G,
                'Raw PhocalPoint Data'!A:A = 2011,
                'Raw PhocalPoint Data'!D:D = D42,
                'Raw PhocalPoint Data'!E:E = E42,
                'Raw PhocalPoint Data'!F:F = F42
              ) -
             "&amp;" ROW(INDIRECT(""1:"" &amp; (2008 - A42))) *
              (
                (
                  FILTER('Raw PhocalPoint Data'!G:G,
                    'Raw PhocalPoint Data'!A:A = 2012,
                    'Raw PhocalPoint Data'!D:D = D42,
                   "&amp;" 'Raw PhocalPoint Data'!E:E = E42,
                    'Raw PhocalPoint Data'!F:F = F42
                  ) /
                  FILTER('Raw PhocalPoint Data'!G:G,
                    'Raw PhocalPoint Data'!A:A = 2011,
                    'Raw PhocalPoint "&amp;"Data'!D:D = D42,
                    'Raw PhocalPoint Data'!E:E = E42,
                    'Raw PhocalPoint Data'!F:F = F42
                  ) - 1
                ) / 5
              )
            )
          )
        )
      )
    ),
    (
      FILTER"&amp;"('Raw PhocalPoint Data'!G:G,
        'Raw PhocalPoint Data'!A:A = 2009,
        'Raw PhocalPoint Data'!D:D = D42,
        'Raw PhocalPoint Data'!E:E = E42,
        'Raw PhocalPoint Data'!F:F = F42
      ) /
      PRODUCT(
        ARRAYFORMULA(
          ("&amp;"
            FILTER('Raw PhocalPoint Data'!G:G,
              'Raw PhocalPoint Data'!A:A = 2012,
              'Raw PhocalPoint Data'!D:D = D42,
              'Raw PhocalPoint Data'!E:E = E42,
              'Raw PhocalPoint Data'!F:F = F42
            ) /"&amp;"
            FILTER('Raw PhocalPoint Data'!G:G,
              'Raw PhocalPoint Data'!A:A = 2011,
              'Raw PhocalPoint Data'!D:D = D42,
              'Raw PhocalPoint Data'!E:E = E42,
              'Raw PhocalPoint Data'!F:F = F42
            ) -"&amp;"
            (ROW(INDIRECT(""1:"" &amp; (2010 - A42))) - 1) *
            (
              (
                FILTER('Raw PhocalPoint Data'!G:G,
                  'Raw PhocalPoint Data'!A:A = 2012,
                  'Raw PhocalPoint Data'!D:D = D42,
           "&amp;"       'Raw PhocalPoint Data'!E:E = E42,
                  'Raw PhocalPoint Data'!F:F = F42
                ) /
                FILTER('Raw PhocalPoint Data'!G:G,
                  'Raw PhocalPoint Data'!A:A = 2011,
                  'Raw PhocalPoint Data"&amp;"'!D:D = D42,
                  'Raw PhocalPoint Data'!E:E = E42,
                  'Raw PhocalPoint Data'!F:F = F42
                ) - 1
              ) / 5
            )
          )
        )
      )
    ) *
    INDEX('Raw GDP data'!$I$2:$M$100,
      M"&amp;"ATCH(D42, 'Raw GDP data'!$H$2:$H$100, 0),
      MATCH(A42, 'Raw GDP data'!$I$1:$M$1, 0)
    )
  )),
  """"
)
"),202865131.746023)</f>
        <v>202865131.746023</v>
      </c>
      <c r="H42" s="80"/>
      <c r="I42" s="81">
        <f ca="1">IFERROR(__xludf.DUMMYFUNCTION("""COMPUTED_VALUE"""),2006)</f>
        <v>2006</v>
      </c>
      <c r="J42" s="82" t="str">
        <f ca="1">IFERROR(__xludf.DUMMYFUNCTION("""COMPUTED_VALUE"""),"Australia-New Zealand")</f>
        <v>Australia-New Zealand</v>
      </c>
      <c r="K42" s="83">
        <f ca="1">IFERROR(
  SUMIFS(
    'New Backfilled Data'!G:G,
    'New Backfilled Data'!A:A, I42,
    'New Backfilled Data'!D:D, J42,
    'New Backfilled Data'!E:E, "Online"
  ) /
  SUMIFS(
    'New Backfilled Data'!G:G,
    'New Backfilled Data'!A:A, I42,
    'New Backfilled Data'!D:D, J42
  ),
  ""
)</f>
        <v>0.2642959673853954</v>
      </c>
      <c r="L42" s="84"/>
      <c r="M42" s="84"/>
    </row>
    <row r="43" spans="1:13" ht="17" x14ac:dyDescent="0.2">
      <c r="A43" s="44">
        <v>2005</v>
      </c>
      <c r="B43" s="45" t="s">
        <v>66</v>
      </c>
      <c r="C43" s="45" t="s">
        <v>17</v>
      </c>
      <c r="D43" s="45" t="s">
        <v>18</v>
      </c>
      <c r="E43" s="45" t="s">
        <v>69</v>
      </c>
      <c r="F43" s="45" t="s">
        <v>70</v>
      </c>
      <c r="G43" s="85">
        <f ca="1">IFERROR(__xludf.DUMMYFUNCTION("IFERROR(
  IF(A43 = 2008,
    IF(E43 = ""Online"",
      FILTER('Raw PhocalPoint Data'!G:G,
        'Raw PhocalPoint Data'!A:A = 2009,
        'Raw PhocalPoint Data'!D:D = D43,
        'Raw PhocalPoint Data'!E:E = E43,
        'Raw PhocalPoint Data'!F:F ="&amp;" F43
      ) /
      (
        FILTER('Raw PhocalPoint Data'!G:G,
          'Raw PhocalPoint Data'!A:A = 2012,
          'Raw PhocalPoint Data'!D:D = D43,
          'Raw PhocalPoint Data'!E:E = E43,
          'Raw PhocalPoint Data'!F:F = F43
        ) /
 "&amp;"       FILTER('Raw PhocalPoint Data'!G:G,
          'Raw PhocalPoint Data'!A:A = 2011,
          'Raw PhocalPoint Data'!D:D = D43,
          'Raw PhocalPoint Data'!E:E = E43,
          'Raw PhocalPoint Data'!F:F = F43
        )
      ),
      FILTER('Raw "&amp;"PhocalPoint Data'!G:G,
        'Raw PhocalPoint Data'!A:A = 2009,
        'Raw PhocalPoint Data'!D:D = D43,
        'Raw PhocalPoint Data'!E:E = E43,
        'Raw PhocalPoint Data'!F:F = F43
      ) *
      (
        INDEX('Raw GDP data'!$I$2:$M$100,
    "&amp;"      MATCH(D43, 'Raw GDP data'!$H$2:$H$100, 0),
          MATCH(2008, 'Raw GDP data'!$I$1:$M$1, 0)
        ) /
        INDEX('Raw GDP data'!$I$2:$M$100,
          MATCH(D43, 'Raw GDP data'!$H$2:$H$100, 0),
          MATCH(2009, 'Raw GDP data'!$I$1:$M$1, "&amp;"0)
        )
      )
    ),
  IF(A43 &lt; 2008,
    (
      FILTER(G:G,
        A:A = 2008,
        D:D = D43,
        E:E = E43,
        F:F = F43
      ) /
      PRODUCT(
        ARRAYFORMULA(
          (
            (
              FILTER('Raw PhocalPoint"&amp;" Data'!G:G,
                'Raw PhocalPoint Data'!A:A = 2012,
                'Raw PhocalPoint Data'!D:D = D43,
                'Raw PhocalPoint Data'!E:E = E43,
                'Raw PhocalPoint Data'!F:F = F43
              ) /
              FILTER('Raw"&amp;" PhocalPoint Data'!G:G,
                'Raw PhocalPoint Data'!A:A = 2011,
                'Raw PhocalPoint Data'!D:D = D43,
                'Raw PhocalPoint Data'!E:E = E43,
                'Raw PhocalPoint Data'!F:F = F43
              ) -
             "&amp;" ROW(INDIRECT(""1:"" &amp; (2008 - A43))) *
              (
                (
                  FILTER('Raw PhocalPoint Data'!G:G,
                    'Raw PhocalPoint Data'!A:A = 2012,
                    'Raw PhocalPoint Data'!D:D = D43,
                   "&amp;" 'Raw PhocalPoint Data'!E:E = E43,
                    'Raw PhocalPoint Data'!F:F = F43
                  ) /
                  FILTER('Raw PhocalPoint Data'!G:G,
                    'Raw PhocalPoint Data'!A:A = 2011,
                    'Raw PhocalPoint "&amp;"Data'!D:D = D43,
                    'Raw PhocalPoint Data'!E:E = E43,
                    'Raw PhocalPoint Data'!F:F = F43
                  ) - 1
                ) / 5
              )
            )
          )
        )
      )
    ),
    (
      FILTER"&amp;"('Raw PhocalPoint Data'!G:G,
        'Raw PhocalPoint Data'!A:A = 2009,
        'Raw PhocalPoint Data'!D:D = D43,
        'Raw PhocalPoint Data'!E:E = E43,
        'Raw PhocalPoint Data'!F:F = F43
      ) /
      PRODUCT(
        ARRAYFORMULA(
          ("&amp;"
            FILTER('Raw PhocalPoint Data'!G:G,
              'Raw PhocalPoint Data'!A:A = 2012,
              'Raw PhocalPoint Data'!D:D = D43,
              'Raw PhocalPoint Data'!E:E = E43,
              'Raw PhocalPoint Data'!F:F = F43
            ) /"&amp;"
            FILTER('Raw PhocalPoint Data'!G:G,
              'Raw PhocalPoint Data'!A:A = 2011,
              'Raw PhocalPoint Data'!D:D = D43,
              'Raw PhocalPoint Data'!E:E = E43,
              'Raw PhocalPoint Data'!F:F = F43
            ) -"&amp;"
            (ROW(INDIRECT(""1:"" &amp; (2010 - A43))) - 1) *
            (
              (
                FILTER('Raw PhocalPoint Data'!G:G,
                  'Raw PhocalPoint Data'!A:A = 2012,
                  'Raw PhocalPoint Data'!D:D = D43,
           "&amp;"       'Raw PhocalPoint Data'!E:E = E43,
                  'Raw PhocalPoint Data'!F:F = F43
                ) /
                FILTER('Raw PhocalPoint Data'!G:G,
                  'Raw PhocalPoint Data'!A:A = 2011,
                  'Raw PhocalPoint Data"&amp;"'!D:D = D43,
                  'Raw PhocalPoint Data'!E:E = E43,
                  'Raw PhocalPoint Data'!F:F = F43
                ) - 1
              ) / 5
            )
          )
        )
      )
    ) *
    INDEX('Raw GDP data'!$I$2:$M$100,
      M"&amp;"ATCH(D43, 'Raw GDP data'!$H$2:$H$100, 0),
      MATCH(A43, 'Raw GDP data'!$I$1:$M$1, 0)
    )
  )),
  """"
)
"),160295038.580025)</f>
        <v>160295038.58002499</v>
      </c>
      <c r="H43" s="86"/>
      <c r="I43" s="87">
        <f ca="1">IFERROR(__xludf.DUMMYFUNCTION("""COMPUTED_VALUE"""),2006)</f>
        <v>2006</v>
      </c>
      <c r="J43" s="88" t="str">
        <f ca="1">IFERROR(__xludf.DUMMYFUNCTION("""COMPUTED_VALUE"""),"China")</f>
        <v>China</v>
      </c>
      <c r="K43" s="89">
        <f ca="1">IFERROR(
  SUMIFS(
    'New Backfilled Data'!G:G,
    'New Backfilled Data'!A:A, I43,
    'New Backfilled Data'!D:D, J43,
    'New Backfilled Data'!E:E, "Online"
  ) /
  SUMIFS(
    'New Backfilled Data'!G:G,
    'New Backfilled Data'!A:A, I43,
    'New Backfilled Data'!D:D, J43
  ),
  ""
)</f>
        <v>3.7844473528994553E-2</v>
      </c>
      <c r="L43" s="90"/>
      <c r="M43" s="90"/>
    </row>
    <row r="44" spans="1:13" ht="17" x14ac:dyDescent="0.2">
      <c r="A44" s="37">
        <v>2005</v>
      </c>
      <c r="B44" s="38" t="s">
        <v>66</v>
      </c>
      <c r="C44" s="38" t="s">
        <v>17</v>
      </c>
      <c r="D44" s="38" t="s">
        <v>19</v>
      </c>
      <c r="E44" s="38" t="s">
        <v>67</v>
      </c>
      <c r="F44" s="38" t="s">
        <v>67</v>
      </c>
      <c r="G44" s="79">
        <f ca="1">IFERROR(__xludf.DUMMYFUNCTION("IFERROR(
  IF(A44 = 2008,
    IF(E44 = ""Online"",
      FILTER('Raw PhocalPoint Data'!G:G,
        'Raw PhocalPoint Data'!A:A = 2009,
        'Raw PhocalPoint Data'!D:D = D44,
        'Raw PhocalPoint Data'!E:E = E44,
        'Raw PhocalPoint Data'!F:F ="&amp;" F44
      ) /
      (
        FILTER('Raw PhocalPoint Data'!G:G,
          'Raw PhocalPoint Data'!A:A = 2012,
          'Raw PhocalPoint Data'!D:D = D44,
          'Raw PhocalPoint Data'!E:E = E44,
          'Raw PhocalPoint Data'!F:F = F44
        ) /
 "&amp;"       FILTER('Raw PhocalPoint Data'!G:G,
          'Raw PhocalPoint Data'!A:A = 2011,
          'Raw PhocalPoint Data'!D:D = D44,
          'Raw PhocalPoint Data'!E:E = E44,
          'Raw PhocalPoint Data'!F:F = F44
        )
      ),
      FILTER('Raw "&amp;"PhocalPoint Data'!G:G,
        'Raw PhocalPoint Data'!A:A = 2009,
        'Raw PhocalPoint Data'!D:D = D44,
        'Raw PhocalPoint Data'!E:E = E44,
        'Raw PhocalPoint Data'!F:F = F44
      ) *
      (
        INDEX('Raw GDP data'!$I$2:$M$100,
    "&amp;"      MATCH(D44, 'Raw GDP data'!$H$2:$H$100, 0),
          MATCH(2008, 'Raw GDP data'!$I$1:$M$1, 0)
        ) /
        INDEX('Raw GDP data'!$I$2:$M$100,
          MATCH(D44, 'Raw GDP data'!$H$2:$H$100, 0),
          MATCH(2009, 'Raw GDP data'!$I$1:$M$1, "&amp;"0)
        )
      )
    ),
  IF(A44 &lt; 2008,
    (
      FILTER(G:G,
        A:A = 2008,
        D:D = D44,
        E:E = E44,
        F:F = F44
      ) /
      PRODUCT(
        ARRAYFORMULA(
          (
            (
              FILTER('Raw PhocalPoint"&amp;" Data'!G:G,
                'Raw PhocalPoint Data'!A:A = 2012,
                'Raw PhocalPoint Data'!D:D = D44,
                'Raw PhocalPoint Data'!E:E = E44,
                'Raw PhocalPoint Data'!F:F = F44
              ) /
              FILTER('Raw"&amp;" PhocalPoint Data'!G:G,
                'Raw PhocalPoint Data'!A:A = 2011,
                'Raw PhocalPoint Data'!D:D = D44,
                'Raw PhocalPoint Data'!E:E = E44,
                'Raw PhocalPoint Data'!F:F = F44
              ) -
             "&amp;" ROW(INDIRECT(""1:"" &amp; (2008 - A44))) *
              (
                (
                  FILTER('Raw PhocalPoint Data'!G:G,
                    'Raw PhocalPoint Data'!A:A = 2012,
                    'Raw PhocalPoint Data'!D:D = D44,
                   "&amp;" 'Raw PhocalPoint Data'!E:E = E44,
                    'Raw PhocalPoint Data'!F:F = F44
                  ) /
                  FILTER('Raw PhocalPoint Data'!G:G,
                    'Raw PhocalPoint Data'!A:A = 2011,
                    'Raw PhocalPoint "&amp;"Data'!D:D = D44,
                    'Raw PhocalPoint Data'!E:E = E44,
                    'Raw PhocalPoint Data'!F:F = F44
                  ) - 1
                ) / 5
              )
            )
          )
        )
      )
    ),
    (
      FILTER"&amp;"('Raw PhocalPoint Data'!G:G,
        'Raw PhocalPoint Data'!A:A = 2009,
        'Raw PhocalPoint Data'!D:D = D44,
        'Raw PhocalPoint Data'!E:E = E44,
        'Raw PhocalPoint Data'!F:F = F44
      ) /
      PRODUCT(
        ARRAYFORMULA(
          ("&amp;"
            FILTER('Raw PhocalPoint Data'!G:G,
              'Raw PhocalPoint Data'!A:A = 2012,
              'Raw PhocalPoint Data'!D:D = D44,
              'Raw PhocalPoint Data'!E:E = E44,
              'Raw PhocalPoint Data'!F:F = F44
            ) /"&amp;"
            FILTER('Raw PhocalPoint Data'!G:G,
              'Raw PhocalPoint Data'!A:A = 2011,
              'Raw PhocalPoint Data'!D:D = D44,
              'Raw PhocalPoint Data'!E:E = E44,
              'Raw PhocalPoint Data'!F:F = F44
            ) -"&amp;"
            (ROW(INDIRECT(""1:"" &amp; (2010 - A44))) - 1) *
            (
              (
                FILTER('Raw PhocalPoint Data'!G:G,
                  'Raw PhocalPoint Data'!A:A = 2012,
                  'Raw PhocalPoint Data'!D:D = D44,
           "&amp;"       'Raw PhocalPoint Data'!E:E = E44,
                  'Raw PhocalPoint Data'!F:F = F44
                ) /
                FILTER('Raw PhocalPoint Data'!G:G,
                  'Raw PhocalPoint Data'!A:A = 2011,
                  'Raw PhocalPoint Data"&amp;"'!D:D = D44,
                  'Raw PhocalPoint Data'!E:E = E44,
                  'Raw PhocalPoint Data'!F:F = F44
                ) - 1
              ) / 5
            )
          )
        )
      )
    ) *
    INDEX('Raw GDP data'!$I$2:$M$100,
      M"&amp;"ATCH(D44, 'Raw GDP data'!$H$2:$H$100, 0),
      MATCH(A44, 'Raw GDP data'!$I$1:$M$1, 0)
    )
  )),
  """"
)
"),9659991711.88085)</f>
        <v>9659991711.8808498</v>
      </c>
      <c r="H44" s="80"/>
      <c r="I44" s="81">
        <f ca="1">IFERROR(__xludf.DUMMYFUNCTION("""COMPUTED_VALUE"""),2006)</f>
        <v>2006</v>
      </c>
      <c r="J44" s="82" t="str">
        <f ca="1">IFERROR(__xludf.DUMMYFUNCTION("""COMPUTED_VALUE"""),"Hong Kong")</f>
        <v>Hong Kong</v>
      </c>
      <c r="K44" s="83">
        <f ca="1">IFERROR(
  SUMIFS(
    'New Backfilled Data'!G:G,
    'New Backfilled Data'!A:A, I44,
    'New Backfilled Data'!D:D, J44,
    'New Backfilled Data'!E:E, "Online"
  ) /
  SUMIFS(
    'New Backfilled Data'!G:G,
    'New Backfilled Data'!A:A, I44,
    'New Backfilled Data'!D:D, J44
  ),
  ""
)</f>
        <v>3.0022000071151255E-2</v>
      </c>
      <c r="L44" s="84"/>
      <c r="M44" s="84"/>
    </row>
    <row r="45" spans="1:13" ht="17" x14ac:dyDescent="0.2">
      <c r="A45" s="44">
        <v>2005</v>
      </c>
      <c r="B45" s="45" t="s">
        <v>66</v>
      </c>
      <c r="C45" s="45" t="s">
        <v>17</v>
      </c>
      <c r="D45" s="45" t="s">
        <v>19</v>
      </c>
      <c r="E45" s="45" t="s">
        <v>69</v>
      </c>
      <c r="F45" s="45" t="s">
        <v>71</v>
      </c>
      <c r="G45" s="85">
        <f ca="1">IFERROR(__xludf.DUMMYFUNCTION("IFERROR(
  IF(A45 = 2008,
    IF(E45 = ""Online"",
      FILTER('Raw PhocalPoint Data'!G:G,
        'Raw PhocalPoint Data'!A:A = 2009,
        'Raw PhocalPoint Data'!D:D = D45,
        'Raw PhocalPoint Data'!E:E = E45,
        'Raw PhocalPoint Data'!F:F ="&amp;" F45
      ) /
      (
        FILTER('Raw PhocalPoint Data'!G:G,
          'Raw PhocalPoint Data'!A:A = 2012,
          'Raw PhocalPoint Data'!D:D = D45,
          'Raw PhocalPoint Data'!E:E = E45,
          'Raw PhocalPoint Data'!F:F = F45
        ) /
 "&amp;"       FILTER('Raw PhocalPoint Data'!G:G,
          'Raw PhocalPoint Data'!A:A = 2011,
          'Raw PhocalPoint Data'!D:D = D45,
          'Raw PhocalPoint Data'!E:E = E45,
          'Raw PhocalPoint Data'!F:F = F45
        )
      ),
      FILTER('Raw "&amp;"PhocalPoint Data'!G:G,
        'Raw PhocalPoint Data'!A:A = 2009,
        'Raw PhocalPoint Data'!D:D = D45,
        'Raw PhocalPoint Data'!E:E = E45,
        'Raw PhocalPoint Data'!F:F = F45
      ) *
      (
        INDEX('Raw GDP data'!$I$2:$M$100,
    "&amp;"      MATCH(D45, 'Raw GDP data'!$H$2:$H$100, 0),
          MATCH(2008, 'Raw GDP data'!$I$1:$M$1, 0)
        ) /
        INDEX('Raw GDP data'!$I$2:$M$100,
          MATCH(D45, 'Raw GDP data'!$H$2:$H$100, 0),
          MATCH(2009, 'Raw GDP data'!$I$1:$M$1, "&amp;"0)
        )
      )
    ),
  IF(A45 &lt; 2008,
    (
      FILTER(G:G,
        A:A = 2008,
        D:D = D45,
        E:E = E45,
        F:F = F45
      ) /
      PRODUCT(
        ARRAYFORMULA(
          (
            (
              FILTER('Raw PhocalPoint"&amp;" Data'!G:G,
                'Raw PhocalPoint Data'!A:A = 2012,
                'Raw PhocalPoint Data'!D:D = D45,
                'Raw PhocalPoint Data'!E:E = E45,
                'Raw PhocalPoint Data'!F:F = F45
              ) /
              FILTER('Raw"&amp;" PhocalPoint Data'!G:G,
                'Raw PhocalPoint Data'!A:A = 2011,
                'Raw PhocalPoint Data'!D:D = D45,
                'Raw PhocalPoint Data'!E:E = E45,
                'Raw PhocalPoint Data'!F:F = F45
              ) -
             "&amp;" ROW(INDIRECT(""1:"" &amp; (2008 - A45))) *
              (
                (
                  FILTER('Raw PhocalPoint Data'!G:G,
                    'Raw PhocalPoint Data'!A:A = 2012,
                    'Raw PhocalPoint Data'!D:D = D45,
                   "&amp;" 'Raw PhocalPoint Data'!E:E = E45,
                    'Raw PhocalPoint Data'!F:F = F45
                  ) /
                  FILTER('Raw PhocalPoint Data'!G:G,
                    'Raw PhocalPoint Data'!A:A = 2011,
                    'Raw PhocalPoint "&amp;"Data'!D:D = D45,
                    'Raw PhocalPoint Data'!E:E = E45,
                    'Raw PhocalPoint Data'!F:F = F45
                  ) - 1
                ) / 5
              )
            )
          )
        )
      )
    ),
    (
      FILTER"&amp;"('Raw PhocalPoint Data'!G:G,
        'Raw PhocalPoint Data'!A:A = 2009,
        'Raw PhocalPoint Data'!D:D = D45,
        'Raw PhocalPoint Data'!E:E = E45,
        'Raw PhocalPoint Data'!F:F = F45
      ) /
      PRODUCT(
        ARRAYFORMULA(
          ("&amp;"
            FILTER('Raw PhocalPoint Data'!G:G,
              'Raw PhocalPoint Data'!A:A = 2012,
              'Raw PhocalPoint Data'!D:D = D45,
              'Raw PhocalPoint Data'!E:E = E45,
              'Raw PhocalPoint Data'!F:F = F45
            ) /"&amp;"
            FILTER('Raw PhocalPoint Data'!G:G,
              'Raw PhocalPoint Data'!A:A = 2011,
              'Raw PhocalPoint Data'!D:D = D45,
              'Raw PhocalPoint Data'!E:E = E45,
              'Raw PhocalPoint Data'!F:F = F45
            ) -"&amp;"
            (ROW(INDIRECT(""1:"" &amp; (2010 - A45))) - 1) *
            (
              (
                FILTER('Raw PhocalPoint Data'!G:G,
                  'Raw PhocalPoint Data'!A:A = 2012,
                  'Raw PhocalPoint Data'!D:D = D45,
           "&amp;"       'Raw PhocalPoint Data'!E:E = E45,
                  'Raw PhocalPoint Data'!F:F = F45
                ) /
                FILTER('Raw PhocalPoint Data'!G:G,
                  'Raw PhocalPoint Data'!A:A = 2011,
                  'Raw PhocalPoint Data"&amp;"'!D:D = D45,
                  'Raw PhocalPoint Data'!E:E = E45,
                  'Raw PhocalPoint Data'!F:F = F45
                ) - 1
              ) / 5
            )
          )
        )
      )
    ) *
    INDEX('Raw GDP data'!$I$2:$M$100,
      M"&amp;"ATCH(D45, 'Raw GDP data'!$H$2:$H$100, 0),
      MATCH(A45, 'Raw GDP data'!$I$1:$M$1, 0)
    )
  )),
  """"
)
"),315604590.430273)</f>
        <v>315604590.430273</v>
      </c>
      <c r="H45" s="86"/>
      <c r="I45" s="87">
        <f ca="1">IFERROR(__xludf.DUMMYFUNCTION("""COMPUTED_VALUE"""),2006)</f>
        <v>2006</v>
      </c>
      <c r="J45" s="88" t="str">
        <f ca="1">IFERROR(__xludf.DUMMYFUNCTION("""COMPUTED_VALUE"""),"India")</f>
        <v>India</v>
      </c>
      <c r="K45" s="89">
        <f ca="1">IFERROR(
  SUMIFS(
    'New Backfilled Data'!G:G,
    'New Backfilled Data'!A:A, I45,
    'New Backfilled Data'!D:D, J45,
    'New Backfilled Data'!E:E, "Online"
  ) /
  SUMIFS(
    'New Backfilled Data'!G:G,
    'New Backfilled Data'!A:A, I45,
    'New Backfilled Data'!D:D, J45
  ),
  ""
)</f>
        <v>0.23630587879770412</v>
      </c>
      <c r="L45" s="90"/>
      <c r="M45" s="90"/>
    </row>
    <row r="46" spans="1:13" ht="17" x14ac:dyDescent="0.2">
      <c r="A46" s="37">
        <v>2005</v>
      </c>
      <c r="B46" s="38" t="s">
        <v>66</v>
      </c>
      <c r="C46" s="38" t="s">
        <v>17</v>
      </c>
      <c r="D46" s="38" t="s">
        <v>19</v>
      </c>
      <c r="E46" s="38" t="s">
        <v>69</v>
      </c>
      <c r="F46" s="38" t="s">
        <v>70</v>
      </c>
      <c r="G46" s="79">
        <f ca="1">IFERROR(__xludf.DUMMYFUNCTION("IFERROR(
  IF(A46 = 2008,
    IF(E46 = ""Online"",
      FILTER('Raw PhocalPoint Data'!G:G,
        'Raw PhocalPoint Data'!A:A = 2009,
        'Raw PhocalPoint Data'!D:D = D46,
        'Raw PhocalPoint Data'!E:E = E46,
        'Raw PhocalPoint Data'!F:F ="&amp;" F46
      ) /
      (
        FILTER('Raw PhocalPoint Data'!G:G,
          'Raw PhocalPoint Data'!A:A = 2012,
          'Raw PhocalPoint Data'!D:D = D46,
          'Raw PhocalPoint Data'!E:E = E46,
          'Raw PhocalPoint Data'!F:F = F46
        ) /
 "&amp;"       FILTER('Raw PhocalPoint Data'!G:G,
          'Raw PhocalPoint Data'!A:A = 2011,
          'Raw PhocalPoint Data'!D:D = D46,
          'Raw PhocalPoint Data'!E:E = E46,
          'Raw PhocalPoint Data'!F:F = F46
        )
      ),
      FILTER('Raw "&amp;"PhocalPoint Data'!G:G,
        'Raw PhocalPoint Data'!A:A = 2009,
        'Raw PhocalPoint Data'!D:D = D46,
        'Raw PhocalPoint Data'!E:E = E46,
        'Raw PhocalPoint Data'!F:F = F46
      ) *
      (
        INDEX('Raw GDP data'!$I$2:$M$100,
    "&amp;"      MATCH(D46, 'Raw GDP data'!$H$2:$H$100, 0),
          MATCH(2008, 'Raw GDP data'!$I$1:$M$1, 0)
        ) /
        INDEX('Raw GDP data'!$I$2:$M$100,
          MATCH(D46, 'Raw GDP data'!$H$2:$H$100, 0),
          MATCH(2009, 'Raw GDP data'!$I$1:$M$1, "&amp;"0)
        )
      )
    ),
  IF(A46 &lt; 2008,
    (
      FILTER(G:G,
        A:A = 2008,
        D:D = D46,
        E:E = E46,
        F:F = F46
      ) /
      PRODUCT(
        ARRAYFORMULA(
          (
            (
              FILTER('Raw PhocalPoint"&amp;" Data'!G:G,
                'Raw PhocalPoint Data'!A:A = 2012,
                'Raw PhocalPoint Data'!D:D = D46,
                'Raw PhocalPoint Data'!E:E = E46,
                'Raw PhocalPoint Data'!F:F = F46
              ) /
              FILTER('Raw"&amp;" PhocalPoint Data'!G:G,
                'Raw PhocalPoint Data'!A:A = 2011,
                'Raw PhocalPoint Data'!D:D = D46,
                'Raw PhocalPoint Data'!E:E = E46,
                'Raw PhocalPoint Data'!F:F = F46
              ) -
             "&amp;" ROW(INDIRECT(""1:"" &amp; (2008 - A46))) *
              (
                (
                  FILTER('Raw PhocalPoint Data'!G:G,
                    'Raw PhocalPoint Data'!A:A = 2012,
                    'Raw PhocalPoint Data'!D:D = D46,
                   "&amp;" 'Raw PhocalPoint Data'!E:E = E46,
                    'Raw PhocalPoint Data'!F:F = F46
                  ) /
                  FILTER('Raw PhocalPoint Data'!G:G,
                    'Raw PhocalPoint Data'!A:A = 2011,
                    'Raw PhocalPoint "&amp;"Data'!D:D = D46,
                    'Raw PhocalPoint Data'!E:E = E46,
                    'Raw PhocalPoint Data'!F:F = F46
                  ) - 1
                ) / 5
              )
            )
          )
        )
      )
    ),
    (
      FILTER"&amp;"('Raw PhocalPoint Data'!G:G,
        'Raw PhocalPoint Data'!A:A = 2009,
        'Raw PhocalPoint Data'!D:D = D46,
        'Raw PhocalPoint Data'!E:E = E46,
        'Raw PhocalPoint Data'!F:F = F46
      ) /
      PRODUCT(
        ARRAYFORMULA(
          ("&amp;"
            FILTER('Raw PhocalPoint Data'!G:G,
              'Raw PhocalPoint Data'!A:A = 2012,
              'Raw PhocalPoint Data'!D:D = D46,
              'Raw PhocalPoint Data'!E:E = E46,
              'Raw PhocalPoint Data'!F:F = F46
            ) /"&amp;"
            FILTER('Raw PhocalPoint Data'!G:G,
              'Raw PhocalPoint Data'!A:A = 2011,
              'Raw PhocalPoint Data'!D:D = D46,
              'Raw PhocalPoint Data'!E:E = E46,
              'Raw PhocalPoint Data'!F:F = F46
            ) -"&amp;"
            (ROW(INDIRECT(""1:"" &amp; (2010 - A46))) - 1) *
            (
              (
                FILTER('Raw PhocalPoint Data'!G:G,
                  'Raw PhocalPoint Data'!A:A = 2012,
                  'Raw PhocalPoint Data'!D:D = D46,
           "&amp;"       'Raw PhocalPoint Data'!E:E = E46,
                  'Raw PhocalPoint Data'!F:F = F46
                ) /
                FILTER('Raw PhocalPoint Data'!G:G,
                  'Raw PhocalPoint Data'!A:A = 2011,
                  'Raw PhocalPoint Data"&amp;"'!D:D = D46,
                  'Raw PhocalPoint Data'!E:E = E46,
                  'Raw PhocalPoint Data'!F:F = F46
                ) - 1
              ) / 5
            )
          )
        )
      )
    ) *
    INDEX('Raw GDP data'!$I$2:$M$100,
      M"&amp;"ATCH(D46, 'Raw GDP data'!$H$2:$H$100, 0),
      MATCH(A46, 'Raw GDP data'!$I$1:$M$1, 0)
    )
  )),
  """"
)
"),1557548401.46585)</f>
        <v>1557548401.4658501</v>
      </c>
      <c r="H46" s="80"/>
      <c r="I46" s="81">
        <f ca="1">IFERROR(__xludf.DUMMYFUNCTION("""COMPUTED_VALUE"""),2006)</f>
        <v>2006</v>
      </c>
      <c r="J46" s="82" t="str">
        <f ca="1">IFERROR(__xludf.DUMMYFUNCTION("""COMPUTED_VALUE"""),"Indonesia")</f>
        <v>Indonesia</v>
      </c>
      <c r="K46" s="83">
        <f ca="1">IFERROR(
  SUMIFS(
    'New Backfilled Data'!G:G,
    'New Backfilled Data'!A:A, I46,
    'New Backfilled Data'!D:D, J46,
    'New Backfilled Data'!E:E, "Online"
  ) /
  SUMIFS(
    'New Backfilled Data'!G:G,
    'New Backfilled Data'!A:A, I46,
    'New Backfilled Data'!D:D, J46
  ),
  ""
)</f>
        <v>9.8441923670184537E-3</v>
      </c>
      <c r="L46" s="84"/>
      <c r="M46" s="84"/>
    </row>
    <row r="47" spans="1:13" ht="17" x14ac:dyDescent="0.2">
      <c r="A47" s="44">
        <v>2005</v>
      </c>
      <c r="B47" s="45" t="s">
        <v>66</v>
      </c>
      <c r="C47" s="45" t="s">
        <v>17</v>
      </c>
      <c r="D47" s="45" t="s">
        <v>20</v>
      </c>
      <c r="E47" s="45" t="s">
        <v>67</v>
      </c>
      <c r="F47" s="45" t="s">
        <v>67</v>
      </c>
      <c r="G47" s="85">
        <f ca="1">IFERROR(__xludf.DUMMYFUNCTION("IFERROR(
  IF(A47 = 2008,
    IF(E47 = ""Online"",
      FILTER('Raw PhocalPoint Data'!G:G,
        'Raw PhocalPoint Data'!A:A = 2009,
        'Raw PhocalPoint Data'!D:D = D47,
        'Raw PhocalPoint Data'!E:E = E47,
        'Raw PhocalPoint Data'!F:F ="&amp;" F47
      ) /
      (
        FILTER('Raw PhocalPoint Data'!G:G,
          'Raw PhocalPoint Data'!A:A = 2012,
          'Raw PhocalPoint Data'!D:D = D47,
          'Raw PhocalPoint Data'!E:E = E47,
          'Raw PhocalPoint Data'!F:F = F47
        ) /
 "&amp;"       FILTER('Raw PhocalPoint Data'!G:G,
          'Raw PhocalPoint Data'!A:A = 2011,
          'Raw PhocalPoint Data'!D:D = D47,
          'Raw PhocalPoint Data'!E:E = E47,
          'Raw PhocalPoint Data'!F:F = F47
        )
      ),
      FILTER('Raw "&amp;"PhocalPoint Data'!G:G,
        'Raw PhocalPoint Data'!A:A = 2009,
        'Raw PhocalPoint Data'!D:D = D47,
        'Raw PhocalPoint Data'!E:E = E47,
        'Raw PhocalPoint Data'!F:F = F47
      ) *
      (
        INDEX('Raw GDP data'!$I$2:$M$100,
    "&amp;"      MATCH(D47, 'Raw GDP data'!$H$2:$H$100, 0),
          MATCH(2008, 'Raw GDP data'!$I$1:$M$1, 0)
        ) /
        INDEX('Raw GDP data'!$I$2:$M$100,
          MATCH(D47, 'Raw GDP data'!$H$2:$H$100, 0),
          MATCH(2009, 'Raw GDP data'!$I$1:$M$1, "&amp;"0)
        )
      )
    ),
  IF(A47 &lt; 2008,
    (
      FILTER(G:G,
        A:A = 2008,
        D:D = D47,
        E:E = E47,
        F:F = F47
      ) /
      PRODUCT(
        ARRAYFORMULA(
          (
            (
              FILTER('Raw PhocalPoint"&amp;" Data'!G:G,
                'Raw PhocalPoint Data'!A:A = 2012,
                'Raw PhocalPoint Data'!D:D = D47,
                'Raw PhocalPoint Data'!E:E = E47,
                'Raw PhocalPoint Data'!F:F = F47
              ) /
              FILTER('Raw"&amp;" PhocalPoint Data'!G:G,
                'Raw PhocalPoint Data'!A:A = 2011,
                'Raw PhocalPoint Data'!D:D = D47,
                'Raw PhocalPoint Data'!E:E = E47,
                'Raw PhocalPoint Data'!F:F = F47
              ) -
             "&amp;" ROW(INDIRECT(""1:"" &amp; (2008 - A47))) *
              (
                (
                  FILTER('Raw PhocalPoint Data'!G:G,
                    'Raw PhocalPoint Data'!A:A = 2012,
                    'Raw PhocalPoint Data'!D:D = D47,
                   "&amp;" 'Raw PhocalPoint Data'!E:E = E47,
                    'Raw PhocalPoint Data'!F:F = F47
                  ) /
                  FILTER('Raw PhocalPoint Data'!G:G,
                    'Raw PhocalPoint Data'!A:A = 2011,
                    'Raw PhocalPoint "&amp;"Data'!D:D = D47,
                    'Raw PhocalPoint Data'!E:E = E47,
                    'Raw PhocalPoint Data'!F:F = F47
                  ) - 1
                ) / 5
              )
            )
          )
        )
      )
    ),
    (
      FILTER"&amp;"('Raw PhocalPoint Data'!G:G,
        'Raw PhocalPoint Data'!A:A = 2009,
        'Raw PhocalPoint Data'!D:D = D47,
        'Raw PhocalPoint Data'!E:E = E47,
        'Raw PhocalPoint Data'!F:F = F47
      ) /
      PRODUCT(
        ARRAYFORMULA(
          ("&amp;"
            FILTER('Raw PhocalPoint Data'!G:G,
              'Raw PhocalPoint Data'!A:A = 2012,
              'Raw PhocalPoint Data'!D:D = D47,
              'Raw PhocalPoint Data'!E:E = E47,
              'Raw PhocalPoint Data'!F:F = F47
            ) /"&amp;"
            FILTER('Raw PhocalPoint Data'!G:G,
              'Raw PhocalPoint Data'!A:A = 2011,
              'Raw PhocalPoint Data'!D:D = D47,
              'Raw PhocalPoint Data'!E:E = E47,
              'Raw PhocalPoint Data'!F:F = F47
            ) -"&amp;"
            (ROW(INDIRECT(""1:"" &amp; (2010 - A47))) - 1) *
            (
              (
                FILTER('Raw PhocalPoint Data'!G:G,
                  'Raw PhocalPoint Data'!A:A = 2012,
                  'Raw PhocalPoint Data'!D:D = D47,
           "&amp;"       'Raw PhocalPoint Data'!E:E = E47,
                  'Raw PhocalPoint Data'!F:F = F47
                ) /
                FILTER('Raw PhocalPoint Data'!G:G,
                  'Raw PhocalPoint Data'!A:A = 2011,
                  'Raw PhocalPoint Data"&amp;"'!D:D = D47,
                  'Raw PhocalPoint Data'!E:E = E47,
                  'Raw PhocalPoint Data'!F:F = F47
                ) - 1
              ) / 5
            )
          )
        )
      )
    ) *
    INDEX('Raw GDP data'!$I$2:$M$100,
      M"&amp;"ATCH(D47, 'Raw GDP data'!$H$2:$H$100, 0),
      MATCH(A47, 'Raw GDP data'!$I$1:$M$1, 0)
    )
  )),
  """"
)
"),3840666585.17061)</f>
        <v>3840666585.17061</v>
      </c>
      <c r="H47" s="86"/>
      <c r="I47" s="87">
        <f ca="1">IFERROR(__xludf.DUMMYFUNCTION("""COMPUTED_VALUE"""),2006)</f>
        <v>2006</v>
      </c>
      <c r="J47" s="88" t="str">
        <f ca="1">IFERROR(__xludf.DUMMYFUNCTION("""COMPUTED_VALUE"""),"Japan")</f>
        <v>Japan</v>
      </c>
      <c r="K47" s="89">
        <f ca="1">IFERROR(
  SUMIFS(
    'New Backfilled Data'!G:G,
    'New Backfilled Data'!A:A, I47,
    'New Backfilled Data'!D:D, J47,
    'New Backfilled Data'!E:E, "Online"
  ) /
  SUMIFS(
    'New Backfilled Data'!G:G,
    'New Backfilled Data'!A:A, I47,
    'New Backfilled Data'!D:D, J47
  ),
  ""
)</f>
        <v>0.18569303501214526</v>
      </c>
      <c r="L47" s="90"/>
      <c r="M47" s="90"/>
    </row>
    <row r="48" spans="1:13" ht="17" x14ac:dyDescent="0.2">
      <c r="A48" s="37">
        <v>2005</v>
      </c>
      <c r="B48" s="38" t="s">
        <v>66</v>
      </c>
      <c r="C48" s="38" t="s">
        <v>17</v>
      </c>
      <c r="D48" s="38" t="s">
        <v>20</v>
      </c>
      <c r="E48" s="38" t="s">
        <v>69</v>
      </c>
      <c r="F48" s="38" t="s">
        <v>71</v>
      </c>
      <c r="G48" s="79">
        <f ca="1">IFERROR(__xludf.DUMMYFUNCTION("IFERROR(
  IF(A48 = 2008,
    IF(E48 = ""Online"",
      FILTER('Raw PhocalPoint Data'!G:G,
        'Raw PhocalPoint Data'!A:A = 2009,
        'Raw PhocalPoint Data'!D:D = D48,
        'Raw PhocalPoint Data'!E:E = E48,
        'Raw PhocalPoint Data'!F:F ="&amp;" F48
      ) /
      (
        FILTER('Raw PhocalPoint Data'!G:G,
          'Raw PhocalPoint Data'!A:A = 2012,
          'Raw PhocalPoint Data'!D:D = D48,
          'Raw PhocalPoint Data'!E:E = E48,
          'Raw PhocalPoint Data'!F:F = F48
        ) /
 "&amp;"       FILTER('Raw PhocalPoint Data'!G:G,
          'Raw PhocalPoint Data'!A:A = 2011,
          'Raw PhocalPoint Data'!D:D = D48,
          'Raw PhocalPoint Data'!E:E = E48,
          'Raw PhocalPoint Data'!F:F = F48
        )
      ),
      FILTER('Raw "&amp;"PhocalPoint Data'!G:G,
        'Raw PhocalPoint Data'!A:A = 2009,
        'Raw PhocalPoint Data'!D:D = D48,
        'Raw PhocalPoint Data'!E:E = E48,
        'Raw PhocalPoint Data'!F:F = F48
      ) *
      (
        INDEX('Raw GDP data'!$I$2:$M$100,
    "&amp;"      MATCH(D48, 'Raw GDP data'!$H$2:$H$100, 0),
          MATCH(2008, 'Raw GDP data'!$I$1:$M$1, 0)
        ) /
        INDEX('Raw GDP data'!$I$2:$M$100,
          MATCH(D48, 'Raw GDP data'!$H$2:$H$100, 0),
          MATCH(2009, 'Raw GDP data'!$I$1:$M$1, "&amp;"0)
        )
      )
    ),
  IF(A48 &lt; 2008,
    (
      FILTER(G:G,
        A:A = 2008,
        D:D = D48,
        E:E = E48,
        F:F = F48
      ) /
      PRODUCT(
        ARRAYFORMULA(
          (
            (
              FILTER('Raw PhocalPoint"&amp;" Data'!G:G,
                'Raw PhocalPoint Data'!A:A = 2012,
                'Raw PhocalPoint Data'!D:D = D48,
                'Raw PhocalPoint Data'!E:E = E48,
                'Raw PhocalPoint Data'!F:F = F48
              ) /
              FILTER('Raw"&amp;" PhocalPoint Data'!G:G,
                'Raw PhocalPoint Data'!A:A = 2011,
                'Raw PhocalPoint Data'!D:D = D48,
                'Raw PhocalPoint Data'!E:E = E48,
                'Raw PhocalPoint Data'!F:F = F48
              ) -
             "&amp;" ROW(INDIRECT(""1:"" &amp; (2008 - A48))) *
              (
                (
                  FILTER('Raw PhocalPoint Data'!G:G,
                    'Raw PhocalPoint Data'!A:A = 2012,
                    'Raw PhocalPoint Data'!D:D = D48,
                   "&amp;" 'Raw PhocalPoint Data'!E:E = E48,
                    'Raw PhocalPoint Data'!F:F = F48
                  ) /
                  FILTER('Raw PhocalPoint Data'!G:G,
                    'Raw PhocalPoint Data'!A:A = 2011,
                    'Raw PhocalPoint "&amp;"Data'!D:D = D48,
                    'Raw PhocalPoint Data'!E:E = E48,
                    'Raw PhocalPoint Data'!F:F = F48
                  ) - 1
                ) / 5
              )
            )
          )
        )
      )
    ),
    (
      FILTER"&amp;"('Raw PhocalPoint Data'!G:G,
        'Raw PhocalPoint Data'!A:A = 2009,
        'Raw PhocalPoint Data'!D:D = D48,
        'Raw PhocalPoint Data'!E:E = E48,
        'Raw PhocalPoint Data'!F:F = F48
      ) /
      PRODUCT(
        ARRAYFORMULA(
          ("&amp;"
            FILTER('Raw PhocalPoint Data'!G:G,
              'Raw PhocalPoint Data'!A:A = 2012,
              'Raw PhocalPoint Data'!D:D = D48,
              'Raw PhocalPoint Data'!E:E = E48,
              'Raw PhocalPoint Data'!F:F = F48
            ) /"&amp;"
            FILTER('Raw PhocalPoint Data'!G:G,
              'Raw PhocalPoint Data'!A:A = 2011,
              'Raw PhocalPoint Data'!D:D = D48,
              'Raw PhocalPoint Data'!E:E = E48,
              'Raw PhocalPoint Data'!F:F = F48
            ) -"&amp;"
            (ROW(INDIRECT(""1:"" &amp; (2010 - A48))) - 1) *
            (
              (
                FILTER('Raw PhocalPoint Data'!G:G,
                  'Raw PhocalPoint Data'!A:A = 2012,
                  'Raw PhocalPoint Data'!D:D = D48,
           "&amp;"       'Raw PhocalPoint Data'!E:E = E48,
                  'Raw PhocalPoint Data'!F:F = F48
                ) /
                FILTER('Raw PhocalPoint Data'!G:G,
                  'Raw PhocalPoint Data'!A:A = 2011,
                  'Raw PhocalPoint Data"&amp;"'!D:D = D48,
                  'Raw PhocalPoint Data'!E:E = E48,
                  'Raw PhocalPoint Data'!F:F = F48
                ) - 1
              ) / 5
            )
          )
        )
      )
    ) *
    INDEX('Raw GDP data'!$I$2:$M$100,
      M"&amp;"ATCH(D48, 'Raw GDP data'!$H$2:$H$100, 0),
      MATCH(A48, 'Raw GDP data'!$I$1:$M$1, 0)
    )
  )),
  """"
)
"),174036778.050872)</f>
        <v>174036778.050872</v>
      </c>
      <c r="H48" s="80"/>
      <c r="I48" s="81">
        <f ca="1">IFERROR(__xludf.DUMMYFUNCTION("""COMPUTED_VALUE"""),2006)</f>
        <v>2006</v>
      </c>
      <c r="J48" s="82" t="str">
        <f ca="1">IFERROR(__xludf.DUMMYFUNCTION("""COMPUTED_VALUE"""),"Macau")</f>
        <v>Macau</v>
      </c>
      <c r="K48" s="83">
        <f ca="1">IFERROR(
  SUMIFS(
    'New Backfilled Data'!G:G,
    'New Backfilled Data'!A:A, I48,
    'New Backfilled Data'!D:D, J48,
    'New Backfilled Data'!E:E, "Online"
  ) /
  SUMIFS(
    'New Backfilled Data'!G:G,
    'New Backfilled Data'!A:A, I48,
    'New Backfilled Data'!D:D, J48
  ),
  ""
)</f>
        <v>7.9831129162045711E-3</v>
      </c>
      <c r="L48" s="84"/>
      <c r="M48" s="84"/>
    </row>
    <row r="49" spans="1:13" ht="17" x14ac:dyDescent="0.2">
      <c r="A49" s="44">
        <v>2005</v>
      </c>
      <c r="B49" s="45" t="s">
        <v>66</v>
      </c>
      <c r="C49" s="45" t="s">
        <v>17</v>
      </c>
      <c r="D49" s="45" t="s">
        <v>20</v>
      </c>
      <c r="E49" s="45" t="s">
        <v>69</v>
      </c>
      <c r="F49" s="45" t="s">
        <v>70</v>
      </c>
      <c r="G49" s="85">
        <f ca="1">IFERROR(__xludf.DUMMYFUNCTION("IFERROR(
  IF(A49 = 2008,
    IF(E49 = ""Online"",
      FILTER('Raw PhocalPoint Data'!G:G,
        'Raw PhocalPoint Data'!A:A = 2009,
        'Raw PhocalPoint Data'!D:D = D49,
        'Raw PhocalPoint Data'!E:E = E49,
        'Raw PhocalPoint Data'!F:F ="&amp;" F49
      ) /
      (
        FILTER('Raw PhocalPoint Data'!G:G,
          'Raw PhocalPoint Data'!A:A = 2012,
          'Raw PhocalPoint Data'!D:D = D49,
          'Raw PhocalPoint Data'!E:E = E49,
          'Raw PhocalPoint Data'!F:F = F49
        ) /
 "&amp;"       FILTER('Raw PhocalPoint Data'!G:G,
          'Raw PhocalPoint Data'!A:A = 2011,
          'Raw PhocalPoint Data'!D:D = D49,
          'Raw PhocalPoint Data'!E:E = E49,
          'Raw PhocalPoint Data'!F:F = F49
        )
      ),
      FILTER('Raw "&amp;"PhocalPoint Data'!G:G,
        'Raw PhocalPoint Data'!A:A = 2009,
        'Raw PhocalPoint Data'!D:D = D49,
        'Raw PhocalPoint Data'!E:E = E49,
        'Raw PhocalPoint Data'!F:F = F49
      ) *
      (
        INDEX('Raw GDP data'!$I$2:$M$100,
    "&amp;"      MATCH(D49, 'Raw GDP data'!$H$2:$H$100, 0),
          MATCH(2008, 'Raw GDP data'!$I$1:$M$1, 0)
        ) /
        INDEX('Raw GDP data'!$I$2:$M$100,
          MATCH(D49, 'Raw GDP data'!$H$2:$H$100, 0),
          MATCH(2009, 'Raw GDP data'!$I$1:$M$1, "&amp;"0)
        )
      )
    ),
  IF(A49 &lt; 2008,
    (
      FILTER(G:G,
        A:A = 2008,
        D:D = D49,
        E:E = E49,
        F:F = F49
      ) /
      PRODUCT(
        ARRAYFORMULA(
          (
            (
              FILTER('Raw PhocalPoint"&amp;" Data'!G:G,
                'Raw PhocalPoint Data'!A:A = 2012,
                'Raw PhocalPoint Data'!D:D = D49,
                'Raw PhocalPoint Data'!E:E = E49,
                'Raw PhocalPoint Data'!F:F = F49
              ) /
              FILTER('Raw"&amp;" PhocalPoint Data'!G:G,
                'Raw PhocalPoint Data'!A:A = 2011,
                'Raw PhocalPoint Data'!D:D = D49,
                'Raw PhocalPoint Data'!E:E = E49,
                'Raw PhocalPoint Data'!F:F = F49
              ) -
             "&amp;" ROW(INDIRECT(""1:"" &amp; (2008 - A49))) *
              (
                (
                  FILTER('Raw PhocalPoint Data'!G:G,
                    'Raw PhocalPoint Data'!A:A = 2012,
                    'Raw PhocalPoint Data'!D:D = D49,
                   "&amp;" 'Raw PhocalPoint Data'!E:E = E49,
                    'Raw PhocalPoint Data'!F:F = F49
                  ) /
                  FILTER('Raw PhocalPoint Data'!G:G,
                    'Raw PhocalPoint Data'!A:A = 2011,
                    'Raw PhocalPoint "&amp;"Data'!D:D = D49,
                    'Raw PhocalPoint Data'!E:E = E49,
                    'Raw PhocalPoint Data'!F:F = F49
                  ) - 1
                ) / 5
              )
            )
          )
        )
      )
    ),
    (
      FILTER"&amp;"('Raw PhocalPoint Data'!G:G,
        'Raw PhocalPoint Data'!A:A = 2009,
        'Raw PhocalPoint Data'!D:D = D49,
        'Raw PhocalPoint Data'!E:E = E49,
        'Raw PhocalPoint Data'!F:F = F49
      ) /
      PRODUCT(
        ARRAYFORMULA(
          ("&amp;"
            FILTER('Raw PhocalPoint Data'!G:G,
              'Raw PhocalPoint Data'!A:A = 2012,
              'Raw PhocalPoint Data'!D:D = D49,
              'Raw PhocalPoint Data'!E:E = E49,
              'Raw PhocalPoint Data'!F:F = F49
            ) /"&amp;"
            FILTER('Raw PhocalPoint Data'!G:G,
              'Raw PhocalPoint Data'!A:A = 2011,
              'Raw PhocalPoint Data'!D:D = D49,
              'Raw PhocalPoint Data'!E:E = E49,
              'Raw PhocalPoint Data'!F:F = F49
            ) -"&amp;"
            (ROW(INDIRECT(""1:"" &amp; (2010 - A49))) - 1) *
            (
              (
                FILTER('Raw PhocalPoint Data'!G:G,
                  'Raw PhocalPoint Data'!A:A = 2012,
                  'Raw PhocalPoint Data'!D:D = D49,
           "&amp;"       'Raw PhocalPoint Data'!E:E = E49,
                  'Raw PhocalPoint Data'!F:F = F49
                ) /
                FILTER('Raw PhocalPoint Data'!G:G,
                  'Raw PhocalPoint Data'!A:A = 2011,
                  'Raw PhocalPoint Data"&amp;"'!D:D = D49,
                  'Raw PhocalPoint Data'!E:E = E49,
                  'Raw PhocalPoint Data'!F:F = F49
                ) - 1
              ) / 5
            )
          )
        )
      )
    ) *
    INDEX('Raw GDP data'!$I$2:$M$100,
      M"&amp;"ATCH(D49, 'Raw GDP data'!$H$2:$H$100, 0),
      MATCH(A49, 'Raw GDP data'!$I$1:$M$1, 0)
    )
  )),
  """"
)
"),304875624.947276)</f>
        <v>304875624.947276</v>
      </c>
      <c r="H49" s="86"/>
      <c r="I49" s="87">
        <f ca="1">IFERROR(__xludf.DUMMYFUNCTION("""COMPUTED_VALUE"""),2006)</f>
        <v>2006</v>
      </c>
      <c r="J49" s="88" t="str">
        <f ca="1">IFERROR(__xludf.DUMMYFUNCTION("""COMPUTED_VALUE"""),"Malaysia")</f>
        <v>Malaysia</v>
      </c>
      <c r="K49" s="89">
        <f ca="1">IFERROR(
  SUMIFS(
    'New Backfilled Data'!G:G,
    'New Backfilled Data'!A:A, I49,
    'New Backfilled Data'!D:D, J49,
    'New Backfilled Data'!E:E, "Online"
  ) /
  SUMIFS(
    'New Backfilled Data'!G:G,
    'New Backfilled Data'!A:A, I49,
    'New Backfilled Data'!D:D, J49
  ),
  ""
)</f>
        <v>0.20527427953861074</v>
      </c>
      <c r="L49" s="90"/>
      <c r="M49" s="90"/>
    </row>
    <row r="50" spans="1:13" ht="17" x14ac:dyDescent="0.2">
      <c r="A50" s="37">
        <v>2005</v>
      </c>
      <c r="B50" s="38" t="s">
        <v>66</v>
      </c>
      <c r="C50" s="38" t="s">
        <v>17</v>
      </c>
      <c r="D50" s="38" t="s">
        <v>21</v>
      </c>
      <c r="E50" s="38" t="s">
        <v>67</v>
      </c>
      <c r="F50" s="38" t="s">
        <v>67</v>
      </c>
      <c r="G50" s="79">
        <f ca="1">IFERROR(__xludf.DUMMYFUNCTION("IFERROR(
  IF(A50 = 2008,
    IF(E50 = ""Online"",
      FILTER('Raw PhocalPoint Data'!G:G,
        'Raw PhocalPoint Data'!A:A = 2009,
        'Raw PhocalPoint Data'!D:D = D50,
        'Raw PhocalPoint Data'!E:E = E50,
        'Raw PhocalPoint Data'!F:F ="&amp;" F50
      ) /
      (
        FILTER('Raw PhocalPoint Data'!G:G,
          'Raw PhocalPoint Data'!A:A = 2012,
          'Raw PhocalPoint Data'!D:D = D50,
          'Raw PhocalPoint Data'!E:E = E50,
          'Raw PhocalPoint Data'!F:F = F50
        ) /
 "&amp;"       FILTER('Raw PhocalPoint Data'!G:G,
          'Raw PhocalPoint Data'!A:A = 2011,
          'Raw PhocalPoint Data'!D:D = D50,
          'Raw PhocalPoint Data'!E:E = E50,
          'Raw PhocalPoint Data'!F:F = F50
        )
      ),
      FILTER('Raw "&amp;"PhocalPoint Data'!G:G,
        'Raw PhocalPoint Data'!A:A = 2009,
        'Raw PhocalPoint Data'!D:D = D50,
        'Raw PhocalPoint Data'!E:E = E50,
        'Raw PhocalPoint Data'!F:F = F50
      ) *
      (
        INDEX('Raw GDP data'!$I$2:$M$100,
    "&amp;"      MATCH(D50, 'Raw GDP data'!$H$2:$H$100, 0),
          MATCH(2008, 'Raw GDP data'!$I$1:$M$1, 0)
        ) /
        INDEX('Raw GDP data'!$I$2:$M$100,
          MATCH(D50, 'Raw GDP data'!$H$2:$H$100, 0),
          MATCH(2009, 'Raw GDP data'!$I$1:$M$1, "&amp;"0)
        )
      )
    ),
  IF(A50 &lt; 2008,
    (
      FILTER(G:G,
        A:A = 2008,
        D:D = D50,
        E:E = E50,
        F:F = F50
      ) /
      PRODUCT(
        ARRAYFORMULA(
          (
            (
              FILTER('Raw PhocalPoint"&amp;" Data'!G:G,
                'Raw PhocalPoint Data'!A:A = 2012,
                'Raw PhocalPoint Data'!D:D = D50,
                'Raw PhocalPoint Data'!E:E = E50,
                'Raw PhocalPoint Data'!F:F = F50
              ) /
              FILTER('Raw"&amp;" PhocalPoint Data'!G:G,
                'Raw PhocalPoint Data'!A:A = 2011,
                'Raw PhocalPoint Data'!D:D = D50,
                'Raw PhocalPoint Data'!E:E = E50,
                'Raw PhocalPoint Data'!F:F = F50
              ) -
             "&amp;" ROW(INDIRECT(""1:"" &amp; (2008 - A50))) *
              (
                (
                  FILTER('Raw PhocalPoint Data'!G:G,
                    'Raw PhocalPoint Data'!A:A = 2012,
                    'Raw PhocalPoint Data'!D:D = D50,
                   "&amp;" 'Raw PhocalPoint Data'!E:E = E50,
                    'Raw PhocalPoint Data'!F:F = F50
                  ) /
                  FILTER('Raw PhocalPoint Data'!G:G,
                    'Raw PhocalPoint Data'!A:A = 2011,
                    'Raw PhocalPoint "&amp;"Data'!D:D = D50,
                    'Raw PhocalPoint Data'!E:E = E50,
                    'Raw PhocalPoint Data'!F:F = F50
                  ) - 1
                ) / 5
              )
            )
          )
        )
      )
    ),
    (
      FILTER"&amp;"('Raw PhocalPoint Data'!G:G,
        'Raw PhocalPoint Data'!A:A = 2009,
        'Raw PhocalPoint Data'!D:D = D50,
        'Raw PhocalPoint Data'!E:E = E50,
        'Raw PhocalPoint Data'!F:F = F50
      ) /
      PRODUCT(
        ARRAYFORMULA(
          ("&amp;"
            FILTER('Raw PhocalPoint Data'!G:G,
              'Raw PhocalPoint Data'!A:A = 2012,
              'Raw PhocalPoint Data'!D:D = D50,
              'Raw PhocalPoint Data'!E:E = E50,
              'Raw PhocalPoint Data'!F:F = F50
            ) /"&amp;"
            FILTER('Raw PhocalPoint Data'!G:G,
              'Raw PhocalPoint Data'!A:A = 2011,
              'Raw PhocalPoint Data'!D:D = D50,
              'Raw PhocalPoint Data'!E:E = E50,
              'Raw PhocalPoint Data'!F:F = F50
            ) -"&amp;"
            (ROW(INDIRECT(""1:"" &amp; (2010 - A50))) - 1) *
            (
              (
                FILTER('Raw PhocalPoint Data'!G:G,
                  'Raw PhocalPoint Data'!A:A = 2012,
                  'Raw PhocalPoint Data'!D:D = D50,
           "&amp;"       'Raw PhocalPoint Data'!E:E = E50,
                  'Raw PhocalPoint Data'!F:F = F50
                ) /
                FILTER('Raw PhocalPoint Data'!G:G,
                  'Raw PhocalPoint Data'!A:A = 2011,
                  'Raw PhocalPoint Data"&amp;"'!D:D = D50,
                  'Raw PhocalPoint Data'!E:E = E50,
                  'Raw PhocalPoint Data'!F:F = F50
                ) - 1
              ) / 5
            )
          )
        )
      )
    ) *
    INDEX('Raw GDP data'!$I$2:$M$100,
      M"&amp;"ATCH(D50, 'Raw GDP data'!$H$2:$H$100, 0),
      MATCH(A50, 'Raw GDP data'!$I$1:$M$1, 0)
    )
  )),
  """"
)
"),3488429281.68723)</f>
        <v>3488429281.6872301</v>
      </c>
      <c r="H50" s="80"/>
      <c r="I50" s="81">
        <f ca="1">IFERROR(__xludf.DUMMYFUNCTION("""COMPUTED_VALUE"""),2006)</f>
        <v>2006</v>
      </c>
      <c r="J50" s="82" t="str">
        <f ca="1">IFERROR(__xludf.DUMMYFUNCTION("""COMPUTED_VALUE"""),"Singapore")</f>
        <v>Singapore</v>
      </c>
      <c r="K50" s="83">
        <f ca="1">IFERROR(
  SUMIFS(
    'New Backfilled Data'!G:G,
    'New Backfilled Data'!A:A, I50,
    'New Backfilled Data'!D:D, J50,
    'New Backfilled Data'!E:E, "Online"
  ) /
  SUMIFS(
    'New Backfilled Data'!G:G,
    'New Backfilled Data'!A:A, I50,
    'New Backfilled Data'!D:D, J50
  ),
  ""
)</f>
        <v>0.19031556004791009</v>
      </c>
      <c r="L50" s="84"/>
      <c r="M50" s="84"/>
    </row>
    <row r="51" spans="1:13" ht="17" x14ac:dyDescent="0.2">
      <c r="A51" s="44">
        <v>2005</v>
      </c>
      <c r="B51" s="45" t="s">
        <v>66</v>
      </c>
      <c r="C51" s="45" t="s">
        <v>17</v>
      </c>
      <c r="D51" s="45" t="s">
        <v>21</v>
      </c>
      <c r="E51" s="45" t="s">
        <v>69</v>
      </c>
      <c r="F51" s="45" t="s">
        <v>71</v>
      </c>
      <c r="G51" s="85">
        <f ca="1">IFERROR(__xludf.DUMMYFUNCTION("IFERROR(
  IF(A51 = 2008,
    IF(E51 = ""Online"",
      FILTER('Raw PhocalPoint Data'!G:G,
        'Raw PhocalPoint Data'!A:A = 2009,
        'Raw PhocalPoint Data'!D:D = D51,
        'Raw PhocalPoint Data'!E:E = E51,
        'Raw PhocalPoint Data'!F:F ="&amp;" F51
      ) /
      (
        FILTER('Raw PhocalPoint Data'!G:G,
          'Raw PhocalPoint Data'!A:A = 2012,
          'Raw PhocalPoint Data'!D:D = D51,
          'Raw PhocalPoint Data'!E:E = E51,
          'Raw PhocalPoint Data'!F:F = F51
        ) /
 "&amp;"       FILTER('Raw PhocalPoint Data'!G:G,
          'Raw PhocalPoint Data'!A:A = 2011,
          'Raw PhocalPoint Data'!D:D = D51,
          'Raw PhocalPoint Data'!E:E = E51,
          'Raw PhocalPoint Data'!F:F = F51
        )
      ),
      FILTER('Raw "&amp;"PhocalPoint Data'!G:G,
        'Raw PhocalPoint Data'!A:A = 2009,
        'Raw PhocalPoint Data'!D:D = D51,
        'Raw PhocalPoint Data'!E:E = E51,
        'Raw PhocalPoint Data'!F:F = F51
      ) *
      (
        INDEX('Raw GDP data'!$I$2:$M$100,
    "&amp;"      MATCH(D51, 'Raw GDP data'!$H$2:$H$100, 0),
          MATCH(2008, 'Raw GDP data'!$I$1:$M$1, 0)
        ) /
        INDEX('Raw GDP data'!$I$2:$M$100,
          MATCH(D51, 'Raw GDP data'!$H$2:$H$100, 0),
          MATCH(2009, 'Raw GDP data'!$I$1:$M$1, "&amp;"0)
        )
      )
    ),
  IF(A51 &lt; 2008,
    (
      FILTER(G:G,
        A:A = 2008,
        D:D = D51,
        E:E = E51,
        F:F = F51
      ) /
      PRODUCT(
        ARRAYFORMULA(
          (
            (
              FILTER('Raw PhocalPoint"&amp;" Data'!G:G,
                'Raw PhocalPoint Data'!A:A = 2012,
                'Raw PhocalPoint Data'!D:D = D51,
                'Raw PhocalPoint Data'!E:E = E51,
                'Raw PhocalPoint Data'!F:F = F51
              ) /
              FILTER('Raw"&amp;" PhocalPoint Data'!G:G,
                'Raw PhocalPoint Data'!A:A = 2011,
                'Raw PhocalPoint Data'!D:D = D51,
                'Raw PhocalPoint Data'!E:E = E51,
                'Raw PhocalPoint Data'!F:F = F51
              ) -
             "&amp;" ROW(INDIRECT(""1:"" &amp; (2008 - A51))) *
              (
                (
                  FILTER('Raw PhocalPoint Data'!G:G,
                    'Raw PhocalPoint Data'!A:A = 2012,
                    'Raw PhocalPoint Data'!D:D = D51,
                   "&amp;" 'Raw PhocalPoint Data'!E:E = E51,
                    'Raw PhocalPoint Data'!F:F = F51
                  ) /
                  FILTER('Raw PhocalPoint Data'!G:G,
                    'Raw PhocalPoint Data'!A:A = 2011,
                    'Raw PhocalPoint "&amp;"Data'!D:D = D51,
                    'Raw PhocalPoint Data'!E:E = E51,
                    'Raw PhocalPoint Data'!F:F = F51
                  ) - 1
                ) / 5
              )
            )
          )
        )
      )
    ),
    (
      FILTER"&amp;"('Raw PhocalPoint Data'!G:G,
        'Raw PhocalPoint Data'!A:A = 2009,
        'Raw PhocalPoint Data'!D:D = D51,
        'Raw PhocalPoint Data'!E:E = E51,
        'Raw PhocalPoint Data'!F:F = F51
      ) /
      PRODUCT(
        ARRAYFORMULA(
          ("&amp;"
            FILTER('Raw PhocalPoint Data'!G:G,
              'Raw PhocalPoint Data'!A:A = 2012,
              'Raw PhocalPoint Data'!D:D = D51,
              'Raw PhocalPoint Data'!E:E = E51,
              'Raw PhocalPoint Data'!F:F = F51
            ) /"&amp;"
            FILTER('Raw PhocalPoint Data'!G:G,
              'Raw PhocalPoint Data'!A:A = 2011,
              'Raw PhocalPoint Data'!D:D = D51,
              'Raw PhocalPoint Data'!E:E = E51,
              'Raw PhocalPoint Data'!F:F = F51
            ) -"&amp;"
            (ROW(INDIRECT(""1:"" &amp; (2010 - A51))) - 1) *
            (
              (
                FILTER('Raw PhocalPoint Data'!G:G,
                  'Raw PhocalPoint Data'!A:A = 2012,
                  'Raw PhocalPoint Data'!D:D = D51,
           "&amp;"       'Raw PhocalPoint Data'!E:E = E51,
                  'Raw PhocalPoint Data'!F:F = F51
                ) /
                FILTER('Raw PhocalPoint Data'!G:G,
                  'Raw PhocalPoint Data'!A:A = 2011,
                  'Raw PhocalPoint Data"&amp;"'!D:D = D51,
                  'Raw PhocalPoint Data'!E:E = E51,
                  'Raw PhocalPoint Data'!F:F = F51
                ) - 1
              ) / 5
            )
          )
        )
      )
    ) *
    INDEX('Raw GDP data'!$I$2:$M$100,
      M"&amp;"ATCH(D51, 'Raw GDP data'!$H$2:$H$100, 0),
      MATCH(A51, 'Raw GDP data'!$I$1:$M$1, 0)
    )
  )),
  """"
)
"),143137325.188143)</f>
        <v>143137325.18814301</v>
      </c>
      <c r="H51" s="86"/>
      <c r="I51" s="87">
        <f ca="1">IFERROR(__xludf.DUMMYFUNCTION("""COMPUTED_VALUE"""),2006)</f>
        <v>2006</v>
      </c>
      <c r="J51" s="88" t="str">
        <f ca="1">IFERROR(__xludf.DUMMYFUNCTION("""COMPUTED_VALUE"""),"South Korea")</f>
        <v>South Korea</v>
      </c>
      <c r="K51" s="89">
        <f ca="1">IFERROR(
  SUMIFS(
    'New Backfilled Data'!G:G,
    'New Backfilled Data'!A:A, I51,
    'New Backfilled Data'!D:D, J51,
    'New Backfilled Data'!E:E, "Online"
  ) /
  SUMIFS(
    'New Backfilled Data'!G:G,
    'New Backfilled Data'!A:A, I51,
    'New Backfilled Data'!D:D, J51
  ),
  ""
)</f>
        <v>5.1142125925849394E-2</v>
      </c>
      <c r="L51" s="90"/>
      <c r="M51" s="90"/>
    </row>
    <row r="52" spans="1:13" ht="17" x14ac:dyDescent="0.2">
      <c r="A52" s="37">
        <v>2005</v>
      </c>
      <c r="B52" s="38" t="s">
        <v>66</v>
      </c>
      <c r="C52" s="38" t="s">
        <v>17</v>
      </c>
      <c r="D52" s="38" t="s">
        <v>21</v>
      </c>
      <c r="E52" s="38" t="s">
        <v>69</v>
      </c>
      <c r="F52" s="38" t="s">
        <v>70</v>
      </c>
      <c r="G52" s="79">
        <f ca="1">IFERROR(__xludf.DUMMYFUNCTION("IFERROR(
  IF(A52 = 2008,
    IF(E52 = ""Online"",
      FILTER('Raw PhocalPoint Data'!G:G,
        'Raw PhocalPoint Data'!A:A = 2009,
        'Raw PhocalPoint Data'!D:D = D52,
        'Raw PhocalPoint Data'!E:E = E52,
        'Raw PhocalPoint Data'!F:F ="&amp;" F52
      ) /
      (
        FILTER('Raw PhocalPoint Data'!G:G,
          'Raw PhocalPoint Data'!A:A = 2012,
          'Raw PhocalPoint Data'!D:D = D52,
          'Raw PhocalPoint Data'!E:E = E52,
          'Raw PhocalPoint Data'!F:F = F52
        ) /
 "&amp;"       FILTER('Raw PhocalPoint Data'!G:G,
          'Raw PhocalPoint Data'!A:A = 2011,
          'Raw PhocalPoint Data'!D:D = D52,
          'Raw PhocalPoint Data'!E:E = E52,
          'Raw PhocalPoint Data'!F:F = F52
        )
      ),
      FILTER('Raw "&amp;"PhocalPoint Data'!G:G,
        'Raw PhocalPoint Data'!A:A = 2009,
        'Raw PhocalPoint Data'!D:D = D52,
        'Raw PhocalPoint Data'!E:E = E52,
        'Raw PhocalPoint Data'!F:F = F52
      ) *
      (
        INDEX('Raw GDP data'!$I$2:$M$100,
    "&amp;"      MATCH(D52, 'Raw GDP data'!$H$2:$H$100, 0),
          MATCH(2008, 'Raw GDP data'!$I$1:$M$1, 0)
        ) /
        INDEX('Raw GDP data'!$I$2:$M$100,
          MATCH(D52, 'Raw GDP data'!$H$2:$H$100, 0),
          MATCH(2009, 'Raw GDP data'!$I$1:$M$1, "&amp;"0)
        )
      )
    ),
  IF(A52 &lt; 2008,
    (
      FILTER(G:G,
        A:A = 2008,
        D:D = D52,
        E:E = E52,
        F:F = F52
      ) /
      PRODUCT(
        ARRAYFORMULA(
          (
            (
              FILTER('Raw PhocalPoint"&amp;" Data'!G:G,
                'Raw PhocalPoint Data'!A:A = 2012,
                'Raw PhocalPoint Data'!D:D = D52,
                'Raw PhocalPoint Data'!E:E = E52,
                'Raw PhocalPoint Data'!F:F = F52
              ) /
              FILTER('Raw"&amp;" PhocalPoint Data'!G:G,
                'Raw PhocalPoint Data'!A:A = 2011,
                'Raw PhocalPoint Data'!D:D = D52,
                'Raw PhocalPoint Data'!E:E = E52,
                'Raw PhocalPoint Data'!F:F = F52
              ) -
             "&amp;" ROW(INDIRECT(""1:"" &amp; (2008 - A52))) *
              (
                (
                  FILTER('Raw PhocalPoint Data'!G:G,
                    'Raw PhocalPoint Data'!A:A = 2012,
                    'Raw PhocalPoint Data'!D:D = D52,
                   "&amp;" 'Raw PhocalPoint Data'!E:E = E52,
                    'Raw PhocalPoint Data'!F:F = F52
                  ) /
                  FILTER('Raw PhocalPoint Data'!G:G,
                    'Raw PhocalPoint Data'!A:A = 2011,
                    'Raw PhocalPoint "&amp;"Data'!D:D = D52,
                    'Raw PhocalPoint Data'!E:E = E52,
                    'Raw PhocalPoint Data'!F:F = F52
                  ) - 1
                ) / 5
              )
            )
          )
        )
      )
    ),
    (
      FILTER"&amp;"('Raw PhocalPoint Data'!G:G,
        'Raw PhocalPoint Data'!A:A = 2009,
        'Raw PhocalPoint Data'!D:D = D52,
        'Raw PhocalPoint Data'!E:E = E52,
        'Raw PhocalPoint Data'!F:F = F52
      ) /
      PRODUCT(
        ARRAYFORMULA(
          ("&amp;"
            FILTER('Raw PhocalPoint Data'!G:G,
              'Raw PhocalPoint Data'!A:A = 2012,
              'Raw PhocalPoint Data'!D:D = D52,
              'Raw PhocalPoint Data'!E:E = E52,
              'Raw PhocalPoint Data'!F:F = F52
            ) /"&amp;"
            FILTER('Raw PhocalPoint Data'!G:G,
              'Raw PhocalPoint Data'!A:A = 2011,
              'Raw PhocalPoint Data'!D:D = D52,
              'Raw PhocalPoint Data'!E:E = E52,
              'Raw PhocalPoint Data'!F:F = F52
            ) -"&amp;"
            (ROW(INDIRECT(""1:"" &amp; (2010 - A52))) - 1) *
            (
              (
                FILTER('Raw PhocalPoint Data'!G:G,
                  'Raw PhocalPoint Data'!A:A = 2012,
                  'Raw PhocalPoint Data'!D:D = D52,
           "&amp;"       'Raw PhocalPoint Data'!E:E = E52,
                  'Raw PhocalPoint Data'!F:F = F52
                ) /
                FILTER('Raw PhocalPoint Data'!G:G,
                  'Raw PhocalPoint Data'!A:A = 2011,
                  'Raw PhocalPoint Data"&amp;"'!D:D = D52,
                  'Raw PhocalPoint Data'!E:E = E52,
                  'Raw PhocalPoint Data'!F:F = F52
                ) - 1
              ) / 5
            )
          )
        )
      )
    ) *
    INDEX('Raw GDP data'!$I$2:$M$100,
      M"&amp;"ATCH(D52, 'Raw GDP data'!$H$2:$H$100, 0),
      MATCH(A52, 'Raw GDP data'!$I$1:$M$1, 0)
    )
  )),
  """"
)
"),239698400.610551)</f>
        <v>239698400.610551</v>
      </c>
      <c r="H52" s="80"/>
      <c r="I52" s="81">
        <f ca="1">IFERROR(__xludf.DUMMYFUNCTION("""COMPUTED_VALUE"""),2006)</f>
        <v>2006</v>
      </c>
      <c r="J52" s="82" t="str">
        <f ca="1">IFERROR(__xludf.DUMMYFUNCTION("""COMPUTED_VALUE"""),"Taiwan")</f>
        <v>Taiwan</v>
      </c>
      <c r="K52" s="83">
        <f ca="1">IFERROR(
  SUMIFS(
    'New Backfilled Data'!G:G,
    'New Backfilled Data'!A:A, I52,
    'New Backfilled Data'!D:D, J52,
    'New Backfilled Data'!E:E, "Online"
  ) /
  SUMIFS(
    'New Backfilled Data'!G:G,
    'New Backfilled Data'!A:A, I52,
    'New Backfilled Data'!D:D, J52
  ),
  ""
)</f>
        <v>5.3682506569392913E-2</v>
      </c>
      <c r="L52" s="84"/>
      <c r="M52" s="84"/>
    </row>
    <row r="53" spans="1:13" ht="17" x14ac:dyDescent="0.2">
      <c r="A53" s="44">
        <v>2005</v>
      </c>
      <c r="B53" s="45" t="s">
        <v>66</v>
      </c>
      <c r="C53" s="45" t="s">
        <v>17</v>
      </c>
      <c r="D53" s="45" t="s">
        <v>22</v>
      </c>
      <c r="E53" s="45" t="s">
        <v>67</v>
      </c>
      <c r="F53" s="45" t="s">
        <v>67</v>
      </c>
      <c r="G53" s="85">
        <f ca="1">IFERROR(__xludf.DUMMYFUNCTION("IFERROR(
  IF(A53 = 2008,
    IF(E53 = ""Online"",
      FILTER('Raw PhocalPoint Data'!G:G,
        'Raw PhocalPoint Data'!A:A = 2009,
        'Raw PhocalPoint Data'!D:D = D53,
        'Raw PhocalPoint Data'!E:E = E53,
        'Raw PhocalPoint Data'!F:F ="&amp;" F53
      ) /
      (
        FILTER('Raw PhocalPoint Data'!G:G,
          'Raw PhocalPoint Data'!A:A = 2012,
          'Raw PhocalPoint Data'!D:D = D53,
          'Raw PhocalPoint Data'!E:E = E53,
          'Raw PhocalPoint Data'!F:F = F53
        ) /
 "&amp;"       FILTER('Raw PhocalPoint Data'!G:G,
          'Raw PhocalPoint Data'!A:A = 2011,
          'Raw PhocalPoint Data'!D:D = D53,
          'Raw PhocalPoint Data'!E:E = E53,
          'Raw PhocalPoint Data'!F:F = F53
        )
      ),
      FILTER('Raw "&amp;"PhocalPoint Data'!G:G,
        'Raw PhocalPoint Data'!A:A = 2009,
        'Raw PhocalPoint Data'!D:D = D53,
        'Raw PhocalPoint Data'!E:E = E53,
        'Raw PhocalPoint Data'!F:F = F53
      ) *
      (
        INDEX('Raw GDP data'!$I$2:$M$100,
    "&amp;"      MATCH(D53, 'Raw GDP data'!$H$2:$H$100, 0),
          MATCH(2008, 'Raw GDP data'!$I$1:$M$1, 0)
        ) /
        INDEX('Raw GDP data'!$I$2:$M$100,
          MATCH(D53, 'Raw GDP data'!$H$2:$H$100, 0),
          MATCH(2009, 'Raw GDP data'!$I$1:$M$1, "&amp;"0)
        )
      )
    ),
  IF(A53 &lt; 2008,
    (
      FILTER(G:G,
        A:A = 2008,
        D:D = D53,
        E:E = E53,
        F:F = F53
      ) /
      PRODUCT(
        ARRAYFORMULA(
          (
            (
              FILTER('Raw PhocalPoint"&amp;" Data'!G:G,
                'Raw PhocalPoint Data'!A:A = 2012,
                'Raw PhocalPoint Data'!D:D = D53,
                'Raw PhocalPoint Data'!E:E = E53,
                'Raw PhocalPoint Data'!F:F = F53
              ) /
              FILTER('Raw"&amp;" PhocalPoint Data'!G:G,
                'Raw PhocalPoint Data'!A:A = 2011,
                'Raw PhocalPoint Data'!D:D = D53,
                'Raw PhocalPoint Data'!E:E = E53,
                'Raw PhocalPoint Data'!F:F = F53
              ) -
             "&amp;" ROW(INDIRECT(""1:"" &amp; (2008 - A53))) *
              (
                (
                  FILTER('Raw PhocalPoint Data'!G:G,
                    'Raw PhocalPoint Data'!A:A = 2012,
                    'Raw PhocalPoint Data'!D:D = D53,
                   "&amp;" 'Raw PhocalPoint Data'!E:E = E53,
                    'Raw PhocalPoint Data'!F:F = F53
                  ) /
                  FILTER('Raw PhocalPoint Data'!G:G,
                    'Raw PhocalPoint Data'!A:A = 2011,
                    'Raw PhocalPoint "&amp;"Data'!D:D = D53,
                    'Raw PhocalPoint Data'!E:E = E53,
                    'Raw PhocalPoint Data'!F:F = F53
                  ) - 1
                ) / 5
              )
            )
          )
        )
      )
    ),
    (
      FILTER"&amp;"('Raw PhocalPoint Data'!G:G,
        'Raw PhocalPoint Data'!A:A = 2009,
        'Raw PhocalPoint Data'!D:D = D53,
        'Raw PhocalPoint Data'!E:E = E53,
        'Raw PhocalPoint Data'!F:F = F53
      ) /
      PRODUCT(
        ARRAYFORMULA(
          ("&amp;"
            FILTER('Raw PhocalPoint Data'!G:G,
              'Raw PhocalPoint Data'!A:A = 2012,
              'Raw PhocalPoint Data'!D:D = D53,
              'Raw PhocalPoint Data'!E:E = E53,
              'Raw PhocalPoint Data'!F:F = F53
            ) /"&amp;"
            FILTER('Raw PhocalPoint Data'!G:G,
              'Raw PhocalPoint Data'!A:A = 2011,
              'Raw PhocalPoint Data'!D:D = D53,
              'Raw PhocalPoint Data'!E:E = E53,
              'Raw PhocalPoint Data'!F:F = F53
            ) -"&amp;"
            (ROW(INDIRECT(""1:"" &amp; (2010 - A53))) - 1) *
            (
              (
                FILTER('Raw PhocalPoint Data'!G:G,
                  'Raw PhocalPoint Data'!A:A = 2012,
                  'Raw PhocalPoint Data'!D:D = D53,
           "&amp;"       'Raw PhocalPoint Data'!E:E = E53,
                  'Raw PhocalPoint Data'!F:F = F53
                ) /
                FILTER('Raw PhocalPoint Data'!G:G,
                  'Raw PhocalPoint Data'!A:A = 2011,
                  'Raw PhocalPoint Data"&amp;"'!D:D = D53,
                  'Raw PhocalPoint Data'!E:E = E53,
                  'Raw PhocalPoint Data'!F:F = F53
                ) - 1
              ) / 5
            )
          )
        )
      )
    ) *
    INDEX('Raw GDP data'!$I$2:$M$100,
      M"&amp;"ATCH(D53, 'Raw GDP data'!$H$2:$H$100, 0),
      MATCH(A53, 'Raw GDP data'!$I$1:$M$1, 0)
    )
  )),
  """"
)
"),9320320739.04029)</f>
        <v>9320320739.0402908</v>
      </c>
      <c r="H53" s="86"/>
      <c r="I53" s="87">
        <f ca="1">IFERROR(__xludf.DUMMYFUNCTION("""COMPUTED_VALUE"""),2006)</f>
        <v>2006</v>
      </c>
      <c r="J53" s="88" t="str">
        <f ca="1">IFERROR(__xludf.DUMMYFUNCTION("""COMPUTED_VALUE"""),"Thailand")</f>
        <v>Thailand</v>
      </c>
      <c r="K53" s="89">
        <f ca="1">IFERROR(
  SUMIFS(
    'New Backfilled Data'!G:G,
    'New Backfilled Data'!A:A, I53,
    'New Backfilled Data'!D:D, J53,
    'New Backfilled Data'!E:E, "Online"
  ) /
  SUMIFS(
    'New Backfilled Data'!G:G,
    'New Backfilled Data'!A:A, I53,
    'New Backfilled Data'!D:D, J53
  ),
  ""
)</f>
        <v>9.5997366404944842E-2</v>
      </c>
      <c r="L53" s="90"/>
      <c r="M53" s="90"/>
    </row>
    <row r="54" spans="1:13" ht="17" x14ac:dyDescent="0.2">
      <c r="A54" s="37">
        <v>2005</v>
      </c>
      <c r="B54" s="38" t="s">
        <v>66</v>
      </c>
      <c r="C54" s="38" t="s">
        <v>17</v>
      </c>
      <c r="D54" s="38" t="s">
        <v>22</v>
      </c>
      <c r="E54" s="38" t="s">
        <v>69</v>
      </c>
      <c r="F54" s="38" t="s">
        <v>71</v>
      </c>
      <c r="G54" s="79">
        <f ca="1">IFERROR(__xludf.DUMMYFUNCTION("IFERROR(
  IF(A54 = 2008,
    IF(E54 = ""Online"",
      FILTER('Raw PhocalPoint Data'!G:G,
        'Raw PhocalPoint Data'!A:A = 2009,
        'Raw PhocalPoint Data'!D:D = D54,
        'Raw PhocalPoint Data'!E:E = E54,
        'Raw PhocalPoint Data'!F:F ="&amp;" F54
      ) /
      (
        FILTER('Raw PhocalPoint Data'!G:G,
          'Raw PhocalPoint Data'!A:A = 2012,
          'Raw PhocalPoint Data'!D:D = D54,
          'Raw PhocalPoint Data'!E:E = E54,
          'Raw PhocalPoint Data'!F:F = F54
        ) /
 "&amp;"       FILTER('Raw PhocalPoint Data'!G:G,
          'Raw PhocalPoint Data'!A:A = 2011,
          'Raw PhocalPoint Data'!D:D = D54,
          'Raw PhocalPoint Data'!E:E = E54,
          'Raw PhocalPoint Data'!F:F = F54
        )
      ),
      FILTER('Raw "&amp;"PhocalPoint Data'!G:G,
        'Raw PhocalPoint Data'!A:A = 2009,
        'Raw PhocalPoint Data'!D:D = D54,
        'Raw PhocalPoint Data'!E:E = E54,
        'Raw PhocalPoint Data'!F:F = F54
      ) *
      (
        INDEX('Raw GDP data'!$I$2:$M$100,
    "&amp;"      MATCH(D54, 'Raw GDP data'!$H$2:$H$100, 0),
          MATCH(2008, 'Raw GDP data'!$I$1:$M$1, 0)
        ) /
        INDEX('Raw GDP data'!$I$2:$M$100,
          MATCH(D54, 'Raw GDP data'!$H$2:$H$100, 0),
          MATCH(2009, 'Raw GDP data'!$I$1:$M$1, "&amp;"0)
        )
      )
    ),
  IF(A54 &lt; 2008,
    (
      FILTER(G:G,
        A:A = 2008,
        D:D = D54,
        E:E = E54,
        F:F = F54
      ) /
      PRODUCT(
        ARRAYFORMULA(
          (
            (
              FILTER('Raw PhocalPoint"&amp;" Data'!G:G,
                'Raw PhocalPoint Data'!A:A = 2012,
                'Raw PhocalPoint Data'!D:D = D54,
                'Raw PhocalPoint Data'!E:E = E54,
                'Raw PhocalPoint Data'!F:F = F54
              ) /
              FILTER('Raw"&amp;" PhocalPoint Data'!G:G,
                'Raw PhocalPoint Data'!A:A = 2011,
                'Raw PhocalPoint Data'!D:D = D54,
                'Raw PhocalPoint Data'!E:E = E54,
                'Raw PhocalPoint Data'!F:F = F54
              ) -
             "&amp;" ROW(INDIRECT(""1:"" &amp; (2008 - A54))) *
              (
                (
                  FILTER('Raw PhocalPoint Data'!G:G,
                    'Raw PhocalPoint Data'!A:A = 2012,
                    'Raw PhocalPoint Data'!D:D = D54,
                   "&amp;" 'Raw PhocalPoint Data'!E:E = E54,
                    'Raw PhocalPoint Data'!F:F = F54
                  ) /
                  FILTER('Raw PhocalPoint Data'!G:G,
                    'Raw PhocalPoint Data'!A:A = 2011,
                    'Raw PhocalPoint "&amp;"Data'!D:D = D54,
                    'Raw PhocalPoint Data'!E:E = E54,
                    'Raw PhocalPoint Data'!F:F = F54
                  ) - 1
                ) / 5
              )
            )
          )
        )
      )
    ),
    (
      FILTER"&amp;"('Raw PhocalPoint Data'!G:G,
        'Raw PhocalPoint Data'!A:A = 2009,
        'Raw PhocalPoint Data'!D:D = D54,
        'Raw PhocalPoint Data'!E:E = E54,
        'Raw PhocalPoint Data'!F:F = F54
      ) /
      PRODUCT(
        ARRAYFORMULA(
          ("&amp;"
            FILTER('Raw PhocalPoint Data'!G:G,
              'Raw PhocalPoint Data'!A:A = 2012,
              'Raw PhocalPoint Data'!D:D = D54,
              'Raw PhocalPoint Data'!E:E = E54,
              'Raw PhocalPoint Data'!F:F = F54
            ) /"&amp;"
            FILTER('Raw PhocalPoint Data'!G:G,
              'Raw PhocalPoint Data'!A:A = 2011,
              'Raw PhocalPoint Data'!D:D = D54,
              'Raw PhocalPoint Data'!E:E = E54,
              'Raw PhocalPoint Data'!F:F = F54
            ) -"&amp;"
            (ROW(INDIRECT(""1:"" &amp; (2010 - A54))) - 1) *
            (
              (
                FILTER('Raw PhocalPoint Data'!G:G,
                  'Raw PhocalPoint Data'!A:A = 2012,
                  'Raw PhocalPoint Data'!D:D = D54,
           "&amp;"       'Raw PhocalPoint Data'!E:E = E54,
                  'Raw PhocalPoint Data'!F:F = F54
                ) /
                FILTER('Raw PhocalPoint Data'!G:G,
                  'Raw PhocalPoint Data'!A:A = 2011,
                  'Raw PhocalPoint Data"&amp;"'!D:D = D54,
                  'Raw PhocalPoint Data'!E:E = E54,
                  'Raw PhocalPoint Data'!F:F = F54
                ) - 1
              ) / 5
            )
          )
        )
      )
    ) *
    INDEX('Raw GDP data'!$I$2:$M$100,
      M"&amp;"ATCH(D54, 'Raw GDP data'!$H$2:$H$100, 0),
      MATCH(A54, 'Raw GDP data'!$I$1:$M$1, 0)
    )
  )),
  """"
)
"),752043437.730941)</f>
        <v>752043437.73094106</v>
      </c>
      <c r="H54" s="80"/>
      <c r="I54" s="81">
        <f ca="1">IFERROR(__xludf.DUMMYFUNCTION("""COMPUTED_VALUE"""),2006)</f>
        <v>2006</v>
      </c>
      <c r="J54" s="82" t="str">
        <f ca="1">IFERROR(__xludf.DUMMYFUNCTION("""COMPUTED_VALUE"""),"Bulgaria")</f>
        <v>Bulgaria</v>
      </c>
      <c r="K54" s="83">
        <f ca="1">IFERROR(
  SUMIFS(
    'New Backfilled Data'!G:G,
    'New Backfilled Data'!A:A, I54,
    'New Backfilled Data'!D:D, J54,
    'New Backfilled Data'!E:E, "Online"
  ) /
  SUMIFS(
    'New Backfilled Data'!G:G,
    'New Backfilled Data'!A:A, I54,
    'New Backfilled Data'!D:D, J54
  ),
  ""
)</f>
        <v>3.956612027239937E-2</v>
      </c>
      <c r="L54" s="84"/>
      <c r="M54" s="84"/>
    </row>
    <row r="55" spans="1:13" ht="17" x14ac:dyDescent="0.2">
      <c r="A55" s="44">
        <v>2005</v>
      </c>
      <c r="B55" s="45" t="s">
        <v>66</v>
      </c>
      <c r="C55" s="45" t="s">
        <v>17</v>
      </c>
      <c r="D55" s="45" t="s">
        <v>22</v>
      </c>
      <c r="E55" s="45" t="s">
        <v>69</v>
      </c>
      <c r="F55" s="45" t="s">
        <v>70</v>
      </c>
      <c r="G55" s="85">
        <f ca="1">IFERROR(__xludf.DUMMYFUNCTION("IFERROR(
  IF(A55 = 2008,
    IF(E55 = ""Online"",
      FILTER('Raw PhocalPoint Data'!G:G,
        'Raw PhocalPoint Data'!A:A = 2009,
        'Raw PhocalPoint Data'!D:D = D55,
        'Raw PhocalPoint Data'!E:E = E55,
        'Raw PhocalPoint Data'!F:F ="&amp;" F55
      ) /
      (
        FILTER('Raw PhocalPoint Data'!G:G,
          'Raw PhocalPoint Data'!A:A = 2012,
          'Raw PhocalPoint Data'!D:D = D55,
          'Raw PhocalPoint Data'!E:E = E55,
          'Raw PhocalPoint Data'!F:F = F55
        ) /
 "&amp;"       FILTER('Raw PhocalPoint Data'!G:G,
          'Raw PhocalPoint Data'!A:A = 2011,
          'Raw PhocalPoint Data'!D:D = D55,
          'Raw PhocalPoint Data'!E:E = E55,
          'Raw PhocalPoint Data'!F:F = F55
        )
      ),
      FILTER('Raw "&amp;"PhocalPoint Data'!G:G,
        'Raw PhocalPoint Data'!A:A = 2009,
        'Raw PhocalPoint Data'!D:D = D55,
        'Raw PhocalPoint Data'!E:E = E55,
        'Raw PhocalPoint Data'!F:F = F55
      ) *
      (
        INDEX('Raw GDP data'!$I$2:$M$100,
    "&amp;"      MATCH(D55, 'Raw GDP data'!$H$2:$H$100, 0),
          MATCH(2008, 'Raw GDP data'!$I$1:$M$1, 0)
        ) /
        INDEX('Raw GDP data'!$I$2:$M$100,
          MATCH(D55, 'Raw GDP data'!$H$2:$H$100, 0),
          MATCH(2009, 'Raw GDP data'!$I$1:$M$1, "&amp;"0)
        )
      )
    ),
  IF(A55 &lt; 2008,
    (
      FILTER(G:G,
        A:A = 2008,
        D:D = D55,
        E:E = E55,
        F:F = F55
      ) /
      PRODUCT(
        ARRAYFORMULA(
          (
            (
              FILTER('Raw PhocalPoint"&amp;" Data'!G:G,
                'Raw PhocalPoint Data'!A:A = 2012,
                'Raw PhocalPoint Data'!D:D = D55,
                'Raw PhocalPoint Data'!E:E = E55,
                'Raw PhocalPoint Data'!F:F = F55
              ) /
              FILTER('Raw"&amp;" PhocalPoint Data'!G:G,
                'Raw PhocalPoint Data'!A:A = 2011,
                'Raw PhocalPoint Data'!D:D = D55,
                'Raw PhocalPoint Data'!E:E = E55,
                'Raw PhocalPoint Data'!F:F = F55
              ) -
             "&amp;" ROW(INDIRECT(""1:"" &amp; (2008 - A55))) *
              (
                (
                  FILTER('Raw PhocalPoint Data'!G:G,
                    'Raw PhocalPoint Data'!A:A = 2012,
                    'Raw PhocalPoint Data'!D:D = D55,
                   "&amp;" 'Raw PhocalPoint Data'!E:E = E55,
                    'Raw PhocalPoint Data'!F:F = F55
                  ) /
                  FILTER('Raw PhocalPoint Data'!G:G,
                    'Raw PhocalPoint Data'!A:A = 2011,
                    'Raw PhocalPoint "&amp;"Data'!D:D = D55,
                    'Raw PhocalPoint Data'!E:E = E55,
                    'Raw PhocalPoint Data'!F:F = F55
                  ) - 1
                ) / 5
              )
            )
          )
        )
      )
    ),
    (
      FILTER"&amp;"('Raw PhocalPoint Data'!G:G,
        'Raw PhocalPoint Data'!A:A = 2009,
        'Raw PhocalPoint Data'!D:D = D55,
        'Raw PhocalPoint Data'!E:E = E55,
        'Raw PhocalPoint Data'!F:F = F55
      ) /
      PRODUCT(
        ARRAYFORMULA(
          ("&amp;"
            FILTER('Raw PhocalPoint Data'!G:G,
              'Raw PhocalPoint Data'!A:A = 2012,
              'Raw PhocalPoint Data'!D:D = D55,
              'Raw PhocalPoint Data'!E:E = E55,
              'Raw PhocalPoint Data'!F:F = F55
            ) /"&amp;"
            FILTER('Raw PhocalPoint Data'!G:G,
              'Raw PhocalPoint Data'!A:A = 2011,
              'Raw PhocalPoint Data'!D:D = D55,
              'Raw PhocalPoint Data'!E:E = E55,
              'Raw PhocalPoint Data'!F:F = F55
            ) -"&amp;"
            (ROW(INDIRECT(""1:"" &amp; (2010 - A55))) - 1) *
            (
              (
                FILTER('Raw PhocalPoint Data'!G:G,
                  'Raw PhocalPoint Data'!A:A = 2012,
                  'Raw PhocalPoint Data'!D:D = D55,
           "&amp;"       'Raw PhocalPoint Data'!E:E = E55,
                  'Raw PhocalPoint Data'!F:F = F55
                ) /
                FILTER('Raw PhocalPoint Data'!G:G,
                  'Raw PhocalPoint Data'!A:A = 2011,
                  'Raw PhocalPoint Data"&amp;"'!D:D = D55,
                  'Raw PhocalPoint Data'!E:E = E55,
                  'Raw PhocalPoint Data'!F:F = F55
                ) - 1
              ) / 5
            )
          )
        )
      )
    ) *
    INDEX('Raw GDP data'!$I$2:$M$100,
      M"&amp;"ATCH(D55, 'Raw GDP data'!$H$2:$H$100, 0),
      MATCH(A55, 'Raw GDP data'!$I$1:$M$1, 0)
    )
  )),
  """"
)
"),381647360.854259)</f>
        <v>381647360.85425901</v>
      </c>
      <c r="H55" s="86"/>
      <c r="I55" s="87">
        <f ca="1">IFERROR(__xludf.DUMMYFUNCTION("""COMPUTED_VALUE"""),2006)</f>
        <v>2006</v>
      </c>
      <c r="J55" s="88" t="str">
        <f ca="1">IFERROR(__xludf.DUMMYFUNCTION("""COMPUTED_VALUE"""),"Czech Republic")</f>
        <v>Czech Republic</v>
      </c>
      <c r="K55" s="89">
        <f ca="1">IFERROR(
  SUMIFS(
    'New Backfilled Data'!G:G,
    'New Backfilled Data'!A:A, I55,
    'New Backfilled Data'!D:D, J55,
    'New Backfilled Data'!E:E, "Online"
  ) /
  SUMIFS(
    'New Backfilled Data'!G:G,
    'New Backfilled Data'!A:A, I55,
    'New Backfilled Data'!D:D, J55
  ),
  ""
)</f>
        <v>0.10912342029377796</v>
      </c>
      <c r="L55" s="90"/>
      <c r="M55" s="90"/>
    </row>
    <row r="56" spans="1:13" ht="17" x14ac:dyDescent="0.2">
      <c r="A56" s="37">
        <v>2005</v>
      </c>
      <c r="B56" s="38" t="s">
        <v>66</v>
      </c>
      <c r="C56" s="38" t="s">
        <v>17</v>
      </c>
      <c r="D56" s="38" t="s">
        <v>23</v>
      </c>
      <c r="E56" s="38" t="s">
        <v>67</v>
      </c>
      <c r="F56" s="38" t="s">
        <v>67</v>
      </c>
      <c r="G56" s="79">
        <f ca="1">IFERROR(__xludf.DUMMYFUNCTION("IFERROR(
  IF(A56 = 2008,
    IF(E56 = ""Online"",
      FILTER('Raw PhocalPoint Data'!G:G,
        'Raw PhocalPoint Data'!A:A = 2009,
        'Raw PhocalPoint Data'!D:D = D56,
        'Raw PhocalPoint Data'!E:E = E56,
        'Raw PhocalPoint Data'!F:F ="&amp;" F56
      ) /
      (
        FILTER('Raw PhocalPoint Data'!G:G,
          'Raw PhocalPoint Data'!A:A = 2012,
          'Raw PhocalPoint Data'!D:D = D56,
          'Raw PhocalPoint Data'!E:E = E56,
          'Raw PhocalPoint Data'!F:F = F56
        ) /
 "&amp;"       FILTER('Raw PhocalPoint Data'!G:G,
          'Raw PhocalPoint Data'!A:A = 2011,
          'Raw PhocalPoint Data'!D:D = D56,
          'Raw PhocalPoint Data'!E:E = E56,
          'Raw PhocalPoint Data'!F:F = F56
        )
      ),
      FILTER('Raw "&amp;"PhocalPoint Data'!G:G,
        'Raw PhocalPoint Data'!A:A = 2009,
        'Raw PhocalPoint Data'!D:D = D56,
        'Raw PhocalPoint Data'!E:E = E56,
        'Raw PhocalPoint Data'!F:F = F56
      ) *
      (
        INDEX('Raw GDP data'!$I$2:$M$100,
    "&amp;"      MATCH(D56, 'Raw GDP data'!$H$2:$H$100, 0),
          MATCH(2008, 'Raw GDP data'!$I$1:$M$1, 0)
        ) /
        INDEX('Raw GDP data'!$I$2:$M$100,
          MATCH(D56, 'Raw GDP data'!$H$2:$H$100, 0),
          MATCH(2009, 'Raw GDP data'!$I$1:$M$1, "&amp;"0)
        )
      )
    ),
  IF(A56 &lt; 2008,
    (
      FILTER(G:G,
        A:A = 2008,
        D:D = D56,
        E:E = E56,
        F:F = F56
      ) /
      PRODUCT(
        ARRAYFORMULA(
          (
            (
              FILTER('Raw PhocalPoint"&amp;" Data'!G:G,
                'Raw PhocalPoint Data'!A:A = 2012,
                'Raw PhocalPoint Data'!D:D = D56,
                'Raw PhocalPoint Data'!E:E = E56,
                'Raw PhocalPoint Data'!F:F = F56
              ) /
              FILTER('Raw"&amp;" PhocalPoint Data'!G:G,
                'Raw PhocalPoint Data'!A:A = 2011,
                'Raw PhocalPoint Data'!D:D = D56,
                'Raw PhocalPoint Data'!E:E = E56,
                'Raw PhocalPoint Data'!F:F = F56
              ) -
             "&amp;" ROW(INDIRECT(""1:"" &amp; (2008 - A56))) *
              (
                (
                  FILTER('Raw PhocalPoint Data'!G:G,
                    'Raw PhocalPoint Data'!A:A = 2012,
                    'Raw PhocalPoint Data'!D:D = D56,
                   "&amp;" 'Raw PhocalPoint Data'!E:E = E56,
                    'Raw PhocalPoint Data'!F:F = F56
                  ) /
                  FILTER('Raw PhocalPoint Data'!G:G,
                    'Raw PhocalPoint Data'!A:A = 2011,
                    'Raw PhocalPoint "&amp;"Data'!D:D = D56,
                    'Raw PhocalPoint Data'!E:E = E56,
                    'Raw PhocalPoint Data'!F:F = F56
                  ) - 1
                ) / 5
              )
            )
          )
        )
      )
    ),
    (
      FILTER"&amp;"('Raw PhocalPoint Data'!G:G,
        'Raw PhocalPoint Data'!A:A = 2009,
        'Raw PhocalPoint Data'!D:D = D56,
        'Raw PhocalPoint Data'!E:E = E56,
        'Raw PhocalPoint Data'!F:F = F56
      ) /
      PRODUCT(
        ARRAYFORMULA(
          ("&amp;"
            FILTER('Raw PhocalPoint Data'!G:G,
              'Raw PhocalPoint Data'!A:A = 2012,
              'Raw PhocalPoint Data'!D:D = D56,
              'Raw PhocalPoint Data'!E:E = E56,
              'Raw PhocalPoint Data'!F:F = F56
            ) /"&amp;"
            FILTER('Raw PhocalPoint Data'!G:G,
              'Raw PhocalPoint Data'!A:A = 2011,
              'Raw PhocalPoint Data'!D:D = D56,
              'Raw PhocalPoint Data'!E:E = E56,
              'Raw PhocalPoint Data'!F:F = F56
            ) -"&amp;"
            (ROW(INDIRECT(""1:"" &amp; (2010 - A56))) - 1) *
            (
              (
                FILTER('Raw PhocalPoint Data'!G:G,
                  'Raw PhocalPoint Data'!A:A = 2012,
                  'Raw PhocalPoint Data'!D:D = D56,
           "&amp;"       'Raw PhocalPoint Data'!E:E = E56,
                  'Raw PhocalPoint Data'!F:F = F56
                ) /
                FILTER('Raw PhocalPoint Data'!G:G,
                  'Raw PhocalPoint Data'!A:A = 2011,
                  'Raw PhocalPoint Data"&amp;"'!D:D = D56,
                  'Raw PhocalPoint Data'!E:E = E56,
                  'Raw PhocalPoint Data'!F:F = F56
                ) - 1
              ) / 5
            )
          )
        )
      )
    ) *
    INDEX('Raw GDP data'!$I$2:$M$100,
      M"&amp;"ATCH(D56, 'Raw GDP data'!$H$2:$H$100, 0),
      MATCH(A56, 'Raw GDP data'!$I$1:$M$1, 0)
    )
  )),
  """"
)
"),4421891668.07265)</f>
        <v>4421891668.07265</v>
      </c>
      <c r="H56" s="80"/>
      <c r="I56" s="81">
        <f ca="1">IFERROR(__xludf.DUMMYFUNCTION("""COMPUTED_VALUE"""),2006)</f>
        <v>2006</v>
      </c>
      <c r="J56" s="82" t="str">
        <f ca="1">IFERROR(__xludf.DUMMYFUNCTION("""COMPUTED_VALUE"""),"Greece")</f>
        <v>Greece</v>
      </c>
      <c r="K56" s="83">
        <f ca="1">IFERROR(
  SUMIFS(
    'New Backfilled Data'!G:G,
    'New Backfilled Data'!A:A, I56,
    'New Backfilled Data'!D:D, J56,
    'New Backfilled Data'!E:E, "Online"
  ) /
  SUMIFS(
    'New Backfilled Data'!G:G,
    'New Backfilled Data'!A:A, I56,
    'New Backfilled Data'!D:D, J56
  ),
  ""
)</f>
        <v>0.16677361701719284</v>
      </c>
      <c r="L56" s="84"/>
      <c r="M56" s="84"/>
    </row>
    <row r="57" spans="1:13" ht="17" x14ac:dyDescent="0.2">
      <c r="A57" s="44">
        <v>2005</v>
      </c>
      <c r="B57" s="45" t="s">
        <v>66</v>
      </c>
      <c r="C57" s="45" t="s">
        <v>17</v>
      </c>
      <c r="D57" s="45" t="s">
        <v>23</v>
      </c>
      <c r="E57" s="45" t="s">
        <v>69</v>
      </c>
      <c r="F57" s="45" t="s">
        <v>71</v>
      </c>
      <c r="G57" s="85">
        <f ca="1">IFERROR(__xludf.DUMMYFUNCTION("IFERROR(
  IF(A57 = 2008,
    IF(E57 = ""Online"",
      FILTER('Raw PhocalPoint Data'!G:G,
        'Raw PhocalPoint Data'!A:A = 2009,
        'Raw PhocalPoint Data'!D:D = D57,
        'Raw PhocalPoint Data'!E:E = E57,
        'Raw PhocalPoint Data'!F:F ="&amp;" F57
      ) /
      (
        FILTER('Raw PhocalPoint Data'!G:G,
          'Raw PhocalPoint Data'!A:A = 2012,
          'Raw PhocalPoint Data'!D:D = D57,
          'Raw PhocalPoint Data'!E:E = E57,
          'Raw PhocalPoint Data'!F:F = F57
        ) /
 "&amp;"       FILTER('Raw PhocalPoint Data'!G:G,
          'Raw PhocalPoint Data'!A:A = 2011,
          'Raw PhocalPoint Data'!D:D = D57,
          'Raw PhocalPoint Data'!E:E = E57,
          'Raw PhocalPoint Data'!F:F = F57
        )
      ),
      FILTER('Raw "&amp;"PhocalPoint Data'!G:G,
        'Raw PhocalPoint Data'!A:A = 2009,
        'Raw PhocalPoint Data'!D:D = D57,
        'Raw PhocalPoint Data'!E:E = E57,
        'Raw PhocalPoint Data'!F:F = F57
      ) *
      (
        INDEX('Raw GDP data'!$I$2:$M$100,
    "&amp;"      MATCH(D57, 'Raw GDP data'!$H$2:$H$100, 0),
          MATCH(2008, 'Raw GDP data'!$I$1:$M$1, 0)
        ) /
        INDEX('Raw GDP data'!$I$2:$M$100,
          MATCH(D57, 'Raw GDP data'!$H$2:$H$100, 0),
          MATCH(2009, 'Raw GDP data'!$I$1:$M$1, "&amp;"0)
        )
      )
    ),
  IF(A57 &lt; 2008,
    (
      FILTER(G:G,
        A:A = 2008,
        D:D = D57,
        E:E = E57,
        F:F = F57
      ) /
      PRODUCT(
        ARRAYFORMULA(
          (
            (
              FILTER('Raw PhocalPoint"&amp;" Data'!G:G,
                'Raw PhocalPoint Data'!A:A = 2012,
                'Raw PhocalPoint Data'!D:D = D57,
                'Raw PhocalPoint Data'!E:E = E57,
                'Raw PhocalPoint Data'!F:F = F57
              ) /
              FILTER('Raw"&amp;" PhocalPoint Data'!G:G,
                'Raw PhocalPoint Data'!A:A = 2011,
                'Raw PhocalPoint Data'!D:D = D57,
                'Raw PhocalPoint Data'!E:E = E57,
                'Raw PhocalPoint Data'!F:F = F57
              ) -
             "&amp;" ROW(INDIRECT(""1:"" &amp; (2008 - A57))) *
              (
                (
                  FILTER('Raw PhocalPoint Data'!G:G,
                    'Raw PhocalPoint Data'!A:A = 2012,
                    'Raw PhocalPoint Data'!D:D = D57,
                   "&amp;" 'Raw PhocalPoint Data'!E:E = E57,
                    'Raw PhocalPoint Data'!F:F = F57
                  ) /
                  FILTER('Raw PhocalPoint Data'!G:G,
                    'Raw PhocalPoint Data'!A:A = 2011,
                    'Raw PhocalPoint "&amp;"Data'!D:D = D57,
                    'Raw PhocalPoint Data'!E:E = E57,
                    'Raw PhocalPoint Data'!F:F = F57
                  ) - 1
                ) / 5
              )
            )
          )
        )
      )
    ),
    (
      FILTER"&amp;"('Raw PhocalPoint Data'!G:G,
        'Raw PhocalPoint Data'!A:A = 2009,
        'Raw PhocalPoint Data'!D:D = D57,
        'Raw PhocalPoint Data'!E:E = E57,
        'Raw PhocalPoint Data'!F:F = F57
      ) /
      PRODUCT(
        ARRAYFORMULA(
          ("&amp;"
            FILTER('Raw PhocalPoint Data'!G:G,
              'Raw PhocalPoint Data'!A:A = 2012,
              'Raw PhocalPoint Data'!D:D = D57,
              'Raw PhocalPoint Data'!E:E = E57,
              'Raw PhocalPoint Data'!F:F = F57
            ) /"&amp;"
            FILTER('Raw PhocalPoint Data'!G:G,
              'Raw PhocalPoint Data'!A:A = 2011,
              'Raw PhocalPoint Data'!D:D = D57,
              'Raw PhocalPoint Data'!E:E = E57,
              'Raw PhocalPoint Data'!F:F = F57
            ) -"&amp;"
            (ROW(INDIRECT(""1:"" &amp; (2010 - A57))) - 1) *
            (
              (
                FILTER('Raw PhocalPoint Data'!G:G,
                  'Raw PhocalPoint Data'!A:A = 2012,
                  'Raw PhocalPoint Data'!D:D = D57,
           "&amp;"       'Raw PhocalPoint Data'!E:E = E57,
                  'Raw PhocalPoint Data'!F:F = F57
                ) /
                FILTER('Raw PhocalPoint Data'!G:G,
                  'Raw PhocalPoint Data'!A:A = 2011,
                  'Raw PhocalPoint Data"&amp;"'!D:D = D57,
                  'Raw PhocalPoint Data'!E:E = E57,
                  'Raw PhocalPoint Data'!F:F = F57
                ) - 1
              ) / 5
            )
          )
        )
      )
    ) *
    INDEX('Raw GDP data'!$I$2:$M$100,
      M"&amp;"ATCH(D57, 'Raw GDP data'!$H$2:$H$100, 0),
      MATCH(A57, 'Raw GDP data'!$I$1:$M$1, 0)
    )
  )),
  """"
)
"),80911698.0408538)</f>
        <v>80911698.040853798</v>
      </c>
      <c r="H57" s="86"/>
      <c r="I57" s="87">
        <f ca="1">IFERROR(__xludf.DUMMYFUNCTION("""COMPUTED_VALUE"""),2006)</f>
        <v>2006</v>
      </c>
      <c r="J57" s="88" t="str">
        <f ca="1">IFERROR(__xludf.DUMMYFUNCTION("""COMPUTED_VALUE"""),"Hungary")</f>
        <v>Hungary</v>
      </c>
      <c r="K57" s="89">
        <f ca="1">IFERROR(
  SUMIFS(
    'New Backfilled Data'!G:G,
    'New Backfilled Data'!A:A, I57,
    'New Backfilled Data'!D:D, J57,
    'New Backfilled Data'!E:E, "Online"
  ) /
  SUMIFS(
    'New Backfilled Data'!G:G,
    'New Backfilled Data'!A:A, I57,
    'New Backfilled Data'!D:D, J57
  ),
  ""
)</f>
        <v>0.11908738974670184</v>
      </c>
      <c r="L57" s="90"/>
      <c r="M57" s="90"/>
    </row>
    <row r="58" spans="1:13" ht="17" x14ac:dyDescent="0.2">
      <c r="A58" s="37">
        <v>2005</v>
      </c>
      <c r="B58" s="38" t="s">
        <v>66</v>
      </c>
      <c r="C58" s="38" t="s">
        <v>17</v>
      </c>
      <c r="D58" s="38" t="s">
        <v>23</v>
      </c>
      <c r="E58" s="38" t="s">
        <v>69</v>
      </c>
      <c r="F58" s="38" t="s">
        <v>70</v>
      </c>
      <c r="G58" s="79">
        <f ca="1">IFERROR(__xludf.DUMMYFUNCTION("IFERROR(
  IF(A58 = 2008,
    IF(E58 = ""Online"",
      FILTER('Raw PhocalPoint Data'!G:G,
        'Raw PhocalPoint Data'!A:A = 2009,
        'Raw PhocalPoint Data'!D:D = D58,
        'Raw PhocalPoint Data'!E:E = E58,
        'Raw PhocalPoint Data'!F:F ="&amp;" F58
      ) /
      (
        FILTER('Raw PhocalPoint Data'!G:G,
          'Raw PhocalPoint Data'!A:A = 2012,
          'Raw PhocalPoint Data'!D:D = D58,
          'Raw PhocalPoint Data'!E:E = E58,
          'Raw PhocalPoint Data'!F:F = F58
        ) /
 "&amp;"       FILTER('Raw PhocalPoint Data'!G:G,
          'Raw PhocalPoint Data'!A:A = 2011,
          'Raw PhocalPoint Data'!D:D = D58,
          'Raw PhocalPoint Data'!E:E = E58,
          'Raw PhocalPoint Data'!F:F = F58
        )
      ),
      FILTER('Raw "&amp;"PhocalPoint Data'!G:G,
        'Raw PhocalPoint Data'!A:A = 2009,
        'Raw PhocalPoint Data'!D:D = D58,
        'Raw PhocalPoint Data'!E:E = E58,
        'Raw PhocalPoint Data'!F:F = F58
      ) *
      (
        INDEX('Raw GDP data'!$I$2:$M$100,
    "&amp;"      MATCH(D58, 'Raw GDP data'!$H$2:$H$100, 0),
          MATCH(2008, 'Raw GDP data'!$I$1:$M$1, 0)
        ) /
        INDEX('Raw GDP data'!$I$2:$M$100,
          MATCH(D58, 'Raw GDP data'!$H$2:$H$100, 0),
          MATCH(2009, 'Raw GDP data'!$I$1:$M$1, "&amp;"0)
        )
      )
    ),
  IF(A58 &lt; 2008,
    (
      FILTER(G:G,
        A:A = 2008,
        D:D = D58,
        E:E = E58,
        F:F = F58
      ) /
      PRODUCT(
        ARRAYFORMULA(
          (
            (
              FILTER('Raw PhocalPoint"&amp;" Data'!G:G,
                'Raw PhocalPoint Data'!A:A = 2012,
                'Raw PhocalPoint Data'!D:D = D58,
                'Raw PhocalPoint Data'!E:E = E58,
                'Raw PhocalPoint Data'!F:F = F58
              ) /
              FILTER('Raw"&amp;" PhocalPoint Data'!G:G,
                'Raw PhocalPoint Data'!A:A = 2011,
                'Raw PhocalPoint Data'!D:D = D58,
                'Raw PhocalPoint Data'!E:E = E58,
                'Raw PhocalPoint Data'!F:F = F58
              ) -
             "&amp;" ROW(INDIRECT(""1:"" &amp; (2008 - A58))) *
              (
                (
                  FILTER('Raw PhocalPoint Data'!G:G,
                    'Raw PhocalPoint Data'!A:A = 2012,
                    'Raw PhocalPoint Data'!D:D = D58,
                   "&amp;" 'Raw PhocalPoint Data'!E:E = E58,
                    'Raw PhocalPoint Data'!F:F = F58
                  ) /
                  FILTER('Raw PhocalPoint Data'!G:G,
                    'Raw PhocalPoint Data'!A:A = 2011,
                    'Raw PhocalPoint "&amp;"Data'!D:D = D58,
                    'Raw PhocalPoint Data'!E:E = E58,
                    'Raw PhocalPoint Data'!F:F = F58
                  ) - 1
                ) / 5
              )
            )
          )
        )
      )
    ),
    (
      FILTER"&amp;"('Raw PhocalPoint Data'!G:G,
        'Raw PhocalPoint Data'!A:A = 2009,
        'Raw PhocalPoint Data'!D:D = D58,
        'Raw PhocalPoint Data'!E:E = E58,
        'Raw PhocalPoint Data'!F:F = F58
      ) /
      PRODUCT(
        ARRAYFORMULA(
          ("&amp;"
            FILTER('Raw PhocalPoint Data'!G:G,
              'Raw PhocalPoint Data'!A:A = 2012,
              'Raw PhocalPoint Data'!D:D = D58,
              'Raw PhocalPoint Data'!E:E = E58,
              'Raw PhocalPoint Data'!F:F = F58
            ) /"&amp;"
            FILTER('Raw PhocalPoint Data'!G:G,
              'Raw PhocalPoint Data'!A:A = 2011,
              'Raw PhocalPoint Data'!D:D = D58,
              'Raw PhocalPoint Data'!E:E = E58,
              'Raw PhocalPoint Data'!F:F = F58
            ) -"&amp;"
            (ROW(INDIRECT(""1:"" &amp; (2010 - A58))) - 1) *
            (
              (
                FILTER('Raw PhocalPoint Data'!G:G,
                  'Raw PhocalPoint Data'!A:A = 2012,
                  'Raw PhocalPoint Data'!D:D = D58,
           "&amp;"       'Raw PhocalPoint Data'!E:E = E58,
                  'Raw PhocalPoint Data'!F:F = F58
                ) /
                FILTER('Raw PhocalPoint Data'!G:G,
                  'Raw PhocalPoint Data'!A:A = 2011,
                  'Raw PhocalPoint Data"&amp;"'!D:D = D58,
                  'Raw PhocalPoint Data'!E:E = E58,
                  'Raw PhocalPoint Data'!F:F = F58
                ) - 1
              ) / 5
            )
          )
        )
      )
    ) *
    INDEX('Raw GDP data'!$I$2:$M$100,
      M"&amp;"ATCH(D58, 'Raw GDP data'!$H$2:$H$100, 0),
      MATCH(A58, 'Raw GDP data'!$I$1:$M$1, 0)
    )
  )),
  """"
)
"),160846266.457161)</f>
        <v>160846266.45716101</v>
      </c>
      <c r="H58" s="80"/>
      <c r="I58" s="81">
        <f ca="1">IFERROR(__xludf.DUMMYFUNCTION("""COMPUTED_VALUE"""),2006)</f>
        <v>2006</v>
      </c>
      <c r="J58" s="82" t="str">
        <f ca="1">IFERROR(__xludf.DUMMYFUNCTION("""COMPUTED_VALUE"""),"Poland")</f>
        <v>Poland</v>
      </c>
      <c r="K58" s="83">
        <f ca="1">IFERROR(
  SUMIFS(
    'New Backfilled Data'!G:G,
    'New Backfilled Data'!A:A, I58,
    'New Backfilled Data'!D:D, J58,
    'New Backfilled Data'!E:E, "Online"
  ) /
  SUMIFS(
    'New Backfilled Data'!G:G,
    'New Backfilled Data'!A:A, I58,
    'New Backfilled Data'!D:D, J58
  ),
  ""
)</f>
        <v>0.10289829444699641</v>
      </c>
      <c r="L58" s="84"/>
      <c r="M58" s="84"/>
    </row>
    <row r="59" spans="1:13" ht="34" x14ac:dyDescent="0.2">
      <c r="A59" s="44">
        <v>2005</v>
      </c>
      <c r="B59" s="45" t="s">
        <v>66</v>
      </c>
      <c r="C59" s="45" t="s">
        <v>17</v>
      </c>
      <c r="D59" s="45" t="s">
        <v>24</v>
      </c>
      <c r="E59" s="45" t="s">
        <v>67</v>
      </c>
      <c r="F59" s="45" t="s">
        <v>67</v>
      </c>
      <c r="G59" s="85">
        <f ca="1">IFERROR(__xludf.DUMMYFUNCTION("IFERROR(
  IF(A59 = 2008,
    IF(E59 = ""Online"",
      FILTER('Raw PhocalPoint Data'!G:G,
        'Raw PhocalPoint Data'!A:A = 2009,
        'Raw PhocalPoint Data'!D:D = D59,
        'Raw PhocalPoint Data'!E:E = E59,
        'Raw PhocalPoint Data'!F:F ="&amp;" F59
      ) /
      (
        FILTER('Raw PhocalPoint Data'!G:G,
          'Raw PhocalPoint Data'!A:A = 2012,
          'Raw PhocalPoint Data'!D:D = D59,
          'Raw PhocalPoint Data'!E:E = E59,
          'Raw PhocalPoint Data'!F:F = F59
        ) /
 "&amp;"       FILTER('Raw PhocalPoint Data'!G:G,
          'Raw PhocalPoint Data'!A:A = 2011,
          'Raw PhocalPoint Data'!D:D = D59,
          'Raw PhocalPoint Data'!E:E = E59,
          'Raw PhocalPoint Data'!F:F = F59
        )
      ),
      FILTER('Raw "&amp;"PhocalPoint Data'!G:G,
        'Raw PhocalPoint Data'!A:A = 2009,
        'Raw PhocalPoint Data'!D:D = D59,
        'Raw PhocalPoint Data'!E:E = E59,
        'Raw PhocalPoint Data'!F:F = F59
      ) *
      (
        INDEX('Raw GDP data'!$I$2:$M$100,
    "&amp;"      MATCH(D59, 'Raw GDP data'!$H$2:$H$100, 0),
          MATCH(2008, 'Raw GDP data'!$I$1:$M$1, 0)
        ) /
        INDEX('Raw GDP data'!$I$2:$M$100,
          MATCH(D59, 'Raw GDP data'!$H$2:$H$100, 0),
          MATCH(2009, 'Raw GDP data'!$I$1:$M$1, "&amp;"0)
        )
      )
    ),
  IF(A59 &lt; 2008,
    (
      FILTER(G:G,
        A:A = 2008,
        D:D = D59,
        E:E = E59,
        F:F = F59
      ) /
      PRODUCT(
        ARRAYFORMULA(
          (
            (
              FILTER('Raw PhocalPoint"&amp;" Data'!G:G,
                'Raw PhocalPoint Data'!A:A = 2012,
                'Raw PhocalPoint Data'!D:D = D59,
                'Raw PhocalPoint Data'!E:E = E59,
                'Raw PhocalPoint Data'!F:F = F59
              ) /
              FILTER('Raw"&amp;" PhocalPoint Data'!G:G,
                'Raw PhocalPoint Data'!A:A = 2011,
                'Raw PhocalPoint Data'!D:D = D59,
                'Raw PhocalPoint Data'!E:E = E59,
                'Raw PhocalPoint Data'!F:F = F59
              ) -
             "&amp;" ROW(INDIRECT(""1:"" &amp; (2008 - A59))) *
              (
                (
                  FILTER('Raw PhocalPoint Data'!G:G,
                    'Raw PhocalPoint Data'!A:A = 2012,
                    'Raw PhocalPoint Data'!D:D = D59,
                   "&amp;" 'Raw PhocalPoint Data'!E:E = E59,
                    'Raw PhocalPoint Data'!F:F = F59
                  ) /
                  FILTER('Raw PhocalPoint Data'!G:G,
                    'Raw PhocalPoint Data'!A:A = 2011,
                    'Raw PhocalPoint "&amp;"Data'!D:D = D59,
                    'Raw PhocalPoint Data'!E:E = E59,
                    'Raw PhocalPoint Data'!F:F = F59
                  ) - 1
                ) / 5
              )
            )
          )
        )
      )
    ),
    (
      FILTER"&amp;"('Raw PhocalPoint Data'!G:G,
        'Raw PhocalPoint Data'!A:A = 2009,
        'Raw PhocalPoint Data'!D:D = D59,
        'Raw PhocalPoint Data'!E:E = E59,
        'Raw PhocalPoint Data'!F:F = F59
      ) /
      PRODUCT(
        ARRAYFORMULA(
          ("&amp;"
            FILTER('Raw PhocalPoint Data'!G:G,
              'Raw PhocalPoint Data'!A:A = 2012,
              'Raw PhocalPoint Data'!D:D = D59,
              'Raw PhocalPoint Data'!E:E = E59,
              'Raw PhocalPoint Data'!F:F = F59
            ) /"&amp;"
            FILTER('Raw PhocalPoint Data'!G:G,
              'Raw PhocalPoint Data'!A:A = 2011,
              'Raw PhocalPoint Data'!D:D = D59,
              'Raw PhocalPoint Data'!E:E = E59,
              'Raw PhocalPoint Data'!F:F = F59
            ) -"&amp;"
            (ROW(INDIRECT(""1:"" &amp; (2010 - A59))) - 1) *
            (
              (
                FILTER('Raw PhocalPoint Data'!G:G,
                  'Raw PhocalPoint Data'!A:A = 2012,
                  'Raw PhocalPoint Data'!D:D = D59,
           "&amp;"       'Raw PhocalPoint Data'!E:E = E59,
                  'Raw PhocalPoint Data'!F:F = F59
                ) /
                FILTER('Raw PhocalPoint Data'!G:G,
                  'Raw PhocalPoint Data'!A:A = 2011,
                  'Raw PhocalPoint Data"&amp;"'!D:D = D59,
                  'Raw PhocalPoint Data'!E:E = E59,
                  'Raw PhocalPoint Data'!F:F = F59
                ) - 1
              ) / 5
            )
          )
        )
      )
    ) *
    INDEX('Raw GDP data'!$I$2:$M$100,
      M"&amp;"ATCH(D59, 'Raw GDP data'!$H$2:$H$100, 0),
      MATCH(A59, 'Raw GDP data'!$I$1:$M$1, 0)
    )
  )),
  """"
)
"),47363982827.1902)</f>
        <v>47363982827.190201</v>
      </c>
      <c r="H59" s="86"/>
      <c r="I59" s="87">
        <f ca="1">IFERROR(__xludf.DUMMYFUNCTION("""COMPUTED_VALUE"""),2006)</f>
        <v>2006</v>
      </c>
      <c r="J59" s="88" t="str">
        <f ca="1">IFERROR(__xludf.DUMMYFUNCTION("""COMPUTED_VALUE"""),"Rest of Eastern Europe")</f>
        <v>Rest of Eastern Europe</v>
      </c>
      <c r="K59" s="89">
        <f ca="1">IFERROR(
  SUMIFS(
    'New Backfilled Data'!G:G,
    'New Backfilled Data'!A:A, I59,
    'New Backfilled Data'!D:D, J59,
    'New Backfilled Data'!E:E, "Online"
  ) /
  SUMIFS(
    'New Backfilled Data'!G:G,
    'New Backfilled Data'!A:A, I59,
    'New Backfilled Data'!D:D, J59
  ),
  ""
)</f>
        <v>0.11111366109127582</v>
      </c>
      <c r="L59" s="90"/>
      <c r="M59" s="90"/>
    </row>
    <row r="60" spans="1:13" ht="17" x14ac:dyDescent="0.2">
      <c r="A60" s="37">
        <v>2005</v>
      </c>
      <c r="B60" s="38" t="s">
        <v>66</v>
      </c>
      <c r="C60" s="38" t="s">
        <v>17</v>
      </c>
      <c r="D60" s="38" t="s">
        <v>24</v>
      </c>
      <c r="E60" s="38" t="s">
        <v>69</v>
      </c>
      <c r="F60" s="38" t="s">
        <v>71</v>
      </c>
      <c r="G60" s="79">
        <f ca="1">IFERROR(__xludf.DUMMYFUNCTION("IFERROR(
  IF(A60 = 2008,
    IF(E60 = ""Online"",
      FILTER('Raw PhocalPoint Data'!G:G,
        'Raw PhocalPoint Data'!A:A = 2009,
        'Raw PhocalPoint Data'!D:D = D60,
        'Raw PhocalPoint Data'!E:E = E60,
        'Raw PhocalPoint Data'!F:F ="&amp;" F60
      ) /
      (
        FILTER('Raw PhocalPoint Data'!G:G,
          'Raw PhocalPoint Data'!A:A = 2012,
          'Raw PhocalPoint Data'!D:D = D60,
          'Raw PhocalPoint Data'!E:E = E60,
          'Raw PhocalPoint Data'!F:F = F60
        ) /
 "&amp;"       FILTER('Raw PhocalPoint Data'!G:G,
          'Raw PhocalPoint Data'!A:A = 2011,
          'Raw PhocalPoint Data'!D:D = D60,
          'Raw PhocalPoint Data'!E:E = E60,
          'Raw PhocalPoint Data'!F:F = F60
        )
      ),
      FILTER('Raw "&amp;"PhocalPoint Data'!G:G,
        'Raw PhocalPoint Data'!A:A = 2009,
        'Raw PhocalPoint Data'!D:D = D60,
        'Raw PhocalPoint Data'!E:E = E60,
        'Raw PhocalPoint Data'!F:F = F60
      ) *
      (
        INDEX('Raw GDP data'!$I$2:$M$100,
    "&amp;"      MATCH(D60, 'Raw GDP data'!$H$2:$H$100, 0),
          MATCH(2008, 'Raw GDP data'!$I$1:$M$1, 0)
        ) /
        INDEX('Raw GDP data'!$I$2:$M$100,
          MATCH(D60, 'Raw GDP data'!$H$2:$H$100, 0),
          MATCH(2009, 'Raw GDP data'!$I$1:$M$1, "&amp;"0)
        )
      )
    ),
  IF(A60 &lt; 2008,
    (
      FILTER(G:G,
        A:A = 2008,
        D:D = D60,
        E:E = E60,
        F:F = F60
      ) /
      PRODUCT(
        ARRAYFORMULA(
          (
            (
              FILTER('Raw PhocalPoint"&amp;" Data'!G:G,
                'Raw PhocalPoint Data'!A:A = 2012,
                'Raw PhocalPoint Data'!D:D = D60,
                'Raw PhocalPoint Data'!E:E = E60,
                'Raw PhocalPoint Data'!F:F = F60
              ) /
              FILTER('Raw"&amp;" PhocalPoint Data'!G:G,
                'Raw PhocalPoint Data'!A:A = 2011,
                'Raw PhocalPoint Data'!D:D = D60,
                'Raw PhocalPoint Data'!E:E = E60,
                'Raw PhocalPoint Data'!F:F = F60
              ) -
             "&amp;" ROW(INDIRECT(""1:"" &amp; (2008 - A60))) *
              (
                (
                  FILTER('Raw PhocalPoint Data'!G:G,
                    'Raw PhocalPoint Data'!A:A = 2012,
                    'Raw PhocalPoint Data'!D:D = D60,
                   "&amp;" 'Raw PhocalPoint Data'!E:E = E60,
                    'Raw PhocalPoint Data'!F:F = F60
                  ) /
                  FILTER('Raw PhocalPoint Data'!G:G,
                    'Raw PhocalPoint Data'!A:A = 2011,
                    'Raw PhocalPoint "&amp;"Data'!D:D = D60,
                    'Raw PhocalPoint Data'!E:E = E60,
                    'Raw PhocalPoint Data'!F:F = F60
                  ) - 1
                ) / 5
              )
            )
          )
        )
      )
    ),
    (
      FILTER"&amp;"('Raw PhocalPoint Data'!G:G,
        'Raw PhocalPoint Data'!A:A = 2009,
        'Raw PhocalPoint Data'!D:D = D60,
        'Raw PhocalPoint Data'!E:E = E60,
        'Raw PhocalPoint Data'!F:F = F60
      ) /
      PRODUCT(
        ARRAYFORMULA(
          ("&amp;"
            FILTER('Raw PhocalPoint Data'!G:G,
              'Raw PhocalPoint Data'!A:A = 2012,
              'Raw PhocalPoint Data'!D:D = D60,
              'Raw PhocalPoint Data'!E:E = E60,
              'Raw PhocalPoint Data'!F:F = F60
            ) /"&amp;"
            FILTER('Raw PhocalPoint Data'!G:G,
              'Raw PhocalPoint Data'!A:A = 2011,
              'Raw PhocalPoint Data'!D:D = D60,
              'Raw PhocalPoint Data'!E:E = E60,
              'Raw PhocalPoint Data'!F:F = F60
            ) -"&amp;"
            (ROW(INDIRECT(""1:"" &amp; (2010 - A60))) - 1) *
            (
              (
                FILTER('Raw PhocalPoint Data'!G:G,
                  'Raw PhocalPoint Data'!A:A = 2012,
                  'Raw PhocalPoint Data'!D:D = D60,
           "&amp;"       'Raw PhocalPoint Data'!E:E = E60,
                  'Raw PhocalPoint Data'!F:F = F60
                ) /
                FILTER('Raw PhocalPoint Data'!G:G,
                  'Raw PhocalPoint Data'!A:A = 2011,
                  'Raw PhocalPoint Data"&amp;"'!D:D = D60,
                  'Raw PhocalPoint Data'!E:E = E60,
                  'Raw PhocalPoint Data'!F:F = F60
                ) - 1
              ) / 5
            )
          )
        )
      )
    ) *
    INDEX('Raw GDP data'!$I$2:$M$100,
      M"&amp;"ATCH(D60, 'Raw GDP data'!$H$2:$H$100, 0),
      MATCH(A60, 'Raw GDP data'!$I$1:$M$1, 0)
    )
  )),
  """"
)
"),309723863.747546)</f>
        <v>309723863.74754602</v>
      </c>
      <c r="H60" s="80"/>
      <c r="I60" s="81">
        <f ca="1">IFERROR(__xludf.DUMMYFUNCTION("""COMPUTED_VALUE"""),2006)</f>
        <v>2006</v>
      </c>
      <c r="J60" s="82" t="str">
        <f ca="1">IFERROR(__xludf.DUMMYFUNCTION("""COMPUTED_VALUE"""),"Romania")</f>
        <v>Romania</v>
      </c>
      <c r="K60" s="83">
        <f ca="1">IFERROR(
  SUMIFS(
    'New Backfilled Data'!G:G,
    'New Backfilled Data'!A:A, I60,
    'New Backfilled Data'!D:D, J60,
    'New Backfilled Data'!E:E, "Online"
  ) /
  SUMIFS(
    'New Backfilled Data'!G:G,
    'New Backfilled Data'!A:A, I60,
    'New Backfilled Data'!D:D, J60
  ),
  ""
)</f>
        <v>5.7515584072669768E-2</v>
      </c>
      <c r="L60" s="84"/>
      <c r="M60" s="84"/>
    </row>
    <row r="61" spans="1:13" ht="17" x14ac:dyDescent="0.2">
      <c r="A61" s="44">
        <v>2005</v>
      </c>
      <c r="B61" s="45" t="s">
        <v>66</v>
      </c>
      <c r="C61" s="45" t="s">
        <v>17</v>
      </c>
      <c r="D61" s="45" t="s">
        <v>24</v>
      </c>
      <c r="E61" s="45" t="s">
        <v>69</v>
      </c>
      <c r="F61" s="45" t="s">
        <v>70</v>
      </c>
      <c r="G61" s="85">
        <f ca="1">IFERROR(__xludf.DUMMYFUNCTION("IFERROR(
  IF(A61 = 2008,
    IF(E61 = ""Online"",
      FILTER('Raw PhocalPoint Data'!G:G,
        'Raw PhocalPoint Data'!A:A = 2009,
        'Raw PhocalPoint Data'!D:D = D61,
        'Raw PhocalPoint Data'!E:E = E61,
        'Raw PhocalPoint Data'!F:F ="&amp;" F61
      ) /
      (
        FILTER('Raw PhocalPoint Data'!G:G,
          'Raw PhocalPoint Data'!A:A = 2012,
          'Raw PhocalPoint Data'!D:D = D61,
          'Raw PhocalPoint Data'!E:E = E61,
          'Raw PhocalPoint Data'!F:F = F61
        ) /
 "&amp;"       FILTER('Raw PhocalPoint Data'!G:G,
          'Raw PhocalPoint Data'!A:A = 2011,
          'Raw PhocalPoint Data'!D:D = D61,
          'Raw PhocalPoint Data'!E:E = E61,
          'Raw PhocalPoint Data'!F:F = F61
        )
      ),
      FILTER('Raw "&amp;"PhocalPoint Data'!G:G,
        'Raw PhocalPoint Data'!A:A = 2009,
        'Raw PhocalPoint Data'!D:D = D61,
        'Raw PhocalPoint Data'!E:E = E61,
        'Raw PhocalPoint Data'!F:F = F61
      ) *
      (
        INDEX('Raw GDP data'!$I$2:$M$100,
    "&amp;"      MATCH(D61, 'Raw GDP data'!$H$2:$H$100, 0),
          MATCH(2008, 'Raw GDP data'!$I$1:$M$1, 0)
        ) /
        INDEX('Raw GDP data'!$I$2:$M$100,
          MATCH(D61, 'Raw GDP data'!$H$2:$H$100, 0),
          MATCH(2009, 'Raw GDP data'!$I$1:$M$1, "&amp;"0)
        )
      )
    ),
  IF(A61 &lt; 2008,
    (
      FILTER(G:G,
        A:A = 2008,
        D:D = D61,
        E:E = E61,
        F:F = F61
      ) /
      PRODUCT(
        ARRAYFORMULA(
          (
            (
              FILTER('Raw PhocalPoint"&amp;" Data'!G:G,
                'Raw PhocalPoint Data'!A:A = 2012,
                'Raw PhocalPoint Data'!D:D = D61,
                'Raw PhocalPoint Data'!E:E = E61,
                'Raw PhocalPoint Data'!F:F = F61
              ) /
              FILTER('Raw"&amp;" PhocalPoint Data'!G:G,
                'Raw PhocalPoint Data'!A:A = 2011,
                'Raw PhocalPoint Data'!D:D = D61,
                'Raw PhocalPoint Data'!E:E = E61,
                'Raw PhocalPoint Data'!F:F = F61
              ) -
             "&amp;" ROW(INDIRECT(""1:"" &amp; (2008 - A61))) *
              (
                (
                  FILTER('Raw PhocalPoint Data'!G:G,
                    'Raw PhocalPoint Data'!A:A = 2012,
                    'Raw PhocalPoint Data'!D:D = D61,
                   "&amp;" 'Raw PhocalPoint Data'!E:E = E61,
                    'Raw PhocalPoint Data'!F:F = F61
                  ) /
                  FILTER('Raw PhocalPoint Data'!G:G,
                    'Raw PhocalPoint Data'!A:A = 2011,
                    'Raw PhocalPoint "&amp;"Data'!D:D = D61,
                    'Raw PhocalPoint Data'!E:E = E61,
                    'Raw PhocalPoint Data'!F:F = F61
                  ) - 1
                ) / 5
              )
            )
          )
        )
      )
    ),
    (
      FILTER"&amp;"('Raw PhocalPoint Data'!G:G,
        'Raw PhocalPoint Data'!A:A = 2009,
        'Raw PhocalPoint Data'!D:D = D61,
        'Raw PhocalPoint Data'!E:E = E61,
        'Raw PhocalPoint Data'!F:F = F61
      ) /
      PRODUCT(
        ARRAYFORMULA(
          ("&amp;"
            FILTER('Raw PhocalPoint Data'!G:G,
              'Raw PhocalPoint Data'!A:A = 2012,
              'Raw PhocalPoint Data'!D:D = D61,
              'Raw PhocalPoint Data'!E:E = E61,
              'Raw PhocalPoint Data'!F:F = F61
            ) /"&amp;"
            FILTER('Raw PhocalPoint Data'!G:G,
              'Raw PhocalPoint Data'!A:A = 2011,
              'Raw PhocalPoint Data'!D:D = D61,
              'Raw PhocalPoint Data'!E:E = E61,
              'Raw PhocalPoint Data'!F:F = F61
            ) -"&amp;"
            (ROW(INDIRECT(""1:"" &amp; (2010 - A61))) - 1) *
            (
              (
                FILTER('Raw PhocalPoint Data'!G:G,
                  'Raw PhocalPoint Data'!A:A = 2012,
                  'Raw PhocalPoint Data'!D:D = D61,
           "&amp;"       'Raw PhocalPoint Data'!E:E = E61,
                  'Raw PhocalPoint Data'!F:F = F61
                ) /
                FILTER('Raw PhocalPoint Data'!G:G,
                  'Raw PhocalPoint Data'!A:A = 2011,
                  'Raw PhocalPoint Data"&amp;"'!D:D = D61,
                  'Raw PhocalPoint Data'!E:E = E61,
                  'Raw PhocalPoint Data'!F:F = F61
                ) - 1
              ) / 5
            )
          )
        )
      )
    ) *
    INDEX('Raw GDP data'!$I$2:$M$100,
      M"&amp;"ATCH(D61, 'Raw GDP data'!$H$2:$H$100, 0),
      MATCH(A61, 'Raw GDP data'!$I$1:$M$1, 0)
    )
  )),
  """"
)
"),350565866.082011)</f>
        <v>350565866.08201098</v>
      </c>
      <c r="H61" s="86"/>
      <c r="I61" s="87">
        <f ca="1">IFERROR(__xludf.DUMMYFUNCTION("""COMPUTED_VALUE"""),2006)</f>
        <v>2006</v>
      </c>
      <c r="J61" s="88" t="str">
        <f ca="1">IFERROR(__xludf.DUMMYFUNCTION("""COMPUTED_VALUE"""),"Russia")</f>
        <v>Russia</v>
      </c>
      <c r="K61" s="89">
        <f ca="1">IFERROR(
  SUMIFS(
    'New Backfilled Data'!G:G,
    'New Backfilled Data'!A:A, I61,
    'New Backfilled Data'!D:D, J61,
    'New Backfilled Data'!E:E, "Online"
  ) /
  SUMIFS(
    'New Backfilled Data'!G:G,
    'New Backfilled Data'!A:A, I61,
    'New Backfilled Data'!D:D, J61
  ),
  ""
)</f>
        <v>1.6448578923330279E-2</v>
      </c>
      <c r="L61" s="90"/>
      <c r="M61" s="90"/>
    </row>
    <row r="62" spans="1:13" ht="17" x14ac:dyDescent="0.2">
      <c r="A62" s="37">
        <v>2005</v>
      </c>
      <c r="B62" s="38" t="s">
        <v>66</v>
      </c>
      <c r="C62" s="38" t="s">
        <v>17</v>
      </c>
      <c r="D62" s="38" t="s">
        <v>25</v>
      </c>
      <c r="E62" s="38" t="s">
        <v>67</v>
      </c>
      <c r="F62" s="38" t="s">
        <v>67</v>
      </c>
      <c r="G62" s="79">
        <f ca="1">IFERROR(__xludf.DUMMYFUNCTION("IFERROR(
  IF(A62 = 2008,
    IF(E62 = ""Online"",
      FILTER('Raw PhocalPoint Data'!G:G,
        'Raw PhocalPoint Data'!A:A = 2009,
        'Raw PhocalPoint Data'!D:D = D62,
        'Raw PhocalPoint Data'!E:E = E62,
        'Raw PhocalPoint Data'!F:F ="&amp;" F62
      ) /
      (
        FILTER('Raw PhocalPoint Data'!G:G,
          'Raw PhocalPoint Data'!A:A = 2012,
          'Raw PhocalPoint Data'!D:D = D62,
          'Raw PhocalPoint Data'!E:E = E62,
          'Raw PhocalPoint Data'!F:F = F62
        ) /
 "&amp;"       FILTER('Raw PhocalPoint Data'!G:G,
          'Raw PhocalPoint Data'!A:A = 2011,
          'Raw PhocalPoint Data'!D:D = D62,
          'Raw PhocalPoint Data'!E:E = E62,
          'Raw PhocalPoint Data'!F:F = F62
        )
      ),
      FILTER('Raw "&amp;"PhocalPoint Data'!G:G,
        'Raw PhocalPoint Data'!A:A = 2009,
        'Raw PhocalPoint Data'!D:D = D62,
        'Raw PhocalPoint Data'!E:E = E62,
        'Raw PhocalPoint Data'!F:F = F62
      ) *
      (
        INDEX('Raw GDP data'!$I$2:$M$100,
    "&amp;"      MATCH(D62, 'Raw GDP data'!$H$2:$H$100, 0),
          MATCH(2008, 'Raw GDP data'!$I$1:$M$1, 0)
        ) /
        INDEX('Raw GDP data'!$I$2:$M$100,
          MATCH(D62, 'Raw GDP data'!$H$2:$H$100, 0),
          MATCH(2009, 'Raw GDP data'!$I$1:$M$1, "&amp;"0)
        )
      )
    ),
  IF(A62 &lt; 2008,
    (
      FILTER(G:G,
        A:A = 2008,
        D:D = D62,
        E:E = E62,
        F:F = F62
      ) /
      PRODUCT(
        ARRAYFORMULA(
          (
            (
              FILTER('Raw PhocalPoint"&amp;" Data'!G:G,
                'Raw PhocalPoint Data'!A:A = 2012,
                'Raw PhocalPoint Data'!D:D = D62,
                'Raw PhocalPoint Data'!E:E = E62,
                'Raw PhocalPoint Data'!F:F = F62
              ) /
              FILTER('Raw"&amp;" PhocalPoint Data'!G:G,
                'Raw PhocalPoint Data'!A:A = 2011,
                'Raw PhocalPoint Data'!D:D = D62,
                'Raw PhocalPoint Data'!E:E = E62,
                'Raw PhocalPoint Data'!F:F = F62
              ) -
             "&amp;" ROW(INDIRECT(""1:"" &amp; (2008 - A62))) *
              (
                (
                  FILTER('Raw PhocalPoint Data'!G:G,
                    'Raw PhocalPoint Data'!A:A = 2012,
                    'Raw PhocalPoint Data'!D:D = D62,
                   "&amp;" 'Raw PhocalPoint Data'!E:E = E62,
                    'Raw PhocalPoint Data'!F:F = F62
                  ) /
                  FILTER('Raw PhocalPoint Data'!G:G,
                    'Raw PhocalPoint Data'!A:A = 2011,
                    'Raw PhocalPoint "&amp;"Data'!D:D = D62,
                    'Raw PhocalPoint Data'!E:E = E62,
                    'Raw PhocalPoint Data'!F:F = F62
                  ) - 1
                ) / 5
              )
            )
          )
        )
      )
    ),
    (
      FILTER"&amp;"('Raw PhocalPoint Data'!G:G,
        'Raw PhocalPoint Data'!A:A = 2009,
        'Raw PhocalPoint Data'!D:D = D62,
        'Raw PhocalPoint Data'!E:E = E62,
        'Raw PhocalPoint Data'!F:F = F62
      ) /
      PRODUCT(
        ARRAYFORMULA(
          ("&amp;"
            FILTER('Raw PhocalPoint Data'!G:G,
              'Raw PhocalPoint Data'!A:A = 2012,
              'Raw PhocalPoint Data'!D:D = D62,
              'Raw PhocalPoint Data'!E:E = E62,
              'Raw PhocalPoint Data'!F:F = F62
            ) /"&amp;"
            FILTER('Raw PhocalPoint Data'!G:G,
              'Raw PhocalPoint Data'!A:A = 2011,
              'Raw PhocalPoint Data'!D:D = D62,
              'Raw PhocalPoint Data'!E:E = E62,
              'Raw PhocalPoint Data'!F:F = F62
            ) -"&amp;"
            (ROW(INDIRECT(""1:"" &amp; (2010 - A62))) - 1) *
            (
              (
                FILTER('Raw PhocalPoint Data'!G:G,
                  'Raw PhocalPoint Data'!A:A = 2012,
                  'Raw PhocalPoint Data'!D:D = D62,
           "&amp;"       'Raw PhocalPoint Data'!E:E = E62,
                  'Raw PhocalPoint Data'!F:F = F62
                ) /
                FILTER('Raw PhocalPoint Data'!G:G,
                  'Raw PhocalPoint Data'!A:A = 2011,
                  'Raw PhocalPoint Data"&amp;"'!D:D = D62,
                  'Raw PhocalPoint Data'!E:E = E62,
                  'Raw PhocalPoint Data'!F:F = F62
                ) - 1
              ) / 5
            )
          )
        )
      )
    ) *
    INDEX('Raw GDP data'!$I$2:$M$100,
      M"&amp;"ATCH(D62, 'Raw GDP data'!$H$2:$H$100, 0),
      MATCH(A62, 'Raw GDP data'!$I$1:$M$1, 0)
    )
  )),
  """"
)
"),5328773482.50659)</f>
        <v>5328773482.5065899</v>
      </c>
      <c r="H62" s="80"/>
      <c r="I62" s="81">
        <f ca="1">IFERROR(__xludf.DUMMYFUNCTION("""COMPUTED_VALUE"""),2006)</f>
        <v>2006</v>
      </c>
      <c r="J62" s="82" t="str">
        <f ca="1">IFERROR(__xludf.DUMMYFUNCTION("""COMPUTED_VALUE"""),"Ukraine")</f>
        <v>Ukraine</v>
      </c>
      <c r="K62" s="83">
        <f ca="1">IFERROR(
  SUMIFS(
    'New Backfilled Data'!G:G,
    'New Backfilled Data'!A:A, I62,
    'New Backfilled Data'!D:D, J62,
    'New Backfilled Data'!E:E, "Online"
  ) /
  SUMIFS(
    'New Backfilled Data'!G:G,
    'New Backfilled Data'!A:A, I62,
    'New Backfilled Data'!D:D, J62
  ),
  ""
)</f>
        <v>5.8728008127279588E-2</v>
      </c>
      <c r="L62" s="84"/>
      <c r="M62" s="84"/>
    </row>
    <row r="63" spans="1:13" ht="17" x14ac:dyDescent="0.2">
      <c r="A63" s="44">
        <v>2005</v>
      </c>
      <c r="B63" s="45" t="s">
        <v>66</v>
      </c>
      <c r="C63" s="45" t="s">
        <v>17</v>
      </c>
      <c r="D63" s="45" t="s">
        <v>25</v>
      </c>
      <c r="E63" s="45" t="s">
        <v>69</v>
      </c>
      <c r="F63" s="45" t="s">
        <v>71</v>
      </c>
      <c r="G63" s="85">
        <f ca="1">IFERROR(__xludf.DUMMYFUNCTION("IFERROR(
  IF(A63 = 2008,
    IF(E63 = ""Online"",
      FILTER('Raw PhocalPoint Data'!G:G,
        'Raw PhocalPoint Data'!A:A = 2009,
        'Raw PhocalPoint Data'!D:D = D63,
        'Raw PhocalPoint Data'!E:E = E63,
        'Raw PhocalPoint Data'!F:F ="&amp;" F63
      ) /
      (
        FILTER('Raw PhocalPoint Data'!G:G,
          'Raw PhocalPoint Data'!A:A = 2012,
          'Raw PhocalPoint Data'!D:D = D63,
          'Raw PhocalPoint Data'!E:E = E63,
          'Raw PhocalPoint Data'!F:F = F63
        ) /
 "&amp;"       FILTER('Raw PhocalPoint Data'!G:G,
          'Raw PhocalPoint Data'!A:A = 2011,
          'Raw PhocalPoint Data'!D:D = D63,
          'Raw PhocalPoint Data'!E:E = E63,
          'Raw PhocalPoint Data'!F:F = F63
        )
      ),
      FILTER('Raw "&amp;"PhocalPoint Data'!G:G,
        'Raw PhocalPoint Data'!A:A = 2009,
        'Raw PhocalPoint Data'!D:D = D63,
        'Raw PhocalPoint Data'!E:E = E63,
        'Raw PhocalPoint Data'!F:F = F63
      ) *
      (
        INDEX('Raw GDP data'!$I$2:$M$100,
    "&amp;"      MATCH(D63, 'Raw GDP data'!$H$2:$H$100, 0),
          MATCH(2008, 'Raw GDP data'!$I$1:$M$1, 0)
        ) /
        INDEX('Raw GDP data'!$I$2:$M$100,
          MATCH(D63, 'Raw GDP data'!$H$2:$H$100, 0),
          MATCH(2009, 'Raw GDP data'!$I$1:$M$1, "&amp;"0)
        )
      )
    ),
  IF(A63 &lt; 2008,
    (
      FILTER(G:G,
        A:A = 2008,
        D:D = D63,
        E:E = E63,
        F:F = F63
      ) /
      PRODUCT(
        ARRAYFORMULA(
          (
            (
              FILTER('Raw PhocalPoint"&amp;" Data'!G:G,
                'Raw PhocalPoint Data'!A:A = 2012,
                'Raw PhocalPoint Data'!D:D = D63,
                'Raw PhocalPoint Data'!E:E = E63,
                'Raw PhocalPoint Data'!F:F = F63
              ) /
              FILTER('Raw"&amp;" PhocalPoint Data'!G:G,
                'Raw PhocalPoint Data'!A:A = 2011,
                'Raw PhocalPoint Data'!D:D = D63,
                'Raw PhocalPoint Data'!E:E = E63,
                'Raw PhocalPoint Data'!F:F = F63
              ) -
             "&amp;" ROW(INDIRECT(""1:"" &amp; (2008 - A63))) *
              (
                (
                  FILTER('Raw PhocalPoint Data'!G:G,
                    'Raw PhocalPoint Data'!A:A = 2012,
                    'Raw PhocalPoint Data'!D:D = D63,
                   "&amp;" 'Raw PhocalPoint Data'!E:E = E63,
                    'Raw PhocalPoint Data'!F:F = F63
                  ) /
                  FILTER('Raw PhocalPoint Data'!G:G,
                    'Raw PhocalPoint Data'!A:A = 2011,
                    'Raw PhocalPoint "&amp;"Data'!D:D = D63,
                    'Raw PhocalPoint Data'!E:E = E63,
                    'Raw PhocalPoint Data'!F:F = F63
                  ) - 1
                ) / 5
              )
            )
          )
        )
      )
    ),
    (
      FILTER"&amp;"('Raw PhocalPoint Data'!G:G,
        'Raw PhocalPoint Data'!A:A = 2009,
        'Raw PhocalPoint Data'!D:D = D63,
        'Raw PhocalPoint Data'!E:E = E63,
        'Raw PhocalPoint Data'!F:F = F63
      ) /
      PRODUCT(
        ARRAYFORMULA(
          ("&amp;"
            FILTER('Raw PhocalPoint Data'!G:G,
              'Raw PhocalPoint Data'!A:A = 2012,
              'Raw PhocalPoint Data'!D:D = D63,
              'Raw PhocalPoint Data'!E:E = E63,
              'Raw PhocalPoint Data'!F:F = F63
            ) /"&amp;"
            FILTER('Raw PhocalPoint Data'!G:G,
              'Raw PhocalPoint Data'!A:A = 2011,
              'Raw PhocalPoint Data'!D:D = D63,
              'Raw PhocalPoint Data'!E:E = E63,
              'Raw PhocalPoint Data'!F:F = F63
            ) -"&amp;"
            (ROW(INDIRECT(""1:"" &amp; (2010 - A63))) - 1) *
            (
              (
                FILTER('Raw PhocalPoint Data'!G:G,
                  'Raw PhocalPoint Data'!A:A = 2012,
                  'Raw PhocalPoint Data'!D:D = D63,
           "&amp;"       'Raw PhocalPoint Data'!E:E = E63,
                  'Raw PhocalPoint Data'!F:F = F63
                ) /
                FILTER('Raw PhocalPoint Data'!G:G,
                  'Raw PhocalPoint Data'!A:A = 2011,
                  'Raw PhocalPoint Data"&amp;"'!D:D = D63,
                  'Raw PhocalPoint Data'!E:E = E63,
                  'Raw PhocalPoint Data'!F:F = F63
                ) - 1
              ) / 5
            )
          )
        )
      )
    ) *
    INDEX('Raw GDP data'!$I$2:$M$100,
      M"&amp;"ATCH(D63, 'Raw GDP data'!$H$2:$H$100, 0),
      MATCH(A63, 'Raw GDP data'!$I$1:$M$1, 0)
    )
  )),
  """"
)
"),142242377.066458)</f>
        <v>142242377.06645799</v>
      </c>
      <c r="H63" s="86"/>
      <c r="I63" s="87">
        <f ca="1">IFERROR(__xludf.DUMMYFUNCTION("""COMPUTED_VALUE"""),2006)</f>
        <v>2006</v>
      </c>
      <c r="J63" s="88" t="str">
        <f ca="1">IFERROR(__xludf.DUMMYFUNCTION("""COMPUTED_VALUE"""),"France")</f>
        <v>France</v>
      </c>
      <c r="K63" s="89">
        <f ca="1">IFERROR(
  SUMIFS(
    'New Backfilled Data'!G:G,
    'New Backfilled Data'!A:A, I63,
    'New Backfilled Data'!D:D, J63,
    'New Backfilled Data'!E:E, "Online"
  ) /
  SUMIFS(
    'New Backfilled Data'!G:G,
    'New Backfilled Data'!A:A, I63,
    'New Backfilled Data'!D:D, J63
  ),
  ""
)</f>
        <v>0.24595817289625699</v>
      </c>
      <c r="L63" s="90"/>
      <c r="M63" s="90"/>
    </row>
    <row r="64" spans="1:13" ht="17" x14ac:dyDescent="0.2">
      <c r="A64" s="37">
        <v>2005</v>
      </c>
      <c r="B64" s="38" t="s">
        <v>66</v>
      </c>
      <c r="C64" s="38" t="s">
        <v>17</v>
      </c>
      <c r="D64" s="38" t="s">
        <v>25</v>
      </c>
      <c r="E64" s="38" t="s">
        <v>69</v>
      </c>
      <c r="F64" s="38" t="s">
        <v>70</v>
      </c>
      <c r="G64" s="79">
        <f ca="1">IFERROR(__xludf.DUMMYFUNCTION("IFERROR(
  IF(A64 = 2008,
    IF(E64 = ""Online"",
      FILTER('Raw PhocalPoint Data'!G:G,
        'Raw PhocalPoint Data'!A:A = 2009,
        'Raw PhocalPoint Data'!D:D = D64,
        'Raw PhocalPoint Data'!E:E = E64,
        'Raw PhocalPoint Data'!F:F ="&amp;" F64
      ) /
      (
        FILTER('Raw PhocalPoint Data'!G:G,
          'Raw PhocalPoint Data'!A:A = 2012,
          'Raw PhocalPoint Data'!D:D = D64,
          'Raw PhocalPoint Data'!E:E = E64,
          'Raw PhocalPoint Data'!F:F = F64
        ) /
 "&amp;"       FILTER('Raw PhocalPoint Data'!G:G,
          'Raw PhocalPoint Data'!A:A = 2011,
          'Raw PhocalPoint Data'!D:D = D64,
          'Raw PhocalPoint Data'!E:E = E64,
          'Raw PhocalPoint Data'!F:F = F64
        )
      ),
      FILTER('Raw "&amp;"PhocalPoint Data'!G:G,
        'Raw PhocalPoint Data'!A:A = 2009,
        'Raw PhocalPoint Data'!D:D = D64,
        'Raw PhocalPoint Data'!E:E = E64,
        'Raw PhocalPoint Data'!F:F = F64
      ) *
      (
        INDEX('Raw GDP data'!$I$2:$M$100,
    "&amp;"      MATCH(D64, 'Raw GDP data'!$H$2:$H$100, 0),
          MATCH(2008, 'Raw GDP data'!$I$1:$M$1, 0)
        ) /
        INDEX('Raw GDP data'!$I$2:$M$100,
          MATCH(D64, 'Raw GDP data'!$H$2:$H$100, 0),
          MATCH(2009, 'Raw GDP data'!$I$1:$M$1, "&amp;"0)
        )
      )
    ),
  IF(A64 &lt; 2008,
    (
      FILTER(G:G,
        A:A = 2008,
        D:D = D64,
        E:E = E64,
        F:F = F64
      ) /
      PRODUCT(
        ARRAYFORMULA(
          (
            (
              FILTER('Raw PhocalPoint"&amp;" Data'!G:G,
                'Raw PhocalPoint Data'!A:A = 2012,
                'Raw PhocalPoint Data'!D:D = D64,
                'Raw PhocalPoint Data'!E:E = E64,
                'Raw PhocalPoint Data'!F:F = F64
              ) /
              FILTER('Raw"&amp;" PhocalPoint Data'!G:G,
                'Raw PhocalPoint Data'!A:A = 2011,
                'Raw PhocalPoint Data'!D:D = D64,
                'Raw PhocalPoint Data'!E:E = E64,
                'Raw PhocalPoint Data'!F:F = F64
              ) -
             "&amp;" ROW(INDIRECT(""1:"" &amp; (2008 - A64))) *
              (
                (
                  FILTER('Raw PhocalPoint Data'!G:G,
                    'Raw PhocalPoint Data'!A:A = 2012,
                    'Raw PhocalPoint Data'!D:D = D64,
                   "&amp;" 'Raw PhocalPoint Data'!E:E = E64,
                    'Raw PhocalPoint Data'!F:F = F64
                  ) /
                  FILTER('Raw PhocalPoint Data'!G:G,
                    'Raw PhocalPoint Data'!A:A = 2011,
                    'Raw PhocalPoint "&amp;"Data'!D:D = D64,
                    'Raw PhocalPoint Data'!E:E = E64,
                    'Raw PhocalPoint Data'!F:F = F64
                  ) - 1
                ) / 5
              )
            )
          )
        )
      )
    ),
    (
      FILTER"&amp;"('Raw PhocalPoint Data'!G:G,
        'Raw PhocalPoint Data'!A:A = 2009,
        'Raw PhocalPoint Data'!D:D = D64,
        'Raw PhocalPoint Data'!E:E = E64,
        'Raw PhocalPoint Data'!F:F = F64
      ) /
      PRODUCT(
        ARRAYFORMULA(
          ("&amp;"
            FILTER('Raw PhocalPoint Data'!G:G,
              'Raw PhocalPoint Data'!A:A = 2012,
              'Raw PhocalPoint Data'!D:D = D64,
              'Raw PhocalPoint Data'!E:E = E64,
              'Raw PhocalPoint Data'!F:F = F64
            ) /"&amp;"
            FILTER('Raw PhocalPoint Data'!G:G,
              'Raw PhocalPoint Data'!A:A = 2011,
              'Raw PhocalPoint Data'!D:D = D64,
              'Raw PhocalPoint Data'!E:E = E64,
              'Raw PhocalPoint Data'!F:F = F64
            ) -"&amp;"
            (ROW(INDIRECT(""1:"" &amp; (2010 - A64))) - 1) *
            (
              (
                FILTER('Raw PhocalPoint Data'!G:G,
                  'Raw PhocalPoint Data'!A:A = 2012,
                  'Raw PhocalPoint Data'!D:D = D64,
           "&amp;"       'Raw PhocalPoint Data'!E:E = E64,
                  'Raw PhocalPoint Data'!F:F = F64
                ) /
                FILTER('Raw PhocalPoint Data'!G:G,
                  'Raw PhocalPoint Data'!A:A = 2011,
                  'Raw PhocalPoint Data"&amp;"'!D:D = D64,
                  'Raw PhocalPoint Data'!E:E = E64,
                  'Raw PhocalPoint Data'!F:F = F64
                ) - 1
              ) / 5
            )
          )
        )
      )
    ) *
    INDEX('Raw GDP data'!$I$2:$M$100,
      M"&amp;"ATCH(D64, 'Raw GDP data'!$H$2:$H$100, 0),
      MATCH(A64, 'Raw GDP data'!$I$1:$M$1, 0)
    )
  )),
  """"
)
"),166896266.78391)</f>
        <v>166896266.78391001</v>
      </c>
      <c r="H64" s="80"/>
      <c r="I64" s="81">
        <f ca="1">IFERROR(__xludf.DUMMYFUNCTION("""COMPUTED_VALUE"""),2006)</f>
        <v>2006</v>
      </c>
      <c r="J64" s="82" t="str">
        <f ca="1">IFERROR(__xludf.DUMMYFUNCTION("""COMPUTED_VALUE"""),"Germany")</f>
        <v>Germany</v>
      </c>
      <c r="K64" s="83">
        <f ca="1">IFERROR(
  SUMIFS(
    'New Backfilled Data'!G:G,
    'New Backfilled Data'!A:A, I64,
    'New Backfilled Data'!D:D, J64,
    'New Backfilled Data'!E:E, "Online"
  ) /
  SUMIFS(
    'New Backfilled Data'!G:G,
    'New Backfilled Data'!A:A, I64,
    'New Backfilled Data'!D:D, J64
  ),
  ""
)</f>
        <v>0.2588457444780885</v>
      </c>
      <c r="L64" s="84"/>
      <c r="M64" s="84"/>
    </row>
    <row r="65" spans="1:13" ht="17" x14ac:dyDescent="0.2">
      <c r="A65" s="44">
        <v>2005</v>
      </c>
      <c r="B65" s="45" t="s">
        <v>66</v>
      </c>
      <c r="C65" s="45" t="s">
        <v>27</v>
      </c>
      <c r="D65" s="45" t="s">
        <v>26</v>
      </c>
      <c r="E65" s="45" t="s">
        <v>67</v>
      </c>
      <c r="F65" s="45" t="s">
        <v>67</v>
      </c>
      <c r="G65" s="85">
        <f ca="1">IFERROR(__xludf.DUMMYFUNCTION("IFERROR(
  IF(A65 = 2008,
    IF(E65 = ""Online"",
      FILTER('Raw PhocalPoint Data'!G:G,
        'Raw PhocalPoint Data'!A:A = 2009,
        'Raw PhocalPoint Data'!D:D = D65,
        'Raw PhocalPoint Data'!E:E = E65,
        'Raw PhocalPoint Data'!F:F ="&amp;" F65
      ) /
      (
        FILTER('Raw PhocalPoint Data'!G:G,
          'Raw PhocalPoint Data'!A:A = 2012,
          'Raw PhocalPoint Data'!D:D = D65,
          'Raw PhocalPoint Data'!E:E = E65,
          'Raw PhocalPoint Data'!F:F = F65
        ) /
 "&amp;"       FILTER('Raw PhocalPoint Data'!G:G,
          'Raw PhocalPoint Data'!A:A = 2011,
          'Raw PhocalPoint Data'!D:D = D65,
          'Raw PhocalPoint Data'!E:E = E65,
          'Raw PhocalPoint Data'!F:F = F65
        )
      ),
      FILTER('Raw "&amp;"PhocalPoint Data'!G:G,
        'Raw PhocalPoint Data'!A:A = 2009,
        'Raw PhocalPoint Data'!D:D = D65,
        'Raw PhocalPoint Data'!E:E = E65,
        'Raw PhocalPoint Data'!F:F = F65
      ) *
      (
        INDEX('Raw GDP data'!$I$2:$M$100,
    "&amp;"      MATCH(D65, 'Raw GDP data'!$H$2:$H$100, 0),
          MATCH(2008, 'Raw GDP data'!$I$1:$M$1, 0)
        ) /
        INDEX('Raw GDP data'!$I$2:$M$100,
          MATCH(D65, 'Raw GDP data'!$H$2:$H$100, 0),
          MATCH(2009, 'Raw GDP data'!$I$1:$M$1, "&amp;"0)
        )
      )
    ),
  IF(A65 &lt; 2008,
    (
      FILTER(G:G,
        A:A = 2008,
        D:D = D65,
        E:E = E65,
        F:F = F65
      ) /
      PRODUCT(
        ARRAYFORMULA(
          (
            (
              FILTER('Raw PhocalPoint"&amp;" Data'!G:G,
                'Raw PhocalPoint Data'!A:A = 2012,
                'Raw PhocalPoint Data'!D:D = D65,
                'Raw PhocalPoint Data'!E:E = E65,
                'Raw PhocalPoint Data'!F:F = F65
              ) /
              FILTER('Raw"&amp;" PhocalPoint Data'!G:G,
                'Raw PhocalPoint Data'!A:A = 2011,
                'Raw PhocalPoint Data'!D:D = D65,
                'Raw PhocalPoint Data'!E:E = E65,
                'Raw PhocalPoint Data'!F:F = F65
              ) -
             "&amp;" ROW(INDIRECT(""1:"" &amp; (2008 - A65))) *
              (
                (
                  FILTER('Raw PhocalPoint Data'!G:G,
                    'Raw PhocalPoint Data'!A:A = 2012,
                    'Raw PhocalPoint Data'!D:D = D65,
                   "&amp;" 'Raw PhocalPoint Data'!E:E = E65,
                    'Raw PhocalPoint Data'!F:F = F65
                  ) /
                  FILTER('Raw PhocalPoint Data'!G:G,
                    'Raw PhocalPoint Data'!A:A = 2011,
                    'Raw PhocalPoint "&amp;"Data'!D:D = D65,
                    'Raw PhocalPoint Data'!E:E = E65,
                    'Raw PhocalPoint Data'!F:F = F65
                  ) - 1
                ) / 5
              )
            )
          )
        )
      )
    ),
    (
      FILTER"&amp;"('Raw PhocalPoint Data'!G:G,
        'Raw PhocalPoint Data'!A:A = 2009,
        'Raw PhocalPoint Data'!D:D = D65,
        'Raw PhocalPoint Data'!E:E = E65,
        'Raw PhocalPoint Data'!F:F = F65
      ) /
      PRODUCT(
        ARRAYFORMULA(
          ("&amp;"
            FILTER('Raw PhocalPoint Data'!G:G,
              'Raw PhocalPoint Data'!A:A = 2012,
              'Raw PhocalPoint Data'!D:D = D65,
              'Raw PhocalPoint Data'!E:E = E65,
              'Raw PhocalPoint Data'!F:F = F65
            ) /"&amp;"
            FILTER('Raw PhocalPoint Data'!G:G,
              'Raw PhocalPoint Data'!A:A = 2011,
              'Raw PhocalPoint Data'!D:D = D65,
              'Raw PhocalPoint Data'!E:E = E65,
              'Raw PhocalPoint Data'!F:F = F65
            ) -"&amp;"
            (ROW(INDIRECT(""1:"" &amp; (2010 - A65))) - 1) *
            (
              (
                FILTER('Raw PhocalPoint Data'!G:G,
                  'Raw PhocalPoint Data'!A:A = 2012,
                  'Raw PhocalPoint Data'!D:D = D65,
           "&amp;"       'Raw PhocalPoint Data'!E:E = E65,
                  'Raw PhocalPoint Data'!F:F = F65
                ) /
                FILTER('Raw PhocalPoint Data'!G:G,
                  'Raw PhocalPoint Data'!A:A = 2011,
                  'Raw PhocalPoint Data"&amp;"'!D:D = D65,
                  'Raw PhocalPoint Data'!E:E = E65,
                  'Raw PhocalPoint Data'!F:F = F65
                ) - 1
              ) / 5
            )
          )
        )
      )
    ) *
    INDEX('Raw GDP data'!$I$2:$M$100,
      M"&amp;"ATCH(D65, 'Raw GDP data'!$H$2:$H$100, 0),
      MATCH(A65, 'Raw GDP data'!$I$1:$M$1, 0)
    )
  )),
  """"
)
"),44657459100.3139)</f>
        <v>44657459100.313904</v>
      </c>
      <c r="H65" s="86"/>
      <c r="I65" s="87">
        <f ca="1">IFERROR(__xludf.DUMMYFUNCTION("""COMPUTED_VALUE"""),2006)</f>
        <v>2006</v>
      </c>
      <c r="J65" s="88" t="str">
        <f ca="1">IFERROR(__xludf.DUMMYFUNCTION("""COMPUTED_VALUE"""),"Italy")</f>
        <v>Italy</v>
      </c>
      <c r="K65" s="89">
        <f ca="1">IFERROR(
  SUMIFS(
    'New Backfilled Data'!G:G,
    'New Backfilled Data'!A:A, I65,
    'New Backfilled Data'!D:D, J65,
    'New Backfilled Data'!E:E, "Online"
  ) /
  SUMIFS(
    'New Backfilled Data'!G:G,
    'New Backfilled Data'!A:A, I65,
    'New Backfilled Data'!D:D, J65
  ),
  ""
)</f>
        <v>0.17332049338098371</v>
      </c>
      <c r="L65" s="90"/>
      <c r="M65" s="90"/>
    </row>
    <row r="66" spans="1:13" ht="17" x14ac:dyDescent="0.2">
      <c r="A66" s="37">
        <v>2005</v>
      </c>
      <c r="B66" s="38" t="s">
        <v>66</v>
      </c>
      <c r="C66" s="38" t="s">
        <v>27</v>
      </c>
      <c r="D66" s="38" t="s">
        <v>26</v>
      </c>
      <c r="E66" s="38" t="s">
        <v>69</v>
      </c>
      <c r="F66" s="38" t="s">
        <v>71</v>
      </c>
      <c r="G66" s="79">
        <f ca="1">IFERROR(__xludf.DUMMYFUNCTION("IFERROR(
  IF(A66 = 2008,
    IF(E66 = ""Online"",
      FILTER('Raw PhocalPoint Data'!G:G,
        'Raw PhocalPoint Data'!A:A = 2009,
        'Raw PhocalPoint Data'!D:D = D66,
        'Raw PhocalPoint Data'!E:E = E66,
        'Raw PhocalPoint Data'!F:F ="&amp;" F66
      ) /
      (
        FILTER('Raw PhocalPoint Data'!G:G,
          'Raw PhocalPoint Data'!A:A = 2012,
          'Raw PhocalPoint Data'!D:D = D66,
          'Raw PhocalPoint Data'!E:E = E66,
          'Raw PhocalPoint Data'!F:F = F66
        ) /
 "&amp;"       FILTER('Raw PhocalPoint Data'!G:G,
          'Raw PhocalPoint Data'!A:A = 2011,
          'Raw PhocalPoint Data'!D:D = D66,
          'Raw PhocalPoint Data'!E:E = E66,
          'Raw PhocalPoint Data'!F:F = F66
        )
      ),
      FILTER('Raw "&amp;"PhocalPoint Data'!G:G,
        'Raw PhocalPoint Data'!A:A = 2009,
        'Raw PhocalPoint Data'!D:D = D66,
        'Raw PhocalPoint Data'!E:E = E66,
        'Raw PhocalPoint Data'!F:F = F66
      ) *
      (
        INDEX('Raw GDP data'!$I$2:$M$100,
    "&amp;"      MATCH(D66, 'Raw GDP data'!$H$2:$H$100, 0),
          MATCH(2008, 'Raw GDP data'!$I$1:$M$1, 0)
        ) /
        INDEX('Raw GDP data'!$I$2:$M$100,
          MATCH(D66, 'Raw GDP data'!$H$2:$H$100, 0),
          MATCH(2009, 'Raw GDP data'!$I$1:$M$1, "&amp;"0)
        )
      )
    ),
  IF(A66 &lt; 2008,
    (
      FILTER(G:G,
        A:A = 2008,
        D:D = D66,
        E:E = E66,
        F:F = F66
      ) /
      PRODUCT(
        ARRAYFORMULA(
          (
            (
              FILTER('Raw PhocalPoint"&amp;" Data'!G:G,
                'Raw PhocalPoint Data'!A:A = 2012,
                'Raw PhocalPoint Data'!D:D = D66,
                'Raw PhocalPoint Data'!E:E = E66,
                'Raw PhocalPoint Data'!F:F = F66
              ) /
              FILTER('Raw"&amp;" PhocalPoint Data'!G:G,
                'Raw PhocalPoint Data'!A:A = 2011,
                'Raw PhocalPoint Data'!D:D = D66,
                'Raw PhocalPoint Data'!E:E = E66,
                'Raw PhocalPoint Data'!F:F = F66
              ) -
             "&amp;" ROW(INDIRECT(""1:"" &amp; (2008 - A66))) *
              (
                (
                  FILTER('Raw PhocalPoint Data'!G:G,
                    'Raw PhocalPoint Data'!A:A = 2012,
                    'Raw PhocalPoint Data'!D:D = D66,
                   "&amp;" 'Raw PhocalPoint Data'!E:E = E66,
                    'Raw PhocalPoint Data'!F:F = F66
                  ) /
                  FILTER('Raw PhocalPoint Data'!G:G,
                    'Raw PhocalPoint Data'!A:A = 2011,
                    'Raw PhocalPoint "&amp;"Data'!D:D = D66,
                    'Raw PhocalPoint Data'!E:E = E66,
                    'Raw PhocalPoint Data'!F:F = F66
                  ) - 1
                ) / 5
              )
            )
          )
        )
      )
    ),
    (
      FILTER"&amp;"('Raw PhocalPoint Data'!G:G,
        'Raw PhocalPoint Data'!A:A = 2009,
        'Raw PhocalPoint Data'!D:D = D66,
        'Raw PhocalPoint Data'!E:E = E66,
        'Raw PhocalPoint Data'!F:F = F66
      ) /
      PRODUCT(
        ARRAYFORMULA(
          ("&amp;"
            FILTER('Raw PhocalPoint Data'!G:G,
              'Raw PhocalPoint Data'!A:A = 2012,
              'Raw PhocalPoint Data'!D:D = D66,
              'Raw PhocalPoint Data'!E:E = E66,
              'Raw PhocalPoint Data'!F:F = F66
            ) /"&amp;"
            FILTER('Raw PhocalPoint Data'!G:G,
              'Raw PhocalPoint Data'!A:A = 2011,
              'Raw PhocalPoint Data'!D:D = D66,
              'Raw PhocalPoint Data'!E:E = E66,
              'Raw PhocalPoint Data'!F:F = F66
            ) -"&amp;"
            (ROW(INDIRECT(""1:"" &amp; (2010 - A66))) - 1) *
            (
              (
                FILTER('Raw PhocalPoint Data'!G:G,
                  'Raw PhocalPoint Data'!A:A = 2012,
                  'Raw PhocalPoint Data'!D:D = D66,
           "&amp;"       'Raw PhocalPoint Data'!E:E = E66,
                  'Raw PhocalPoint Data'!F:F = F66
                ) /
                FILTER('Raw PhocalPoint Data'!G:G,
                  'Raw PhocalPoint Data'!A:A = 2011,
                  'Raw PhocalPoint Data"&amp;"'!D:D = D66,
                  'Raw PhocalPoint Data'!E:E = E66,
                  'Raw PhocalPoint Data'!F:F = F66
                ) - 1
              ) / 5
            )
          )
        )
      )
    ) *
    INDEX('Raw GDP data'!$I$2:$M$100,
      M"&amp;"ATCH(D66, 'Raw GDP data'!$H$2:$H$100, 0),
      MATCH(A66, 'Raw GDP data'!$I$1:$M$1, 0)
    )
  )),
  """"
)
"),5486159215.05009)</f>
        <v>5486159215.0500898</v>
      </c>
      <c r="H66" s="80"/>
      <c r="I66" s="81">
        <f ca="1">IFERROR(__xludf.DUMMYFUNCTION("""COMPUTED_VALUE"""),2006)</f>
        <v>2006</v>
      </c>
      <c r="J66" s="82" t="str">
        <f ca="1">IFERROR(__xludf.DUMMYFUNCTION("""COMPUTED_VALUE"""),"Rest of Europe")</f>
        <v>Rest of Europe</v>
      </c>
      <c r="K66" s="83">
        <f ca="1">IFERROR(
  SUMIFS(
    'New Backfilled Data'!G:G,
    'New Backfilled Data'!A:A, I66,
    'New Backfilled Data'!D:D, J66,
    'New Backfilled Data'!E:E, "Online"
  ) /
  SUMIFS(
    'New Backfilled Data'!G:G,
    'New Backfilled Data'!A:A, I66,
    'New Backfilled Data'!D:D, J66
  ),
  ""
)</f>
        <v>0.17625744830857945</v>
      </c>
      <c r="L66" s="84"/>
      <c r="M66" s="84"/>
    </row>
    <row r="67" spans="1:13" ht="17" x14ac:dyDescent="0.2">
      <c r="A67" s="44">
        <v>2005</v>
      </c>
      <c r="B67" s="45" t="s">
        <v>66</v>
      </c>
      <c r="C67" s="45" t="s">
        <v>27</v>
      </c>
      <c r="D67" s="45" t="s">
        <v>26</v>
      </c>
      <c r="E67" s="45" t="s">
        <v>69</v>
      </c>
      <c r="F67" s="45" t="s">
        <v>70</v>
      </c>
      <c r="G67" s="85">
        <f ca="1">IFERROR(__xludf.DUMMYFUNCTION("IFERROR(
  IF(A67 = 2008,
    IF(E67 = ""Online"",
      FILTER('Raw PhocalPoint Data'!G:G,
        'Raw PhocalPoint Data'!A:A = 2009,
        'Raw PhocalPoint Data'!D:D = D67,
        'Raw PhocalPoint Data'!E:E = E67,
        'Raw PhocalPoint Data'!F:F ="&amp;" F67
      ) /
      (
        FILTER('Raw PhocalPoint Data'!G:G,
          'Raw PhocalPoint Data'!A:A = 2012,
          'Raw PhocalPoint Data'!D:D = D67,
          'Raw PhocalPoint Data'!E:E = E67,
          'Raw PhocalPoint Data'!F:F = F67
        ) /
 "&amp;"       FILTER('Raw PhocalPoint Data'!G:G,
          'Raw PhocalPoint Data'!A:A = 2011,
          'Raw PhocalPoint Data'!D:D = D67,
          'Raw PhocalPoint Data'!E:E = E67,
          'Raw PhocalPoint Data'!F:F = F67
        )
      ),
      FILTER('Raw "&amp;"PhocalPoint Data'!G:G,
        'Raw PhocalPoint Data'!A:A = 2009,
        'Raw PhocalPoint Data'!D:D = D67,
        'Raw PhocalPoint Data'!E:E = E67,
        'Raw PhocalPoint Data'!F:F = F67
      ) *
      (
        INDEX('Raw GDP data'!$I$2:$M$100,
    "&amp;"      MATCH(D67, 'Raw GDP data'!$H$2:$H$100, 0),
          MATCH(2008, 'Raw GDP data'!$I$1:$M$1, 0)
        ) /
        INDEX('Raw GDP data'!$I$2:$M$100,
          MATCH(D67, 'Raw GDP data'!$H$2:$H$100, 0),
          MATCH(2009, 'Raw GDP data'!$I$1:$M$1, "&amp;"0)
        )
      )
    ),
  IF(A67 &lt; 2008,
    (
      FILTER(G:G,
        A:A = 2008,
        D:D = D67,
        E:E = E67,
        F:F = F67
      ) /
      PRODUCT(
        ARRAYFORMULA(
          (
            (
              FILTER('Raw PhocalPoint"&amp;" Data'!G:G,
                'Raw PhocalPoint Data'!A:A = 2012,
                'Raw PhocalPoint Data'!D:D = D67,
                'Raw PhocalPoint Data'!E:E = E67,
                'Raw PhocalPoint Data'!F:F = F67
              ) /
              FILTER('Raw"&amp;" PhocalPoint Data'!G:G,
                'Raw PhocalPoint Data'!A:A = 2011,
                'Raw PhocalPoint Data'!D:D = D67,
                'Raw PhocalPoint Data'!E:E = E67,
                'Raw PhocalPoint Data'!F:F = F67
              ) -
             "&amp;" ROW(INDIRECT(""1:"" &amp; (2008 - A67))) *
              (
                (
                  FILTER('Raw PhocalPoint Data'!G:G,
                    'Raw PhocalPoint Data'!A:A = 2012,
                    'Raw PhocalPoint Data'!D:D = D67,
                   "&amp;" 'Raw PhocalPoint Data'!E:E = E67,
                    'Raw PhocalPoint Data'!F:F = F67
                  ) /
                  FILTER('Raw PhocalPoint Data'!G:G,
                    'Raw PhocalPoint Data'!A:A = 2011,
                    'Raw PhocalPoint "&amp;"Data'!D:D = D67,
                    'Raw PhocalPoint Data'!E:E = E67,
                    'Raw PhocalPoint Data'!F:F = F67
                  ) - 1
                ) / 5
              )
            )
          )
        )
      )
    ),
    (
      FILTER"&amp;"('Raw PhocalPoint Data'!G:G,
        'Raw PhocalPoint Data'!A:A = 2009,
        'Raw PhocalPoint Data'!D:D = D67,
        'Raw PhocalPoint Data'!E:E = E67,
        'Raw PhocalPoint Data'!F:F = F67
      ) /
      PRODUCT(
        ARRAYFORMULA(
          ("&amp;"
            FILTER('Raw PhocalPoint Data'!G:G,
              'Raw PhocalPoint Data'!A:A = 2012,
              'Raw PhocalPoint Data'!D:D = D67,
              'Raw PhocalPoint Data'!E:E = E67,
              'Raw PhocalPoint Data'!F:F = F67
            ) /"&amp;"
            FILTER('Raw PhocalPoint Data'!G:G,
              'Raw PhocalPoint Data'!A:A = 2011,
              'Raw PhocalPoint Data'!D:D = D67,
              'Raw PhocalPoint Data'!E:E = E67,
              'Raw PhocalPoint Data'!F:F = F67
            ) -"&amp;"
            (ROW(INDIRECT(""1:"" &amp; (2010 - A67))) - 1) *
            (
              (
                FILTER('Raw PhocalPoint Data'!G:G,
                  'Raw PhocalPoint Data'!A:A = 2012,
                  'Raw PhocalPoint Data'!D:D = D67,
           "&amp;"       'Raw PhocalPoint Data'!E:E = E67,
                  'Raw PhocalPoint Data'!F:F = F67
                ) /
                FILTER('Raw PhocalPoint Data'!G:G,
                  'Raw PhocalPoint Data'!A:A = 2011,
                  'Raw PhocalPoint Data"&amp;"'!D:D = D67,
                  'Raw PhocalPoint Data'!E:E = E67,
                  'Raw PhocalPoint Data'!F:F = F67
                ) - 1
              ) / 5
            )
          )
        )
      )
    ) *
    INDEX('Raw GDP data'!$I$2:$M$100,
      M"&amp;"ATCH(D67, 'Raw GDP data'!$H$2:$H$100, 0),
      MATCH(A67, 'Raw GDP data'!$I$1:$M$1, 0)
    )
  )),
  """"
)
"),8600452225.9684)</f>
        <v>8600452225.968399</v>
      </c>
      <c r="H67" s="86"/>
      <c r="I67" s="87">
        <f ca="1">IFERROR(__xludf.DUMMYFUNCTION("""COMPUTED_VALUE"""),2006)</f>
        <v>2006</v>
      </c>
      <c r="J67" s="88" t="str">
        <f ca="1">IFERROR(__xludf.DUMMYFUNCTION("""COMPUTED_VALUE"""),"Scandinavia")</f>
        <v>Scandinavia</v>
      </c>
      <c r="K67" s="89">
        <f ca="1">IFERROR(
  SUMIFS(
    'New Backfilled Data'!G:G,
    'New Backfilled Data'!A:A, I67,
    'New Backfilled Data'!D:D, J67,
    'New Backfilled Data'!E:E, "Online"
  ) /
  SUMIFS(
    'New Backfilled Data'!G:G,
    'New Backfilled Data'!A:A, I67,
    'New Backfilled Data'!D:D, J67
  ),
  ""
)</f>
        <v>0.28560138078413472</v>
      </c>
      <c r="L67" s="90"/>
      <c r="M67" s="90"/>
    </row>
    <row r="68" spans="1:13" ht="17" x14ac:dyDescent="0.2">
      <c r="A68" s="37">
        <v>2005</v>
      </c>
      <c r="B68" s="38" t="s">
        <v>66</v>
      </c>
      <c r="C68" s="38" t="s">
        <v>27</v>
      </c>
      <c r="D68" s="38" t="s">
        <v>28</v>
      </c>
      <c r="E68" s="38" t="s">
        <v>67</v>
      </c>
      <c r="F68" s="38" t="s">
        <v>67</v>
      </c>
      <c r="G68" s="79">
        <f ca="1">IFERROR(__xludf.DUMMYFUNCTION("IFERROR(
  IF(A68 = 2008,
    IF(E68 = ""Online"",
      FILTER('Raw PhocalPoint Data'!G:G,
        'Raw PhocalPoint Data'!A:A = 2009,
        'Raw PhocalPoint Data'!D:D = D68,
        'Raw PhocalPoint Data'!E:E = E68,
        'Raw PhocalPoint Data'!F:F ="&amp;" F68
      ) /
      (
        FILTER('Raw PhocalPoint Data'!G:G,
          'Raw PhocalPoint Data'!A:A = 2012,
          'Raw PhocalPoint Data'!D:D = D68,
          'Raw PhocalPoint Data'!E:E = E68,
          'Raw PhocalPoint Data'!F:F = F68
        ) /
 "&amp;"       FILTER('Raw PhocalPoint Data'!G:G,
          'Raw PhocalPoint Data'!A:A = 2011,
          'Raw PhocalPoint Data'!D:D = D68,
          'Raw PhocalPoint Data'!E:E = E68,
          'Raw PhocalPoint Data'!F:F = F68
        )
      ),
      FILTER('Raw "&amp;"PhocalPoint Data'!G:G,
        'Raw PhocalPoint Data'!A:A = 2009,
        'Raw PhocalPoint Data'!D:D = D68,
        'Raw PhocalPoint Data'!E:E = E68,
        'Raw PhocalPoint Data'!F:F = F68
      ) *
      (
        INDEX('Raw GDP data'!$I$2:$M$100,
    "&amp;"      MATCH(D68, 'Raw GDP data'!$H$2:$H$100, 0),
          MATCH(2008, 'Raw GDP data'!$I$1:$M$1, 0)
        ) /
        INDEX('Raw GDP data'!$I$2:$M$100,
          MATCH(D68, 'Raw GDP data'!$H$2:$H$100, 0),
          MATCH(2009, 'Raw GDP data'!$I$1:$M$1, "&amp;"0)
        )
      )
    ),
  IF(A68 &lt; 2008,
    (
      FILTER(G:G,
        A:A = 2008,
        D:D = D68,
        E:E = E68,
        F:F = F68
      ) /
      PRODUCT(
        ARRAYFORMULA(
          (
            (
              FILTER('Raw PhocalPoint"&amp;" Data'!G:G,
                'Raw PhocalPoint Data'!A:A = 2012,
                'Raw PhocalPoint Data'!D:D = D68,
                'Raw PhocalPoint Data'!E:E = E68,
                'Raw PhocalPoint Data'!F:F = F68
              ) /
              FILTER('Raw"&amp;" PhocalPoint Data'!G:G,
                'Raw PhocalPoint Data'!A:A = 2011,
                'Raw PhocalPoint Data'!D:D = D68,
                'Raw PhocalPoint Data'!E:E = E68,
                'Raw PhocalPoint Data'!F:F = F68
              ) -
             "&amp;" ROW(INDIRECT(""1:"" &amp; (2008 - A68))) *
              (
                (
                  FILTER('Raw PhocalPoint Data'!G:G,
                    'Raw PhocalPoint Data'!A:A = 2012,
                    'Raw PhocalPoint Data'!D:D = D68,
                   "&amp;" 'Raw PhocalPoint Data'!E:E = E68,
                    'Raw PhocalPoint Data'!F:F = F68
                  ) /
                  FILTER('Raw PhocalPoint Data'!G:G,
                    'Raw PhocalPoint Data'!A:A = 2011,
                    'Raw PhocalPoint "&amp;"Data'!D:D = D68,
                    'Raw PhocalPoint Data'!E:E = E68,
                    'Raw PhocalPoint Data'!F:F = F68
                  ) - 1
                ) / 5
              )
            )
          )
        )
      )
    ),
    (
      FILTER"&amp;"('Raw PhocalPoint Data'!G:G,
        'Raw PhocalPoint Data'!A:A = 2009,
        'Raw PhocalPoint Data'!D:D = D68,
        'Raw PhocalPoint Data'!E:E = E68,
        'Raw PhocalPoint Data'!F:F = F68
      ) /
      PRODUCT(
        ARRAYFORMULA(
          ("&amp;"
            FILTER('Raw PhocalPoint Data'!G:G,
              'Raw PhocalPoint Data'!A:A = 2012,
              'Raw PhocalPoint Data'!D:D = D68,
              'Raw PhocalPoint Data'!E:E = E68,
              'Raw PhocalPoint Data'!F:F = F68
            ) /"&amp;"
            FILTER('Raw PhocalPoint Data'!G:G,
              'Raw PhocalPoint Data'!A:A = 2011,
              'Raw PhocalPoint Data'!D:D = D68,
              'Raw PhocalPoint Data'!E:E = E68,
              'Raw PhocalPoint Data'!F:F = F68
            ) -"&amp;"
            (ROW(INDIRECT(""1:"" &amp; (2010 - A68))) - 1) *
            (
              (
                FILTER('Raw PhocalPoint Data'!G:G,
                  'Raw PhocalPoint Data'!A:A = 2012,
                  'Raw PhocalPoint Data'!D:D = D68,
           "&amp;"       'Raw PhocalPoint Data'!E:E = E68,
                  'Raw PhocalPoint Data'!F:F = F68
                ) /
                FILTER('Raw PhocalPoint Data'!G:G,
                  'Raw PhocalPoint Data'!A:A = 2011,
                  'Raw PhocalPoint Data"&amp;"'!D:D = D68,
                  'Raw PhocalPoint Data'!E:E = E68,
                  'Raw PhocalPoint Data'!F:F = F68
                ) - 1
              ) / 5
            )
          )
        )
      )
    ) *
    INDEX('Raw GDP data'!$I$2:$M$100,
      M"&amp;"ATCH(D68, 'Raw GDP data'!$H$2:$H$100, 0),
      MATCH(A68, 'Raw GDP data'!$I$1:$M$1, 0)
    )
  )),
  """"
)
"),53490152948.1129)</f>
        <v>53490152948.1129</v>
      </c>
      <c r="H68" s="80"/>
      <c r="I68" s="81">
        <f ca="1">IFERROR(__xludf.DUMMYFUNCTION("""COMPUTED_VALUE"""),2006)</f>
        <v>2006</v>
      </c>
      <c r="J68" s="82" t="str">
        <f ca="1">IFERROR(__xludf.DUMMYFUNCTION("""COMPUTED_VALUE"""),"Spain")</f>
        <v>Spain</v>
      </c>
      <c r="K68" s="83">
        <f ca="1">IFERROR(
  SUMIFS(
    'New Backfilled Data'!G:G,
    'New Backfilled Data'!A:A, I68,
    'New Backfilled Data'!D:D, J68,
    'New Backfilled Data'!E:E, "Online"
  ) /
  SUMIFS(
    'New Backfilled Data'!G:G,
    'New Backfilled Data'!A:A, I68,
    'New Backfilled Data'!D:D, J68
  ),
  ""
)</f>
        <v>0.14175282883544768</v>
      </c>
      <c r="L68" s="84"/>
      <c r="M68" s="84"/>
    </row>
    <row r="69" spans="1:13" ht="17" x14ac:dyDescent="0.2">
      <c r="A69" s="44">
        <v>2005</v>
      </c>
      <c r="B69" s="45" t="s">
        <v>66</v>
      </c>
      <c r="C69" s="45" t="s">
        <v>27</v>
      </c>
      <c r="D69" s="45" t="s">
        <v>28</v>
      </c>
      <c r="E69" s="45" t="s">
        <v>69</v>
      </c>
      <c r="F69" s="45" t="s">
        <v>71</v>
      </c>
      <c r="G69" s="85">
        <f ca="1">IFERROR(__xludf.DUMMYFUNCTION("IFERROR(
  IF(A69 = 2008,
    IF(E69 = ""Online"",
      FILTER('Raw PhocalPoint Data'!G:G,
        'Raw PhocalPoint Data'!A:A = 2009,
        'Raw PhocalPoint Data'!D:D = D69,
        'Raw PhocalPoint Data'!E:E = E69,
        'Raw PhocalPoint Data'!F:F ="&amp;" F69
      ) /
      (
        FILTER('Raw PhocalPoint Data'!G:G,
          'Raw PhocalPoint Data'!A:A = 2012,
          'Raw PhocalPoint Data'!D:D = D69,
          'Raw PhocalPoint Data'!E:E = E69,
          'Raw PhocalPoint Data'!F:F = F69
        ) /
 "&amp;"       FILTER('Raw PhocalPoint Data'!G:G,
          'Raw PhocalPoint Data'!A:A = 2011,
          'Raw PhocalPoint Data'!D:D = D69,
          'Raw PhocalPoint Data'!E:E = E69,
          'Raw PhocalPoint Data'!F:F = F69
        )
      ),
      FILTER('Raw "&amp;"PhocalPoint Data'!G:G,
        'Raw PhocalPoint Data'!A:A = 2009,
        'Raw PhocalPoint Data'!D:D = D69,
        'Raw PhocalPoint Data'!E:E = E69,
        'Raw PhocalPoint Data'!F:F = F69
      ) *
      (
        INDEX('Raw GDP data'!$I$2:$M$100,
    "&amp;"      MATCH(D69, 'Raw GDP data'!$H$2:$H$100, 0),
          MATCH(2008, 'Raw GDP data'!$I$1:$M$1, 0)
        ) /
        INDEX('Raw GDP data'!$I$2:$M$100,
          MATCH(D69, 'Raw GDP data'!$H$2:$H$100, 0),
          MATCH(2009, 'Raw GDP data'!$I$1:$M$1, "&amp;"0)
        )
      )
    ),
  IF(A69 &lt; 2008,
    (
      FILTER(G:G,
        A:A = 2008,
        D:D = D69,
        E:E = E69,
        F:F = F69
      ) /
      PRODUCT(
        ARRAYFORMULA(
          (
            (
              FILTER('Raw PhocalPoint"&amp;" Data'!G:G,
                'Raw PhocalPoint Data'!A:A = 2012,
                'Raw PhocalPoint Data'!D:D = D69,
                'Raw PhocalPoint Data'!E:E = E69,
                'Raw PhocalPoint Data'!F:F = F69
              ) /
              FILTER('Raw"&amp;" PhocalPoint Data'!G:G,
                'Raw PhocalPoint Data'!A:A = 2011,
                'Raw PhocalPoint Data'!D:D = D69,
                'Raw PhocalPoint Data'!E:E = E69,
                'Raw PhocalPoint Data'!F:F = F69
              ) -
             "&amp;" ROW(INDIRECT(""1:"" &amp; (2008 - A69))) *
              (
                (
                  FILTER('Raw PhocalPoint Data'!G:G,
                    'Raw PhocalPoint Data'!A:A = 2012,
                    'Raw PhocalPoint Data'!D:D = D69,
                   "&amp;" 'Raw PhocalPoint Data'!E:E = E69,
                    'Raw PhocalPoint Data'!F:F = F69
                  ) /
                  FILTER('Raw PhocalPoint Data'!G:G,
                    'Raw PhocalPoint Data'!A:A = 2011,
                    'Raw PhocalPoint "&amp;"Data'!D:D = D69,
                    'Raw PhocalPoint Data'!E:E = E69,
                    'Raw PhocalPoint Data'!F:F = F69
                  ) - 1
                ) / 5
              )
            )
          )
        )
      )
    ),
    (
      FILTER"&amp;"('Raw PhocalPoint Data'!G:G,
        'Raw PhocalPoint Data'!A:A = 2009,
        'Raw PhocalPoint Data'!D:D = D69,
        'Raw PhocalPoint Data'!E:E = E69,
        'Raw PhocalPoint Data'!F:F = F69
      ) /
      PRODUCT(
        ARRAYFORMULA(
          ("&amp;"
            FILTER('Raw PhocalPoint Data'!G:G,
              'Raw PhocalPoint Data'!A:A = 2012,
              'Raw PhocalPoint Data'!D:D = D69,
              'Raw PhocalPoint Data'!E:E = E69,
              'Raw PhocalPoint Data'!F:F = F69
            ) /"&amp;"
            FILTER('Raw PhocalPoint Data'!G:G,
              'Raw PhocalPoint Data'!A:A = 2011,
              'Raw PhocalPoint Data'!D:D = D69,
              'Raw PhocalPoint Data'!E:E = E69,
              'Raw PhocalPoint Data'!F:F = F69
            ) -"&amp;"
            (ROW(INDIRECT(""1:"" &amp; (2010 - A69))) - 1) *
            (
              (
                FILTER('Raw PhocalPoint Data'!G:G,
                  'Raw PhocalPoint Data'!A:A = 2012,
                  'Raw PhocalPoint Data'!D:D = D69,
           "&amp;"       'Raw PhocalPoint Data'!E:E = E69,
                  'Raw PhocalPoint Data'!F:F = F69
                ) /
                FILTER('Raw PhocalPoint Data'!G:G,
                  'Raw PhocalPoint Data'!A:A = 2011,
                  'Raw PhocalPoint Data"&amp;"'!D:D = D69,
                  'Raw PhocalPoint Data'!E:E = E69,
                  'Raw PhocalPoint Data'!F:F = F69
                ) - 1
              ) / 5
            )
          )
        )
      )
    ) *
    INDEX('Raw GDP data'!$I$2:$M$100,
      M"&amp;"ATCH(D69, 'Raw GDP data'!$H$2:$H$100, 0),
      MATCH(A69, 'Raw GDP data'!$I$1:$M$1, 0)
    )
  )),
  """"
)
"),8520466061.67329)</f>
        <v>8520466061.6732903</v>
      </c>
      <c r="H69" s="86"/>
      <c r="I69" s="87">
        <f ca="1">IFERROR(__xludf.DUMMYFUNCTION("""COMPUTED_VALUE"""),2006)</f>
        <v>2006</v>
      </c>
      <c r="J69" s="88" t="str">
        <f ca="1">IFERROR(__xludf.DUMMYFUNCTION("""COMPUTED_VALUE"""),"U.K.")</f>
        <v>U.K.</v>
      </c>
      <c r="K69" s="89">
        <f ca="1">IFERROR(
  SUMIFS(
    'New Backfilled Data'!G:G,
    'New Backfilled Data'!A:A, I69,
    'New Backfilled Data'!D:D, J69,
    'New Backfilled Data'!E:E, "Online"
  ) /
  SUMIFS(
    'New Backfilled Data'!G:G,
    'New Backfilled Data'!A:A, I69,
    'New Backfilled Data'!D:D, J69
  ),
  ""
)</f>
        <v>0.29121464623387427</v>
      </c>
      <c r="L69" s="90"/>
      <c r="M69" s="90"/>
    </row>
    <row r="70" spans="1:13" ht="17" x14ac:dyDescent="0.2">
      <c r="A70" s="37">
        <v>2005</v>
      </c>
      <c r="B70" s="38" t="s">
        <v>66</v>
      </c>
      <c r="C70" s="38" t="s">
        <v>27</v>
      </c>
      <c r="D70" s="38" t="s">
        <v>28</v>
      </c>
      <c r="E70" s="38" t="s">
        <v>69</v>
      </c>
      <c r="F70" s="38" t="s">
        <v>70</v>
      </c>
      <c r="G70" s="79">
        <f ca="1">IFERROR(__xludf.DUMMYFUNCTION("IFERROR(
  IF(A70 = 2008,
    IF(E70 = ""Online"",
      FILTER('Raw PhocalPoint Data'!G:G,
        'Raw PhocalPoint Data'!A:A = 2009,
        'Raw PhocalPoint Data'!D:D = D70,
        'Raw PhocalPoint Data'!E:E = E70,
        'Raw PhocalPoint Data'!F:F ="&amp;" F70
      ) /
      (
        FILTER('Raw PhocalPoint Data'!G:G,
          'Raw PhocalPoint Data'!A:A = 2012,
          'Raw PhocalPoint Data'!D:D = D70,
          'Raw PhocalPoint Data'!E:E = E70,
          'Raw PhocalPoint Data'!F:F = F70
        ) /
 "&amp;"       FILTER('Raw PhocalPoint Data'!G:G,
          'Raw PhocalPoint Data'!A:A = 2011,
          'Raw PhocalPoint Data'!D:D = D70,
          'Raw PhocalPoint Data'!E:E = E70,
          'Raw PhocalPoint Data'!F:F = F70
        )
      ),
      FILTER('Raw "&amp;"PhocalPoint Data'!G:G,
        'Raw PhocalPoint Data'!A:A = 2009,
        'Raw PhocalPoint Data'!D:D = D70,
        'Raw PhocalPoint Data'!E:E = E70,
        'Raw PhocalPoint Data'!F:F = F70
      ) *
      (
        INDEX('Raw GDP data'!$I$2:$M$100,
    "&amp;"      MATCH(D70, 'Raw GDP data'!$H$2:$H$100, 0),
          MATCH(2008, 'Raw GDP data'!$I$1:$M$1, 0)
        ) /
        INDEX('Raw GDP data'!$I$2:$M$100,
          MATCH(D70, 'Raw GDP data'!$H$2:$H$100, 0),
          MATCH(2009, 'Raw GDP data'!$I$1:$M$1, "&amp;"0)
        )
      )
    ),
  IF(A70 &lt; 2008,
    (
      FILTER(G:G,
        A:A = 2008,
        D:D = D70,
        E:E = E70,
        F:F = F70
      ) /
      PRODUCT(
        ARRAYFORMULA(
          (
            (
              FILTER('Raw PhocalPoint"&amp;" Data'!G:G,
                'Raw PhocalPoint Data'!A:A = 2012,
                'Raw PhocalPoint Data'!D:D = D70,
                'Raw PhocalPoint Data'!E:E = E70,
                'Raw PhocalPoint Data'!F:F = F70
              ) /
              FILTER('Raw"&amp;" PhocalPoint Data'!G:G,
                'Raw PhocalPoint Data'!A:A = 2011,
                'Raw PhocalPoint Data'!D:D = D70,
                'Raw PhocalPoint Data'!E:E = E70,
                'Raw PhocalPoint Data'!F:F = F70
              ) -
             "&amp;" ROW(INDIRECT(""1:"" &amp; (2008 - A70))) *
              (
                (
                  FILTER('Raw PhocalPoint Data'!G:G,
                    'Raw PhocalPoint Data'!A:A = 2012,
                    'Raw PhocalPoint Data'!D:D = D70,
                   "&amp;" 'Raw PhocalPoint Data'!E:E = E70,
                    'Raw PhocalPoint Data'!F:F = F70
                  ) /
                  FILTER('Raw PhocalPoint Data'!G:G,
                    'Raw PhocalPoint Data'!A:A = 2011,
                    'Raw PhocalPoint "&amp;"Data'!D:D = D70,
                    'Raw PhocalPoint Data'!E:E = E70,
                    'Raw PhocalPoint Data'!F:F = F70
                  ) - 1
                ) / 5
              )
            )
          )
        )
      )
    ),
    (
      FILTER"&amp;"('Raw PhocalPoint Data'!G:G,
        'Raw PhocalPoint Data'!A:A = 2009,
        'Raw PhocalPoint Data'!D:D = D70,
        'Raw PhocalPoint Data'!E:E = E70,
        'Raw PhocalPoint Data'!F:F = F70
      ) /
      PRODUCT(
        ARRAYFORMULA(
          ("&amp;"
            FILTER('Raw PhocalPoint Data'!G:G,
              'Raw PhocalPoint Data'!A:A = 2012,
              'Raw PhocalPoint Data'!D:D = D70,
              'Raw PhocalPoint Data'!E:E = E70,
              'Raw PhocalPoint Data'!F:F = F70
            ) /"&amp;"
            FILTER('Raw PhocalPoint Data'!G:G,
              'Raw PhocalPoint Data'!A:A = 2011,
              'Raw PhocalPoint Data'!D:D = D70,
              'Raw PhocalPoint Data'!E:E = E70,
              'Raw PhocalPoint Data'!F:F = F70
            ) -"&amp;"
            (ROW(INDIRECT(""1:"" &amp; (2010 - A70))) - 1) *
            (
              (
                FILTER('Raw PhocalPoint Data'!G:G,
                  'Raw PhocalPoint Data'!A:A = 2012,
                  'Raw PhocalPoint Data'!D:D = D70,
           "&amp;"       'Raw PhocalPoint Data'!E:E = E70,
                  'Raw PhocalPoint Data'!F:F = F70
                ) /
                FILTER('Raw PhocalPoint Data'!G:G,
                  'Raw PhocalPoint Data'!A:A = 2011,
                  'Raw PhocalPoint Data"&amp;"'!D:D = D70,
                  'Raw PhocalPoint Data'!E:E = E70,
                  'Raw PhocalPoint Data'!F:F = F70
                ) - 1
              ) / 5
            )
          )
        )
      )
    ) *
    INDEX('Raw GDP data'!$I$2:$M$100,
      M"&amp;"ATCH(D70, 'Raw GDP data'!$H$2:$H$100, 0),
      MATCH(A70, 'Raw GDP data'!$I$1:$M$1, 0)
    )
  )),
  """"
)
"),10038504103.8215)</f>
        <v>10038504103.821501</v>
      </c>
      <c r="H70" s="80"/>
      <c r="I70" s="81">
        <f ca="1">IFERROR(__xludf.DUMMYFUNCTION("""COMPUTED_VALUE"""),2006)</f>
        <v>2006</v>
      </c>
      <c r="J70" s="82" t="str">
        <f ca="1">IFERROR(__xludf.DUMMYFUNCTION("""COMPUTED_VALUE"""),"Argentina")</f>
        <v>Argentina</v>
      </c>
      <c r="K70" s="83">
        <f ca="1">IFERROR(
  SUMIFS(
    'New Backfilled Data'!G:G,
    'New Backfilled Data'!A:A, I70,
    'New Backfilled Data'!D:D, J70,
    'New Backfilled Data'!E:E, "Online"
  ) /
  SUMIFS(
    'New Backfilled Data'!G:G,
    'New Backfilled Data'!A:A, I70,
    'New Backfilled Data'!D:D, J70
  ),
  ""
)</f>
        <v>2.155805611310924E-2</v>
      </c>
      <c r="L70" s="84"/>
      <c r="M70" s="84"/>
    </row>
    <row r="71" spans="1:13" ht="17" x14ac:dyDescent="0.2">
      <c r="A71" s="44">
        <v>2005</v>
      </c>
      <c r="B71" s="45" t="s">
        <v>66</v>
      </c>
      <c r="C71" s="45" t="s">
        <v>27</v>
      </c>
      <c r="D71" s="45" t="s">
        <v>29</v>
      </c>
      <c r="E71" s="45" t="s">
        <v>67</v>
      </c>
      <c r="F71" s="45" t="s">
        <v>67</v>
      </c>
      <c r="G71" s="85">
        <f ca="1">IFERROR(__xludf.DUMMYFUNCTION("IFERROR(
  IF(A71 = 2008,
    IF(E71 = ""Online"",
      FILTER('Raw PhocalPoint Data'!G:G,
        'Raw PhocalPoint Data'!A:A = 2009,
        'Raw PhocalPoint Data'!D:D = D71,
        'Raw PhocalPoint Data'!E:E = E71,
        'Raw PhocalPoint Data'!F:F ="&amp;" F71
      ) /
      (
        FILTER('Raw PhocalPoint Data'!G:G,
          'Raw PhocalPoint Data'!A:A = 2012,
          'Raw PhocalPoint Data'!D:D = D71,
          'Raw PhocalPoint Data'!E:E = E71,
          'Raw PhocalPoint Data'!F:F = F71
        ) /
 "&amp;"       FILTER('Raw PhocalPoint Data'!G:G,
          'Raw PhocalPoint Data'!A:A = 2011,
          'Raw PhocalPoint Data'!D:D = D71,
          'Raw PhocalPoint Data'!E:E = E71,
          'Raw PhocalPoint Data'!F:F = F71
        )
      ),
      FILTER('Raw "&amp;"PhocalPoint Data'!G:G,
        'Raw PhocalPoint Data'!A:A = 2009,
        'Raw PhocalPoint Data'!D:D = D71,
        'Raw PhocalPoint Data'!E:E = E71,
        'Raw PhocalPoint Data'!F:F = F71
      ) *
      (
        INDEX('Raw GDP data'!$I$2:$M$100,
    "&amp;"      MATCH(D71, 'Raw GDP data'!$H$2:$H$100, 0),
          MATCH(2008, 'Raw GDP data'!$I$1:$M$1, 0)
        ) /
        INDEX('Raw GDP data'!$I$2:$M$100,
          MATCH(D71, 'Raw GDP data'!$H$2:$H$100, 0),
          MATCH(2009, 'Raw GDP data'!$I$1:$M$1, "&amp;"0)
        )
      )
    ),
  IF(A71 &lt; 2008,
    (
      FILTER(G:G,
        A:A = 2008,
        D:D = D71,
        E:E = E71,
        F:F = F71
      ) /
      PRODUCT(
        ARRAYFORMULA(
          (
            (
              FILTER('Raw PhocalPoint"&amp;" Data'!G:G,
                'Raw PhocalPoint Data'!A:A = 2012,
                'Raw PhocalPoint Data'!D:D = D71,
                'Raw PhocalPoint Data'!E:E = E71,
                'Raw PhocalPoint Data'!F:F = F71
              ) /
              FILTER('Raw"&amp;" PhocalPoint Data'!G:G,
                'Raw PhocalPoint Data'!A:A = 2011,
                'Raw PhocalPoint Data'!D:D = D71,
                'Raw PhocalPoint Data'!E:E = E71,
                'Raw PhocalPoint Data'!F:F = F71
              ) -
             "&amp;" ROW(INDIRECT(""1:"" &amp; (2008 - A71))) *
              (
                (
                  FILTER('Raw PhocalPoint Data'!G:G,
                    'Raw PhocalPoint Data'!A:A = 2012,
                    'Raw PhocalPoint Data'!D:D = D71,
                   "&amp;" 'Raw PhocalPoint Data'!E:E = E71,
                    'Raw PhocalPoint Data'!F:F = F71
                  ) /
                  FILTER('Raw PhocalPoint Data'!G:G,
                    'Raw PhocalPoint Data'!A:A = 2011,
                    'Raw PhocalPoint "&amp;"Data'!D:D = D71,
                    'Raw PhocalPoint Data'!E:E = E71,
                    'Raw PhocalPoint Data'!F:F = F71
                  ) - 1
                ) / 5
              )
            )
          )
        )
      )
    ),
    (
      FILTER"&amp;"('Raw PhocalPoint Data'!G:G,
        'Raw PhocalPoint Data'!A:A = 2009,
        'Raw PhocalPoint Data'!D:D = D71,
        'Raw PhocalPoint Data'!E:E = E71,
        'Raw PhocalPoint Data'!F:F = F71
      ) /
      PRODUCT(
        ARRAYFORMULA(
          ("&amp;"
            FILTER('Raw PhocalPoint Data'!G:G,
              'Raw PhocalPoint Data'!A:A = 2012,
              'Raw PhocalPoint Data'!D:D = D71,
              'Raw PhocalPoint Data'!E:E = E71,
              'Raw PhocalPoint Data'!F:F = F71
            ) /"&amp;"
            FILTER('Raw PhocalPoint Data'!G:G,
              'Raw PhocalPoint Data'!A:A = 2011,
              'Raw PhocalPoint Data'!D:D = D71,
              'Raw PhocalPoint Data'!E:E = E71,
              'Raw PhocalPoint Data'!F:F = F71
            ) -"&amp;"
            (ROW(INDIRECT(""1:"" &amp; (2010 - A71))) - 1) *
            (
              (
                FILTER('Raw PhocalPoint Data'!G:G,
                  'Raw PhocalPoint Data'!A:A = 2012,
                  'Raw PhocalPoint Data'!D:D = D71,
           "&amp;"       'Raw PhocalPoint Data'!E:E = E71,
                  'Raw PhocalPoint Data'!F:F = F71
                ) /
                FILTER('Raw PhocalPoint Data'!G:G,
                  'Raw PhocalPoint Data'!A:A = 2011,
                  'Raw PhocalPoint Data"&amp;"'!D:D = D71,
                  'Raw PhocalPoint Data'!E:E = E71,
                  'Raw PhocalPoint Data'!F:F = F71
                ) - 1
              ) / 5
            )
          )
        )
      )
    ) *
    INDEX('Raw GDP data'!$I$2:$M$100,
      M"&amp;"ATCH(D71, 'Raw GDP data'!$H$2:$H$100, 0),
      MATCH(A71, 'Raw GDP data'!$I$1:$M$1, 0)
    )
  )),
  """"
)
"),25997300321.7846)</f>
        <v>25997300321.784599</v>
      </c>
      <c r="H71" s="86"/>
      <c r="I71" s="87">
        <f ca="1">IFERROR(__xludf.DUMMYFUNCTION("""COMPUTED_VALUE"""),2006)</f>
        <v>2006</v>
      </c>
      <c r="J71" s="88" t="str">
        <f ca="1">IFERROR(__xludf.DUMMYFUNCTION("""COMPUTED_VALUE"""),"Brazil")</f>
        <v>Brazil</v>
      </c>
      <c r="K71" s="89">
        <f ca="1">IFERROR(
  SUMIFS(
    'New Backfilled Data'!G:G,
    'New Backfilled Data'!A:A, I71,
    'New Backfilled Data'!D:D, J71,
    'New Backfilled Data'!E:E, "Online"
  ) /
  SUMIFS(
    'New Backfilled Data'!G:G,
    'New Backfilled Data'!A:A, I71,
    'New Backfilled Data'!D:D, J71
  ),
  ""
)</f>
        <v>5.7860290555157963E-2</v>
      </c>
      <c r="L71" s="90"/>
      <c r="M71" s="90"/>
    </row>
    <row r="72" spans="1:13" ht="17" x14ac:dyDescent="0.2">
      <c r="A72" s="37">
        <v>2005</v>
      </c>
      <c r="B72" s="38" t="s">
        <v>66</v>
      </c>
      <c r="C72" s="38" t="s">
        <v>27</v>
      </c>
      <c r="D72" s="38" t="s">
        <v>29</v>
      </c>
      <c r="E72" s="38" t="s">
        <v>69</v>
      </c>
      <c r="F72" s="38" t="s">
        <v>71</v>
      </c>
      <c r="G72" s="79">
        <f ca="1">IFERROR(__xludf.DUMMYFUNCTION("IFERROR(
  IF(A72 = 2008,
    IF(E72 = ""Online"",
      FILTER('Raw PhocalPoint Data'!G:G,
        'Raw PhocalPoint Data'!A:A = 2009,
        'Raw PhocalPoint Data'!D:D = D72,
        'Raw PhocalPoint Data'!E:E = E72,
        'Raw PhocalPoint Data'!F:F ="&amp;" F72
      ) /
      (
        FILTER('Raw PhocalPoint Data'!G:G,
          'Raw PhocalPoint Data'!A:A = 2012,
          'Raw PhocalPoint Data'!D:D = D72,
          'Raw PhocalPoint Data'!E:E = E72,
          'Raw PhocalPoint Data'!F:F = F72
        ) /
 "&amp;"       FILTER('Raw PhocalPoint Data'!G:G,
          'Raw PhocalPoint Data'!A:A = 2011,
          'Raw PhocalPoint Data'!D:D = D72,
          'Raw PhocalPoint Data'!E:E = E72,
          'Raw PhocalPoint Data'!F:F = F72
        )
      ),
      FILTER('Raw "&amp;"PhocalPoint Data'!G:G,
        'Raw PhocalPoint Data'!A:A = 2009,
        'Raw PhocalPoint Data'!D:D = D72,
        'Raw PhocalPoint Data'!E:E = E72,
        'Raw PhocalPoint Data'!F:F = F72
      ) *
      (
        INDEX('Raw GDP data'!$I$2:$M$100,
    "&amp;"      MATCH(D72, 'Raw GDP data'!$H$2:$H$100, 0),
          MATCH(2008, 'Raw GDP data'!$I$1:$M$1, 0)
        ) /
        INDEX('Raw GDP data'!$I$2:$M$100,
          MATCH(D72, 'Raw GDP data'!$H$2:$H$100, 0),
          MATCH(2009, 'Raw GDP data'!$I$1:$M$1, "&amp;"0)
        )
      )
    ),
  IF(A72 &lt; 2008,
    (
      FILTER(G:G,
        A:A = 2008,
        D:D = D72,
        E:E = E72,
        F:F = F72
      ) /
      PRODUCT(
        ARRAYFORMULA(
          (
            (
              FILTER('Raw PhocalPoint"&amp;" Data'!G:G,
                'Raw PhocalPoint Data'!A:A = 2012,
                'Raw PhocalPoint Data'!D:D = D72,
                'Raw PhocalPoint Data'!E:E = E72,
                'Raw PhocalPoint Data'!F:F = F72
              ) /
              FILTER('Raw"&amp;" PhocalPoint Data'!G:G,
                'Raw PhocalPoint Data'!A:A = 2011,
                'Raw PhocalPoint Data'!D:D = D72,
                'Raw PhocalPoint Data'!E:E = E72,
                'Raw PhocalPoint Data'!F:F = F72
              ) -
             "&amp;" ROW(INDIRECT(""1:"" &amp; (2008 - A72))) *
              (
                (
                  FILTER('Raw PhocalPoint Data'!G:G,
                    'Raw PhocalPoint Data'!A:A = 2012,
                    'Raw PhocalPoint Data'!D:D = D72,
                   "&amp;" 'Raw PhocalPoint Data'!E:E = E72,
                    'Raw PhocalPoint Data'!F:F = F72
                  ) /
                  FILTER('Raw PhocalPoint Data'!G:G,
                    'Raw PhocalPoint Data'!A:A = 2011,
                    'Raw PhocalPoint "&amp;"Data'!D:D = D72,
                    'Raw PhocalPoint Data'!E:E = E72,
                    'Raw PhocalPoint Data'!F:F = F72
                  ) - 1
                ) / 5
              )
            )
          )
        )
      )
    ),
    (
      FILTER"&amp;"('Raw PhocalPoint Data'!G:G,
        'Raw PhocalPoint Data'!A:A = 2009,
        'Raw PhocalPoint Data'!D:D = D72,
        'Raw PhocalPoint Data'!E:E = E72,
        'Raw PhocalPoint Data'!F:F = F72
      ) /
      PRODUCT(
        ARRAYFORMULA(
          ("&amp;"
            FILTER('Raw PhocalPoint Data'!G:G,
              'Raw PhocalPoint Data'!A:A = 2012,
              'Raw PhocalPoint Data'!D:D = D72,
              'Raw PhocalPoint Data'!E:E = E72,
              'Raw PhocalPoint Data'!F:F = F72
            ) /"&amp;"
            FILTER('Raw PhocalPoint Data'!G:G,
              'Raw PhocalPoint Data'!A:A = 2011,
              'Raw PhocalPoint Data'!D:D = D72,
              'Raw PhocalPoint Data'!E:E = E72,
              'Raw PhocalPoint Data'!F:F = F72
            ) -"&amp;"
            (ROW(INDIRECT(""1:"" &amp; (2010 - A72))) - 1) *
            (
              (
                FILTER('Raw PhocalPoint Data'!G:G,
                  'Raw PhocalPoint Data'!A:A = 2012,
                  'Raw PhocalPoint Data'!D:D = D72,
           "&amp;"       'Raw PhocalPoint Data'!E:E = E72,
                  'Raw PhocalPoint Data'!F:F = F72
                ) /
                FILTER('Raw PhocalPoint Data'!G:G,
                  'Raw PhocalPoint Data'!A:A = 2011,
                  'Raw PhocalPoint Data"&amp;"'!D:D = D72,
                  'Raw PhocalPoint Data'!E:E = E72,
                  'Raw PhocalPoint Data'!F:F = F72
                ) - 1
              ) / 5
            )
          )
        )
      )
    ) *
    INDEX('Raw GDP data'!$I$2:$M$100,
      M"&amp;"ATCH(D72, 'Raw GDP data'!$H$2:$H$100, 0),
      MATCH(A72, 'Raw GDP data'!$I$1:$M$1, 0)
    )
  )),
  """"
)
"),2472630295.94293)</f>
        <v>2472630295.9429302</v>
      </c>
      <c r="H72" s="80"/>
      <c r="I72" s="81">
        <f ca="1">IFERROR(__xludf.DUMMYFUNCTION("""COMPUTED_VALUE"""),2006)</f>
        <v>2006</v>
      </c>
      <c r="J72" s="82" t="str">
        <f ca="1">IFERROR(__xludf.DUMMYFUNCTION("""COMPUTED_VALUE"""),"Chile")</f>
        <v>Chile</v>
      </c>
      <c r="K72" s="83">
        <f ca="1">IFERROR(
  SUMIFS(
    'New Backfilled Data'!G:G,
    'New Backfilled Data'!A:A, I72,
    'New Backfilled Data'!D:D, J72,
    'New Backfilled Data'!E:E, "Online"
  ) /
  SUMIFS(
    'New Backfilled Data'!G:G,
    'New Backfilled Data'!A:A, I72,
    'New Backfilled Data'!D:D, J72
  ),
  ""
)</f>
        <v>0.13998929080912198</v>
      </c>
      <c r="L72" s="84"/>
      <c r="M72" s="84"/>
    </row>
    <row r="73" spans="1:13" ht="17" x14ac:dyDescent="0.2">
      <c r="A73" s="44">
        <v>2005</v>
      </c>
      <c r="B73" s="45" t="s">
        <v>66</v>
      </c>
      <c r="C73" s="45" t="s">
        <v>27</v>
      </c>
      <c r="D73" s="45" t="s">
        <v>29</v>
      </c>
      <c r="E73" s="45" t="s">
        <v>69</v>
      </c>
      <c r="F73" s="45" t="s">
        <v>70</v>
      </c>
      <c r="G73" s="85">
        <f ca="1">IFERROR(__xludf.DUMMYFUNCTION("IFERROR(
  IF(A73 = 2008,
    IF(E73 = ""Online"",
      FILTER('Raw PhocalPoint Data'!G:G,
        'Raw PhocalPoint Data'!A:A = 2009,
        'Raw PhocalPoint Data'!D:D = D73,
        'Raw PhocalPoint Data'!E:E = E73,
        'Raw PhocalPoint Data'!F:F ="&amp;" F73
      ) /
      (
        FILTER('Raw PhocalPoint Data'!G:G,
          'Raw PhocalPoint Data'!A:A = 2012,
          'Raw PhocalPoint Data'!D:D = D73,
          'Raw PhocalPoint Data'!E:E = E73,
          'Raw PhocalPoint Data'!F:F = F73
        ) /
 "&amp;"       FILTER('Raw PhocalPoint Data'!G:G,
          'Raw PhocalPoint Data'!A:A = 2011,
          'Raw PhocalPoint Data'!D:D = D73,
          'Raw PhocalPoint Data'!E:E = E73,
          'Raw PhocalPoint Data'!F:F = F73
        )
      ),
      FILTER('Raw "&amp;"PhocalPoint Data'!G:G,
        'Raw PhocalPoint Data'!A:A = 2009,
        'Raw PhocalPoint Data'!D:D = D73,
        'Raw PhocalPoint Data'!E:E = E73,
        'Raw PhocalPoint Data'!F:F = F73
      ) *
      (
        INDEX('Raw GDP data'!$I$2:$M$100,
    "&amp;"      MATCH(D73, 'Raw GDP data'!$H$2:$H$100, 0),
          MATCH(2008, 'Raw GDP data'!$I$1:$M$1, 0)
        ) /
        INDEX('Raw GDP data'!$I$2:$M$100,
          MATCH(D73, 'Raw GDP data'!$H$2:$H$100, 0),
          MATCH(2009, 'Raw GDP data'!$I$1:$M$1, "&amp;"0)
        )
      )
    ),
  IF(A73 &lt; 2008,
    (
      FILTER(G:G,
        A:A = 2008,
        D:D = D73,
        E:E = E73,
        F:F = F73
      ) /
      PRODUCT(
        ARRAYFORMULA(
          (
            (
              FILTER('Raw PhocalPoint"&amp;" Data'!G:G,
                'Raw PhocalPoint Data'!A:A = 2012,
                'Raw PhocalPoint Data'!D:D = D73,
                'Raw PhocalPoint Data'!E:E = E73,
                'Raw PhocalPoint Data'!F:F = F73
              ) /
              FILTER('Raw"&amp;" PhocalPoint Data'!G:G,
                'Raw PhocalPoint Data'!A:A = 2011,
                'Raw PhocalPoint Data'!D:D = D73,
                'Raw PhocalPoint Data'!E:E = E73,
                'Raw PhocalPoint Data'!F:F = F73
              ) -
             "&amp;" ROW(INDIRECT(""1:"" &amp; (2008 - A73))) *
              (
                (
                  FILTER('Raw PhocalPoint Data'!G:G,
                    'Raw PhocalPoint Data'!A:A = 2012,
                    'Raw PhocalPoint Data'!D:D = D73,
                   "&amp;" 'Raw PhocalPoint Data'!E:E = E73,
                    'Raw PhocalPoint Data'!F:F = F73
                  ) /
                  FILTER('Raw PhocalPoint Data'!G:G,
                    'Raw PhocalPoint Data'!A:A = 2011,
                    'Raw PhocalPoint "&amp;"Data'!D:D = D73,
                    'Raw PhocalPoint Data'!E:E = E73,
                    'Raw PhocalPoint Data'!F:F = F73
                  ) - 1
                ) / 5
              )
            )
          )
        )
      )
    ),
    (
      FILTER"&amp;"('Raw PhocalPoint Data'!G:G,
        'Raw PhocalPoint Data'!A:A = 2009,
        'Raw PhocalPoint Data'!D:D = D73,
        'Raw PhocalPoint Data'!E:E = E73,
        'Raw PhocalPoint Data'!F:F = F73
      ) /
      PRODUCT(
        ARRAYFORMULA(
          ("&amp;"
            FILTER('Raw PhocalPoint Data'!G:G,
              'Raw PhocalPoint Data'!A:A = 2012,
              'Raw PhocalPoint Data'!D:D = D73,
              'Raw PhocalPoint Data'!E:E = E73,
              'Raw PhocalPoint Data'!F:F = F73
            ) /"&amp;"
            FILTER('Raw PhocalPoint Data'!G:G,
              'Raw PhocalPoint Data'!A:A = 2011,
              'Raw PhocalPoint Data'!D:D = D73,
              'Raw PhocalPoint Data'!E:E = E73,
              'Raw PhocalPoint Data'!F:F = F73
            ) -"&amp;"
            (ROW(INDIRECT(""1:"" &amp; (2010 - A73))) - 1) *
            (
              (
                FILTER('Raw PhocalPoint Data'!G:G,
                  'Raw PhocalPoint Data'!A:A = 2012,
                  'Raw PhocalPoint Data'!D:D = D73,
           "&amp;"       'Raw PhocalPoint Data'!E:E = E73,
                  'Raw PhocalPoint Data'!F:F = F73
                ) /
                FILTER('Raw PhocalPoint Data'!G:G,
                  'Raw PhocalPoint Data'!A:A = 2011,
                  'Raw PhocalPoint Data"&amp;"'!D:D = D73,
                  'Raw PhocalPoint Data'!E:E = E73,
                  'Raw PhocalPoint Data'!F:F = F73
                ) - 1
              ) / 5
            )
          )
        )
      )
    ) *
    INDEX('Raw GDP data'!$I$2:$M$100,
      M"&amp;"ATCH(D73, 'Raw GDP data'!$H$2:$H$100, 0),
      MATCH(A73, 'Raw GDP data'!$I$1:$M$1, 0)
    )
  )),
  """"
)
"),2808159887.0078)</f>
        <v>2808159887.0078001</v>
      </c>
      <c r="H73" s="86"/>
      <c r="I73" s="87">
        <f ca="1">IFERROR(__xludf.DUMMYFUNCTION("""COMPUTED_VALUE"""),2006)</f>
        <v>2006</v>
      </c>
      <c r="J73" s="88" t="str">
        <f ca="1">IFERROR(__xludf.DUMMYFUNCTION("""COMPUTED_VALUE"""),"Colombia")</f>
        <v>Colombia</v>
      </c>
      <c r="K73" s="89">
        <f ca="1">IFERROR(
  SUMIFS(
    'New Backfilled Data'!G:G,
    'New Backfilled Data'!A:A, I73,
    'New Backfilled Data'!D:D, J73,
    'New Backfilled Data'!E:E, "Online"
  ) /
  SUMIFS(
    'New Backfilled Data'!G:G,
    'New Backfilled Data'!A:A, I73,
    'New Backfilled Data'!D:D, J73
  ),
  ""
)</f>
        <v>3.3815069137494713E-2</v>
      </c>
      <c r="L73" s="90"/>
      <c r="M73" s="90"/>
    </row>
    <row r="74" spans="1:13" ht="17" x14ac:dyDescent="0.2">
      <c r="A74" s="37">
        <v>2005</v>
      </c>
      <c r="B74" s="38" t="s">
        <v>66</v>
      </c>
      <c r="C74" s="38" t="s">
        <v>27</v>
      </c>
      <c r="D74" s="38" t="s">
        <v>30</v>
      </c>
      <c r="E74" s="38" t="s">
        <v>67</v>
      </c>
      <c r="F74" s="38" t="s">
        <v>67</v>
      </c>
      <c r="G74" s="79">
        <f ca="1">IFERROR(__xludf.DUMMYFUNCTION("IFERROR(
  IF(A74 = 2008,
    IF(E74 = ""Online"",
      FILTER('Raw PhocalPoint Data'!G:G,
        'Raw PhocalPoint Data'!A:A = 2009,
        'Raw PhocalPoint Data'!D:D = D74,
        'Raw PhocalPoint Data'!E:E = E74,
        'Raw PhocalPoint Data'!F:F ="&amp;" F74
      ) /
      (
        FILTER('Raw PhocalPoint Data'!G:G,
          'Raw PhocalPoint Data'!A:A = 2012,
          'Raw PhocalPoint Data'!D:D = D74,
          'Raw PhocalPoint Data'!E:E = E74,
          'Raw PhocalPoint Data'!F:F = F74
        ) /
 "&amp;"       FILTER('Raw PhocalPoint Data'!G:G,
          'Raw PhocalPoint Data'!A:A = 2011,
          'Raw PhocalPoint Data'!D:D = D74,
          'Raw PhocalPoint Data'!E:E = E74,
          'Raw PhocalPoint Data'!F:F = F74
        )
      ),
      FILTER('Raw "&amp;"PhocalPoint Data'!G:G,
        'Raw PhocalPoint Data'!A:A = 2009,
        'Raw PhocalPoint Data'!D:D = D74,
        'Raw PhocalPoint Data'!E:E = E74,
        'Raw PhocalPoint Data'!F:F = F74
      ) *
      (
        INDEX('Raw GDP data'!$I$2:$M$100,
    "&amp;"      MATCH(D74, 'Raw GDP data'!$H$2:$H$100, 0),
          MATCH(2008, 'Raw GDP data'!$I$1:$M$1, 0)
        ) /
        INDEX('Raw GDP data'!$I$2:$M$100,
          MATCH(D74, 'Raw GDP data'!$H$2:$H$100, 0),
          MATCH(2009, 'Raw GDP data'!$I$1:$M$1, "&amp;"0)
        )
      )
    ),
  IF(A74 &lt; 2008,
    (
      FILTER(G:G,
        A:A = 2008,
        D:D = D74,
        E:E = E74,
        F:F = F74
      ) /
      PRODUCT(
        ARRAYFORMULA(
          (
            (
              FILTER('Raw PhocalPoint"&amp;" Data'!G:G,
                'Raw PhocalPoint Data'!A:A = 2012,
                'Raw PhocalPoint Data'!D:D = D74,
                'Raw PhocalPoint Data'!E:E = E74,
                'Raw PhocalPoint Data'!F:F = F74
              ) /
              FILTER('Raw"&amp;" PhocalPoint Data'!G:G,
                'Raw PhocalPoint Data'!A:A = 2011,
                'Raw PhocalPoint Data'!D:D = D74,
                'Raw PhocalPoint Data'!E:E = E74,
                'Raw PhocalPoint Data'!F:F = F74
              ) -
             "&amp;" ROW(INDIRECT(""1:"" &amp; (2008 - A74))) *
              (
                (
                  FILTER('Raw PhocalPoint Data'!G:G,
                    'Raw PhocalPoint Data'!A:A = 2012,
                    'Raw PhocalPoint Data'!D:D = D74,
                   "&amp;" 'Raw PhocalPoint Data'!E:E = E74,
                    'Raw PhocalPoint Data'!F:F = F74
                  ) /
                  FILTER('Raw PhocalPoint Data'!G:G,
                    'Raw PhocalPoint Data'!A:A = 2011,
                    'Raw PhocalPoint "&amp;"Data'!D:D = D74,
                    'Raw PhocalPoint Data'!E:E = E74,
                    'Raw PhocalPoint Data'!F:F = F74
                  ) - 1
                ) / 5
              )
            )
          )
        )
      )
    ),
    (
      FILTER"&amp;"('Raw PhocalPoint Data'!G:G,
        'Raw PhocalPoint Data'!A:A = 2009,
        'Raw PhocalPoint Data'!D:D = D74,
        'Raw PhocalPoint Data'!E:E = E74,
        'Raw PhocalPoint Data'!F:F = F74
      ) /
      PRODUCT(
        ARRAYFORMULA(
          ("&amp;"
            FILTER('Raw PhocalPoint Data'!G:G,
              'Raw PhocalPoint Data'!A:A = 2012,
              'Raw PhocalPoint Data'!D:D = D74,
              'Raw PhocalPoint Data'!E:E = E74,
              'Raw PhocalPoint Data'!F:F = F74
            ) /"&amp;"
            FILTER('Raw PhocalPoint Data'!G:G,
              'Raw PhocalPoint Data'!A:A = 2011,
              'Raw PhocalPoint Data'!D:D = D74,
              'Raw PhocalPoint Data'!E:E = E74,
              'Raw PhocalPoint Data'!F:F = F74
            ) -"&amp;"
            (ROW(INDIRECT(""1:"" &amp; (2010 - A74))) - 1) *
            (
              (
                FILTER('Raw PhocalPoint Data'!G:G,
                  'Raw PhocalPoint Data'!A:A = 2012,
                  'Raw PhocalPoint Data'!D:D = D74,
           "&amp;"       'Raw PhocalPoint Data'!E:E = E74,
                  'Raw PhocalPoint Data'!F:F = F74
                ) /
                FILTER('Raw PhocalPoint Data'!G:G,
                  'Raw PhocalPoint Data'!A:A = 2011,
                  'Raw PhocalPoint Data"&amp;"'!D:D = D74,
                  'Raw PhocalPoint Data'!E:E = E74,
                  'Raw PhocalPoint Data'!F:F = F74
                ) - 1
              ) / 5
            )
          )
        )
      )
    ) *
    INDEX('Raw GDP data'!$I$2:$M$100,
      M"&amp;"ATCH(D74, 'Raw GDP data'!$H$2:$H$100, 0),
      MATCH(A74, 'Raw GDP data'!$I$1:$M$1, 0)
    )
  )),
  """"
)
"),56916274236.0925)</f>
        <v>56916274236.092499</v>
      </c>
      <c r="H74" s="80"/>
      <c r="I74" s="81">
        <f ca="1">IFERROR(__xludf.DUMMYFUNCTION("""COMPUTED_VALUE"""),2006)</f>
        <v>2006</v>
      </c>
      <c r="J74" s="82" t="str">
        <f ca="1">IFERROR(__xludf.DUMMYFUNCTION("""COMPUTED_VALUE"""),"Mexico")</f>
        <v>Mexico</v>
      </c>
      <c r="K74" s="83">
        <f ca="1">IFERROR(
  SUMIFS(
    'New Backfilled Data'!G:G,
    'New Backfilled Data'!A:A, I74,
    'New Backfilled Data'!D:D, J74,
    'New Backfilled Data'!E:E, "Online"
  ) /
  SUMIFS(
    'New Backfilled Data'!G:G,
    'New Backfilled Data'!A:A, I74,
    'New Backfilled Data'!D:D, J74
  ),
  ""
)</f>
        <v>8.5095573652560985E-2</v>
      </c>
      <c r="L74" s="84"/>
      <c r="M74" s="84"/>
    </row>
    <row r="75" spans="1:13" ht="17" x14ac:dyDescent="0.2">
      <c r="A75" s="44">
        <v>2005</v>
      </c>
      <c r="B75" s="45" t="s">
        <v>66</v>
      </c>
      <c r="C75" s="45" t="s">
        <v>27</v>
      </c>
      <c r="D75" s="45" t="s">
        <v>30</v>
      </c>
      <c r="E75" s="45" t="s">
        <v>69</v>
      </c>
      <c r="F75" s="45" t="s">
        <v>71</v>
      </c>
      <c r="G75" s="85">
        <f ca="1">IFERROR(__xludf.DUMMYFUNCTION("IFERROR(
  IF(A75 = 2008,
    IF(E75 = ""Online"",
      FILTER('Raw PhocalPoint Data'!G:G,
        'Raw PhocalPoint Data'!A:A = 2009,
        'Raw PhocalPoint Data'!D:D = D75,
        'Raw PhocalPoint Data'!E:E = E75,
        'Raw PhocalPoint Data'!F:F ="&amp;" F75
      ) /
      (
        FILTER('Raw PhocalPoint Data'!G:G,
          'Raw PhocalPoint Data'!A:A = 2012,
          'Raw PhocalPoint Data'!D:D = D75,
          'Raw PhocalPoint Data'!E:E = E75,
          'Raw PhocalPoint Data'!F:F = F75
        ) /
 "&amp;"       FILTER('Raw PhocalPoint Data'!G:G,
          'Raw PhocalPoint Data'!A:A = 2011,
          'Raw PhocalPoint Data'!D:D = D75,
          'Raw PhocalPoint Data'!E:E = E75,
          'Raw PhocalPoint Data'!F:F = F75
        )
      ),
      FILTER('Raw "&amp;"PhocalPoint Data'!G:G,
        'Raw PhocalPoint Data'!A:A = 2009,
        'Raw PhocalPoint Data'!D:D = D75,
        'Raw PhocalPoint Data'!E:E = E75,
        'Raw PhocalPoint Data'!F:F = F75
      ) *
      (
        INDEX('Raw GDP data'!$I$2:$M$100,
    "&amp;"      MATCH(D75, 'Raw GDP data'!$H$2:$H$100, 0),
          MATCH(2008, 'Raw GDP data'!$I$1:$M$1, 0)
        ) /
        INDEX('Raw GDP data'!$I$2:$M$100,
          MATCH(D75, 'Raw GDP data'!$H$2:$H$100, 0),
          MATCH(2009, 'Raw GDP data'!$I$1:$M$1, "&amp;"0)
        )
      )
    ),
  IF(A75 &lt; 2008,
    (
      FILTER(G:G,
        A:A = 2008,
        D:D = D75,
        E:E = E75,
        F:F = F75
      ) /
      PRODUCT(
        ARRAYFORMULA(
          (
            (
              FILTER('Raw PhocalPoint"&amp;" Data'!G:G,
                'Raw PhocalPoint Data'!A:A = 2012,
                'Raw PhocalPoint Data'!D:D = D75,
                'Raw PhocalPoint Data'!E:E = E75,
                'Raw PhocalPoint Data'!F:F = F75
              ) /
              FILTER('Raw"&amp;" PhocalPoint Data'!G:G,
                'Raw PhocalPoint Data'!A:A = 2011,
                'Raw PhocalPoint Data'!D:D = D75,
                'Raw PhocalPoint Data'!E:E = E75,
                'Raw PhocalPoint Data'!F:F = F75
              ) -
             "&amp;" ROW(INDIRECT(""1:"" &amp; (2008 - A75))) *
              (
                (
                  FILTER('Raw PhocalPoint Data'!G:G,
                    'Raw PhocalPoint Data'!A:A = 2012,
                    'Raw PhocalPoint Data'!D:D = D75,
                   "&amp;" 'Raw PhocalPoint Data'!E:E = E75,
                    'Raw PhocalPoint Data'!F:F = F75
                  ) /
                  FILTER('Raw PhocalPoint Data'!G:G,
                    'Raw PhocalPoint Data'!A:A = 2011,
                    'Raw PhocalPoint "&amp;"Data'!D:D = D75,
                    'Raw PhocalPoint Data'!E:E = E75,
                    'Raw PhocalPoint Data'!F:F = F75
                  ) - 1
                ) / 5
              )
            )
          )
        )
      )
    ),
    (
      FILTER"&amp;"('Raw PhocalPoint Data'!G:G,
        'Raw PhocalPoint Data'!A:A = 2009,
        'Raw PhocalPoint Data'!D:D = D75,
        'Raw PhocalPoint Data'!E:E = E75,
        'Raw PhocalPoint Data'!F:F = F75
      ) /
      PRODUCT(
        ARRAYFORMULA(
          ("&amp;"
            FILTER('Raw PhocalPoint Data'!G:G,
              'Raw PhocalPoint Data'!A:A = 2012,
              'Raw PhocalPoint Data'!D:D = D75,
              'Raw PhocalPoint Data'!E:E = E75,
              'Raw PhocalPoint Data'!F:F = F75
            ) /"&amp;"
            FILTER('Raw PhocalPoint Data'!G:G,
              'Raw PhocalPoint Data'!A:A = 2011,
              'Raw PhocalPoint Data'!D:D = D75,
              'Raw PhocalPoint Data'!E:E = E75,
              'Raw PhocalPoint Data'!F:F = F75
            ) -"&amp;"
            (ROW(INDIRECT(""1:"" &amp; (2010 - A75))) - 1) *
            (
              (
                FILTER('Raw PhocalPoint Data'!G:G,
                  'Raw PhocalPoint Data'!A:A = 2012,
                  'Raw PhocalPoint Data'!D:D = D75,
           "&amp;"       'Raw PhocalPoint Data'!E:E = E75,
                  'Raw PhocalPoint Data'!F:F = F75
                ) /
                FILTER('Raw PhocalPoint Data'!G:G,
                  'Raw PhocalPoint Data'!A:A = 2011,
                  'Raw PhocalPoint Data"&amp;"'!D:D = D75,
                  'Raw PhocalPoint Data'!E:E = E75,
                  'Raw PhocalPoint Data'!F:F = F75
                ) - 1
              ) / 5
            )
          )
        )
      )
    ) *
    INDEX('Raw GDP data'!$I$2:$M$100,
      M"&amp;"ATCH(D75, 'Raw GDP data'!$H$2:$H$100, 0),
      MATCH(A75, 'Raw GDP data'!$I$1:$M$1, 0)
    )
  )),
  """"
)
"),3736238922.82965)</f>
        <v>3736238922.8296499</v>
      </c>
      <c r="H75" s="86"/>
      <c r="I75" s="87">
        <f ca="1">IFERROR(__xludf.DUMMYFUNCTION("""COMPUTED_VALUE"""),2006)</f>
        <v>2006</v>
      </c>
      <c r="J75" s="88" t="str">
        <f ca="1">IFERROR(__xludf.DUMMYFUNCTION("""COMPUTED_VALUE"""),"Egypt")</f>
        <v>Egypt</v>
      </c>
      <c r="K75" s="89">
        <f ca="1">IFERROR(
  SUMIFS(
    'New Backfilled Data'!G:G,
    'New Backfilled Data'!A:A, I75,
    'New Backfilled Data'!D:D, J75,
    'New Backfilled Data'!E:E, "Online"
  ) /
  SUMIFS(
    'New Backfilled Data'!G:G,
    'New Backfilled Data'!A:A, I75,
    'New Backfilled Data'!D:D, J75
  ),
  ""
)</f>
        <v>4.3526070566398602E-2</v>
      </c>
      <c r="L75" s="90"/>
      <c r="M75" s="90"/>
    </row>
    <row r="76" spans="1:13" ht="17" x14ac:dyDescent="0.2">
      <c r="A76" s="37">
        <v>2005</v>
      </c>
      <c r="B76" s="38" t="s">
        <v>66</v>
      </c>
      <c r="C76" s="38" t="s">
        <v>27</v>
      </c>
      <c r="D76" s="38" t="s">
        <v>30</v>
      </c>
      <c r="E76" s="38" t="s">
        <v>69</v>
      </c>
      <c r="F76" s="38" t="s">
        <v>70</v>
      </c>
      <c r="G76" s="79">
        <f ca="1">IFERROR(__xludf.DUMMYFUNCTION("IFERROR(
  IF(A76 = 2008,
    IF(E76 = ""Online"",
      FILTER('Raw PhocalPoint Data'!G:G,
        'Raw PhocalPoint Data'!A:A = 2009,
        'Raw PhocalPoint Data'!D:D = D76,
        'Raw PhocalPoint Data'!E:E = E76,
        'Raw PhocalPoint Data'!F:F ="&amp;" F76
      ) /
      (
        FILTER('Raw PhocalPoint Data'!G:G,
          'Raw PhocalPoint Data'!A:A = 2012,
          'Raw PhocalPoint Data'!D:D = D76,
          'Raw PhocalPoint Data'!E:E = E76,
          'Raw PhocalPoint Data'!F:F = F76
        ) /
 "&amp;"       FILTER('Raw PhocalPoint Data'!G:G,
          'Raw PhocalPoint Data'!A:A = 2011,
          'Raw PhocalPoint Data'!D:D = D76,
          'Raw PhocalPoint Data'!E:E = E76,
          'Raw PhocalPoint Data'!F:F = F76
        )
      ),
      FILTER('Raw "&amp;"PhocalPoint Data'!G:G,
        'Raw PhocalPoint Data'!A:A = 2009,
        'Raw PhocalPoint Data'!D:D = D76,
        'Raw PhocalPoint Data'!E:E = E76,
        'Raw PhocalPoint Data'!F:F = F76
      ) *
      (
        INDEX('Raw GDP data'!$I$2:$M$100,
    "&amp;"      MATCH(D76, 'Raw GDP data'!$H$2:$H$100, 0),
          MATCH(2008, 'Raw GDP data'!$I$1:$M$1, 0)
        ) /
        INDEX('Raw GDP data'!$I$2:$M$100,
          MATCH(D76, 'Raw GDP data'!$H$2:$H$100, 0),
          MATCH(2009, 'Raw GDP data'!$I$1:$M$1, "&amp;"0)
        )
      )
    ),
  IF(A76 &lt; 2008,
    (
      FILTER(G:G,
        A:A = 2008,
        D:D = D76,
        E:E = E76,
        F:F = F76
      ) /
      PRODUCT(
        ARRAYFORMULA(
          (
            (
              FILTER('Raw PhocalPoint"&amp;" Data'!G:G,
                'Raw PhocalPoint Data'!A:A = 2012,
                'Raw PhocalPoint Data'!D:D = D76,
                'Raw PhocalPoint Data'!E:E = E76,
                'Raw PhocalPoint Data'!F:F = F76
              ) /
              FILTER('Raw"&amp;" PhocalPoint Data'!G:G,
                'Raw PhocalPoint Data'!A:A = 2011,
                'Raw PhocalPoint Data'!D:D = D76,
                'Raw PhocalPoint Data'!E:E = E76,
                'Raw PhocalPoint Data'!F:F = F76
              ) -
             "&amp;" ROW(INDIRECT(""1:"" &amp; (2008 - A76))) *
              (
                (
                  FILTER('Raw PhocalPoint Data'!G:G,
                    'Raw PhocalPoint Data'!A:A = 2012,
                    'Raw PhocalPoint Data'!D:D = D76,
                   "&amp;" 'Raw PhocalPoint Data'!E:E = E76,
                    'Raw PhocalPoint Data'!F:F = F76
                  ) /
                  FILTER('Raw PhocalPoint Data'!G:G,
                    'Raw PhocalPoint Data'!A:A = 2011,
                    'Raw PhocalPoint "&amp;"Data'!D:D = D76,
                    'Raw PhocalPoint Data'!E:E = E76,
                    'Raw PhocalPoint Data'!F:F = F76
                  ) - 1
                ) / 5
              )
            )
          )
        )
      )
    ),
    (
      FILTER"&amp;"('Raw PhocalPoint Data'!G:G,
        'Raw PhocalPoint Data'!A:A = 2009,
        'Raw PhocalPoint Data'!D:D = D76,
        'Raw PhocalPoint Data'!E:E = E76,
        'Raw PhocalPoint Data'!F:F = F76
      ) /
      PRODUCT(
        ARRAYFORMULA(
          ("&amp;"
            FILTER('Raw PhocalPoint Data'!G:G,
              'Raw PhocalPoint Data'!A:A = 2012,
              'Raw PhocalPoint Data'!D:D = D76,
              'Raw PhocalPoint Data'!E:E = E76,
              'Raw PhocalPoint Data'!F:F = F76
            ) /"&amp;"
            FILTER('Raw PhocalPoint Data'!G:G,
              'Raw PhocalPoint Data'!A:A = 2011,
              'Raw PhocalPoint Data'!D:D = D76,
              'Raw PhocalPoint Data'!E:E = E76,
              'Raw PhocalPoint Data'!F:F = F76
            ) -"&amp;"
            (ROW(INDIRECT(""1:"" &amp; (2010 - A76))) - 1) *
            (
              (
                FILTER('Raw PhocalPoint Data'!G:G,
                  'Raw PhocalPoint Data'!A:A = 2012,
                  'Raw PhocalPoint Data'!D:D = D76,
           "&amp;"       'Raw PhocalPoint Data'!E:E = E76,
                  'Raw PhocalPoint Data'!F:F = F76
                ) /
                FILTER('Raw PhocalPoint Data'!G:G,
                  'Raw PhocalPoint Data'!A:A = 2011,
                  'Raw PhocalPoint Data"&amp;"'!D:D = D76,
                  'Raw PhocalPoint Data'!E:E = E76,
                  'Raw PhocalPoint Data'!F:F = F76
                ) - 1
              ) / 5
            )
          )
        )
      )
    ) *
    INDEX('Raw GDP data'!$I$2:$M$100,
      M"&amp;"ATCH(D76, 'Raw GDP data'!$H$2:$H$100, 0),
      MATCH(A76, 'Raw GDP data'!$I$1:$M$1, 0)
    )
  )),
  """"
)
"),7657160050.93594)</f>
        <v>7657160050.9359398</v>
      </c>
      <c r="H76" s="80"/>
      <c r="I76" s="81">
        <f ca="1">IFERROR(__xludf.DUMMYFUNCTION("""COMPUTED_VALUE"""),2006)</f>
        <v>2006</v>
      </c>
      <c r="J76" s="82" t="str">
        <f ca="1">IFERROR(__xludf.DUMMYFUNCTION("""COMPUTED_VALUE"""),"Qatar")</f>
        <v>Qatar</v>
      </c>
      <c r="K76" s="83">
        <f ca="1">IFERROR(
  SUMIFS(
    'New Backfilled Data'!G:G,
    'New Backfilled Data'!A:A, I76,
    'New Backfilled Data'!D:D, J76,
    'New Backfilled Data'!E:E, "Online"
  ) /
  SUMIFS(
    'New Backfilled Data'!G:G,
    'New Backfilled Data'!A:A, I76,
    'New Backfilled Data'!D:D, J76
  ),
  ""
)</f>
        <v>0.1051267510305911</v>
      </c>
      <c r="L76" s="84"/>
      <c r="M76" s="84"/>
    </row>
    <row r="77" spans="1:13" ht="34" x14ac:dyDescent="0.2">
      <c r="A77" s="44">
        <v>2005</v>
      </c>
      <c r="B77" s="45" t="s">
        <v>66</v>
      </c>
      <c r="C77" s="45" t="s">
        <v>27</v>
      </c>
      <c r="D77" s="45" t="s">
        <v>31</v>
      </c>
      <c r="E77" s="45" t="s">
        <v>67</v>
      </c>
      <c r="F77" s="45" t="s">
        <v>67</v>
      </c>
      <c r="G77" s="85">
        <f ca="1">IFERROR(__xludf.DUMMYFUNCTION("IFERROR(
  IF(A77 = 2008,
    IF(E77 = ""Online"",
      FILTER('Raw PhocalPoint Data'!G:G,
        'Raw PhocalPoint Data'!A:A = 2009,
        'Raw PhocalPoint Data'!D:D = D77,
        'Raw PhocalPoint Data'!E:E = E77,
        'Raw PhocalPoint Data'!F:F ="&amp;" F77
      ) /
      (
        FILTER('Raw PhocalPoint Data'!G:G,
          'Raw PhocalPoint Data'!A:A = 2012,
          'Raw PhocalPoint Data'!D:D = D77,
          'Raw PhocalPoint Data'!E:E = E77,
          'Raw PhocalPoint Data'!F:F = F77
        ) /
 "&amp;"       FILTER('Raw PhocalPoint Data'!G:G,
          'Raw PhocalPoint Data'!A:A = 2011,
          'Raw PhocalPoint Data'!D:D = D77,
          'Raw PhocalPoint Data'!E:E = E77,
          'Raw PhocalPoint Data'!F:F = F77
        )
      ),
      FILTER('Raw "&amp;"PhocalPoint Data'!G:G,
        'Raw PhocalPoint Data'!A:A = 2009,
        'Raw PhocalPoint Data'!D:D = D77,
        'Raw PhocalPoint Data'!E:E = E77,
        'Raw PhocalPoint Data'!F:F = F77
      ) *
      (
        INDEX('Raw GDP data'!$I$2:$M$100,
    "&amp;"      MATCH(D77, 'Raw GDP data'!$H$2:$H$100, 0),
          MATCH(2008, 'Raw GDP data'!$I$1:$M$1, 0)
        ) /
        INDEX('Raw GDP data'!$I$2:$M$100,
          MATCH(D77, 'Raw GDP data'!$H$2:$H$100, 0),
          MATCH(2009, 'Raw GDP data'!$I$1:$M$1, "&amp;"0)
        )
      )
    ),
  IF(A77 &lt; 2008,
    (
      FILTER(G:G,
        A:A = 2008,
        D:D = D77,
        E:E = E77,
        F:F = F77
      ) /
      PRODUCT(
        ARRAYFORMULA(
          (
            (
              FILTER('Raw PhocalPoint"&amp;" Data'!G:G,
                'Raw PhocalPoint Data'!A:A = 2012,
                'Raw PhocalPoint Data'!D:D = D77,
                'Raw PhocalPoint Data'!E:E = E77,
                'Raw PhocalPoint Data'!F:F = F77
              ) /
              FILTER('Raw"&amp;" PhocalPoint Data'!G:G,
                'Raw PhocalPoint Data'!A:A = 2011,
                'Raw PhocalPoint Data'!D:D = D77,
                'Raw PhocalPoint Data'!E:E = E77,
                'Raw PhocalPoint Data'!F:F = F77
              ) -
             "&amp;" ROW(INDIRECT(""1:"" &amp; (2008 - A77))) *
              (
                (
                  FILTER('Raw PhocalPoint Data'!G:G,
                    'Raw PhocalPoint Data'!A:A = 2012,
                    'Raw PhocalPoint Data'!D:D = D77,
                   "&amp;" 'Raw PhocalPoint Data'!E:E = E77,
                    'Raw PhocalPoint Data'!F:F = F77
                  ) /
                  FILTER('Raw PhocalPoint Data'!G:G,
                    'Raw PhocalPoint Data'!A:A = 2011,
                    'Raw PhocalPoint "&amp;"Data'!D:D = D77,
                    'Raw PhocalPoint Data'!E:E = E77,
                    'Raw PhocalPoint Data'!F:F = F77
                  ) - 1
                ) / 5
              )
            )
          )
        )
      )
    ),
    (
      FILTER"&amp;"('Raw PhocalPoint Data'!G:G,
        'Raw PhocalPoint Data'!A:A = 2009,
        'Raw PhocalPoint Data'!D:D = D77,
        'Raw PhocalPoint Data'!E:E = E77,
        'Raw PhocalPoint Data'!F:F = F77
      ) /
      PRODUCT(
        ARRAYFORMULA(
          ("&amp;"
            FILTER('Raw PhocalPoint Data'!G:G,
              'Raw PhocalPoint Data'!A:A = 2012,
              'Raw PhocalPoint Data'!D:D = D77,
              'Raw PhocalPoint Data'!E:E = E77,
              'Raw PhocalPoint Data'!F:F = F77
            ) /"&amp;"
            FILTER('Raw PhocalPoint Data'!G:G,
              'Raw PhocalPoint Data'!A:A = 2011,
              'Raw PhocalPoint Data'!D:D = D77,
              'Raw PhocalPoint Data'!E:E = E77,
              'Raw PhocalPoint Data'!F:F = F77
            ) -"&amp;"
            (ROW(INDIRECT(""1:"" &amp; (2010 - A77))) - 1) *
            (
              (
                FILTER('Raw PhocalPoint Data'!G:G,
                  'Raw PhocalPoint Data'!A:A = 2012,
                  'Raw PhocalPoint Data'!D:D = D77,
           "&amp;"       'Raw PhocalPoint Data'!E:E = E77,
                  'Raw PhocalPoint Data'!F:F = F77
                ) /
                FILTER('Raw PhocalPoint Data'!G:G,
                  'Raw PhocalPoint Data'!A:A = 2011,
                  'Raw PhocalPoint Data"&amp;"'!D:D = D77,
                  'Raw PhocalPoint Data'!E:E = E77,
                  'Raw PhocalPoint Data'!F:F = F77
                ) - 1
              ) / 5
            )
          )
        )
      )
    ) *
    INDEX('Raw GDP data'!$I$2:$M$100,
      M"&amp;"ATCH(D77, 'Raw GDP data'!$H$2:$H$100, 0),
      MATCH(A77, 'Raw GDP data'!$I$1:$M$1, 0)
    )
  )),
  """"
)
"),14003076668.5655)</f>
        <v>14003076668.5655</v>
      </c>
      <c r="H77" s="86"/>
      <c r="I77" s="87">
        <f ca="1">IFERROR(__xludf.DUMMYFUNCTION("""COMPUTED_VALUE"""),2006)</f>
        <v>2006</v>
      </c>
      <c r="J77" s="88" t="str">
        <f ca="1">IFERROR(__xludf.DUMMYFUNCTION("""COMPUTED_VALUE"""),"Rest of Middle East")</f>
        <v>Rest of Middle East</v>
      </c>
      <c r="K77" s="89">
        <f ca="1">IFERROR(
  SUMIFS(
    'New Backfilled Data'!G:G,
    'New Backfilled Data'!A:A, I77,
    'New Backfilled Data'!D:D, J77,
    'New Backfilled Data'!E:E, "Online"
  ) /
  SUMIFS(
    'New Backfilled Data'!G:G,
    'New Backfilled Data'!A:A, I77,
    'New Backfilled Data'!D:D, J77
  ),
  ""
)</f>
        <v>3.9710296077651801E-2</v>
      </c>
      <c r="L77" s="90"/>
      <c r="M77" s="90"/>
    </row>
    <row r="78" spans="1:13" ht="17" x14ac:dyDescent="0.2">
      <c r="A78" s="37">
        <v>2005</v>
      </c>
      <c r="B78" s="38" t="s">
        <v>66</v>
      </c>
      <c r="C78" s="38" t="s">
        <v>27</v>
      </c>
      <c r="D78" s="38" t="s">
        <v>31</v>
      </c>
      <c r="E78" s="38" t="s">
        <v>69</v>
      </c>
      <c r="F78" s="38" t="s">
        <v>71</v>
      </c>
      <c r="G78" s="79">
        <f ca="1">IFERROR(__xludf.DUMMYFUNCTION("IFERROR(
  IF(A78 = 2008,
    IF(E78 = ""Online"",
      FILTER('Raw PhocalPoint Data'!G:G,
        'Raw PhocalPoint Data'!A:A = 2009,
        'Raw PhocalPoint Data'!D:D = D78,
        'Raw PhocalPoint Data'!E:E = E78,
        'Raw PhocalPoint Data'!F:F ="&amp;" F78
      ) /
      (
        FILTER('Raw PhocalPoint Data'!G:G,
          'Raw PhocalPoint Data'!A:A = 2012,
          'Raw PhocalPoint Data'!D:D = D78,
          'Raw PhocalPoint Data'!E:E = E78,
          'Raw PhocalPoint Data'!F:F = F78
        ) /
 "&amp;"       FILTER('Raw PhocalPoint Data'!G:G,
          'Raw PhocalPoint Data'!A:A = 2011,
          'Raw PhocalPoint Data'!D:D = D78,
          'Raw PhocalPoint Data'!E:E = E78,
          'Raw PhocalPoint Data'!F:F = F78
        )
      ),
      FILTER('Raw "&amp;"PhocalPoint Data'!G:G,
        'Raw PhocalPoint Data'!A:A = 2009,
        'Raw PhocalPoint Data'!D:D = D78,
        'Raw PhocalPoint Data'!E:E = E78,
        'Raw PhocalPoint Data'!F:F = F78
      ) *
      (
        INDEX('Raw GDP data'!$I$2:$M$100,
    "&amp;"      MATCH(D78, 'Raw GDP data'!$H$2:$H$100, 0),
          MATCH(2008, 'Raw GDP data'!$I$1:$M$1, 0)
        ) /
        INDEX('Raw GDP data'!$I$2:$M$100,
          MATCH(D78, 'Raw GDP data'!$H$2:$H$100, 0),
          MATCH(2009, 'Raw GDP data'!$I$1:$M$1, "&amp;"0)
        )
      )
    ),
  IF(A78 &lt; 2008,
    (
      FILTER(G:G,
        A:A = 2008,
        D:D = D78,
        E:E = E78,
        F:F = F78
      ) /
      PRODUCT(
        ARRAYFORMULA(
          (
            (
              FILTER('Raw PhocalPoint"&amp;" Data'!G:G,
                'Raw PhocalPoint Data'!A:A = 2012,
                'Raw PhocalPoint Data'!D:D = D78,
                'Raw PhocalPoint Data'!E:E = E78,
                'Raw PhocalPoint Data'!F:F = F78
              ) /
              FILTER('Raw"&amp;" PhocalPoint Data'!G:G,
                'Raw PhocalPoint Data'!A:A = 2011,
                'Raw PhocalPoint Data'!D:D = D78,
                'Raw PhocalPoint Data'!E:E = E78,
                'Raw PhocalPoint Data'!F:F = F78
              ) -
             "&amp;" ROW(INDIRECT(""1:"" &amp; (2008 - A78))) *
              (
                (
                  FILTER('Raw PhocalPoint Data'!G:G,
                    'Raw PhocalPoint Data'!A:A = 2012,
                    'Raw PhocalPoint Data'!D:D = D78,
                   "&amp;" 'Raw PhocalPoint Data'!E:E = E78,
                    'Raw PhocalPoint Data'!F:F = F78
                  ) /
                  FILTER('Raw PhocalPoint Data'!G:G,
                    'Raw PhocalPoint Data'!A:A = 2011,
                    'Raw PhocalPoint "&amp;"Data'!D:D = D78,
                    'Raw PhocalPoint Data'!E:E = E78,
                    'Raw PhocalPoint Data'!F:F = F78
                  ) - 1
                ) / 5
              )
            )
          )
        )
      )
    ),
    (
      FILTER"&amp;"('Raw PhocalPoint Data'!G:G,
        'Raw PhocalPoint Data'!A:A = 2009,
        'Raw PhocalPoint Data'!D:D = D78,
        'Raw PhocalPoint Data'!E:E = E78,
        'Raw PhocalPoint Data'!F:F = F78
      ) /
      PRODUCT(
        ARRAYFORMULA(
          ("&amp;"
            FILTER('Raw PhocalPoint Data'!G:G,
              'Raw PhocalPoint Data'!A:A = 2012,
              'Raw PhocalPoint Data'!D:D = D78,
              'Raw PhocalPoint Data'!E:E = E78,
              'Raw PhocalPoint Data'!F:F = F78
            ) /"&amp;"
            FILTER('Raw PhocalPoint Data'!G:G,
              'Raw PhocalPoint Data'!A:A = 2011,
              'Raw PhocalPoint Data'!D:D = D78,
              'Raw PhocalPoint Data'!E:E = E78,
              'Raw PhocalPoint Data'!F:F = F78
            ) -"&amp;"
            (ROW(INDIRECT(""1:"" &amp; (2010 - A78))) - 1) *
            (
              (
                FILTER('Raw PhocalPoint Data'!G:G,
                  'Raw PhocalPoint Data'!A:A = 2012,
                  'Raw PhocalPoint Data'!D:D = D78,
           "&amp;"       'Raw PhocalPoint Data'!E:E = E78,
                  'Raw PhocalPoint Data'!F:F = F78
                ) /
                FILTER('Raw PhocalPoint Data'!G:G,
                  'Raw PhocalPoint Data'!A:A = 2011,
                  'Raw PhocalPoint Data"&amp;"'!D:D = D78,
                  'Raw PhocalPoint Data'!E:E = E78,
                  'Raw PhocalPoint Data'!F:F = F78
                ) - 1
              ) / 5
            )
          )
        )
      )
    ) *
    INDEX('Raw GDP data'!$I$2:$M$100,
      M"&amp;"ATCH(D78, 'Raw GDP data'!$H$2:$H$100, 0),
      MATCH(A78, 'Raw GDP data'!$I$1:$M$1, 0)
    )
  )),
  """"
)
"),1478429334.59534)</f>
        <v>1478429334.59534</v>
      </c>
      <c r="H78" s="80"/>
      <c r="I78" s="81">
        <f ca="1">IFERROR(__xludf.DUMMYFUNCTION("""COMPUTED_VALUE"""),2006)</f>
        <v>2006</v>
      </c>
      <c r="J78" s="82" t="str">
        <f ca="1">IFERROR(__xludf.DUMMYFUNCTION("""COMPUTED_VALUE"""),"Saudi Arabia")</f>
        <v>Saudi Arabia</v>
      </c>
      <c r="K78" s="83">
        <f ca="1">IFERROR(
  SUMIFS(
    'New Backfilled Data'!G:G,
    'New Backfilled Data'!A:A, I78,
    'New Backfilled Data'!D:D, J78,
    'New Backfilled Data'!E:E, "Online"
  ) /
  SUMIFS(
    'New Backfilled Data'!G:G,
    'New Backfilled Data'!A:A, I78,
    'New Backfilled Data'!D:D, J78
  ),
  ""
)</f>
        <v>6.3936615091252952E-2</v>
      </c>
      <c r="L78" s="84"/>
      <c r="M78" s="84"/>
    </row>
    <row r="79" spans="1:13" ht="17" x14ac:dyDescent="0.2">
      <c r="A79" s="44">
        <v>2005</v>
      </c>
      <c r="B79" s="45" t="s">
        <v>66</v>
      </c>
      <c r="C79" s="45" t="s">
        <v>27</v>
      </c>
      <c r="D79" s="45" t="s">
        <v>31</v>
      </c>
      <c r="E79" s="45" t="s">
        <v>69</v>
      </c>
      <c r="F79" s="45" t="s">
        <v>70</v>
      </c>
      <c r="G79" s="85">
        <f ca="1">IFERROR(__xludf.DUMMYFUNCTION("IFERROR(
  IF(A79 = 2008,
    IF(E79 = ""Online"",
      FILTER('Raw PhocalPoint Data'!G:G,
        'Raw PhocalPoint Data'!A:A = 2009,
        'Raw PhocalPoint Data'!D:D = D79,
        'Raw PhocalPoint Data'!E:E = E79,
        'Raw PhocalPoint Data'!F:F ="&amp;" F79
      ) /
      (
        FILTER('Raw PhocalPoint Data'!G:G,
          'Raw PhocalPoint Data'!A:A = 2012,
          'Raw PhocalPoint Data'!D:D = D79,
          'Raw PhocalPoint Data'!E:E = E79,
          'Raw PhocalPoint Data'!F:F = F79
        ) /
 "&amp;"       FILTER('Raw PhocalPoint Data'!G:G,
          'Raw PhocalPoint Data'!A:A = 2011,
          'Raw PhocalPoint Data'!D:D = D79,
          'Raw PhocalPoint Data'!E:E = E79,
          'Raw PhocalPoint Data'!F:F = F79
        )
      ),
      FILTER('Raw "&amp;"PhocalPoint Data'!G:G,
        'Raw PhocalPoint Data'!A:A = 2009,
        'Raw PhocalPoint Data'!D:D = D79,
        'Raw PhocalPoint Data'!E:E = E79,
        'Raw PhocalPoint Data'!F:F = F79
      ) *
      (
        INDEX('Raw GDP data'!$I$2:$M$100,
    "&amp;"      MATCH(D79, 'Raw GDP data'!$H$2:$H$100, 0),
          MATCH(2008, 'Raw GDP data'!$I$1:$M$1, 0)
        ) /
        INDEX('Raw GDP data'!$I$2:$M$100,
          MATCH(D79, 'Raw GDP data'!$H$2:$H$100, 0),
          MATCH(2009, 'Raw GDP data'!$I$1:$M$1, "&amp;"0)
        )
      )
    ),
  IF(A79 &lt; 2008,
    (
      FILTER(G:G,
        A:A = 2008,
        D:D = D79,
        E:E = E79,
        F:F = F79
      ) /
      PRODUCT(
        ARRAYFORMULA(
          (
            (
              FILTER('Raw PhocalPoint"&amp;" Data'!G:G,
                'Raw PhocalPoint Data'!A:A = 2012,
                'Raw PhocalPoint Data'!D:D = D79,
                'Raw PhocalPoint Data'!E:E = E79,
                'Raw PhocalPoint Data'!F:F = F79
              ) /
              FILTER('Raw"&amp;" PhocalPoint Data'!G:G,
                'Raw PhocalPoint Data'!A:A = 2011,
                'Raw PhocalPoint Data'!D:D = D79,
                'Raw PhocalPoint Data'!E:E = E79,
                'Raw PhocalPoint Data'!F:F = F79
              ) -
             "&amp;" ROW(INDIRECT(""1:"" &amp; (2008 - A79))) *
              (
                (
                  FILTER('Raw PhocalPoint Data'!G:G,
                    'Raw PhocalPoint Data'!A:A = 2012,
                    'Raw PhocalPoint Data'!D:D = D79,
                   "&amp;" 'Raw PhocalPoint Data'!E:E = E79,
                    'Raw PhocalPoint Data'!F:F = F79
                  ) /
                  FILTER('Raw PhocalPoint Data'!G:G,
                    'Raw PhocalPoint Data'!A:A = 2011,
                    'Raw PhocalPoint "&amp;"Data'!D:D = D79,
                    'Raw PhocalPoint Data'!E:E = E79,
                    'Raw PhocalPoint Data'!F:F = F79
                  ) - 1
                ) / 5
              )
            )
          )
        )
      )
    ),
    (
      FILTER"&amp;"('Raw PhocalPoint Data'!G:G,
        'Raw PhocalPoint Data'!A:A = 2009,
        'Raw PhocalPoint Data'!D:D = D79,
        'Raw PhocalPoint Data'!E:E = E79,
        'Raw PhocalPoint Data'!F:F = F79
      ) /
      PRODUCT(
        ARRAYFORMULA(
          ("&amp;"
            FILTER('Raw PhocalPoint Data'!G:G,
              'Raw PhocalPoint Data'!A:A = 2012,
              'Raw PhocalPoint Data'!D:D = D79,
              'Raw PhocalPoint Data'!E:E = E79,
              'Raw PhocalPoint Data'!F:F = F79
            ) /"&amp;"
            FILTER('Raw PhocalPoint Data'!G:G,
              'Raw PhocalPoint Data'!A:A = 2011,
              'Raw PhocalPoint Data'!D:D = D79,
              'Raw PhocalPoint Data'!E:E = E79,
              'Raw PhocalPoint Data'!F:F = F79
            ) -"&amp;"
            (ROW(INDIRECT(""1:"" &amp; (2010 - A79))) - 1) *
            (
              (
                FILTER('Raw PhocalPoint Data'!G:G,
                  'Raw PhocalPoint Data'!A:A = 2012,
                  'Raw PhocalPoint Data'!D:D = D79,
           "&amp;"       'Raw PhocalPoint Data'!E:E = E79,
                  'Raw PhocalPoint Data'!F:F = F79
                ) /
                FILTER('Raw PhocalPoint Data'!G:G,
                  'Raw PhocalPoint Data'!A:A = 2011,
                  'Raw PhocalPoint Data"&amp;"'!D:D = D79,
                  'Raw PhocalPoint Data'!E:E = E79,
                  'Raw PhocalPoint Data'!F:F = F79
                ) - 1
              ) / 5
            )
          )
        )
      )
    ) *
    INDEX('Raw GDP data'!$I$2:$M$100,
      M"&amp;"ATCH(D79, 'Raw GDP data'!$H$2:$H$100, 0),
      MATCH(A79, 'Raw GDP data'!$I$1:$M$1, 0)
    )
  )),
  """"
)
"),3904867446.94534)</f>
        <v>3904867446.9453402</v>
      </c>
      <c r="H79" s="86"/>
      <c r="I79" s="87">
        <f ca="1">IFERROR(__xludf.DUMMYFUNCTION("""COMPUTED_VALUE"""),2006)</f>
        <v>2006</v>
      </c>
      <c r="J79" s="88" t="str">
        <f ca="1">IFERROR(__xludf.DUMMYFUNCTION("""COMPUTED_VALUE"""),"U.A.E.")</f>
        <v>U.A.E.</v>
      </c>
      <c r="K79" s="89">
        <f ca="1">IFERROR(
  SUMIFS(
    'New Backfilled Data'!G:G,
    'New Backfilled Data'!A:A, I79,
    'New Backfilled Data'!D:D, J79,
    'New Backfilled Data'!E:E, "Online"
  ) /
  SUMIFS(
    'New Backfilled Data'!G:G,
    'New Backfilled Data'!A:A, I79,
    'New Backfilled Data'!D:D, J79
  ),
  ""
)</f>
        <v>8.2630034322253826E-2</v>
      </c>
      <c r="L79" s="90"/>
      <c r="M79" s="90"/>
    </row>
    <row r="80" spans="1:13" ht="17" x14ac:dyDescent="0.2">
      <c r="A80" s="37">
        <v>2005</v>
      </c>
      <c r="B80" s="38" t="s">
        <v>66</v>
      </c>
      <c r="C80" s="38" t="s">
        <v>27</v>
      </c>
      <c r="D80" s="38" t="s">
        <v>32</v>
      </c>
      <c r="E80" s="38" t="s">
        <v>67</v>
      </c>
      <c r="F80" s="38" t="s">
        <v>67</v>
      </c>
      <c r="G80" s="79">
        <f ca="1">IFERROR(__xludf.DUMMYFUNCTION("IFERROR(
  IF(A80 = 2008,
    IF(E80 = ""Online"",
      FILTER('Raw PhocalPoint Data'!G:G,
        'Raw PhocalPoint Data'!A:A = 2009,
        'Raw PhocalPoint Data'!D:D = D80,
        'Raw PhocalPoint Data'!E:E = E80,
        'Raw PhocalPoint Data'!F:F ="&amp;" F80
      ) /
      (
        FILTER('Raw PhocalPoint Data'!G:G,
          'Raw PhocalPoint Data'!A:A = 2012,
          'Raw PhocalPoint Data'!D:D = D80,
          'Raw PhocalPoint Data'!E:E = E80,
          'Raw PhocalPoint Data'!F:F = F80
        ) /
 "&amp;"       FILTER('Raw PhocalPoint Data'!G:G,
          'Raw PhocalPoint Data'!A:A = 2011,
          'Raw PhocalPoint Data'!D:D = D80,
          'Raw PhocalPoint Data'!E:E = E80,
          'Raw PhocalPoint Data'!F:F = F80
        )
      ),
      FILTER('Raw "&amp;"PhocalPoint Data'!G:G,
        'Raw PhocalPoint Data'!A:A = 2009,
        'Raw PhocalPoint Data'!D:D = D80,
        'Raw PhocalPoint Data'!E:E = E80,
        'Raw PhocalPoint Data'!F:F = F80
      ) *
      (
        INDEX('Raw GDP data'!$I$2:$M$100,
    "&amp;"      MATCH(D80, 'Raw GDP data'!$H$2:$H$100, 0),
          MATCH(2008, 'Raw GDP data'!$I$1:$M$1, 0)
        ) /
        INDEX('Raw GDP data'!$I$2:$M$100,
          MATCH(D80, 'Raw GDP data'!$H$2:$H$100, 0),
          MATCH(2009, 'Raw GDP data'!$I$1:$M$1, "&amp;"0)
        )
      )
    ),
  IF(A80 &lt; 2008,
    (
      FILTER(G:G,
        A:A = 2008,
        D:D = D80,
        E:E = E80,
        F:F = F80
      ) /
      PRODUCT(
        ARRAYFORMULA(
          (
            (
              FILTER('Raw PhocalPoint"&amp;" Data'!G:G,
                'Raw PhocalPoint Data'!A:A = 2012,
                'Raw PhocalPoint Data'!D:D = D80,
                'Raw PhocalPoint Data'!E:E = E80,
                'Raw PhocalPoint Data'!F:F = F80
              ) /
              FILTER('Raw"&amp;" PhocalPoint Data'!G:G,
                'Raw PhocalPoint Data'!A:A = 2011,
                'Raw PhocalPoint Data'!D:D = D80,
                'Raw PhocalPoint Data'!E:E = E80,
                'Raw PhocalPoint Data'!F:F = F80
              ) -
             "&amp;" ROW(INDIRECT(""1:"" &amp; (2008 - A80))) *
              (
                (
                  FILTER('Raw PhocalPoint Data'!G:G,
                    'Raw PhocalPoint Data'!A:A = 2012,
                    'Raw PhocalPoint Data'!D:D = D80,
                   "&amp;" 'Raw PhocalPoint Data'!E:E = E80,
                    'Raw PhocalPoint Data'!F:F = F80
                  ) /
                  FILTER('Raw PhocalPoint Data'!G:G,
                    'Raw PhocalPoint Data'!A:A = 2011,
                    'Raw PhocalPoint "&amp;"Data'!D:D = D80,
                    'Raw PhocalPoint Data'!E:E = E80,
                    'Raw PhocalPoint Data'!F:F = F80
                  ) - 1
                ) / 5
              )
            )
          )
        )
      )
    ),
    (
      FILTER"&amp;"('Raw PhocalPoint Data'!G:G,
        'Raw PhocalPoint Data'!A:A = 2009,
        'Raw PhocalPoint Data'!D:D = D80,
        'Raw PhocalPoint Data'!E:E = E80,
        'Raw PhocalPoint Data'!F:F = F80
      ) /
      PRODUCT(
        ARRAYFORMULA(
          ("&amp;"
            FILTER('Raw PhocalPoint Data'!G:G,
              'Raw PhocalPoint Data'!A:A = 2012,
              'Raw PhocalPoint Data'!D:D = D80,
              'Raw PhocalPoint Data'!E:E = E80,
              'Raw PhocalPoint Data'!F:F = F80
            ) /"&amp;"
            FILTER('Raw PhocalPoint Data'!G:G,
              'Raw PhocalPoint Data'!A:A = 2011,
              'Raw PhocalPoint Data'!D:D = D80,
              'Raw PhocalPoint Data'!E:E = E80,
              'Raw PhocalPoint Data'!F:F = F80
            ) -"&amp;"
            (ROW(INDIRECT(""1:"" &amp; (2010 - A80))) - 1) *
            (
              (
                FILTER('Raw PhocalPoint Data'!G:G,
                  'Raw PhocalPoint Data'!A:A = 2012,
                  'Raw PhocalPoint Data'!D:D = D80,
           "&amp;"       'Raw PhocalPoint Data'!E:E = E80,
                  'Raw PhocalPoint Data'!F:F = F80
                ) /
                FILTER('Raw PhocalPoint Data'!G:G,
                  'Raw PhocalPoint Data'!A:A = 2011,
                  'Raw PhocalPoint Data"&amp;"'!D:D = D80,
                  'Raw PhocalPoint Data'!E:E = E80,
                  'Raw PhocalPoint Data'!F:F = F80
                ) - 1
              ) / 5
            )
          )
        )
      )
    ) *
    INDEX('Raw GDP data'!$I$2:$M$100,
      M"&amp;"ATCH(D80, 'Raw GDP data'!$H$2:$H$100, 0),
      MATCH(A80, 'Raw GDP data'!$I$1:$M$1, 0)
    )
  )),
  """"
)
"),29268123780.5579)</f>
        <v>29268123780.557899</v>
      </c>
      <c r="H80" s="80"/>
      <c r="I80" s="81">
        <f ca="1">IFERROR(__xludf.DUMMYFUNCTION("""COMPUTED_VALUE"""),2006)</f>
        <v>2006</v>
      </c>
      <c r="J80" s="82" t="str">
        <f ca="1">IFERROR(__xludf.DUMMYFUNCTION("""COMPUTED_VALUE"""),"Canada")</f>
        <v>Canada</v>
      </c>
      <c r="K80" s="83">
        <f ca="1">IFERROR(
  SUMIFS(
    'New Backfilled Data'!G:G,
    'New Backfilled Data'!A:A, I80,
    'New Backfilled Data'!D:D, J80,
    'New Backfilled Data'!E:E, "Online"
  ) /
  SUMIFS(
    'New Backfilled Data'!G:G,
    'New Backfilled Data'!A:A, I80,
    'New Backfilled Data'!D:D, J80
  ),
  ""
)</f>
        <v>0.3195867418919876</v>
      </c>
      <c r="L80" s="84"/>
      <c r="M80" s="84"/>
    </row>
    <row r="81" spans="1:13" ht="17" x14ac:dyDescent="0.2">
      <c r="A81" s="44">
        <v>2005</v>
      </c>
      <c r="B81" s="45" t="s">
        <v>66</v>
      </c>
      <c r="C81" s="45" t="s">
        <v>27</v>
      </c>
      <c r="D81" s="45" t="s">
        <v>32</v>
      </c>
      <c r="E81" s="45" t="s">
        <v>69</v>
      </c>
      <c r="F81" s="45" t="s">
        <v>71</v>
      </c>
      <c r="G81" s="85">
        <f ca="1">IFERROR(__xludf.DUMMYFUNCTION("IFERROR(
  IF(A81 = 2008,
    IF(E81 = ""Online"",
      FILTER('Raw PhocalPoint Data'!G:G,
        'Raw PhocalPoint Data'!A:A = 2009,
        'Raw PhocalPoint Data'!D:D = D81,
        'Raw PhocalPoint Data'!E:E = E81,
        'Raw PhocalPoint Data'!F:F ="&amp;" F81
      ) /
      (
        FILTER('Raw PhocalPoint Data'!G:G,
          'Raw PhocalPoint Data'!A:A = 2012,
          'Raw PhocalPoint Data'!D:D = D81,
          'Raw PhocalPoint Data'!E:E = E81,
          'Raw PhocalPoint Data'!F:F = F81
        ) /
 "&amp;"       FILTER('Raw PhocalPoint Data'!G:G,
          'Raw PhocalPoint Data'!A:A = 2011,
          'Raw PhocalPoint Data'!D:D = D81,
          'Raw PhocalPoint Data'!E:E = E81,
          'Raw PhocalPoint Data'!F:F = F81
        )
      ),
      FILTER('Raw "&amp;"PhocalPoint Data'!G:G,
        'Raw PhocalPoint Data'!A:A = 2009,
        'Raw PhocalPoint Data'!D:D = D81,
        'Raw PhocalPoint Data'!E:E = E81,
        'Raw PhocalPoint Data'!F:F = F81
      ) *
      (
        INDEX('Raw GDP data'!$I$2:$M$100,
    "&amp;"      MATCH(D81, 'Raw GDP data'!$H$2:$H$100, 0),
          MATCH(2008, 'Raw GDP data'!$I$1:$M$1, 0)
        ) /
        INDEX('Raw GDP data'!$I$2:$M$100,
          MATCH(D81, 'Raw GDP data'!$H$2:$H$100, 0),
          MATCH(2009, 'Raw GDP data'!$I$1:$M$1, "&amp;"0)
        )
      )
    ),
  IF(A81 &lt; 2008,
    (
      FILTER(G:G,
        A:A = 2008,
        D:D = D81,
        E:E = E81,
        F:F = F81
      ) /
      PRODUCT(
        ARRAYFORMULA(
          (
            (
              FILTER('Raw PhocalPoint"&amp;" Data'!G:G,
                'Raw PhocalPoint Data'!A:A = 2012,
                'Raw PhocalPoint Data'!D:D = D81,
                'Raw PhocalPoint Data'!E:E = E81,
                'Raw PhocalPoint Data'!F:F = F81
              ) /
              FILTER('Raw"&amp;" PhocalPoint Data'!G:G,
                'Raw PhocalPoint Data'!A:A = 2011,
                'Raw PhocalPoint Data'!D:D = D81,
                'Raw PhocalPoint Data'!E:E = E81,
                'Raw PhocalPoint Data'!F:F = F81
              ) -
             "&amp;" ROW(INDIRECT(""1:"" &amp; (2008 - A81))) *
              (
                (
                  FILTER('Raw PhocalPoint Data'!G:G,
                    'Raw PhocalPoint Data'!A:A = 2012,
                    'Raw PhocalPoint Data'!D:D = D81,
                   "&amp;" 'Raw PhocalPoint Data'!E:E = E81,
                    'Raw PhocalPoint Data'!F:F = F81
                  ) /
                  FILTER('Raw PhocalPoint Data'!G:G,
                    'Raw PhocalPoint Data'!A:A = 2011,
                    'Raw PhocalPoint "&amp;"Data'!D:D = D81,
                    'Raw PhocalPoint Data'!E:E = E81,
                    'Raw PhocalPoint Data'!F:F = F81
                  ) - 1
                ) / 5
              )
            )
          )
        )
      )
    ),
    (
      FILTER"&amp;"('Raw PhocalPoint Data'!G:G,
        'Raw PhocalPoint Data'!A:A = 2009,
        'Raw PhocalPoint Data'!D:D = D81,
        'Raw PhocalPoint Data'!E:E = E81,
        'Raw PhocalPoint Data'!F:F = F81
      ) /
      PRODUCT(
        ARRAYFORMULA(
          ("&amp;"
            FILTER('Raw PhocalPoint Data'!G:G,
              'Raw PhocalPoint Data'!A:A = 2012,
              'Raw PhocalPoint Data'!D:D = D81,
              'Raw PhocalPoint Data'!E:E = E81,
              'Raw PhocalPoint Data'!F:F = F81
            ) /"&amp;"
            FILTER('Raw PhocalPoint Data'!G:G,
              'Raw PhocalPoint Data'!A:A = 2011,
              'Raw PhocalPoint Data'!D:D = D81,
              'Raw PhocalPoint Data'!E:E = E81,
              'Raw PhocalPoint Data'!F:F = F81
            ) -"&amp;"
            (ROW(INDIRECT(""1:"" &amp; (2010 - A81))) - 1) *
            (
              (
                FILTER('Raw PhocalPoint Data'!G:G,
                  'Raw PhocalPoint Data'!A:A = 2012,
                  'Raw PhocalPoint Data'!D:D = D81,
           "&amp;"       'Raw PhocalPoint Data'!E:E = E81,
                  'Raw PhocalPoint Data'!F:F = F81
                ) /
                FILTER('Raw PhocalPoint Data'!G:G,
                  'Raw PhocalPoint Data'!A:A = 2011,
                  'Raw PhocalPoint Data"&amp;"'!D:D = D81,
                  'Raw PhocalPoint Data'!E:E = E81,
                  'Raw PhocalPoint Data'!F:F = F81
                ) - 1
              ) / 5
            )
          )
        )
      )
    ) *
    INDEX('Raw GDP data'!$I$2:$M$100,
      M"&amp;"ATCH(D81, 'Raw GDP data'!$H$2:$H$100, 0),
      MATCH(A81, 'Raw GDP data'!$I$1:$M$1, 0)
    )
  )),
  """"
)
"),2480995769.76978)</f>
        <v>2480995769.7697802</v>
      </c>
      <c r="H81" s="86"/>
      <c r="I81" s="87">
        <f ca="1">IFERROR(__xludf.DUMMYFUNCTION("""COMPUTED_VALUE"""),2006)</f>
        <v>2006</v>
      </c>
      <c r="J81" s="88" t="str">
        <f ca="1">IFERROR(__xludf.DUMMYFUNCTION("""COMPUTED_VALUE"""),"U.S.")</f>
        <v>U.S.</v>
      </c>
      <c r="K81" s="89">
        <f ca="1">IFERROR(
  SUMIFS(
    'New Backfilled Data'!G:G,
    'New Backfilled Data'!A:A, I81,
    'New Backfilled Data'!D:D, J81,
    'New Backfilled Data'!E:E, "Online"
  ) /
  SUMIFS(
    'New Backfilled Data'!G:G,
    'New Backfilled Data'!A:A, I81,
    'New Backfilled Data'!D:D, J81
  ),
  ""
)</f>
        <v>0.17824260617717036</v>
      </c>
      <c r="L81" s="90"/>
      <c r="M81" s="90"/>
    </row>
    <row r="82" spans="1:13" ht="34" x14ac:dyDescent="0.2">
      <c r="A82" s="37">
        <v>2005</v>
      </c>
      <c r="B82" s="38" t="s">
        <v>66</v>
      </c>
      <c r="C82" s="38" t="s">
        <v>27</v>
      </c>
      <c r="D82" s="38" t="s">
        <v>32</v>
      </c>
      <c r="E82" s="38" t="s">
        <v>69</v>
      </c>
      <c r="F82" s="38" t="s">
        <v>70</v>
      </c>
      <c r="G82" s="79">
        <f ca="1">IFERROR(__xludf.DUMMYFUNCTION("IFERROR(
  IF(A82 = 2008,
    IF(E82 = ""Online"",
      FILTER('Raw PhocalPoint Data'!G:G,
        'Raw PhocalPoint Data'!A:A = 2009,
        'Raw PhocalPoint Data'!D:D = D82,
        'Raw PhocalPoint Data'!E:E = E82,
        'Raw PhocalPoint Data'!F:F ="&amp;" F82
      ) /
      (
        FILTER('Raw PhocalPoint Data'!G:G,
          'Raw PhocalPoint Data'!A:A = 2012,
          'Raw PhocalPoint Data'!D:D = D82,
          'Raw PhocalPoint Data'!E:E = E82,
          'Raw PhocalPoint Data'!F:F = F82
        ) /
 "&amp;"       FILTER('Raw PhocalPoint Data'!G:G,
          'Raw PhocalPoint Data'!A:A = 2011,
          'Raw PhocalPoint Data'!D:D = D82,
          'Raw PhocalPoint Data'!E:E = E82,
          'Raw PhocalPoint Data'!F:F = F82
        )
      ),
      FILTER('Raw "&amp;"PhocalPoint Data'!G:G,
        'Raw PhocalPoint Data'!A:A = 2009,
        'Raw PhocalPoint Data'!D:D = D82,
        'Raw PhocalPoint Data'!E:E = E82,
        'Raw PhocalPoint Data'!F:F = F82
      ) *
      (
        INDEX('Raw GDP data'!$I$2:$M$100,
    "&amp;"      MATCH(D82, 'Raw GDP data'!$H$2:$H$100, 0),
          MATCH(2008, 'Raw GDP data'!$I$1:$M$1, 0)
        ) /
        INDEX('Raw GDP data'!$I$2:$M$100,
          MATCH(D82, 'Raw GDP data'!$H$2:$H$100, 0),
          MATCH(2009, 'Raw GDP data'!$I$1:$M$1, "&amp;"0)
        )
      )
    ),
  IF(A82 &lt; 2008,
    (
      FILTER(G:G,
        A:A = 2008,
        D:D = D82,
        E:E = E82,
        F:F = F82
      ) /
      PRODUCT(
        ARRAYFORMULA(
          (
            (
              FILTER('Raw PhocalPoint"&amp;" Data'!G:G,
                'Raw PhocalPoint Data'!A:A = 2012,
                'Raw PhocalPoint Data'!D:D = D82,
                'Raw PhocalPoint Data'!E:E = E82,
                'Raw PhocalPoint Data'!F:F = F82
              ) /
              FILTER('Raw"&amp;" PhocalPoint Data'!G:G,
                'Raw PhocalPoint Data'!A:A = 2011,
                'Raw PhocalPoint Data'!D:D = D82,
                'Raw PhocalPoint Data'!E:E = E82,
                'Raw PhocalPoint Data'!F:F = F82
              ) -
             "&amp;" ROW(INDIRECT(""1:"" &amp; (2008 - A82))) *
              (
                (
                  FILTER('Raw PhocalPoint Data'!G:G,
                    'Raw PhocalPoint Data'!A:A = 2012,
                    'Raw PhocalPoint Data'!D:D = D82,
                   "&amp;" 'Raw PhocalPoint Data'!E:E = E82,
                    'Raw PhocalPoint Data'!F:F = F82
                  ) /
                  FILTER('Raw PhocalPoint Data'!G:G,
                    'Raw PhocalPoint Data'!A:A = 2011,
                    'Raw PhocalPoint "&amp;"Data'!D:D = D82,
                    'Raw PhocalPoint Data'!E:E = E82,
                    'Raw PhocalPoint Data'!F:F = F82
                  ) - 1
                ) / 5
              )
            )
          )
        )
      )
    ),
    (
      FILTER"&amp;"('Raw PhocalPoint Data'!G:G,
        'Raw PhocalPoint Data'!A:A = 2009,
        'Raw PhocalPoint Data'!D:D = D82,
        'Raw PhocalPoint Data'!E:E = E82,
        'Raw PhocalPoint Data'!F:F = F82
      ) /
      PRODUCT(
        ARRAYFORMULA(
          ("&amp;"
            FILTER('Raw PhocalPoint Data'!G:G,
              'Raw PhocalPoint Data'!A:A = 2012,
              'Raw PhocalPoint Data'!D:D = D82,
              'Raw PhocalPoint Data'!E:E = E82,
              'Raw PhocalPoint Data'!F:F = F82
            ) /"&amp;"
            FILTER('Raw PhocalPoint Data'!G:G,
              'Raw PhocalPoint Data'!A:A = 2011,
              'Raw PhocalPoint Data'!D:D = D82,
              'Raw PhocalPoint Data'!E:E = E82,
              'Raw PhocalPoint Data'!F:F = F82
            ) -"&amp;"
            (ROW(INDIRECT(""1:"" &amp; (2010 - A82))) - 1) *
            (
              (
                FILTER('Raw PhocalPoint Data'!G:G,
                  'Raw PhocalPoint Data'!A:A = 2012,
                  'Raw PhocalPoint Data'!D:D = D82,
           "&amp;"       'Raw PhocalPoint Data'!E:E = E82,
                  'Raw PhocalPoint Data'!F:F = F82
                ) /
                FILTER('Raw PhocalPoint Data'!G:G,
                  'Raw PhocalPoint Data'!A:A = 2011,
                  'Raw PhocalPoint Data"&amp;"'!D:D = D82,
                  'Raw PhocalPoint Data'!E:E = E82,
                  'Raw PhocalPoint Data'!F:F = F82
                ) - 1
              ) / 5
            )
          )
        )
      )
    ) *
    INDEX('Raw GDP data'!$I$2:$M$100,
      M"&amp;"ATCH(D82, 'Raw GDP data'!$H$2:$H$100, 0),
      MATCH(A82, 'Raw GDP data'!$I$1:$M$1, 0)
    )
  )),
  """"
)
"),1960507223.42679)</f>
        <v>1960507223.42679</v>
      </c>
      <c r="H82" s="80"/>
      <c r="I82" s="81">
        <f ca="1">IFERROR(__xludf.DUMMYFUNCTION("""COMPUTED_VALUE"""),2007)</f>
        <v>2007</v>
      </c>
      <c r="J82" s="82" t="str">
        <f ca="1">IFERROR(__xludf.DUMMYFUNCTION("""COMPUTED_VALUE"""),"Australia-New Zealand")</f>
        <v>Australia-New Zealand</v>
      </c>
      <c r="K82" s="83">
        <f ca="1">IFERROR(
  SUMIFS(
    'New Backfilled Data'!G:G,
    'New Backfilled Data'!A:A, I82,
    'New Backfilled Data'!D:D, J82,
    'New Backfilled Data'!E:E, "Online"
  ) /
  SUMIFS(
    'New Backfilled Data'!G:G,
    'New Backfilled Data'!A:A, I82,
    'New Backfilled Data'!D:D, J82
  ),
  ""
)</f>
        <v>0.27055971616164753</v>
      </c>
      <c r="L82" s="84"/>
      <c r="M82" s="84"/>
    </row>
    <row r="83" spans="1:13" ht="17" x14ac:dyDescent="0.2">
      <c r="A83" s="44">
        <v>2005</v>
      </c>
      <c r="B83" s="45" t="s">
        <v>66</v>
      </c>
      <c r="C83" s="45" t="s">
        <v>27</v>
      </c>
      <c r="D83" s="45" t="s">
        <v>33</v>
      </c>
      <c r="E83" s="45" t="s">
        <v>67</v>
      </c>
      <c r="F83" s="45" t="s">
        <v>67</v>
      </c>
      <c r="G83" s="85">
        <f ca="1">IFERROR(__xludf.DUMMYFUNCTION("IFERROR(
  IF(A83 = 2008,
    IF(E83 = ""Online"",
      FILTER('Raw PhocalPoint Data'!G:G,
        'Raw PhocalPoint Data'!A:A = 2009,
        'Raw PhocalPoint Data'!D:D = D83,
        'Raw PhocalPoint Data'!E:E = E83,
        'Raw PhocalPoint Data'!F:F ="&amp;" F83
      ) /
      (
        FILTER('Raw PhocalPoint Data'!G:G,
          'Raw PhocalPoint Data'!A:A = 2012,
          'Raw PhocalPoint Data'!D:D = D83,
          'Raw PhocalPoint Data'!E:E = E83,
          'Raw PhocalPoint Data'!F:F = F83
        ) /
 "&amp;"       FILTER('Raw PhocalPoint Data'!G:G,
          'Raw PhocalPoint Data'!A:A = 2011,
          'Raw PhocalPoint Data'!D:D = D83,
          'Raw PhocalPoint Data'!E:E = E83,
          'Raw PhocalPoint Data'!F:F = F83
        )
      ),
      FILTER('Raw "&amp;"PhocalPoint Data'!G:G,
        'Raw PhocalPoint Data'!A:A = 2009,
        'Raw PhocalPoint Data'!D:D = D83,
        'Raw PhocalPoint Data'!E:E = E83,
        'Raw PhocalPoint Data'!F:F = F83
      ) *
      (
        INDEX('Raw GDP data'!$I$2:$M$100,
    "&amp;"      MATCH(D83, 'Raw GDP data'!$H$2:$H$100, 0),
          MATCH(2008, 'Raw GDP data'!$I$1:$M$1, 0)
        ) /
        INDEX('Raw GDP data'!$I$2:$M$100,
          MATCH(D83, 'Raw GDP data'!$H$2:$H$100, 0),
          MATCH(2009, 'Raw GDP data'!$I$1:$M$1, "&amp;"0)
        )
      )
    ),
  IF(A83 &lt; 2008,
    (
      FILTER(G:G,
        A:A = 2008,
        D:D = D83,
        E:E = E83,
        F:F = F83
      ) /
      PRODUCT(
        ARRAYFORMULA(
          (
            (
              FILTER('Raw PhocalPoint"&amp;" Data'!G:G,
                'Raw PhocalPoint Data'!A:A = 2012,
                'Raw PhocalPoint Data'!D:D = D83,
                'Raw PhocalPoint Data'!E:E = E83,
                'Raw PhocalPoint Data'!F:F = F83
              ) /
              FILTER('Raw"&amp;" PhocalPoint Data'!G:G,
                'Raw PhocalPoint Data'!A:A = 2011,
                'Raw PhocalPoint Data'!D:D = D83,
                'Raw PhocalPoint Data'!E:E = E83,
                'Raw PhocalPoint Data'!F:F = F83
              ) -
             "&amp;" ROW(INDIRECT(""1:"" &amp; (2008 - A83))) *
              (
                (
                  FILTER('Raw PhocalPoint Data'!G:G,
                    'Raw PhocalPoint Data'!A:A = 2012,
                    'Raw PhocalPoint Data'!D:D = D83,
                   "&amp;" 'Raw PhocalPoint Data'!E:E = E83,
                    'Raw PhocalPoint Data'!F:F = F83
                  ) /
                  FILTER('Raw PhocalPoint Data'!G:G,
                    'Raw PhocalPoint Data'!A:A = 2011,
                    'Raw PhocalPoint "&amp;"Data'!D:D = D83,
                    'Raw PhocalPoint Data'!E:E = E83,
                    'Raw PhocalPoint Data'!F:F = F83
                  ) - 1
                ) / 5
              )
            )
          )
        )
      )
    ),
    (
      FILTER"&amp;"('Raw PhocalPoint Data'!G:G,
        'Raw PhocalPoint Data'!A:A = 2009,
        'Raw PhocalPoint Data'!D:D = D83,
        'Raw PhocalPoint Data'!E:E = E83,
        'Raw PhocalPoint Data'!F:F = F83
      ) /
      PRODUCT(
        ARRAYFORMULA(
          ("&amp;"
            FILTER('Raw PhocalPoint Data'!G:G,
              'Raw PhocalPoint Data'!A:A = 2012,
              'Raw PhocalPoint Data'!D:D = D83,
              'Raw PhocalPoint Data'!E:E = E83,
              'Raw PhocalPoint Data'!F:F = F83
            ) /"&amp;"
            FILTER('Raw PhocalPoint Data'!G:G,
              'Raw PhocalPoint Data'!A:A = 2011,
              'Raw PhocalPoint Data'!D:D = D83,
              'Raw PhocalPoint Data'!E:E = E83,
              'Raw PhocalPoint Data'!F:F = F83
            ) -"&amp;"
            (ROW(INDIRECT(""1:"" &amp; (2010 - A83))) - 1) *
            (
              (
                FILTER('Raw PhocalPoint Data'!G:G,
                  'Raw PhocalPoint Data'!A:A = 2012,
                  'Raw PhocalPoint Data'!D:D = D83,
           "&amp;"       'Raw PhocalPoint Data'!E:E = E83,
                  'Raw PhocalPoint Data'!F:F = F83
                ) /
                FILTER('Raw PhocalPoint Data'!G:G,
                  'Raw PhocalPoint Data'!A:A = 2011,
                  'Raw PhocalPoint Data"&amp;"'!D:D = D83,
                  'Raw PhocalPoint Data'!E:E = E83,
                  'Raw PhocalPoint Data'!F:F = F83
                ) - 1
              ) / 5
            )
          )
        )
      )
    ) *
    INDEX('Raw GDP data'!$I$2:$M$100,
      M"&amp;"ATCH(D83, 'Raw GDP data'!$H$2:$H$100, 0),
      MATCH(A83, 'Raw GDP data'!$I$1:$M$1, 0)
    )
  )),
  """"
)
"),32263169441.7212)</f>
        <v>32263169441.721199</v>
      </c>
      <c r="H83" s="86"/>
      <c r="I83" s="87">
        <f ca="1">IFERROR(__xludf.DUMMYFUNCTION("""COMPUTED_VALUE"""),2007)</f>
        <v>2007</v>
      </c>
      <c r="J83" s="88" t="str">
        <f ca="1">IFERROR(__xludf.DUMMYFUNCTION("""COMPUTED_VALUE"""),"China")</f>
        <v>China</v>
      </c>
      <c r="K83" s="89">
        <f ca="1">IFERROR(
  SUMIFS(
    'New Backfilled Data'!G:G,
    'New Backfilled Data'!A:A, I83,
    'New Backfilled Data'!D:D, J83,
    'New Backfilled Data'!E:E, "Online"
  ) /
  SUMIFS(
    'New Backfilled Data'!G:G,
    'New Backfilled Data'!A:A, I83,
    'New Backfilled Data'!D:D, J83
  ),
  ""
)</f>
        <v>4.2933553948418773E-2</v>
      </c>
      <c r="L83" s="90"/>
      <c r="M83" s="90"/>
    </row>
    <row r="84" spans="1:13" ht="17" x14ac:dyDescent="0.2">
      <c r="A84" s="37">
        <v>2005</v>
      </c>
      <c r="B84" s="38" t="s">
        <v>66</v>
      </c>
      <c r="C84" s="38" t="s">
        <v>27</v>
      </c>
      <c r="D84" s="38" t="s">
        <v>33</v>
      </c>
      <c r="E84" s="38" t="s">
        <v>69</v>
      </c>
      <c r="F84" s="38" t="s">
        <v>71</v>
      </c>
      <c r="G84" s="79">
        <f ca="1">IFERROR(__xludf.DUMMYFUNCTION("IFERROR(
  IF(A84 = 2008,
    IF(E84 = ""Online"",
      FILTER('Raw PhocalPoint Data'!G:G,
        'Raw PhocalPoint Data'!A:A = 2009,
        'Raw PhocalPoint Data'!D:D = D84,
        'Raw PhocalPoint Data'!E:E = E84,
        'Raw PhocalPoint Data'!F:F ="&amp;" F84
      ) /
      (
        FILTER('Raw PhocalPoint Data'!G:G,
          'Raw PhocalPoint Data'!A:A = 2012,
          'Raw PhocalPoint Data'!D:D = D84,
          'Raw PhocalPoint Data'!E:E = E84,
          'Raw PhocalPoint Data'!F:F = F84
        ) /
 "&amp;"       FILTER('Raw PhocalPoint Data'!G:G,
          'Raw PhocalPoint Data'!A:A = 2011,
          'Raw PhocalPoint Data'!D:D = D84,
          'Raw PhocalPoint Data'!E:E = E84,
          'Raw PhocalPoint Data'!F:F = F84
        )
      ),
      FILTER('Raw "&amp;"PhocalPoint Data'!G:G,
        'Raw PhocalPoint Data'!A:A = 2009,
        'Raw PhocalPoint Data'!D:D = D84,
        'Raw PhocalPoint Data'!E:E = E84,
        'Raw PhocalPoint Data'!F:F = F84
      ) *
      (
        INDEX('Raw GDP data'!$I$2:$M$100,
    "&amp;"      MATCH(D84, 'Raw GDP data'!$H$2:$H$100, 0),
          MATCH(2008, 'Raw GDP data'!$I$1:$M$1, 0)
        ) /
        INDEX('Raw GDP data'!$I$2:$M$100,
          MATCH(D84, 'Raw GDP data'!$H$2:$H$100, 0),
          MATCH(2009, 'Raw GDP data'!$I$1:$M$1, "&amp;"0)
        )
      )
    ),
  IF(A84 &lt; 2008,
    (
      FILTER(G:G,
        A:A = 2008,
        D:D = D84,
        E:E = E84,
        F:F = F84
      ) /
      PRODUCT(
        ARRAYFORMULA(
          (
            (
              FILTER('Raw PhocalPoint"&amp;" Data'!G:G,
                'Raw PhocalPoint Data'!A:A = 2012,
                'Raw PhocalPoint Data'!D:D = D84,
                'Raw PhocalPoint Data'!E:E = E84,
                'Raw PhocalPoint Data'!F:F = F84
              ) /
              FILTER('Raw"&amp;" PhocalPoint Data'!G:G,
                'Raw PhocalPoint Data'!A:A = 2011,
                'Raw PhocalPoint Data'!D:D = D84,
                'Raw PhocalPoint Data'!E:E = E84,
                'Raw PhocalPoint Data'!F:F = F84
              ) -
             "&amp;" ROW(INDIRECT(""1:"" &amp; (2008 - A84))) *
              (
                (
                  FILTER('Raw PhocalPoint Data'!G:G,
                    'Raw PhocalPoint Data'!A:A = 2012,
                    'Raw PhocalPoint Data'!D:D = D84,
                   "&amp;" 'Raw PhocalPoint Data'!E:E = E84,
                    'Raw PhocalPoint Data'!F:F = F84
                  ) /
                  FILTER('Raw PhocalPoint Data'!G:G,
                    'Raw PhocalPoint Data'!A:A = 2011,
                    'Raw PhocalPoint "&amp;"Data'!D:D = D84,
                    'Raw PhocalPoint Data'!E:E = E84,
                    'Raw PhocalPoint Data'!F:F = F84
                  ) - 1
                ) / 5
              )
            )
          )
        )
      )
    ),
    (
      FILTER"&amp;"('Raw PhocalPoint Data'!G:G,
        'Raw PhocalPoint Data'!A:A = 2009,
        'Raw PhocalPoint Data'!D:D = D84,
        'Raw PhocalPoint Data'!E:E = E84,
        'Raw PhocalPoint Data'!F:F = F84
      ) /
      PRODUCT(
        ARRAYFORMULA(
          ("&amp;"
            FILTER('Raw PhocalPoint Data'!G:G,
              'Raw PhocalPoint Data'!A:A = 2012,
              'Raw PhocalPoint Data'!D:D = D84,
              'Raw PhocalPoint Data'!E:E = E84,
              'Raw PhocalPoint Data'!F:F = F84
            ) /"&amp;"
            FILTER('Raw PhocalPoint Data'!G:G,
              'Raw PhocalPoint Data'!A:A = 2011,
              'Raw PhocalPoint Data'!D:D = D84,
              'Raw PhocalPoint Data'!E:E = E84,
              'Raw PhocalPoint Data'!F:F = F84
            ) -"&amp;"
            (ROW(INDIRECT(""1:"" &amp; (2010 - A84))) - 1) *
            (
              (
                FILTER('Raw PhocalPoint Data'!G:G,
                  'Raw PhocalPoint Data'!A:A = 2012,
                  'Raw PhocalPoint Data'!D:D = D84,
           "&amp;"       'Raw PhocalPoint Data'!E:E = E84,
                  'Raw PhocalPoint Data'!F:F = F84
                ) /
                FILTER('Raw PhocalPoint Data'!G:G,
                  'Raw PhocalPoint Data'!A:A = 2011,
                  'Raw PhocalPoint Data"&amp;"'!D:D = D84,
                  'Raw PhocalPoint Data'!E:E = E84,
                  'Raw PhocalPoint Data'!F:F = F84
                ) - 1
              ) / 5
            )
          )
        )
      )
    ) *
    INDEX('Raw GDP data'!$I$2:$M$100,
      M"&amp;"ATCH(D84, 'Raw GDP data'!$H$2:$H$100, 0),
      MATCH(A84, 'Raw GDP data'!$I$1:$M$1, 0)
    )
  )),
  """"
)
"),2888697335.30282)</f>
        <v>2888697335.3028202</v>
      </c>
      <c r="H84" s="80"/>
      <c r="I84" s="81">
        <f ca="1">IFERROR(__xludf.DUMMYFUNCTION("""COMPUTED_VALUE"""),2007)</f>
        <v>2007</v>
      </c>
      <c r="J84" s="82" t="str">
        <f ca="1">IFERROR(__xludf.DUMMYFUNCTION("""COMPUTED_VALUE"""),"Hong Kong")</f>
        <v>Hong Kong</v>
      </c>
      <c r="K84" s="83">
        <f ca="1">IFERROR(
  SUMIFS(
    'New Backfilled Data'!G:G,
    'New Backfilled Data'!A:A, I84,
    'New Backfilled Data'!D:D, J84,
    'New Backfilled Data'!E:E, "Online"
  ) /
  SUMIFS(
    'New Backfilled Data'!G:G,
    'New Backfilled Data'!A:A, I84,
    'New Backfilled Data'!D:D, J84
  ),
  ""
)</f>
        <v>3.5099472716408446E-2</v>
      </c>
      <c r="L84" s="84"/>
      <c r="M84" s="84"/>
    </row>
    <row r="85" spans="1:13" ht="17" x14ac:dyDescent="0.2">
      <c r="A85" s="44">
        <v>2005</v>
      </c>
      <c r="B85" s="45" t="s">
        <v>66</v>
      </c>
      <c r="C85" s="45" t="s">
        <v>27</v>
      </c>
      <c r="D85" s="45" t="s">
        <v>33</v>
      </c>
      <c r="E85" s="45" t="s">
        <v>69</v>
      </c>
      <c r="F85" s="45" t="s">
        <v>70</v>
      </c>
      <c r="G85" s="85">
        <f ca="1">IFERROR(__xludf.DUMMYFUNCTION("IFERROR(
  IF(A85 = 2008,
    IF(E85 = ""Online"",
      FILTER('Raw PhocalPoint Data'!G:G,
        'Raw PhocalPoint Data'!A:A = 2009,
        'Raw PhocalPoint Data'!D:D = D85,
        'Raw PhocalPoint Data'!E:E = E85,
        'Raw PhocalPoint Data'!F:F ="&amp;" F85
      ) /
      (
        FILTER('Raw PhocalPoint Data'!G:G,
          'Raw PhocalPoint Data'!A:A = 2012,
          'Raw PhocalPoint Data'!D:D = D85,
          'Raw PhocalPoint Data'!E:E = E85,
          'Raw PhocalPoint Data'!F:F = F85
        ) /
 "&amp;"       FILTER('Raw PhocalPoint Data'!G:G,
          'Raw PhocalPoint Data'!A:A = 2011,
          'Raw PhocalPoint Data'!D:D = D85,
          'Raw PhocalPoint Data'!E:E = E85,
          'Raw PhocalPoint Data'!F:F = F85
        )
      ),
      FILTER('Raw "&amp;"PhocalPoint Data'!G:G,
        'Raw PhocalPoint Data'!A:A = 2009,
        'Raw PhocalPoint Data'!D:D = D85,
        'Raw PhocalPoint Data'!E:E = E85,
        'Raw PhocalPoint Data'!F:F = F85
      ) *
      (
        INDEX('Raw GDP data'!$I$2:$M$100,
    "&amp;"      MATCH(D85, 'Raw GDP data'!$H$2:$H$100, 0),
          MATCH(2008, 'Raw GDP data'!$I$1:$M$1, 0)
        ) /
        INDEX('Raw GDP data'!$I$2:$M$100,
          MATCH(D85, 'Raw GDP data'!$H$2:$H$100, 0),
          MATCH(2009, 'Raw GDP data'!$I$1:$M$1, "&amp;"0)
        )
      )
    ),
  IF(A85 &lt; 2008,
    (
      FILTER(G:G,
        A:A = 2008,
        D:D = D85,
        E:E = E85,
        F:F = F85
      ) /
      PRODUCT(
        ARRAYFORMULA(
          (
            (
              FILTER('Raw PhocalPoint"&amp;" Data'!G:G,
                'Raw PhocalPoint Data'!A:A = 2012,
                'Raw PhocalPoint Data'!D:D = D85,
                'Raw PhocalPoint Data'!E:E = E85,
                'Raw PhocalPoint Data'!F:F = F85
              ) /
              FILTER('Raw"&amp;" PhocalPoint Data'!G:G,
                'Raw PhocalPoint Data'!A:A = 2011,
                'Raw PhocalPoint Data'!D:D = D85,
                'Raw PhocalPoint Data'!E:E = E85,
                'Raw PhocalPoint Data'!F:F = F85
              ) -
             "&amp;" ROW(INDIRECT(""1:"" &amp; (2008 - A85))) *
              (
                (
                  FILTER('Raw PhocalPoint Data'!G:G,
                    'Raw PhocalPoint Data'!A:A = 2012,
                    'Raw PhocalPoint Data'!D:D = D85,
                   "&amp;" 'Raw PhocalPoint Data'!E:E = E85,
                    'Raw PhocalPoint Data'!F:F = F85
                  ) /
                  FILTER('Raw PhocalPoint Data'!G:G,
                    'Raw PhocalPoint Data'!A:A = 2011,
                    'Raw PhocalPoint "&amp;"Data'!D:D = D85,
                    'Raw PhocalPoint Data'!E:E = E85,
                    'Raw PhocalPoint Data'!F:F = F85
                  ) - 1
                ) / 5
              )
            )
          )
        )
      )
    ),
    (
      FILTER"&amp;"('Raw PhocalPoint Data'!G:G,
        'Raw PhocalPoint Data'!A:A = 2009,
        'Raw PhocalPoint Data'!D:D = D85,
        'Raw PhocalPoint Data'!E:E = E85,
        'Raw PhocalPoint Data'!F:F = F85
      ) /
      PRODUCT(
        ARRAYFORMULA(
          ("&amp;"
            FILTER('Raw PhocalPoint Data'!G:G,
              'Raw PhocalPoint Data'!A:A = 2012,
              'Raw PhocalPoint Data'!D:D = D85,
              'Raw PhocalPoint Data'!E:E = E85,
              'Raw PhocalPoint Data'!F:F = F85
            ) /"&amp;"
            FILTER('Raw PhocalPoint Data'!G:G,
              'Raw PhocalPoint Data'!A:A = 2011,
              'Raw PhocalPoint Data'!D:D = D85,
              'Raw PhocalPoint Data'!E:E = E85,
              'Raw PhocalPoint Data'!F:F = F85
            ) -"&amp;"
            (ROW(INDIRECT(""1:"" &amp; (2010 - A85))) - 1) *
            (
              (
                FILTER('Raw PhocalPoint Data'!G:G,
                  'Raw PhocalPoint Data'!A:A = 2012,
                  'Raw PhocalPoint Data'!D:D = D85,
           "&amp;"       'Raw PhocalPoint Data'!E:E = E85,
                  'Raw PhocalPoint Data'!F:F = F85
                ) /
                FILTER('Raw PhocalPoint Data'!G:G,
                  'Raw PhocalPoint Data'!A:A = 2011,
                  'Raw PhocalPoint Data"&amp;"'!D:D = D85,
                  'Raw PhocalPoint Data'!E:E = E85,
                  'Raw PhocalPoint Data'!F:F = F85
                ) - 1
              ) / 5
            )
          )
        )
      )
    ) *
    INDEX('Raw GDP data'!$I$2:$M$100,
      M"&amp;"ATCH(D85, 'Raw GDP data'!$H$2:$H$100, 0),
      MATCH(A85, 'Raw GDP data'!$I$1:$M$1, 0)
    )
  )),
  """"
)
"),10785917271.3653)</f>
        <v>10785917271.365299</v>
      </c>
      <c r="H85" s="86"/>
      <c r="I85" s="87">
        <f ca="1">IFERROR(__xludf.DUMMYFUNCTION("""COMPUTED_VALUE"""),2007)</f>
        <v>2007</v>
      </c>
      <c r="J85" s="88" t="str">
        <f ca="1">IFERROR(__xludf.DUMMYFUNCTION("""COMPUTED_VALUE"""),"India")</f>
        <v>India</v>
      </c>
      <c r="K85" s="89">
        <f ca="1">IFERROR(
  SUMIFS(
    'New Backfilled Data'!G:G,
    'New Backfilled Data'!A:A, I85,
    'New Backfilled Data'!D:D, J85,
    'New Backfilled Data'!E:E, "Online"
  ) /
  SUMIFS(
    'New Backfilled Data'!G:G,
    'New Backfilled Data'!A:A, I85,
    'New Backfilled Data'!D:D, J85
  ),
  ""
)</f>
        <v>0.23221623115968104</v>
      </c>
      <c r="L85" s="90"/>
      <c r="M85" s="90"/>
    </row>
    <row r="86" spans="1:13" ht="17" x14ac:dyDescent="0.2">
      <c r="A86" s="37">
        <v>2005</v>
      </c>
      <c r="B86" s="38" t="s">
        <v>66</v>
      </c>
      <c r="C86" s="38" t="s">
        <v>35</v>
      </c>
      <c r="D86" s="38" t="s">
        <v>34</v>
      </c>
      <c r="E86" s="38" t="s">
        <v>67</v>
      </c>
      <c r="F86" s="38" t="s">
        <v>67</v>
      </c>
      <c r="G86" s="79">
        <f ca="1">IFERROR(__xludf.DUMMYFUNCTION("IFERROR(
  IF(A86 = 2008,
    IF(E86 = ""Online"",
      FILTER('Raw PhocalPoint Data'!G:G,
        'Raw PhocalPoint Data'!A:A = 2009,
        'Raw PhocalPoint Data'!D:D = D86,
        'Raw PhocalPoint Data'!E:E = E86,
        'Raw PhocalPoint Data'!F:F ="&amp;" F86
      ) /
      (
        FILTER('Raw PhocalPoint Data'!G:G,
          'Raw PhocalPoint Data'!A:A = 2012,
          'Raw PhocalPoint Data'!D:D = D86,
          'Raw PhocalPoint Data'!E:E = E86,
          'Raw PhocalPoint Data'!F:F = F86
        ) /
 "&amp;"       FILTER('Raw PhocalPoint Data'!G:G,
          'Raw PhocalPoint Data'!A:A = 2011,
          'Raw PhocalPoint Data'!D:D = D86,
          'Raw PhocalPoint Data'!E:E = E86,
          'Raw PhocalPoint Data'!F:F = F86
        )
      ),
      FILTER('Raw "&amp;"PhocalPoint Data'!G:G,
        'Raw PhocalPoint Data'!A:A = 2009,
        'Raw PhocalPoint Data'!D:D = D86,
        'Raw PhocalPoint Data'!E:E = E86,
        'Raw PhocalPoint Data'!F:F = F86
      ) *
      (
        INDEX('Raw GDP data'!$I$2:$M$100,
    "&amp;"      MATCH(D86, 'Raw GDP data'!$H$2:$H$100, 0),
          MATCH(2008, 'Raw GDP data'!$I$1:$M$1, 0)
        ) /
        INDEX('Raw GDP data'!$I$2:$M$100,
          MATCH(D86, 'Raw GDP data'!$H$2:$H$100, 0),
          MATCH(2009, 'Raw GDP data'!$I$1:$M$1, "&amp;"0)
        )
      )
    ),
  IF(A86 &lt; 2008,
    (
      FILTER(G:G,
        A:A = 2008,
        D:D = D86,
        E:E = E86,
        F:F = F86
      ) /
      PRODUCT(
        ARRAYFORMULA(
          (
            (
              FILTER('Raw PhocalPoint"&amp;" Data'!G:G,
                'Raw PhocalPoint Data'!A:A = 2012,
                'Raw PhocalPoint Data'!D:D = D86,
                'Raw PhocalPoint Data'!E:E = E86,
                'Raw PhocalPoint Data'!F:F = F86
              ) /
              FILTER('Raw"&amp;" PhocalPoint Data'!G:G,
                'Raw PhocalPoint Data'!A:A = 2011,
                'Raw PhocalPoint Data'!D:D = D86,
                'Raw PhocalPoint Data'!E:E = E86,
                'Raw PhocalPoint Data'!F:F = F86
              ) -
             "&amp;" ROW(INDIRECT(""1:"" &amp; (2008 - A86))) *
              (
                (
                  FILTER('Raw PhocalPoint Data'!G:G,
                    'Raw PhocalPoint Data'!A:A = 2012,
                    'Raw PhocalPoint Data'!D:D = D86,
                   "&amp;" 'Raw PhocalPoint Data'!E:E = E86,
                    'Raw PhocalPoint Data'!F:F = F86
                  ) /
                  FILTER('Raw PhocalPoint Data'!G:G,
                    'Raw PhocalPoint Data'!A:A = 2011,
                    'Raw PhocalPoint "&amp;"Data'!D:D = D86,
                    'Raw PhocalPoint Data'!E:E = E86,
                    'Raw PhocalPoint Data'!F:F = F86
                  ) - 1
                ) / 5
              )
            )
          )
        )
      )
    ),
    (
      FILTER"&amp;"('Raw PhocalPoint Data'!G:G,
        'Raw PhocalPoint Data'!A:A = 2009,
        'Raw PhocalPoint Data'!D:D = D86,
        'Raw PhocalPoint Data'!E:E = E86,
        'Raw PhocalPoint Data'!F:F = F86
      ) /
      PRODUCT(
        ARRAYFORMULA(
          ("&amp;"
            FILTER('Raw PhocalPoint Data'!G:G,
              'Raw PhocalPoint Data'!A:A = 2012,
              'Raw PhocalPoint Data'!D:D = D86,
              'Raw PhocalPoint Data'!E:E = E86,
              'Raw PhocalPoint Data'!F:F = F86
            ) /"&amp;"
            FILTER('Raw PhocalPoint Data'!G:G,
              'Raw PhocalPoint Data'!A:A = 2011,
              'Raw PhocalPoint Data'!D:D = D86,
              'Raw PhocalPoint Data'!E:E = E86,
              'Raw PhocalPoint Data'!F:F = F86
            ) -"&amp;"
            (ROW(INDIRECT(""1:"" &amp; (2010 - A86))) - 1) *
            (
              (
                FILTER('Raw PhocalPoint Data'!G:G,
                  'Raw PhocalPoint Data'!A:A = 2012,
                  'Raw PhocalPoint Data'!D:D = D86,
           "&amp;"       'Raw PhocalPoint Data'!E:E = E86,
                  'Raw PhocalPoint Data'!F:F = F86
                ) /
                FILTER('Raw PhocalPoint Data'!G:G,
                  'Raw PhocalPoint Data'!A:A = 2011,
                  'Raw PhocalPoint Data"&amp;"'!D:D = D86,
                  'Raw PhocalPoint Data'!E:E = E86,
                  'Raw PhocalPoint Data'!F:F = F86
                ) - 1
              ) / 5
            )
          )
        )
      )
    ) *
    INDEX('Raw GDP data'!$I$2:$M$100,
      M"&amp;"ATCH(D86, 'Raw GDP data'!$H$2:$H$100, 0),
      MATCH(A86, 'Raw GDP data'!$I$1:$M$1, 0)
    )
  )),
  """"
)
"),10411272033.2631)</f>
        <v>10411272033.2631</v>
      </c>
      <c r="H86" s="80"/>
      <c r="I86" s="81">
        <f ca="1">IFERROR(__xludf.DUMMYFUNCTION("""COMPUTED_VALUE"""),2007)</f>
        <v>2007</v>
      </c>
      <c r="J86" s="82" t="str">
        <f ca="1">IFERROR(__xludf.DUMMYFUNCTION("""COMPUTED_VALUE"""),"Indonesia")</f>
        <v>Indonesia</v>
      </c>
      <c r="K86" s="83">
        <f ca="1">IFERROR(
  SUMIFS(
    'New Backfilled Data'!G:G,
    'New Backfilled Data'!A:A, I86,
    'New Backfilled Data'!D:D, J86,
    'New Backfilled Data'!E:E, "Online"
  ) /
  SUMIFS(
    'New Backfilled Data'!G:G,
    'New Backfilled Data'!A:A, I86,
    'New Backfilled Data'!D:D, J86
  ),
  ""
)</f>
        <v>1.3279510222636251E-2</v>
      </c>
      <c r="L86" s="84"/>
      <c r="M86" s="84"/>
    </row>
    <row r="87" spans="1:13" ht="17" x14ac:dyDescent="0.2">
      <c r="A87" s="44">
        <v>2005</v>
      </c>
      <c r="B87" s="45" t="s">
        <v>66</v>
      </c>
      <c r="C87" s="45" t="s">
        <v>35</v>
      </c>
      <c r="D87" s="45" t="s">
        <v>34</v>
      </c>
      <c r="E87" s="45" t="s">
        <v>69</v>
      </c>
      <c r="F87" s="45" t="s">
        <v>71</v>
      </c>
      <c r="G87" s="85">
        <f ca="1">IFERROR(__xludf.DUMMYFUNCTION("IFERROR(
  IF(A87 = 2008,
    IF(E87 = ""Online"",
      FILTER('Raw PhocalPoint Data'!G:G,
        'Raw PhocalPoint Data'!A:A = 2009,
        'Raw PhocalPoint Data'!D:D = D87,
        'Raw PhocalPoint Data'!E:E = E87,
        'Raw PhocalPoint Data'!F:F ="&amp;" F87
      ) /
      (
        FILTER('Raw PhocalPoint Data'!G:G,
          'Raw PhocalPoint Data'!A:A = 2012,
          'Raw PhocalPoint Data'!D:D = D87,
          'Raw PhocalPoint Data'!E:E = E87,
          'Raw PhocalPoint Data'!F:F = F87
        ) /
 "&amp;"       FILTER('Raw PhocalPoint Data'!G:G,
          'Raw PhocalPoint Data'!A:A = 2011,
          'Raw PhocalPoint Data'!D:D = D87,
          'Raw PhocalPoint Data'!E:E = E87,
          'Raw PhocalPoint Data'!F:F = F87
        )
      ),
      FILTER('Raw "&amp;"PhocalPoint Data'!G:G,
        'Raw PhocalPoint Data'!A:A = 2009,
        'Raw PhocalPoint Data'!D:D = D87,
        'Raw PhocalPoint Data'!E:E = E87,
        'Raw PhocalPoint Data'!F:F = F87
      ) *
      (
        INDEX('Raw GDP data'!$I$2:$M$100,
    "&amp;"      MATCH(D87, 'Raw GDP data'!$H$2:$H$100, 0),
          MATCH(2008, 'Raw GDP data'!$I$1:$M$1, 0)
        ) /
        INDEX('Raw GDP data'!$I$2:$M$100,
          MATCH(D87, 'Raw GDP data'!$H$2:$H$100, 0),
          MATCH(2009, 'Raw GDP data'!$I$1:$M$1, "&amp;"0)
        )
      )
    ),
  IF(A87 &lt; 2008,
    (
      FILTER(G:G,
        A:A = 2008,
        D:D = D87,
        E:E = E87,
        F:F = F87
      ) /
      PRODUCT(
        ARRAYFORMULA(
          (
            (
              FILTER('Raw PhocalPoint"&amp;" Data'!G:G,
                'Raw PhocalPoint Data'!A:A = 2012,
                'Raw PhocalPoint Data'!D:D = D87,
                'Raw PhocalPoint Data'!E:E = E87,
                'Raw PhocalPoint Data'!F:F = F87
              ) /
              FILTER('Raw"&amp;" PhocalPoint Data'!G:G,
                'Raw PhocalPoint Data'!A:A = 2011,
                'Raw PhocalPoint Data'!D:D = D87,
                'Raw PhocalPoint Data'!E:E = E87,
                'Raw PhocalPoint Data'!F:F = F87
              ) -
             "&amp;" ROW(INDIRECT(""1:"" &amp; (2008 - A87))) *
              (
                (
                  FILTER('Raw PhocalPoint Data'!G:G,
                    'Raw PhocalPoint Data'!A:A = 2012,
                    'Raw PhocalPoint Data'!D:D = D87,
                   "&amp;" 'Raw PhocalPoint Data'!E:E = E87,
                    'Raw PhocalPoint Data'!F:F = F87
                  ) /
                  FILTER('Raw PhocalPoint Data'!G:G,
                    'Raw PhocalPoint Data'!A:A = 2011,
                    'Raw PhocalPoint "&amp;"Data'!D:D = D87,
                    'Raw PhocalPoint Data'!E:E = E87,
                    'Raw PhocalPoint Data'!F:F = F87
                  ) - 1
                ) / 5
              )
            )
          )
        )
      )
    ),
    (
      FILTER"&amp;"('Raw PhocalPoint Data'!G:G,
        'Raw PhocalPoint Data'!A:A = 2009,
        'Raw PhocalPoint Data'!D:D = D87,
        'Raw PhocalPoint Data'!E:E = E87,
        'Raw PhocalPoint Data'!F:F = F87
      ) /
      PRODUCT(
        ARRAYFORMULA(
          ("&amp;"
            FILTER('Raw PhocalPoint Data'!G:G,
              'Raw PhocalPoint Data'!A:A = 2012,
              'Raw PhocalPoint Data'!D:D = D87,
              'Raw PhocalPoint Data'!E:E = E87,
              'Raw PhocalPoint Data'!F:F = F87
            ) /"&amp;"
            FILTER('Raw PhocalPoint Data'!G:G,
              'Raw PhocalPoint Data'!A:A = 2011,
              'Raw PhocalPoint Data'!D:D = D87,
              'Raw PhocalPoint Data'!E:E = E87,
              'Raw PhocalPoint Data'!F:F = F87
            ) -"&amp;"
            (ROW(INDIRECT(""1:"" &amp; (2010 - A87))) - 1) *
            (
              (
                FILTER('Raw PhocalPoint Data'!G:G,
                  'Raw PhocalPoint Data'!A:A = 2012,
                  'Raw PhocalPoint Data'!D:D = D87,
           "&amp;"       'Raw PhocalPoint Data'!E:E = E87,
                  'Raw PhocalPoint Data'!F:F = F87
                ) /
                FILTER('Raw PhocalPoint Data'!G:G,
                  'Raw PhocalPoint Data'!A:A = 2011,
                  'Raw PhocalPoint Data"&amp;"'!D:D = D87,
                  'Raw PhocalPoint Data'!E:E = E87,
                  'Raw PhocalPoint Data'!F:F = F87
                ) - 1
              ) / 5
            )
          )
        )
      )
    ) *
    INDEX('Raw GDP data'!$I$2:$M$100,
      M"&amp;"ATCH(D87, 'Raw GDP data'!$H$2:$H$100, 0),
      MATCH(A87, 'Raw GDP data'!$I$1:$M$1, 0)
    )
  )),
  """"
)
"),105565970.836084)</f>
        <v>105565970.83608399</v>
      </c>
      <c r="H87" s="86"/>
      <c r="I87" s="87">
        <f ca="1">IFERROR(__xludf.DUMMYFUNCTION("""COMPUTED_VALUE"""),2007)</f>
        <v>2007</v>
      </c>
      <c r="J87" s="88" t="str">
        <f ca="1">IFERROR(__xludf.DUMMYFUNCTION("""COMPUTED_VALUE"""),"Japan")</f>
        <v>Japan</v>
      </c>
      <c r="K87" s="89">
        <f ca="1">IFERROR(
  SUMIFS(
    'New Backfilled Data'!G:G,
    'New Backfilled Data'!A:A, I87,
    'New Backfilled Data'!D:D, J87,
    'New Backfilled Data'!E:E, "Online"
  ) /
  SUMIFS(
    'New Backfilled Data'!G:G,
    'New Backfilled Data'!A:A, I87,
    'New Backfilled Data'!D:D, J87
  ),
  ""
)</f>
        <v>0.20014086018228791</v>
      </c>
      <c r="L87" s="90"/>
      <c r="M87" s="90"/>
    </row>
    <row r="88" spans="1:13" ht="17" x14ac:dyDescent="0.2">
      <c r="A88" s="37">
        <v>2005</v>
      </c>
      <c r="B88" s="38" t="s">
        <v>66</v>
      </c>
      <c r="C88" s="38" t="s">
        <v>35</v>
      </c>
      <c r="D88" s="38" t="s">
        <v>34</v>
      </c>
      <c r="E88" s="38" t="s">
        <v>69</v>
      </c>
      <c r="F88" s="38" t="s">
        <v>70</v>
      </c>
      <c r="G88" s="79">
        <f ca="1">IFERROR(__xludf.DUMMYFUNCTION("IFERROR(
  IF(A88 = 2008,
    IF(E88 = ""Online"",
      FILTER('Raw PhocalPoint Data'!G:G,
        'Raw PhocalPoint Data'!A:A = 2009,
        'Raw PhocalPoint Data'!D:D = D88,
        'Raw PhocalPoint Data'!E:E = E88,
        'Raw PhocalPoint Data'!F:F ="&amp;" F88
      ) /
      (
        FILTER('Raw PhocalPoint Data'!G:G,
          'Raw PhocalPoint Data'!A:A = 2012,
          'Raw PhocalPoint Data'!D:D = D88,
          'Raw PhocalPoint Data'!E:E = E88,
          'Raw PhocalPoint Data'!F:F = F88
        ) /
 "&amp;"       FILTER('Raw PhocalPoint Data'!G:G,
          'Raw PhocalPoint Data'!A:A = 2011,
          'Raw PhocalPoint Data'!D:D = D88,
          'Raw PhocalPoint Data'!E:E = E88,
          'Raw PhocalPoint Data'!F:F = F88
        )
      ),
      FILTER('Raw "&amp;"PhocalPoint Data'!G:G,
        'Raw PhocalPoint Data'!A:A = 2009,
        'Raw PhocalPoint Data'!D:D = D88,
        'Raw PhocalPoint Data'!E:E = E88,
        'Raw PhocalPoint Data'!F:F = F88
      ) *
      (
        INDEX('Raw GDP data'!$I$2:$M$100,
    "&amp;"      MATCH(D88, 'Raw GDP data'!$H$2:$H$100, 0),
          MATCH(2008, 'Raw GDP data'!$I$1:$M$1, 0)
        ) /
        INDEX('Raw GDP data'!$I$2:$M$100,
          MATCH(D88, 'Raw GDP data'!$H$2:$H$100, 0),
          MATCH(2009, 'Raw GDP data'!$I$1:$M$1, "&amp;"0)
        )
      )
    ),
  IF(A88 &lt; 2008,
    (
      FILTER(G:G,
        A:A = 2008,
        D:D = D88,
        E:E = E88,
        F:F = F88
      ) /
      PRODUCT(
        ARRAYFORMULA(
          (
            (
              FILTER('Raw PhocalPoint"&amp;" Data'!G:G,
                'Raw PhocalPoint Data'!A:A = 2012,
                'Raw PhocalPoint Data'!D:D = D88,
                'Raw PhocalPoint Data'!E:E = E88,
                'Raw PhocalPoint Data'!F:F = F88
              ) /
              FILTER('Raw"&amp;" PhocalPoint Data'!G:G,
                'Raw PhocalPoint Data'!A:A = 2011,
                'Raw PhocalPoint Data'!D:D = D88,
                'Raw PhocalPoint Data'!E:E = E88,
                'Raw PhocalPoint Data'!F:F = F88
              ) -
             "&amp;" ROW(INDIRECT(""1:"" &amp; (2008 - A88))) *
              (
                (
                  FILTER('Raw PhocalPoint Data'!G:G,
                    'Raw PhocalPoint Data'!A:A = 2012,
                    'Raw PhocalPoint Data'!D:D = D88,
                   "&amp;" 'Raw PhocalPoint Data'!E:E = E88,
                    'Raw PhocalPoint Data'!F:F = F88
                  ) /
                  FILTER('Raw PhocalPoint Data'!G:G,
                    'Raw PhocalPoint Data'!A:A = 2011,
                    'Raw PhocalPoint "&amp;"Data'!D:D = D88,
                    'Raw PhocalPoint Data'!E:E = E88,
                    'Raw PhocalPoint Data'!F:F = F88
                  ) - 1
                ) / 5
              )
            )
          )
        )
      )
    ),
    (
      FILTER"&amp;"('Raw PhocalPoint Data'!G:G,
        'Raw PhocalPoint Data'!A:A = 2009,
        'Raw PhocalPoint Data'!D:D = D88,
        'Raw PhocalPoint Data'!E:E = E88,
        'Raw PhocalPoint Data'!F:F = F88
      ) /
      PRODUCT(
        ARRAYFORMULA(
          ("&amp;"
            FILTER('Raw PhocalPoint Data'!G:G,
              'Raw PhocalPoint Data'!A:A = 2012,
              'Raw PhocalPoint Data'!D:D = D88,
              'Raw PhocalPoint Data'!E:E = E88,
              'Raw PhocalPoint Data'!F:F = F88
            ) /"&amp;"
            FILTER('Raw PhocalPoint Data'!G:G,
              'Raw PhocalPoint Data'!A:A = 2011,
              'Raw PhocalPoint Data'!D:D = D88,
              'Raw PhocalPoint Data'!E:E = E88,
              'Raw PhocalPoint Data'!F:F = F88
            ) -"&amp;"
            (ROW(INDIRECT(""1:"" &amp; (2010 - A88))) - 1) *
            (
              (
                FILTER('Raw PhocalPoint Data'!G:G,
                  'Raw PhocalPoint Data'!A:A = 2012,
                  'Raw PhocalPoint Data'!D:D = D88,
           "&amp;"       'Raw PhocalPoint Data'!E:E = E88,
                  'Raw PhocalPoint Data'!F:F = F88
                ) /
                FILTER('Raw PhocalPoint Data'!G:G,
                  'Raw PhocalPoint Data'!A:A = 2011,
                  'Raw PhocalPoint Data"&amp;"'!D:D = D88,
                  'Raw PhocalPoint Data'!E:E = E88,
                  'Raw PhocalPoint Data'!F:F = F88
                ) - 1
              ) / 5
            )
          )
        )
      )
    ) *
    INDEX('Raw GDP data'!$I$2:$M$100,
      M"&amp;"ATCH(D88, 'Raw GDP data'!$H$2:$H$100, 0),
      MATCH(A88, 'Raw GDP data'!$I$1:$M$1, 0)
    )
  )),
  """"
)
"),96395403.0072825)</f>
        <v>96395403.007282495</v>
      </c>
      <c r="H88" s="80"/>
      <c r="I88" s="81">
        <f ca="1">IFERROR(__xludf.DUMMYFUNCTION("""COMPUTED_VALUE"""),2007)</f>
        <v>2007</v>
      </c>
      <c r="J88" s="82" t="str">
        <f ca="1">IFERROR(__xludf.DUMMYFUNCTION("""COMPUTED_VALUE"""),"Macau")</f>
        <v>Macau</v>
      </c>
      <c r="K88" s="83">
        <f ca="1">IFERROR(
  SUMIFS(
    'New Backfilled Data'!G:G,
    'New Backfilled Data'!A:A, I88,
    'New Backfilled Data'!D:D, J88,
    'New Backfilled Data'!E:E, "Online"
  ) /
  SUMIFS(
    'New Backfilled Data'!G:G,
    'New Backfilled Data'!A:A, I88,
    'New Backfilled Data'!D:D, J88
  ),
  ""
)</f>
        <v>1.0450762726754912E-2</v>
      </c>
      <c r="L88" s="84"/>
      <c r="M88" s="84"/>
    </row>
    <row r="89" spans="1:13" ht="17" x14ac:dyDescent="0.2">
      <c r="A89" s="44">
        <v>2005</v>
      </c>
      <c r="B89" s="45" t="s">
        <v>66</v>
      </c>
      <c r="C89" s="45" t="s">
        <v>35</v>
      </c>
      <c r="D89" s="45" t="s">
        <v>36</v>
      </c>
      <c r="E89" s="45" t="s">
        <v>67</v>
      </c>
      <c r="F89" s="45" t="s">
        <v>67</v>
      </c>
      <c r="G89" s="85">
        <f ca="1">IFERROR(__xludf.DUMMYFUNCTION("IFERROR(
  IF(A89 = 2008,
    IF(E89 = ""Online"",
      FILTER('Raw PhocalPoint Data'!G:G,
        'Raw PhocalPoint Data'!A:A = 2009,
        'Raw PhocalPoint Data'!D:D = D89,
        'Raw PhocalPoint Data'!E:E = E89,
        'Raw PhocalPoint Data'!F:F ="&amp;" F89
      ) /
      (
        FILTER('Raw PhocalPoint Data'!G:G,
          'Raw PhocalPoint Data'!A:A = 2012,
          'Raw PhocalPoint Data'!D:D = D89,
          'Raw PhocalPoint Data'!E:E = E89,
          'Raw PhocalPoint Data'!F:F = F89
        ) /
 "&amp;"       FILTER('Raw PhocalPoint Data'!G:G,
          'Raw PhocalPoint Data'!A:A = 2011,
          'Raw PhocalPoint Data'!D:D = D89,
          'Raw PhocalPoint Data'!E:E = E89,
          'Raw PhocalPoint Data'!F:F = F89
        )
      ),
      FILTER('Raw "&amp;"PhocalPoint Data'!G:G,
        'Raw PhocalPoint Data'!A:A = 2009,
        'Raw PhocalPoint Data'!D:D = D89,
        'Raw PhocalPoint Data'!E:E = E89,
        'Raw PhocalPoint Data'!F:F = F89
      ) *
      (
        INDEX('Raw GDP data'!$I$2:$M$100,
    "&amp;"      MATCH(D89, 'Raw GDP data'!$H$2:$H$100, 0),
          MATCH(2008, 'Raw GDP data'!$I$1:$M$1, 0)
        ) /
        INDEX('Raw GDP data'!$I$2:$M$100,
          MATCH(D89, 'Raw GDP data'!$H$2:$H$100, 0),
          MATCH(2009, 'Raw GDP data'!$I$1:$M$1, "&amp;"0)
        )
      )
    ),
  IF(A89 &lt; 2008,
    (
      FILTER(G:G,
        A:A = 2008,
        D:D = D89,
        E:E = E89,
        F:F = F89
      ) /
      PRODUCT(
        ARRAYFORMULA(
          (
            (
              FILTER('Raw PhocalPoint"&amp;" Data'!G:G,
                'Raw PhocalPoint Data'!A:A = 2012,
                'Raw PhocalPoint Data'!D:D = D89,
                'Raw PhocalPoint Data'!E:E = E89,
                'Raw PhocalPoint Data'!F:F = F89
              ) /
              FILTER('Raw"&amp;" PhocalPoint Data'!G:G,
                'Raw PhocalPoint Data'!A:A = 2011,
                'Raw PhocalPoint Data'!D:D = D89,
                'Raw PhocalPoint Data'!E:E = E89,
                'Raw PhocalPoint Data'!F:F = F89
              ) -
             "&amp;" ROW(INDIRECT(""1:"" &amp; (2008 - A89))) *
              (
                (
                  FILTER('Raw PhocalPoint Data'!G:G,
                    'Raw PhocalPoint Data'!A:A = 2012,
                    'Raw PhocalPoint Data'!D:D = D89,
                   "&amp;" 'Raw PhocalPoint Data'!E:E = E89,
                    'Raw PhocalPoint Data'!F:F = F89
                  ) /
                  FILTER('Raw PhocalPoint Data'!G:G,
                    'Raw PhocalPoint Data'!A:A = 2011,
                    'Raw PhocalPoint "&amp;"Data'!D:D = D89,
                    'Raw PhocalPoint Data'!E:E = E89,
                    'Raw PhocalPoint Data'!F:F = F89
                  ) - 1
                ) / 5
              )
            )
          )
        )
      )
    ),
    (
      FILTER"&amp;"('Raw PhocalPoint Data'!G:G,
        'Raw PhocalPoint Data'!A:A = 2009,
        'Raw PhocalPoint Data'!D:D = D89,
        'Raw PhocalPoint Data'!E:E = E89,
        'Raw PhocalPoint Data'!F:F = F89
      ) /
      PRODUCT(
        ARRAYFORMULA(
          ("&amp;"
            FILTER('Raw PhocalPoint Data'!G:G,
              'Raw PhocalPoint Data'!A:A = 2012,
              'Raw PhocalPoint Data'!D:D = D89,
              'Raw PhocalPoint Data'!E:E = E89,
              'Raw PhocalPoint Data'!F:F = F89
            ) /"&amp;"
            FILTER('Raw PhocalPoint Data'!G:G,
              'Raw PhocalPoint Data'!A:A = 2011,
              'Raw PhocalPoint Data'!D:D = D89,
              'Raw PhocalPoint Data'!E:E = E89,
              'Raw PhocalPoint Data'!F:F = F89
            ) -"&amp;"
            (ROW(INDIRECT(""1:"" &amp; (2010 - A89))) - 1) *
            (
              (
                FILTER('Raw PhocalPoint Data'!G:G,
                  'Raw PhocalPoint Data'!A:A = 2012,
                  'Raw PhocalPoint Data'!D:D = D89,
           "&amp;"       'Raw PhocalPoint Data'!E:E = E89,
                  'Raw PhocalPoint Data'!F:F = F89
                ) /
                FILTER('Raw PhocalPoint Data'!G:G,
                  'Raw PhocalPoint Data'!A:A = 2011,
                  'Raw PhocalPoint Data"&amp;"'!D:D = D89,
                  'Raw PhocalPoint Data'!E:E = E89,
                  'Raw PhocalPoint Data'!F:F = F89
                ) - 1
              ) / 5
            )
          )
        )
      )
    ) *
    INDEX('Raw GDP data'!$I$2:$M$100,
      M"&amp;"ATCH(D89, 'Raw GDP data'!$H$2:$H$100, 0),
      MATCH(A89, 'Raw GDP data'!$I$1:$M$1, 0)
    )
  )),
  """"
)
"),42875343906.1617)</f>
        <v>42875343906.161697</v>
      </c>
      <c r="H89" s="86"/>
      <c r="I89" s="87">
        <f ca="1">IFERROR(__xludf.DUMMYFUNCTION("""COMPUTED_VALUE"""),2007)</f>
        <v>2007</v>
      </c>
      <c r="J89" s="88" t="str">
        <f ca="1">IFERROR(__xludf.DUMMYFUNCTION("""COMPUTED_VALUE"""),"Malaysia")</f>
        <v>Malaysia</v>
      </c>
      <c r="K89" s="89">
        <f ca="1">IFERROR(
  SUMIFS(
    'New Backfilled Data'!G:G,
    'New Backfilled Data'!A:A, I89,
    'New Backfilled Data'!D:D, J89,
    'New Backfilled Data'!E:E, "Online"
  ) /
  SUMIFS(
    'New Backfilled Data'!G:G,
    'New Backfilled Data'!A:A, I89,
    'New Backfilled Data'!D:D, J89
  ),
  ""
)</f>
        <v>0.20791150246556278</v>
      </c>
      <c r="L89" s="90"/>
      <c r="M89" s="90"/>
    </row>
    <row r="90" spans="1:13" ht="17" x14ac:dyDescent="0.2">
      <c r="A90" s="37">
        <v>2005</v>
      </c>
      <c r="B90" s="38" t="s">
        <v>66</v>
      </c>
      <c r="C90" s="38" t="s">
        <v>35</v>
      </c>
      <c r="D90" s="38" t="s">
        <v>36</v>
      </c>
      <c r="E90" s="38" t="s">
        <v>69</v>
      </c>
      <c r="F90" s="38" t="s">
        <v>71</v>
      </c>
      <c r="G90" s="79">
        <f ca="1">IFERROR(__xludf.DUMMYFUNCTION("IFERROR(
  IF(A90 = 2008,
    IF(E90 = ""Online"",
      FILTER('Raw PhocalPoint Data'!G:G,
        'Raw PhocalPoint Data'!A:A = 2009,
        'Raw PhocalPoint Data'!D:D = D90,
        'Raw PhocalPoint Data'!E:E = E90,
        'Raw PhocalPoint Data'!F:F ="&amp;" F90
      ) /
      (
        FILTER('Raw PhocalPoint Data'!G:G,
          'Raw PhocalPoint Data'!A:A = 2012,
          'Raw PhocalPoint Data'!D:D = D90,
          'Raw PhocalPoint Data'!E:E = E90,
          'Raw PhocalPoint Data'!F:F = F90
        ) /
 "&amp;"       FILTER('Raw PhocalPoint Data'!G:G,
          'Raw PhocalPoint Data'!A:A = 2011,
          'Raw PhocalPoint Data'!D:D = D90,
          'Raw PhocalPoint Data'!E:E = E90,
          'Raw PhocalPoint Data'!F:F = F90
        )
      ),
      FILTER('Raw "&amp;"PhocalPoint Data'!G:G,
        'Raw PhocalPoint Data'!A:A = 2009,
        'Raw PhocalPoint Data'!D:D = D90,
        'Raw PhocalPoint Data'!E:E = E90,
        'Raw PhocalPoint Data'!F:F = F90
      ) *
      (
        INDEX('Raw GDP data'!$I$2:$M$100,
    "&amp;"      MATCH(D90, 'Raw GDP data'!$H$2:$H$100, 0),
          MATCH(2008, 'Raw GDP data'!$I$1:$M$1, 0)
        ) /
        INDEX('Raw GDP data'!$I$2:$M$100,
          MATCH(D90, 'Raw GDP data'!$H$2:$H$100, 0),
          MATCH(2009, 'Raw GDP data'!$I$1:$M$1, "&amp;"0)
        )
      )
    ),
  IF(A90 &lt; 2008,
    (
      FILTER(G:G,
        A:A = 2008,
        D:D = D90,
        E:E = E90,
        F:F = F90
      ) /
      PRODUCT(
        ARRAYFORMULA(
          (
            (
              FILTER('Raw PhocalPoint"&amp;" Data'!G:G,
                'Raw PhocalPoint Data'!A:A = 2012,
                'Raw PhocalPoint Data'!D:D = D90,
                'Raw PhocalPoint Data'!E:E = E90,
                'Raw PhocalPoint Data'!F:F = F90
              ) /
              FILTER('Raw"&amp;" PhocalPoint Data'!G:G,
                'Raw PhocalPoint Data'!A:A = 2011,
                'Raw PhocalPoint Data'!D:D = D90,
                'Raw PhocalPoint Data'!E:E = E90,
                'Raw PhocalPoint Data'!F:F = F90
              ) -
             "&amp;" ROW(INDIRECT(""1:"" &amp; (2008 - A90))) *
              (
                (
                  FILTER('Raw PhocalPoint Data'!G:G,
                    'Raw PhocalPoint Data'!A:A = 2012,
                    'Raw PhocalPoint Data'!D:D = D90,
                   "&amp;" 'Raw PhocalPoint Data'!E:E = E90,
                    'Raw PhocalPoint Data'!F:F = F90
                  ) /
                  FILTER('Raw PhocalPoint Data'!G:G,
                    'Raw PhocalPoint Data'!A:A = 2011,
                    'Raw PhocalPoint "&amp;"Data'!D:D = D90,
                    'Raw PhocalPoint Data'!E:E = E90,
                    'Raw PhocalPoint Data'!F:F = F90
                  ) - 1
                ) / 5
              )
            )
          )
        )
      )
    ),
    (
      FILTER"&amp;"('Raw PhocalPoint Data'!G:G,
        'Raw PhocalPoint Data'!A:A = 2009,
        'Raw PhocalPoint Data'!D:D = D90,
        'Raw PhocalPoint Data'!E:E = E90,
        'Raw PhocalPoint Data'!F:F = F90
      ) /
      PRODUCT(
        ARRAYFORMULA(
          ("&amp;"
            FILTER('Raw PhocalPoint Data'!G:G,
              'Raw PhocalPoint Data'!A:A = 2012,
              'Raw PhocalPoint Data'!D:D = D90,
              'Raw PhocalPoint Data'!E:E = E90,
              'Raw PhocalPoint Data'!F:F = F90
            ) /"&amp;"
            FILTER('Raw PhocalPoint Data'!G:G,
              'Raw PhocalPoint Data'!A:A = 2011,
              'Raw PhocalPoint Data'!D:D = D90,
              'Raw PhocalPoint Data'!E:E = E90,
              'Raw PhocalPoint Data'!F:F = F90
            ) -"&amp;"
            (ROW(INDIRECT(""1:"" &amp; (2010 - A90))) - 1) *
            (
              (
                FILTER('Raw PhocalPoint Data'!G:G,
                  'Raw PhocalPoint Data'!A:A = 2012,
                  'Raw PhocalPoint Data'!D:D = D90,
           "&amp;"       'Raw PhocalPoint Data'!E:E = E90,
                  'Raw PhocalPoint Data'!F:F = F90
                ) /
                FILTER('Raw PhocalPoint Data'!G:G,
                  'Raw PhocalPoint Data'!A:A = 2011,
                  'Raw PhocalPoint Data"&amp;"'!D:D = D90,
                  'Raw PhocalPoint Data'!E:E = E90,
                  'Raw PhocalPoint Data'!F:F = F90
                ) - 1
              ) / 5
            )
          )
        )
      )
    ) *
    INDEX('Raw GDP data'!$I$2:$M$100,
      M"&amp;"ATCH(D90, 'Raw GDP data'!$H$2:$H$100, 0),
      MATCH(A90, 'Raw GDP data'!$I$1:$M$1, 0)
    )
  )),
  """"
)
"),1472207976.86109)</f>
        <v>1472207976.8610899</v>
      </c>
      <c r="H90" s="80"/>
      <c r="I90" s="81">
        <f ca="1">IFERROR(__xludf.DUMMYFUNCTION("""COMPUTED_VALUE"""),2007)</f>
        <v>2007</v>
      </c>
      <c r="J90" s="82" t="str">
        <f ca="1">IFERROR(__xludf.DUMMYFUNCTION("""COMPUTED_VALUE"""),"Singapore")</f>
        <v>Singapore</v>
      </c>
      <c r="K90" s="83">
        <f ca="1">IFERROR(
  SUMIFS(
    'New Backfilled Data'!G:G,
    'New Backfilled Data'!A:A, I90,
    'New Backfilled Data'!D:D, J90,
    'New Backfilled Data'!E:E, "Online"
  ) /
  SUMIFS(
    'New Backfilled Data'!G:G,
    'New Backfilled Data'!A:A, I90,
    'New Backfilled Data'!D:D, J90
  ),
  ""
)</f>
        <v>0.19782607204209682</v>
      </c>
      <c r="L90" s="84"/>
      <c r="M90" s="84"/>
    </row>
    <row r="91" spans="1:13" ht="17" x14ac:dyDescent="0.2">
      <c r="A91" s="44">
        <v>2005</v>
      </c>
      <c r="B91" s="45" t="s">
        <v>66</v>
      </c>
      <c r="C91" s="45" t="s">
        <v>35</v>
      </c>
      <c r="D91" s="45" t="s">
        <v>36</v>
      </c>
      <c r="E91" s="45" t="s">
        <v>69</v>
      </c>
      <c r="F91" s="45" t="s">
        <v>70</v>
      </c>
      <c r="G91" s="85">
        <f ca="1">IFERROR(__xludf.DUMMYFUNCTION("IFERROR(
  IF(A91 = 2008,
    IF(E91 = ""Online"",
      FILTER('Raw PhocalPoint Data'!G:G,
        'Raw PhocalPoint Data'!A:A = 2009,
        'Raw PhocalPoint Data'!D:D = D91,
        'Raw PhocalPoint Data'!E:E = E91,
        'Raw PhocalPoint Data'!F:F ="&amp;" F91
      ) /
      (
        FILTER('Raw PhocalPoint Data'!G:G,
          'Raw PhocalPoint Data'!A:A = 2012,
          'Raw PhocalPoint Data'!D:D = D91,
          'Raw PhocalPoint Data'!E:E = E91,
          'Raw PhocalPoint Data'!F:F = F91
        ) /
 "&amp;"       FILTER('Raw PhocalPoint Data'!G:G,
          'Raw PhocalPoint Data'!A:A = 2011,
          'Raw PhocalPoint Data'!D:D = D91,
          'Raw PhocalPoint Data'!E:E = E91,
          'Raw PhocalPoint Data'!F:F = F91
        )
      ),
      FILTER('Raw "&amp;"PhocalPoint Data'!G:G,
        'Raw PhocalPoint Data'!A:A = 2009,
        'Raw PhocalPoint Data'!D:D = D91,
        'Raw PhocalPoint Data'!E:E = E91,
        'Raw PhocalPoint Data'!F:F = F91
      ) *
      (
        INDEX('Raw GDP data'!$I$2:$M$100,
    "&amp;"      MATCH(D91, 'Raw GDP data'!$H$2:$H$100, 0),
          MATCH(2008, 'Raw GDP data'!$I$1:$M$1, 0)
        ) /
        INDEX('Raw GDP data'!$I$2:$M$100,
          MATCH(D91, 'Raw GDP data'!$H$2:$H$100, 0),
          MATCH(2009, 'Raw GDP data'!$I$1:$M$1, "&amp;"0)
        )
      )
    ),
  IF(A91 &lt; 2008,
    (
      FILTER(G:G,
        A:A = 2008,
        D:D = D91,
        E:E = E91,
        F:F = F91
      ) /
      PRODUCT(
        ARRAYFORMULA(
          (
            (
              FILTER('Raw PhocalPoint"&amp;" Data'!G:G,
                'Raw PhocalPoint Data'!A:A = 2012,
                'Raw PhocalPoint Data'!D:D = D91,
                'Raw PhocalPoint Data'!E:E = E91,
                'Raw PhocalPoint Data'!F:F = F91
              ) /
              FILTER('Raw"&amp;" PhocalPoint Data'!G:G,
                'Raw PhocalPoint Data'!A:A = 2011,
                'Raw PhocalPoint Data'!D:D = D91,
                'Raw PhocalPoint Data'!E:E = E91,
                'Raw PhocalPoint Data'!F:F = F91
              ) -
             "&amp;" ROW(INDIRECT(""1:"" &amp; (2008 - A91))) *
              (
                (
                  FILTER('Raw PhocalPoint Data'!G:G,
                    'Raw PhocalPoint Data'!A:A = 2012,
                    'Raw PhocalPoint Data'!D:D = D91,
                   "&amp;" 'Raw PhocalPoint Data'!E:E = E91,
                    'Raw PhocalPoint Data'!F:F = F91
                  ) /
                  FILTER('Raw PhocalPoint Data'!G:G,
                    'Raw PhocalPoint Data'!A:A = 2011,
                    'Raw PhocalPoint "&amp;"Data'!D:D = D91,
                    'Raw PhocalPoint Data'!E:E = E91,
                    'Raw PhocalPoint Data'!F:F = F91
                  ) - 1
                ) / 5
              )
            )
          )
        )
      )
    ),
    (
      FILTER"&amp;"('Raw PhocalPoint Data'!G:G,
        'Raw PhocalPoint Data'!A:A = 2009,
        'Raw PhocalPoint Data'!D:D = D91,
        'Raw PhocalPoint Data'!E:E = E91,
        'Raw PhocalPoint Data'!F:F = F91
      ) /
      PRODUCT(
        ARRAYFORMULA(
          ("&amp;"
            FILTER('Raw PhocalPoint Data'!G:G,
              'Raw PhocalPoint Data'!A:A = 2012,
              'Raw PhocalPoint Data'!D:D = D91,
              'Raw PhocalPoint Data'!E:E = E91,
              'Raw PhocalPoint Data'!F:F = F91
            ) /"&amp;"
            FILTER('Raw PhocalPoint Data'!G:G,
              'Raw PhocalPoint Data'!A:A = 2011,
              'Raw PhocalPoint Data'!D:D = D91,
              'Raw PhocalPoint Data'!E:E = E91,
              'Raw PhocalPoint Data'!F:F = F91
            ) -"&amp;"
            (ROW(INDIRECT(""1:"" &amp; (2010 - A91))) - 1) *
            (
              (
                FILTER('Raw PhocalPoint Data'!G:G,
                  'Raw PhocalPoint Data'!A:A = 2012,
                  'Raw PhocalPoint Data'!D:D = D91,
           "&amp;"       'Raw PhocalPoint Data'!E:E = E91,
                  'Raw PhocalPoint Data'!F:F = F91
                ) /
                FILTER('Raw PhocalPoint Data'!G:G,
                  'Raw PhocalPoint Data'!A:A = 2011,
                  'Raw PhocalPoint Data"&amp;"'!D:D = D91,
                  'Raw PhocalPoint Data'!E:E = E91,
                  'Raw PhocalPoint Data'!F:F = F91
                ) - 1
              ) / 5
            )
          )
        )
      )
    ) *
    INDEX('Raw GDP data'!$I$2:$M$100,
      M"&amp;"ATCH(D91, 'Raw GDP data'!$H$2:$H$100, 0),
      MATCH(A91, 'Raw GDP data'!$I$1:$M$1, 0)
    )
  )),
  """"
)
"),872538322.574399)</f>
        <v>872538322.57439899</v>
      </c>
      <c r="H91" s="86"/>
      <c r="I91" s="87">
        <f ca="1">IFERROR(__xludf.DUMMYFUNCTION("""COMPUTED_VALUE"""),2007)</f>
        <v>2007</v>
      </c>
      <c r="J91" s="88" t="str">
        <f ca="1">IFERROR(__xludf.DUMMYFUNCTION("""COMPUTED_VALUE"""),"South Korea")</f>
        <v>South Korea</v>
      </c>
      <c r="K91" s="89">
        <f ca="1">IFERROR(
  SUMIFS(
    'New Backfilled Data'!G:G,
    'New Backfilled Data'!A:A, I91,
    'New Backfilled Data'!D:D, J91,
    'New Backfilled Data'!E:E, "Online"
  ) /
  SUMIFS(
    'New Backfilled Data'!G:G,
    'New Backfilled Data'!A:A, I91,
    'New Backfilled Data'!D:D, J91
  ),
  ""
)</f>
        <v>6.2527175076258421E-2</v>
      </c>
      <c r="L91" s="90"/>
      <c r="M91" s="90"/>
    </row>
    <row r="92" spans="1:13" ht="17" x14ac:dyDescent="0.2">
      <c r="A92" s="37">
        <v>2005</v>
      </c>
      <c r="B92" s="38" t="s">
        <v>66</v>
      </c>
      <c r="C92" s="38" t="s">
        <v>35</v>
      </c>
      <c r="D92" s="38" t="s">
        <v>37</v>
      </c>
      <c r="E92" s="38" t="s">
        <v>67</v>
      </c>
      <c r="F92" s="38" t="s">
        <v>67</v>
      </c>
      <c r="G92" s="79">
        <f ca="1">IFERROR(__xludf.DUMMYFUNCTION("IFERROR(
  IF(A92 = 2008,
    IF(E92 = ""Online"",
      FILTER('Raw PhocalPoint Data'!G:G,
        'Raw PhocalPoint Data'!A:A = 2009,
        'Raw PhocalPoint Data'!D:D = D92,
        'Raw PhocalPoint Data'!E:E = E92,
        'Raw PhocalPoint Data'!F:F ="&amp;" F92
      ) /
      (
        FILTER('Raw PhocalPoint Data'!G:G,
          'Raw PhocalPoint Data'!A:A = 2012,
          'Raw PhocalPoint Data'!D:D = D92,
          'Raw PhocalPoint Data'!E:E = E92,
          'Raw PhocalPoint Data'!F:F = F92
        ) /
 "&amp;"       FILTER('Raw PhocalPoint Data'!G:G,
          'Raw PhocalPoint Data'!A:A = 2011,
          'Raw PhocalPoint Data'!D:D = D92,
          'Raw PhocalPoint Data'!E:E = E92,
          'Raw PhocalPoint Data'!F:F = F92
        )
      ),
      FILTER('Raw "&amp;"PhocalPoint Data'!G:G,
        'Raw PhocalPoint Data'!A:A = 2009,
        'Raw PhocalPoint Data'!D:D = D92,
        'Raw PhocalPoint Data'!E:E = E92,
        'Raw PhocalPoint Data'!F:F = F92
      ) *
      (
        INDEX('Raw GDP data'!$I$2:$M$100,
    "&amp;"      MATCH(D92, 'Raw GDP data'!$H$2:$H$100, 0),
          MATCH(2008, 'Raw GDP data'!$I$1:$M$1, 0)
        ) /
        INDEX('Raw GDP data'!$I$2:$M$100,
          MATCH(D92, 'Raw GDP data'!$H$2:$H$100, 0),
          MATCH(2009, 'Raw GDP data'!$I$1:$M$1, "&amp;"0)
        )
      )
    ),
  IF(A92 &lt; 2008,
    (
      FILTER(G:G,
        A:A = 2008,
        D:D = D92,
        E:E = E92,
        F:F = F92
      ) /
      PRODUCT(
        ARRAYFORMULA(
          (
            (
              FILTER('Raw PhocalPoint"&amp;" Data'!G:G,
                'Raw PhocalPoint Data'!A:A = 2012,
                'Raw PhocalPoint Data'!D:D = D92,
                'Raw PhocalPoint Data'!E:E = E92,
                'Raw PhocalPoint Data'!F:F = F92
              ) /
              FILTER('Raw"&amp;" PhocalPoint Data'!G:G,
                'Raw PhocalPoint Data'!A:A = 2011,
                'Raw PhocalPoint Data'!D:D = D92,
                'Raw PhocalPoint Data'!E:E = E92,
                'Raw PhocalPoint Data'!F:F = F92
              ) -
             "&amp;" ROW(INDIRECT(""1:"" &amp; (2008 - A92))) *
              (
                (
                  FILTER('Raw PhocalPoint Data'!G:G,
                    'Raw PhocalPoint Data'!A:A = 2012,
                    'Raw PhocalPoint Data'!D:D = D92,
                   "&amp;" 'Raw PhocalPoint Data'!E:E = E92,
                    'Raw PhocalPoint Data'!F:F = F92
                  ) /
                  FILTER('Raw PhocalPoint Data'!G:G,
                    'Raw PhocalPoint Data'!A:A = 2011,
                    'Raw PhocalPoint "&amp;"Data'!D:D = D92,
                    'Raw PhocalPoint Data'!E:E = E92,
                    'Raw PhocalPoint Data'!F:F = F92
                  ) - 1
                ) / 5
              )
            )
          )
        )
      )
    ),
    (
      FILTER"&amp;"('Raw PhocalPoint Data'!G:G,
        'Raw PhocalPoint Data'!A:A = 2009,
        'Raw PhocalPoint Data'!D:D = D92,
        'Raw PhocalPoint Data'!E:E = E92,
        'Raw PhocalPoint Data'!F:F = F92
      ) /
      PRODUCT(
        ARRAYFORMULA(
          ("&amp;"
            FILTER('Raw PhocalPoint Data'!G:G,
              'Raw PhocalPoint Data'!A:A = 2012,
              'Raw PhocalPoint Data'!D:D = D92,
              'Raw PhocalPoint Data'!E:E = E92,
              'Raw PhocalPoint Data'!F:F = F92
            ) /"&amp;"
            FILTER('Raw PhocalPoint Data'!G:G,
              'Raw PhocalPoint Data'!A:A = 2011,
              'Raw PhocalPoint Data'!D:D = D92,
              'Raw PhocalPoint Data'!E:E = E92,
              'Raw PhocalPoint Data'!F:F = F92
            ) -"&amp;"
            (ROW(INDIRECT(""1:"" &amp; (2010 - A92))) - 1) *
            (
              (
                FILTER('Raw PhocalPoint Data'!G:G,
                  'Raw PhocalPoint Data'!A:A = 2012,
                  'Raw PhocalPoint Data'!D:D = D92,
           "&amp;"       'Raw PhocalPoint Data'!E:E = E92,
                  'Raw PhocalPoint Data'!F:F = F92
                ) /
                FILTER('Raw PhocalPoint Data'!G:G,
                  'Raw PhocalPoint Data'!A:A = 2011,
                  'Raw PhocalPoint Data"&amp;"'!D:D = D92,
                  'Raw PhocalPoint Data'!E:E = E92,
                  'Raw PhocalPoint Data'!F:F = F92
                ) - 1
              ) / 5
            )
          )
        )
      )
    ) *
    INDEX('Raw GDP data'!$I$2:$M$100,
      M"&amp;"ATCH(D92, 'Raw GDP data'!$H$2:$H$100, 0),
      MATCH(A92, 'Raw GDP data'!$I$1:$M$1, 0)
    )
  )),
  """"
)
"),4091102954.00123)</f>
        <v>4091102954.0012298</v>
      </c>
      <c r="H92" s="80"/>
      <c r="I92" s="81">
        <f ca="1">IFERROR(__xludf.DUMMYFUNCTION("""COMPUTED_VALUE"""),2007)</f>
        <v>2007</v>
      </c>
      <c r="J92" s="82" t="str">
        <f ca="1">IFERROR(__xludf.DUMMYFUNCTION("""COMPUTED_VALUE"""),"Taiwan")</f>
        <v>Taiwan</v>
      </c>
      <c r="K92" s="83">
        <f ca="1">IFERROR(
  SUMIFS(
    'New Backfilled Data'!G:G,
    'New Backfilled Data'!A:A, I92,
    'New Backfilled Data'!D:D, J92,
    'New Backfilled Data'!E:E, "Online"
  ) /
  SUMIFS(
    'New Backfilled Data'!G:G,
    'New Backfilled Data'!A:A, I92,
    'New Backfilled Data'!D:D, J92
  ),
  ""
)</f>
        <v>5.8422029227280105E-2</v>
      </c>
      <c r="L92" s="84"/>
      <c r="M92" s="84"/>
    </row>
    <row r="93" spans="1:13" ht="17" x14ac:dyDescent="0.2">
      <c r="A93" s="44">
        <v>2005</v>
      </c>
      <c r="B93" s="45" t="s">
        <v>66</v>
      </c>
      <c r="C93" s="45" t="s">
        <v>35</v>
      </c>
      <c r="D93" s="45" t="s">
        <v>37</v>
      </c>
      <c r="E93" s="45" t="s">
        <v>69</v>
      </c>
      <c r="F93" s="45" t="s">
        <v>71</v>
      </c>
      <c r="G93" s="85">
        <f ca="1">IFERROR(__xludf.DUMMYFUNCTION("IFERROR(
  IF(A93 = 2008,
    IF(E93 = ""Online"",
      FILTER('Raw PhocalPoint Data'!G:G,
        'Raw PhocalPoint Data'!A:A = 2009,
        'Raw PhocalPoint Data'!D:D = D93,
        'Raw PhocalPoint Data'!E:E = E93,
        'Raw PhocalPoint Data'!F:F ="&amp;" F93
      ) /
      (
        FILTER('Raw PhocalPoint Data'!G:G,
          'Raw PhocalPoint Data'!A:A = 2012,
          'Raw PhocalPoint Data'!D:D = D93,
          'Raw PhocalPoint Data'!E:E = E93,
          'Raw PhocalPoint Data'!F:F = F93
        ) /
 "&amp;"       FILTER('Raw PhocalPoint Data'!G:G,
          'Raw PhocalPoint Data'!A:A = 2011,
          'Raw PhocalPoint Data'!D:D = D93,
          'Raw PhocalPoint Data'!E:E = E93,
          'Raw PhocalPoint Data'!F:F = F93
        )
      ),
      FILTER('Raw "&amp;"PhocalPoint Data'!G:G,
        'Raw PhocalPoint Data'!A:A = 2009,
        'Raw PhocalPoint Data'!D:D = D93,
        'Raw PhocalPoint Data'!E:E = E93,
        'Raw PhocalPoint Data'!F:F = F93
      ) *
      (
        INDEX('Raw GDP data'!$I$2:$M$100,
    "&amp;"      MATCH(D93, 'Raw GDP data'!$H$2:$H$100, 0),
          MATCH(2008, 'Raw GDP data'!$I$1:$M$1, 0)
        ) /
        INDEX('Raw GDP data'!$I$2:$M$100,
          MATCH(D93, 'Raw GDP data'!$H$2:$H$100, 0),
          MATCH(2009, 'Raw GDP data'!$I$1:$M$1, "&amp;"0)
        )
      )
    ),
  IF(A93 &lt; 2008,
    (
      FILTER(G:G,
        A:A = 2008,
        D:D = D93,
        E:E = E93,
        F:F = F93
      ) /
      PRODUCT(
        ARRAYFORMULA(
          (
            (
              FILTER('Raw PhocalPoint"&amp;" Data'!G:G,
                'Raw PhocalPoint Data'!A:A = 2012,
                'Raw PhocalPoint Data'!D:D = D93,
                'Raw PhocalPoint Data'!E:E = E93,
                'Raw PhocalPoint Data'!F:F = F93
              ) /
              FILTER('Raw"&amp;" PhocalPoint Data'!G:G,
                'Raw PhocalPoint Data'!A:A = 2011,
                'Raw PhocalPoint Data'!D:D = D93,
                'Raw PhocalPoint Data'!E:E = E93,
                'Raw PhocalPoint Data'!F:F = F93
              ) -
             "&amp;" ROW(INDIRECT(""1:"" &amp; (2008 - A93))) *
              (
                (
                  FILTER('Raw PhocalPoint Data'!G:G,
                    'Raw PhocalPoint Data'!A:A = 2012,
                    'Raw PhocalPoint Data'!D:D = D93,
                   "&amp;" 'Raw PhocalPoint Data'!E:E = E93,
                    'Raw PhocalPoint Data'!F:F = F93
                  ) /
                  FILTER('Raw PhocalPoint Data'!G:G,
                    'Raw PhocalPoint Data'!A:A = 2011,
                    'Raw PhocalPoint "&amp;"Data'!D:D = D93,
                    'Raw PhocalPoint Data'!E:E = E93,
                    'Raw PhocalPoint Data'!F:F = F93
                  ) - 1
                ) / 5
              )
            )
          )
        )
      )
    ),
    (
      FILTER"&amp;"('Raw PhocalPoint Data'!G:G,
        'Raw PhocalPoint Data'!A:A = 2009,
        'Raw PhocalPoint Data'!D:D = D93,
        'Raw PhocalPoint Data'!E:E = E93,
        'Raw PhocalPoint Data'!F:F = F93
      ) /
      PRODUCT(
        ARRAYFORMULA(
          ("&amp;"
            FILTER('Raw PhocalPoint Data'!G:G,
              'Raw PhocalPoint Data'!A:A = 2012,
              'Raw PhocalPoint Data'!D:D = D93,
              'Raw PhocalPoint Data'!E:E = E93,
              'Raw PhocalPoint Data'!F:F = F93
            ) /"&amp;"
            FILTER('Raw PhocalPoint Data'!G:G,
              'Raw PhocalPoint Data'!A:A = 2011,
              'Raw PhocalPoint Data'!D:D = D93,
              'Raw PhocalPoint Data'!E:E = E93,
              'Raw PhocalPoint Data'!F:F = F93
            ) -"&amp;"
            (ROW(INDIRECT(""1:"" &amp; (2010 - A93))) - 1) *
            (
              (
                FILTER('Raw PhocalPoint Data'!G:G,
                  'Raw PhocalPoint Data'!A:A = 2012,
                  'Raw PhocalPoint Data'!D:D = D93,
           "&amp;"       'Raw PhocalPoint Data'!E:E = E93,
                  'Raw PhocalPoint Data'!F:F = F93
                ) /
                FILTER('Raw PhocalPoint Data'!G:G,
                  'Raw PhocalPoint Data'!A:A = 2011,
                  'Raw PhocalPoint Data"&amp;"'!D:D = D93,
                  'Raw PhocalPoint Data'!E:E = E93,
                  'Raw PhocalPoint Data'!F:F = F93
                ) - 1
              ) / 5
            )
          )
        )
      )
    ) *
    INDEX('Raw GDP data'!$I$2:$M$100,
      M"&amp;"ATCH(D93, 'Raw GDP data'!$H$2:$H$100, 0),
      MATCH(A93, 'Raw GDP data'!$I$1:$M$1, 0)
    )
  )),
  """"
)
"),90765749.5658166)</f>
        <v>90765749.565816596</v>
      </c>
      <c r="H93" s="86"/>
      <c r="I93" s="87">
        <f ca="1">IFERROR(__xludf.DUMMYFUNCTION("""COMPUTED_VALUE"""),2007)</f>
        <v>2007</v>
      </c>
      <c r="J93" s="88" t="str">
        <f ca="1">IFERROR(__xludf.DUMMYFUNCTION("""COMPUTED_VALUE"""),"Thailand")</f>
        <v>Thailand</v>
      </c>
      <c r="K93" s="89">
        <f ca="1">IFERROR(
  SUMIFS(
    'New Backfilled Data'!G:G,
    'New Backfilled Data'!A:A, I93,
    'New Backfilled Data'!D:D, J93,
    'New Backfilled Data'!E:E, "Online"
  ) /
  SUMIFS(
    'New Backfilled Data'!G:G,
    'New Backfilled Data'!A:A, I93,
    'New Backfilled Data'!D:D, J93
  ),
  ""
)</f>
        <v>0.10374111948255299</v>
      </c>
      <c r="L93" s="90"/>
      <c r="M93" s="90"/>
    </row>
    <row r="94" spans="1:13" ht="17" x14ac:dyDescent="0.2">
      <c r="A94" s="37">
        <v>2005</v>
      </c>
      <c r="B94" s="38" t="s">
        <v>66</v>
      </c>
      <c r="C94" s="38" t="s">
        <v>35</v>
      </c>
      <c r="D94" s="38" t="s">
        <v>37</v>
      </c>
      <c r="E94" s="38" t="s">
        <v>69</v>
      </c>
      <c r="F94" s="38" t="s">
        <v>70</v>
      </c>
      <c r="G94" s="79">
        <f ca="1">IFERROR(__xludf.DUMMYFUNCTION("IFERROR(
  IF(A94 = 2008,
    IF(E94 = ""Online"",
      FILTER('Raw PhocalPoint Data'!G:G,
        'Raw PhocalPoint Data'!A:A = 2009,
        'Raw PhocalPoint Data'!D:D = D94,
        'Raw PhocalPoint Data'!E:E = E94,
        'Raw PhocalPoint Data'!F:F ="&amp;" F94
      ) /
      (
        FILTER('Raw PhocalPoint Data'!G:G,
          'Raw PhocalPoint Data'!A:A = 2012,
          'Raw PhocalPoint Data'!D:D = D94,
          'Raw PhocalPoint Data'!E:E = E94,
          'Raw PhocalPoint Data'!F:F = F94
        ) /
 "&amp;"       FILTER('Raw PhocalPoint Data'!G:G,
          'Raw PhocalPoint Data'!A:A = 2011,
          'Raw PhocalPoint Data'!D:D = D94,
          'Raw PhocalPoint Data'!E:E = E94,
          'Raw PhocalPoint Data'!F:F = F94
        )
      ),
      FILTER('Raw "&amp;"PhocalPoint Data'!G:G,
        'Raw PhocalPoint Data'!A:A = 2009,
        'Raw PhocalPoint Data'!D:D = D94,
        'Raw PhocalPoint Data'!E:E = E94,
        'Raw PhocalPoint Data'!F:F = F94
      ) *
      (
        INDEX('Raw GDP data'!$I$2:$M$100,
    "&amp;"      MATCH(D94, 'Raw GDP data'!$H$2:$H$100, 0),
          MATCH(2008, 'Raw GDP data'!$I$1:$M$1, 0)
        ) /
        INDEX('Raw GDP data'!$I$2:$M$100,
          MATCH(D94, 'Raw GDP data'!$H$2:$H$100, 0),
          MATCH(2009, 'Raw GDP data'!$I$1:$M$1, "&amp;"0)
        )
      )
    ),
  IF(A94 &lt; 2008,
    (
      FILTER(G:G,
        A:A = 2008,
        D:D = D94,
        E:E = E94,
        F:F = F94
      ) /
      PRODUCT(
        ARRAYFORMULA(
          (
            (
              FILTER('Raw PhocalPoint"&amp;" Data'!G:G,
                'Raw PhocalPoint Data'!A:A = 2012,
                'Raw PhocalPoint Data'!D:D = D94,
                'Raw PhocalPoint Data'!E:E = E94,
                'Raw PhocalPoint Data'!F:F = F94
              ) /
              FILTER('Raw"&amp;" PhocalPoint Data'!G:G,
                'Raw PhocalPoint Data'!A:A = 2011,
                'Raw PhocalPoint Data'!D:D = D94,
                'Raw PhocalPoint Data'!E:E = E94,
                'Raw PhocalPoint Data'!F:F = F94
              ) -
             "&amp;" ROW(INDIRECT(""1:"" &amp; (2008 - A94))) *
              (
                (
                  FILTER('Raw PhocalPoint Data'!G:G,
                    'Raw PhocalPoint Data'!A:A = 2012,
                    'Raw PhocalPoint Data'!D:D = D94,
                   "&amp;" 'Raw PhocalPoint Data'!E:E = E94,
                    'Raw PhocalPoint Data'!F:F = F94
                  ) /
                  FILTER('Raw PhocalPoint Data'!G:G,
                    'Raw PhocalPoint Data'!A:A = 2011,
                    'Raw PhocalPoint "&amp;"Data'!D:D = D94,
                    'Raw PhocalPoint Data'!E:E = E94,
                    'Raw PhocalPoint Data'!F:F = F94
                  ) - 1
                ) / 5
              )
            )
          )
        )
      )
    ),
    (
      FILTER"&amp;"('Raw PhocalPoint Data'!G:G,
        'Raw PhocalPoint Data'!A:A = 2009,
        'Raw PhocalPoint Data'!D:D = D94,
        'Raw PhocalPoint Data'!E:E = E94,
        'Raw PhocalPoint Data'!F:F = F94
      ) /
      PRODUCT(
        ARRAYFORMULA(
          ("&amp;"
            FILTER('Raw PhocalPoint Data'!G:G,
              'Raw PhocalPoint Data'!A:A = 2012,
              'Raw PhocalPoint Data'!D:D = D94,
              'Raw PhocalPoint Data'!E:E = E94,
              'Raw PhocalPoint Data'!F:F = F94
            ) /"&amp;"
            FILTER('Raw PhocalPoint Data'!G:G,
              'Raw PhocalPoint Data'!A:A = 2011,
              'Raw PhocalPoint Data'!D:D = D94,
              'Raw PhocalPoint Data'!E:E = E94,
              'Raw PhocalPoint Data'!F:F = F94
            ) -"&amp;"
            (ROW(INDIRECT(""1:"" &amp; (2010 - A94))) - 1) *
            (
              (
                FILTER('Raw PhocalPoint Data'!G:G,
                  'Raw PhocalPoint Data'!A:A = 2012,
                  'Raw PhocalPoint Data'!D:D = D94,
           "&amp;"       'Raw PhocalPoint Data'!E:E = E94,
                  'Raw PhocalPoint Data'!F:F = F94
                ) /
                FILTER('Raw PhocalPoint Data'!G:G,
                  'Raw PhocalPoint Data'!A:A = 2011,
                  'Raw PhocalPoint Data"&amp;"'!D:D = D94,
                  'Raw PhocalPoint Data'!E:E = E94,
                  'Raw PhocalPoint Data'!F:F = F94
                ) - 1
              ) / 5
            )
          )
        )
      )
    ) *
    INDEX('Raw GDP data'!$I$2:$M$100,
      M"&amp;"ATCH(D94, 'Raw GDP data'!$H$2:$H$100, 0),
      MATCH(A94, 'Raw GDP data'!$I$1:$M$1, 0)
    )
  )),
  """"
)
"),555186230.26504)</f>
        <v>555186230.26504004</v>
      </c>
      <c r="H94" s="80"/>
      <c r="I94" s="81">
        <f ca="1">IFERROR(__xludf.DUMMYFUNCTION("""COMPUTED_VALUE"""),2007)</f>
        <v>2007</v>
      </c>
      <c r="J94" s="82" t="str">
        <f ca="1">IFERROR(__xludf.DUMMYFUNCTION("""COMPUTED_VALUE"""),"Bulgaria")</f>
        <v>Bulgaria</v>
      </c>
      <c r="K94" s="83">
        <f ca="1">IFERROR(
  SUMIFS(
    'New Backfilled Data'!G:G,
    'New Backfilled Data'!A:A, I94,
    'New Backfilled Data'!D:D, J94,
    'New Backfilled Data'!E:E, "Online"
  ) /
  SUMIFS(
    'New Backfilled Data'!G:G,
    'New Backfilled Data'!A:A, I94,
    'New Backfilled Data'!D:D, J94
  ),
  ""
)</f>
        <v>4.5149214871764001E-2</v>
      </c>
      <c r="L94" s="84"/>
      <c r="M94" s="84"/>
    </row>
    <row r="95" spans="1:13" ht="17" x14ac:dyDescent="0.2">
      <c r="A95" s="44">
        <v>2005</v>
      </c>
      <c r="B95" s="45" t="s">
        <v>66</v>
      </c>
      <c r="C95" s="45" t="s">
        <v>35</v>
      </c>
      <c r="D95" s="45" t="s">
        <v>38</v>
      </c>
      <c r="E95" s="45" t="s">
        <v>67</v>
      </c>
      <c r="F95" s="45" t="s">
        <v>67</v>
      </c>
      <c r="G95" s="85">
        <f ca="1">IFERROR(__xludf.DUMMYFUNCTION("IFERROR(
  IF(A95 = 2008,
    IF(E95 = ""Online"",
      FILTER('Raw PhocalPoint Data'!G:G,
        'Raw PhocalPoint Data'!A:A = 2009,
        'Raw PhocalPoint Data'!D:D = D95,
        'Raw PhocalPoint Data'!E:E = E95,
        'Raw PhocalPoint Data'!F:F ="&amp;" F95
      ) /
      (
        FILTER('Raw PhocalPoint Data'!G:G,
          'Raw PhocalPoint Data'!A:A = 2012,
          'Raw PhocalPoint Data'!D:D = D95,
          'Raw PhocalPoint Data'!E:E = E95,
          'Raw PhocalPoint Data'!F:F = F95
        ) /
 "&amp;"       FILTER('Raw PhocalPoint Data'!G:G,
          'Raw PhocalPoint Data'!A:A = 2011,
          'Raw PhocalPoint Data'!D:D = D95,
          'Raw PhocalPoint Data'!E:E = E95,
          'Raw PhocalPoint Data'!F:F = F95
        )
      ),
      FILTER('Raw "&amp;"PhocalPoint Data'!G:G,
        'Raw PhocalPoint Data'!A:A = 2009,
        'Raw PhocalPoint Data'!D:D = D95,
        'Raw PhocalPoint Data'!E:E = E95,
        'Raw PhocalPoint Data'!F:F = F95
      ) *
      (
        INDEX('Raw GDP data'!$I$2:$M$100,
    "&amp;"      MATCH(D95, 'Raw GDP data'!$H$2:$H$100, 0),
          MATCH(2008, 'Raw GDP data'!$I$1:$M$1, 0)
        ) /
        INDEX('Raw GDP data'!$I$2:$M$100,
          MATCH(D95, 'Raw GDP data'!$H$2:$H$100, 0),
          MATCH(2009, 'Raw GDP data'!$I$1:$M$1, "&amp;"0)
        )
      )
    ),
  IF(A95 &lt; 2008,
    (
      FILTER(G:G,
        A:A = 2008,
        D:D = D95,
        E:E = E95,
        F:F = F95
      ) /
      PRODUCT(
        ARRAYFORMULA(
          (
            (
              FILTER('Raw PhocalPoint"&amp;" Data'!G:G,
                'Raw PhocalPoint Data'!A:A = 2012,
                'Raw PhocalPoint Data'!D:D = D95,
                'Raw PhocalPoint Data'!E:E = E95,
                'Raw PhocalPoint Data'!F:F = F95
              ) /
              FILTER('Raw"&amp;" PhocalPoint Data'!G:G,
                'Raw PhocalPoint Data'!A:A = 2011,
                'Raw PhocalPoint Data'!D:D = D95,
                'Raw PhocalPoint Data'!E:E = E95,
                'Raw PhocalPoint Data'!F:F = F95
              ) -
             "&amp;" ROW(INDIRECT(""1:"" &amp; (2008 - A95))) *
              (
                (
                  FILTER('Raw PhocalPoint Data'!G:G,
                    'Raw PhocalPoint Data'!A:A = 2012,
                    'Raw PhocalPoint Data'!D:D = D95,
                   "&amp;" 'Raw PhocalPoint Data'!E:E = E95,
                    'Raw PhocalPoint Data'!F:F = F95
                  ) /
                  FILTER('Raw PhocalPoint Data'!G:G,
                    'Raw PhocalPoint Data'!A:A = 2011,
                    'Raw PhocalPoint "&amp;"Data'!D:D = D95,
                    'Raw PhocalPoint Data'!E:E = E95,
                    'Raw PhocalPoint Data'!F:F = F95
                  ) - 1
                ) / 5
              )
            )
          )
        )
      )
    ),
    (
      FILTER"&amp;"('Raw PhocalPoint Data'!G:G,
        'Raw PhocalPoint Data'!A:A = 2009,
        'Raw PhocalPoint Data'!D:D = D95,
        'Raw PhocalPoint Data'!E:E = E95,
        'Raw PhocalPoint Data'!F:F = F95
      ) /
      PRODUCT(
        ARRAYFORMULA(
          ("&amp;"
            FILTER('Raw PhocalPoint Data'!G:G,
              'Raw PhocalPoint Data'!A:A = 2012,
              'Raw PhocalPoint Data'!D:D = D95,
              'Raw PhocalPoint Data'!E:E = E95,
              'Raw PhocalPoint Data'!F:F = F95
            ) /"&amp;"
            FILTER('Raw PhocalPoint Data'!G:G,
              'Raw PhocalPoint Data'!A:A = 2011,
              'Raw PhocalPoint Data'!D:D = D95,
              'Raw PhocalPoint Data'!E:E = E95,
              'Raw PhocalPoint Data'!F:F = F95
            ) -"&amp;"
            (ROW(INDIRECT(""1:"" &amp; (2010 - A95))) - 1) *
            (
              (
                FILTER('Raw PhocalPoint Data'!G:G,
                  'Raw PhocalPoint Data'!A:A = 2012,
                  'Raw PhocalPoint Data'!D:D = D95,
           "&amp;"       'Raw PhocalPoint Data'!E:E = E95,
                  'Raw PhocalPoint Data'!F:F = F95
                ) /
                FILTER('Raw PhocalPoint Data'!G:G,
                  'Raw PhocalPoint Data'!A:A = 2011,
                  'Raw PhocalPoint Data"&amp;"'!D:D = D95,
                  'Raw PhocalPoint Data'!E:E = E95,
                  'Raw PhocalPoint Data'!F:F = F95
                ) - 1
              ) / 5
            )
          )
        )
      )
    ) *
    INDEX('Raw GDP data'!$I$2:$M$100,
      M"&amp;"ATCH(D95, 'Raw GDP data'!$H$2:$H$100, 0),
      MATCH(A95, 'Raw GDP data'!$I$1:$M$1, 0)
    )
  )),
  """"
)
"),7763462786.37545)</f>
        <v>7763462786.3754501</v>
      </c>
      <c r="H95" s="86"/>
      <c r="I95" s="87">
        <f ca="1">IFERROR(__xludf.DUMMYFUNCTION("""COMPUTED_VALUE"""),2007)</f>
        <v>2007</v>
      </c>
      <c r="J95" s="88" t="str">
        <f ca="1">IFERROR(__xludf.DUMMYFUNCTION("""COMPUTED_VALUE"""),"Czech Republic")</f>
        <v>Czech Republic</v>
      </c>
      <c r="K95" s="89">
        <f ca="1">IFERROR(
  SUMIFS(
    'New Backfilled Data'!G:G,
    'New Backfilled Data'!A:A, I95,
    'New Backfilled Data'!D:D, J95,
    'New Backfilled Data'!E:E, "Online"
  ) /
  SUMIFS(
    'New Backfilled Data'!G:G,
    'New Backfilled Data'!A:A, I95,
    'New Backfilled Data'!D:D, J95
  ),
  ""
)</f>
        <v>0.11587486484085927</v>
      </c>
      <c r="L95" s="90"/>
      <c r="M95" s="90"/>
    </row>
    <row r="96" spans="1:13" ht="17" x14ac:dyDescent="0.2">
      <c r="A96" s="37">
        <v>2005</v>
      </c>
      <c r="B96" s="38" t="s">
        <v>66</v>
      </c>
      <c r="C96" s="38" t="s">
        <v>35</v>
      </c>
      <c r="D96" s="38" t="s">
        <v>38</v>
      </c>
      <c r="E96" s="38" t="s">
        <v>69</v>
      </c>
      <c r="F96" s="38" t="s">
        <v>71</v>
      </c>
      <c r="G96" s="79">
        <f ca="1">IFERROR(__xludf.DUMMYFUNCTION("IFERROR(
  IF(A96 = 2008,
    IF(E96 = ""Online"",
      FILTER('Raw PhocalPoint Data'!G:G,
        'Raw PhocalPoint Data'!A:A = 2009,
        'Raw PhocalPoint Data'!D:D = D96,
        'Raw PhocalPoint Data'!E:E = E96,
        'Raw PhocalPoint Data'!F:F ="&amp;" F96
      ) /
      (
        FILTER('Raw PhocalPoint Data'!G:G,
          'Raw PhocalPoint Data'!A:A = 2012,
          'Raw PhocalPoint Data'!D:D = D96,
          'Raw PhocalPoint Data'!E:E = E96,
          'Raw PhocalPoint Data'!F:F = F96
        ) /
 "&amp;"       FILTER('Raw PhocalPoint Data'!G:G,
          'Raw PhocalPoint Data'!A:A = 2011,
          'Raw PhocalPoint Data'!D:D = D96,
          'Raw PhocalPoint Data'!E:E = E96,
          'Raw PhocalPoint Data'!F:F = F96
        )
      ),
      FILTER('Raw "&amp;"PhocalPoint Data'!G:G,
        'Raw PhocalPoint Data'!A:A = 2009,
        'Raw PhocalPoint Data'!D:D = D96,
        'Raw PhocalPoint Data'!E:E = E96,
        'Raw PhocalPoint Data'!F:F = F96
      ) *
      (
        INDEX('Raw GDP data'!$I$2:$M$100,
    "&amp;"      MATCH(D96, 'Raw GDP data'!$H$2:$H$100, 0),
          MATCH(2008, 'Raw GDP data'!$I$1:$M$1, 0)
        ) /
        INDEX('Raw GDP data'!$I$2:$M$100,
          MATCH(D96, 'Raw GDP data'!$H$2:$H$100, 0),
          MATCH(2009, 'Raw GDP data'!$I$1:$M$1, "&amp;"0)
        )
      )
    ),
  IF(A96 &lt; 2008,
    (
      FILTER(G:G,
        A:A = 2008,
        D:D = D96,
        E:E = E96,
        F:F = F96
      ) /
      PRODUCT(
        ARRAYFORMULA(
          (
            (
              FILTER('Raw PhocalPoint"&amp;" Data'!G:G,
                'Raw PhocalPoint Data'!A:A = 2012,
                'Raw PhocalPoint Data'!D:D = D96,
                'Raw PhocalPoint Data'!E:E = E96,
                'Raw PhocalPoint Data'!F:F = F96
              ) /
              FILTER('Raw"&amp;" PhocalPoint Data'!G:G,
                'Raw PhocalPoint Data'!A:A = 2011,
                'Raw PhocalPoint Data'!D:D = D96,
                'Raw PhocalPoint Data'!E:E = E96,
                'Raw PhocalPoint Data'!F:F = F96
              ) -
             "&amp;" ROW(INDIRECT(""1:"" &amp; (2008 - A96))) *
              (
                (
                  FILTER('Raw PhocalPoint Data'!G:G,
                    'Raw PhocalPoint Data'!A:A = 2012,
                    'Raw PhocalPoint Data'!D:D = D96,
                   "&amp;" 'Raw PhocalPoint Data'!E:E = E96,
                    'Raw PhocalPoint Data'!F:F = F96
                  ) /
                  FILTER('Raw PhocalPoint Data'!G:G,
                    'Raw PhocalPoint Data'!A:A = 2011,
                    'Raw PhocalPoint "&amp;"Data'!D:D = D96,
                    'Raw PhocalPoint Data'!E:E = E96,
                    'Raw PhocalPoint Data'!F:F = F96
                  ) - 1
                ) / 5
              )
            )
          )
        )
      )
    ),
    (
      FILTER"&amp;"('Raw PhocalPoint Data'!G:G,
        'Raw PhocalPoint Data'!A:A = 2009,
        'Raw PhocalPoint Data'!D:D = D96,
        'Raw PhocalPoint Data'!E:E = E96,
        'Raw PhocalPoint Data'!F:F = F96
      ) /
      PRODUCT(
        ARRAYFORMULA(
          ("&amp;"
            FILTER('Raw PhocalPoint Data'!G:G,
              'Raw PhocalPoint Data'!A:A = 2012,
              'Raw PhocalPoint Data'!D:D = D96,
              'Raw PhocalPoint Data'!E:E = E96,
              'Raw PhocalPoint Data'!F:F = F96
            ) /"&amp;"
            FILTER('Raw PhocalPoint Data'!G:G,
              'Raw PhocalPoint Data'!A:A = 2011,
              'Raw PhocalPoint Data'!D:D = D96,
              'Raw PhocalPoint Data'!E:E = E96,
              'Raw PhocalPoint Data'!F:F = F96
            ) -"&amp;"
            (ROW(INDIRECT(""1:"" &amp; (2010 - A96))) - 1) *
            (
              (
                FILTER('Raw PhocalPoint Data'!G:G,
                  'Raw PhocalPoint Data'!A:A = 2012,
                  'Raw PhocalPoint Data'!D:D = D96,
           "&amp;"       'Raw PhocalPoint Data'!E:E = E96,
                  'Raw PhocalPoint Data'!F:F = F96
                ) /
                FILTER('Raw PhocalPoint Data'!G:G,
                  'Raw PhocalPoint Data'!A:A = 2011,
                  'Raw PhocalPoint Data"&amp;"'!D:D = D96,
                  'Raw PhocalPoint Data'!E:E = E96,
                  'Raw PhocalPoint Data'!F:F = F96
                ) - 1
              ) / 5
            )
          )
        )
      )
    ) *
    INDEX('Raw GDP data'!$I$2:$M$100,
      M"&amp;"ATCH(D96, 'Raw GDP data'!$H$2:$H$100, 0),
      MATCH(A96, 'Raw GDP data'!$I$1:$M$1, 0)
    )
  )),
  """"
)
"),145189974.194171)</f>
        <v>145189974.19417101</v>
      </c>
      <c r="H96" s="80"/>
      <c r="I96" s="81">
        <f ca="1">IFERROR(__xludf.DUMMYFUNCTION("""COMPUTED_VALUE"""),2007)</f>
        <v>2007</v>
      </c>
      <c r="J96" s="82" t="str">
        <f ca="1">IFERROR(__xludf.DUMMYFUNCTION("""COMPUTED_VALUE"""),"Greece")</f>
        <v>Greece</v>
      </c>
      <c r="K96" s="83">
        <f ca="1">IFERROR(
  SUMIFS(
    'New Backfilled Data'!G:G,
    'New Backfilled Data'!A:A, I96,
    'New Backfilled Data'!D:D, J96,
    'New Backfilled Data'!E:E, "Online"
  ) /
  SUMIFS(
    'New Backfilled Data'!G:G,
    'New Backfilled Data'!A:A, I96,
    'New Backfilled Data'!D:D, J96
  ),
  ""
)</f>
        <v>0.17372046240850209</v>
      </c>
      <c r="L96" s="84"/>
      <c r="M96" s="84"/>
    </row>
    <row r="97" spans="1:13" ht="17" x14ac:dyDescent="0.2">
      <c r="A97" s="44">
        <v>2005</v>
      </c>
      <c r="B97" s="45" t="s">
        <v>66</v>
      </c>
      <c r="C97" s="45" t="s">
        <v>35</v>
      </c>
      <c r="D97" s="45" t="s">
        <v>38</v>
      </c>
      <c r="E97" s="45" t="s">
        <v>69</v>
      </c>
      <c r="F97" s="45" t="s">
        <v>70</v>
      </c>
      <c r="G97" s="85">
        <f ca="1">IFERROR(__xludf.DUMMYFUNCTION("IFERROR(
  IF(A97 = 2008,
    IF(E97 = ""Online"",
      FILTER('Raw PhocalPoint Data'!G:G,
        'Raw PhocalPoint Data'!A:A = 2009,
        'Raw PhocalPoint Data'!D:D = D97,
        'Raw PhocalPoint Data'!E:E = E97,
        'Raw PhocalPoint Data'!F:F ="&amp;" F97
      ) /
      (
        FILTER('Raw PhocalPoint Data'!G:G,
          'Raw PhocalPoint Data'!A:A = 2012,
          'Raw PhocalPoint Data'!D:D = D97,
          'Raw PhocalPoint Data'!E:E = E97,
          'Raw PhocalPoint Data'!F:F = F97
        ) /
 "&amp;"       FILTER('Raw PhocalPoint Data'!G:G,
          'Raw PhocalPoint Data'!A:A = 2011,
          'Raw PhocalPoint Data'!D:D = D97,
          'Raw PhocalPoint Data'!E:E = E97,
          'Raw PhocalPoint Data'!F:F = F97
        )
      ),
      FILTER('Raw "&amp;"PhocalPoint Data'!G:G,
        'Raw PhocalPoint Data'!A:A = 2009,
        'Raw PhocalPoint Data'!D:D = D97,
        'Raw PhocalPoint Data'!E:E = E97,
        'Raw PhocalPoint Data'!F:F = F97
      ) *
      (
        INDEX('Raw GDP data'!$I$2:$M$100,
    "&amp;"      MATCH(D97, 'Raw GDP data'!$H$2:$H$100, 0),
          MATCH(2008, 'Raw GDP data'!$I$1:$M$1, 0)
        ) /
        INDEX('Raw GDP data'!$I$2:$M$100,
          MATCH(D97, 'Raw GDP data'!$H$2:$H$100, 0),
          MATCH(2009, 'Raw GDP data'!$I$1:$M$1, "&amp;"0)
        )
      )
    ),
  IF(A97 &lt; 2008,
    (
      FILTER(G:G,
        A:A = 2008,
        D:D = D97,
        E:E = E97,
        F:F = F97
      ) /
      PRODUCT(
        ARRAYFORMULA(
          (
            (
              FILTER('Raw PhocalPoint"&amp;" Data'!G:G,
                'Raw PhocalPoint Data'!A:A = 2012,
                'Raw PhocalPoint Data'!D:D = D97,
                'Raw PhocalPoint Data'!E:E = E97,
                'Raw PhocalPoint Data'!F:F = F97
              ) /
              FILTER('Raw"&amp;" PhocalPoint Data'!G:G,
                'Raw PhocalPoint Data'!A:A = 2011,
                'Raw PhocalPoint Data'!D:D = D97,
                'Raw PhocalPoint Data'!E:E = E97,
                'Raw PhocalPoint Data'!F:F = F97
              ) -
             "&amp;" ROW(INDIRECT(""1:"" &amp; (2008 - A97))) *
              (
                (
                  FILTER('Raw PhocalPoint Data'!G:G,
                    'Raw PhocalPoint Data'!A:A = 2012,
                    'Raw PhocalPoint Data'!D:D = D97,
                   "&amp;" 'Raw PhocalPoint Data'!E:E = E97,
                    'Raw PhocalPoint Data'!F:F = F97
                  ) /
                  FILTER('Raw PhocalPoint Data'!G:G,
                    'Raw PhocalPoint Data'!A:A = 2011,
                    'Raw PhocalPoint "&amp;"Data'!D:D = D97,
                    'Raw PhocalPoint Data'!E:E = E97,
                    'Raw PhocalPoint Data'!F:F = F97
                  ) - 1
                ) / 5
              )
            )
          )
        )
      )
    ),
    (
      FILTER"&amp;"('Raw PhocalPoint Data'!G:G,
        'Raw PhocalPoint Data'!A:A = 2009,
        'Raw PhocalPoint Data'!D:D = D97,
        'Raw PhocalPoint Data'!E:E = E97,
        'Raw PhocalPoint Data'!F:F = F97
      ) /
      PRODUCT(
        ARRAYFORMULA(
          ("&amp;"
            FILTER('Raw PhocalPoint Data'!G:G,
              'Raw PhocalPoint Data'!A:A = 2012,
              'Raw PhocalPoint Data'!D:D = D97,
              'Raw PhocalPoint Data'!E:E = E97,
              'Raw PhocalPoint Data'!F:F = F97
            ) /"&amp;"
            FILTER('Raw PhocalPoint Data'!G:G,
              'Raw PhocalPoint Data'!A:A = 2011,
              'Raw PhocalPoint Data'!D:D = D97,
              'Raw PhocalPoint Data'!E:E = E97,
              'Raw PhocalPoint Data'!F:F = F97
            ) -"&amp;"
            (ROW(INDIRECT(""1:"" &amp; (2010 - A97))) - 1) *
            (
              (
                FILTER('Raw PhocalPoint Data'!G:G,
                  'Raw PhocalPoint Data'!A:A = 2012,
                  'Raw PhocalPoint Data'!D:D = D97,
           "&amp;"       'Raw PhocalPoint Data'!E:E = E97,
                  'Raw PhocalPoint Data'!F:F = F97
                ) /
                FILTER('Raw PhocalPoint Data'!G:G,
                  'Raw PhocalPoint Data'!A:A = 2011,
                  'Raw PhocalPoint Data"&amp;"'!D:D = D97,
                  'Raw PhocalPoint Data'!E:E = E97,
                  'Raw PhocalPoint Data'!F:F = F97
                ) - 1
              ) / 5
            )
          )
        )
      )
    ) *
    INDEX('Raw GDP data'!$I$2:$M$100,
      M"&amp;"ATCH(D97, 'Raw GDP data'!$H$2:$H$100, 0),
      MATCH(A97, 'Raw GDP data'!$I$1:$M$1, 0)
    )
  )),
  """"
)
"),97030426.988457)</f>
        <v>97030426.988456994</v>
      </c>
      <c r="H97" s="86"/>
      <c r="I97" s="87">
        <f ca="1">IFERROR(__xludf.DUMMYFUNCTION("""COMPUTED_VALUE"""),2007)</f>
        <v>2007</v>
      </c>
      <c r="J97" s="88" t="str">
        <f ca="1">IFERROR(__xludf.DUMMYFUNCTION("""COMPUTED_VALUE"""),"Hungary")</f>
        <v>Hungary</v>
      </c>
      <c r="K97" s="89">
        <f ca="1">IFERROR(
  SUMIFS(
    'New Backfilled Data'!G:G,
    'New Backfilled Data'!A:A, I97,
    'New Backfilled Data'!D:D, J97,
    'New Backfilled Data'!E:E, "Online"
  ) /
  SUMIFS(
    'New Backfilled Data'!G:G,
    'New Backfilled Data'!A:A, I97,
    'New Backfilled Data'!D:D, J97
  ),
  ""
)</f>
        <v>0.13332973931659681</v>
      </c>
      <c r="L97" s="90"/>
      <c r="M97" s="90"/>
    </row>
    <row r="98" spans="1:13" ht="17" x14ac:dyDescent="0.2">
      <c r="A98" s="37">
        <v>2005</v>
      </c>
      <c r="B98" s="38" t="s">
        <v>66</v>
      </c>
      <c r="C98" s="38" t="s">
        <v>35</v>
      </c>
      <c r="D98" s="38" t="s">
        <v>39</v>
      </c>
      <c r="E98" s="38" t="s">
        <v>67</v>
      </c>
      <c r="F98" s="38" t="s">
        <v>67</v>
      </c>
      <c r="G98" s="79">
        <f ca="1">IFERROR(__xludf.DUMMYFUNCTION("IFERROR(
  IF(A98 = 2008,
    IF(E98 = ""Online"",
      FILTER('Raw PhocalPoint Data'!G:G,
        'Raw PhocalPoint Data'!A:A = 2009,
        'Raw PhocalPoint Data'!D:D = D98,
        'Raw PhocalPoint Data'!E:E = E98,
        'Raw PhocalPoint Data'!F:F ="&amp;" F98
      ) /
      (
        FILTER('Raw PhocalPoint Data'!G:G,
          'Raw PhocalPoint Data'!A:A = 2012,
          'Raw PhocalPoint Data'!D:D = D98,
          'Raw PhocalPoint Data'!E:E = E98,
          'Raw PhocalPoint Data'!F:F = F98
        ) /
 "&amp;"       FILTER('Raw PhocalPoint Data'!G:G,
          'Raw PhocalPoint Data'!A:A = 2011,
          'Raw PhocalPoint Data'!D:D = D98,
          'Raw PhocalPoint Data'!E:E = E98,
          'Raw PhocalPoint Data'!F:F = F98
        )
      ),
      FILTER('Raw "&amp;"PhocalPoint Data'!G:G,
        'Raw PhocalPoint Data'!A:A = 2009,
        'Raw PhocalPoint Data'!D:D = D98,
        'Raw PhocalPoint Data'!E:E = E98,
        'Raw PhocalPoint Data'!F:F = F98
      ) *
      (
        INDEX('Raw GDP data'!$I$2:$M$100,
    "&amp;"      MATCH(D98, 'Raw GDP data'!$H$2:$H$100, 0),
          MATCH(2008, 'Raw GDP data'!$I$1:$M$1, 0)
        ) /
        INDEX('Raw GDP data'!$I$2:$M$100,
          MATCH(D98, 'Raw GDP data'!$H$2:$H$100, 0),
          MATCH(2009, 'Raw GDP data'!$I$1:$M$1, "&amp;"0)
        )
      )
    ),
  IF(A98 &lt; 2008,
    (
      FILTER(G:G,
        A:A = 2008,
        D:D = D98,
        E:E = E98,
        F:F = F98
      ) /
      PRODUCT(
        ARRAYFORMULA(
          (
            (
              FILTER('Raw PhocalPoint"&amp;" Data'!G:G,
                'Raw PhocalPoint Data'!A:A = 2012,
                'Raw PhocalPoint Data'!D:D = D98,
                'Raw PhocalPoint Data'!E:E = E98,
                'Raw PhocalPoint Data'!F:F = F98
              ) /
              FILTER('Raw"&amp;" PhocalPoint Data'!G:G,
                'Raw PhocalPoint Data'!A:A = 2011,
                'Raw PhocalPoint Data'!D:D = D98,
                'Raw PhocalPoint Data'!E:E = E98,
                'Raw PhocalPoint Data'!F:F = F98
              ) -
             "&amp;" ROW(INDIRECT(""1:"" &amp; (2008 - A98))) *
              (
                (
                  FILTER('Raw PhocalPoint Data'!G:G,
                    'Raw PhocalPoint Data'!A:A = 2012,
                    'Raw PhocalPoint Data'!D:D = D98,
                   "&amp;" 'Raw PhocalPoint Data'!E:E = E98,
                    'Raw PhocalPoint Data'!F:F = F98
                  ) /
                  FILTER('Raw PhocalPoint Data'!G:G,
                    'Raw PhocalPoint Data'!A:A = 2011,
                    'Raw PhocalPoint "&amp;"Data'!D:D = D98,
                    'Raw PhocalPoint Data'!E:E = E98,
                    'Raw PhocalPoint Data'!F:F = F98
                  ) - 1
                ) / 5
              )
            )
          )
        )
      )
    ),
    (
      FILTER"&amp;"('Raw PhocalPoint Data'!G:G,
        'Raw PhocalPoint Data'!A:A = 2009,
        'Raw PhocalPoint Data'!D:D = D98,
        'Raw PhocalPoint Data'!E:E = E98,
        'Raw PhocalPoint Data'!F:F = F98
      ) /
      PRODUCT(
        ARRAYFORMULA(
          ("&amp;"
            FILTER('Raw PhocalPoint Data'!G:G,
              'Raw PhocalPoint Data'!A:A = 2012,
              'Raw PhocalPoint Data'!D:D = D98,
              'Raw PhocalPoint Data'!E:E = E98,
              'Raw PhocalPoint Data'!F:F = F98
            ) /"&amp;"
            FILTER('Raw PhocalPoint Data'!G:G,
              'Raw PhocalPoint Data'!A:A = 2011,
              'Raw PhocalPoint Data'!D:D = D98,
              'Raw PhocalPoint Data'!E:E = E98,
              'Raw PhocalPoint Data'!F:F = F98
            ) -"&amp;"
            (ROW(INDIRECT(""1:"" &amp; (2010 - A98))) - 1) *
            (
              (
                FILTER('Raw PhocalPoint Data'!G:G,
                  'Raw PhocalPoint Data'!A:A = 2012,
                  'Raw PhocalPoint Data'!D:D = D98,
           "&amp;"       'Raw PhocalPoint Data'!E:E = E98,
                  'Raw PhocalPoint Data'!F:F = F98
                ) /
                FILTER('Raw PhocalPoint Data'!G:G,
                  'Raw PhocalPoint Data'!A:A = 2011,
                  'Raw PhocalPoint Data"&amp;"'!D:D = D98,
                  'Raw PhocalPoint Data'!E:E = E98,
                  'Raw PhocalPoint Data'!F:F = F98
                ) - 1
              ) / 5
            )
          )
        )
      )
    ) *
    INDEX('Raw GDP data'!$I$2:$M$100,
      M"&amp;"ATCH(D98, 'Raw GDP data'!$H$2:$H$100, 0),
      MATCH(A98, 'Raw GDP data'!$I$1:$M$1, 0)
    )
  )),
  """"
)
"),18705390695.4389)</f>
        <v>18705390695.4389</v>
      </c>
      <c r="H98" s="80"/>
      <c r="I98" s="81">
        <f ca="1">IFERROR(__xludf.DUMMYFUNCTION("""COMPUTED_VALUE"""),2007)</f>
        <v>2007</v>
      </c>
      <c r="J98" s="82" t="str">
        <f ca="1">IFERROR(__xludf.DUMMYFUNCTION("""COMPUTED_VALUE"""),"Poland")</f>
        <v>Poland</v>
      </c>
      <c r="K98" s="83">
        <f ca="1">IFERROR(
  SUMIFS(
    'New Backfilled Data'!G:G,
    'New Backfilled Data'!A:A, I98,
    'New Backfilled Data'!D:D, J98,
    'New Backfilled Data'!E:E, "Online"
  ) /
  SUMIFS(
    'New Backfilled Data'!G:G,
    'New Backfilled Data'!A:A, I98,
    'New Backfilled Data'!D:D, J98
  ),
  ""
)</f>
        <v>0.10906886832548073</v>
      </c>
      <c r="L98" s="84"/>
      <c r="M98" s="84"/>
    </row>
    <row r="99" spans="1:13" ht="34" x14ac:dyDescent="0.2">
      <c r="A99" s="44">
        <v>2005</v>
      </c>
      <c r="B99" s="45" t="s">
        <v>66</v>
      </c>
      <c r="C99" s="45" t="s">
        <v>35</v>
      </c>
      <c r="D99" s="45" t="s">
        <v>39</v>
      </c>
      <c r="E99" s="45" t="s">
        <v>69</v>
      </c>
      <c r="F99" s="45" t="s">
        <v>71</v>
      </c>
      <c r="G99" s="85">
        <f ca="1">IFERROR(__xludf.DUMMYFUNCTION("IFERROR(
  IF(A99 = 2008,
    IF(E99 = ""Online"",
      FILTER('Raw PhocalPoint Data'!G:G,
        'Raw PhocalPoint Data'!A:A = 2009,
        'Raw PhocalPoint Data'!D:D = D99,
        'Raw PhocalPoint Data'!E:E = E99,
        'Raw PhocalPoint Data'!F:F ="&amp;" F99
      ) /
      (
        FILTER('Raw PhocalPoint Data'!G:G,
          'Raw PhocalPoint Data'!A:A = 2012,
          'Raw PhocalPoint Data'!D:D = D99,
          'Raw PhocalPoint Data'!E:E = E99,
          'Raw PhocalPoint Data'!F:F = F99
        ) /
 "&amp;"       FILTER('Raw PhocalPoint Data'!G:G,
          'Raw PhocalPoint Data'!A:A = 2011,
          'Raw PhocalPoint Data'!D:D = D99,
          'Raw PhocalPoint Data'!E:E = E99,
          'Raw PhocalPoint Data'!F:F = F99
        )
      ),
      FILTER('Raw "&amp;"PhocalPoint Data'!G:G,
        'Raw PhocalPoint Data'!A:A = 2009,
        'Raw PhocalPoint Data'!D:D = D99,
        'Raw PhocalPoint Data'!E:E = E99,
        'Raw PhocalPoint Data'!F:F = F99
      ) *
      (
        INDEX('Raw GDP data'!$I$2:$M$100,
    "&amp;"      MATCH(D99, 'Raw GDP data'!$H$2:$H$100, 0),
          MATCH(2008, 'Raw GDP data'!$I$1:$M$1, 0)
        ) /
        INDEX('Raw GDP data'!$I$2:$M$100,
          MATCH(D99, 'Raw GDP data'!$H$2:$H$100, 0),
          MATCH(2009, 'Raw GDP data'!$I$1:$M$1, "&amp;"0)
        )
      )
    ),
  IF(A99 &lt; 2008,
    (
      FILTER(G:G,
        A:A = 2008,
        D:D = D99,
        E:E = E99,
        F:F = F99
      ) /
      PRODUCT(
        ARRAYFORMULA(
          (
            (
              FILTER('Raw PhocalPoint"&amp;" Data'!G:G,
                'Raw PhocalPoint Data'!A:A = 2012,
                'Raw PhocalPoint Data'!D:D = D99,
                'Raw PhocalPoint Data'!E:E = E99,
                'Raw PhocalPoint Data'!F:F = F99
              ) /
              FILTER('Raw"&amp;" PhocalPoint Data'!G:G,
                'Raw PhocalPoint Data'!A:A = 2011,
                'Raw PhocalPoint Data'!D:D = D99,
                'Raw PhocalPoint Data'!E:E = E99,
                'Raw PhocalPoint Data'!F:F = F99
              ) -
             "&amp;" ROW(INDIRECT(""1:"" &amp; (2008 - A99))) *
              (
                (
                  FILTER('Raw PhocalPoint Data'!G:G,
                    'Raw PhocalPoint Data'!A:A = 2012,
                    'Raw PhocalPoint Data'!D:D = D99,
                   "&amp;" 'Raw PhocalPoint Data'!E:E = E99,
                    'Raw PhocalPoint Data'!F:F = F99
                  ) /
                  FILTER('Raw PhocalPoint Data'!G:G,
                    'Raw PhocalPoint Data'!A:A = 2011,
                    'Raw PhocalPoint "&amp;"Data'!D:D = D99,
                    'Raw PhocalPoint Data'!E:E = E99,
                    'Raw PhocalPoint Data'!F:F = F99
                  ) - 1
                ) / 5
              )
            )
          )
        )
      )
    ),
    (
      FILTER"&amp;"('Raw PhocalPoint Data'!G:G,
        'Raw PhocalPoint Data'!A:A = 2009,
        'Raw PhocalPoint Data'!D:D = D99,
        'Raw PhocalPoint Data'!E:E = E99,
        'Raw PhocalPoint Data'!F:F = F99
      ) /
      PRODUCT(
        ARRAYFORMULA(
          ("&amp;"
            FILTER('Raw PhocalPoint Data'!G:G,
              'Raw PhocalPoint Data'!A:A = 2012,
              'Raw PhocalPoint Data'!D:D = D99,
              'Raw PhocalPoint Data'!E:E = E99,
              'Raw PhocalPoint Data'!F:F = F99
            ) /"&amp;"
            FILTER('Raw PhocalPoint Data'!G:G,
              'Raw PhocalPoint Data'!A:A = 2011,
              'Raw PhocalPoint Data'!D:D = D99,
              'Raw PhocalPoint Data'!E:E = E99,
              'Raw PhocalPoint Data'!F:F = F99
            ) -"&amp;"
            (ROW(INDIRECT(""1:"" &amp; (2010 - A99))) - 1) *
            (
              (
                FILTER('Raw PhocalPoint Data'!G:G,
                  'Raw PhocalPoint Data'!A:A = 2012,
                  'Raw PhocalPoint Data'!D:D = D99,
           "&amp;"       'Raw PhocalPoint Data'!E:E = E99,
                  'Raw PhocalPoint Data'!F:F = F99
                ) /
                FILTER('Raw PhocalPoint Data'!G:G,
                  'Raw PhocalPoint Data'!A:A = 2011,
                  'Raw PhocalPoint Data"&amp;"'!D:D = D99,
                  'Raw PhocalPoint Data'!E:E = E99,
                  'Raw PhocalPoint Data'!F:F = F99
                ) - 1
              ) / 5
            )
          )
        )
      )
    ) *
    INDEX('Raw GDP data'!$I$2:$M$100,
      M"&amp;"ATCH(D99, 'Raw GDP data'!$H$2:$H$100, 0),
      MATCH(A99, 'Raw GDP data'!$I$1:$M$1, 0)
    )
  )),
  """"
)
"),1252495554.48251)</f>
        <v>1252495554.4825101</v>
      </c>
      <c r="H99" s="86"/>
      <c r="I99" s="87">
        <f ca="1">IFERROR(__xludf.DUMMYFUNCTION("""COMPUTED_VALUE"""),2007)</f>
        <v>2007</v>
      </c>
      <c r="J99" s="88" t="str">
        <f ca="1">IFERROR(__xludf.DUMMYFUNCTION("""COMPUTED_VALUE"""),"Rest of Eastern Europe")</f>
        <v>Rest of Eastern Europe</v>
      </c>
      <c r="K99" s="89">
        <f ca="1">IFERROR(
  SUMIFS(
    'New Backfilled Data'!G:G,
    'New Backfilled Data'!A:A, I99,
    'New Backfilled Data'!D:D, J99,
    'New Backfilled Data'!E:E, "Online"
  ) /
  SUMIFS(
    'New Backfilled Data'!G:G,
    'New Backfilled Data'!A:A, I99,
    'New Backfilled Data'!D:D, J99
  ),
  ""
)</f>
        <v>0.11641847442574224</v>
      </c>
      <c r="L99" s="90"/>
      <c r="M99" s="90"/>
    </row>
    <row r="100" spans="1:13" ht="17" x14ac:dyDescent="0.2">
      <c r="A100" s="37">
        <v>2005</v>
      </c>
      <c r="B100" s="38" t="s">
        <v>66</v>
      </c>
      <c r="C100" s="38" t="s">
        <v>35</v>
      </c>
      <c r="D100" s="38" t="s">
        <v>39</v>
      </c>
      <c r="E100" s="38" t="s">
        <v>69</v>
      </c>
      <c r="F100" s="38" t="s">
        <v>70</v>
      </c>
      <c r="G100" s="79">
        <f ca="1">IFERROR(__xludf.DUMMYFUNCTION("IFERROR(
  IF(A100 = 2008,
    IF(E100 = ""Online"",
      FILTER('Raw PhocalPoint Data'!G:G,
        'Raw PhocalPoint Data'!A:A = 2009,
        'Raw PhocalPoint Data'!D:D = D100,
        'Raw PhocalPoint Data'!E:E = E100,
        'Raw PhocalPoint Data'!F"&amp;":F = F100
      ) /
      (
        FILTER('Raw PhocalPoint Data'!G:G,
          'Raw PhocalPoint Data'!A:A = 2012,
          'Raw PhocalPoint Data'!D:D = D100,
          'Raw PhocalPoint Data'!E:E = E100,
          'Raw PhocalPoint Data'!F:F = F100
     "&amp;"   ) /
        FILTER('Raw PhocalPoint Data'!G:G,
          'Raw PhocalPoint Data'!A:A = 2011,
          'Raw PhocalPoint Data'!D:D = D100,
          'Raw PhocalPoint Data'!E:E = E100,
          'Raw PhocalPoint Data'!F:F = F100
        )
      ),
      F"&amp;"ILTER('Raw PhocalPoint Data'!G:G,
        'Raw PhocalPoint Data'!A:A = 2009,
        'Raw PhocalPoint Data'!D:D = D100,
        'Raw PhocalPoint Data'!E:E = E100,
        'Raw PhocalPoint Data'!F:F = F100
      ) *
      (
        INDEX('Raw GDP data'!$I$"&amp;"2:$M$100,
          MATCH(D100, 'Raw GDP data'!$H$2:$H$100, 0),
          MATCH(2008, 'Raw GDP data'!$I$1:$M$1, 0)
        ) /
        INDEX('Raw GDP data'!$I$2:$M$100,
          MATCH(D100, 'Raw GDP data'!$H$2:$H$100, 0),
          MATCH(2009, 'Raw GDP d"&amp;"ata'!$I$1:$M$1, 0)
        )
      )
    ),
  IF(A100 &lt; 2008,
    (
      FILTER(G:G,
        A:A = 2008,
        D:D = D100,
        E:E = E100,
        F:F = F100
      ) /
      PRODUCT(
        ARRAYFORMULA(
          (
            (
              FIL"&amp;"TER('Raw PhocalPoint Data'!G:G,
                'Raw PhocalPoint Data'!A:A = 2012,
                'Raw PhocalPoint Data'!D:D = D100,
                'Raw PhocalPoint Data'!E:E = E100,
                'Raw PhocalPoint Data'!F:F = F100
              ) /
  "&amp;"            FILTER('Raw PhocalPoint Data'!G:G,
                'Raw PhocalPoint Data'!A:A = 2011,
                'Raw PhocalPoint Data'!D:D = D100,
                'Raw PhocalPoint Data'!E:E = E100,
                'Raw PhocalPoint Data'!F:F = F100
     "&amp;"         ) -
              ROW(INDIRECT(""1:"" &amp; (2008 - A100))) *
              (
                (
                  FILTER('Raw PhocalPoint Data'!G:G,
                    'Raw PhocalPoint Data'!A:A = 2012,
                    'Raw PhocalPoint Data'!D:D"&amp;" = D100,
                    'Raw PhocalPoint Data'!E:E = E100,
                    'Raw PhocalPoint Data'!F:F = F100
                  ) /
                  FILTER('Raw PhocalPoint Data'!G:G,
                    'Raw PhocalPoint Data'!A:A = 2011,
       "&amp;"             'Raw PhocalPoint Data'!D:D = D100,
                    'Raw PhocalPoint Data'!E:E = E100,
                    'Raw PhocalPoint Data'!F:F = F100
                  ) - 1
                ) / 5
              )
            )
          )
        )
"&amp;"      )
    ),
    (
      FILTER('Raw PhocalPoint Data'!G:G,
        'Raw PhocalPoint Data'!A:A = 2009,
        'Raw PhocalPoint Data'!D:D = D100,
        'Raw PhocalPoint Data'!E:E = E100,
        'Raw PhocalPoint Data'!F:F = F100
      ) /
      PRODUC"&amp;"T(
        ARRAYFORMULA(
          (
            FILTER('Raw PhocalPoint Data'!G:G,
              'Raw PhocalPoint Data'!A:A = 2012,
              'Raw PhocalPoint Data'!D:D = D100,
              'Raw PhocalPoint Data'!E:E = E100,
              'Raw Phoca"&amp;"lPoint Data'!F:F = F100
            ) /
            FILTER('Raw PhocalPoint Data'!G:G,
              'Raw PhocalPoint Data'!A:A = 2011,
              'Raw PhocalPoint Data'!D:D = D100,
              'Raw PhocalPoint Data'!E:E = E100,
              'Raw Ph"&amp;"ocalPoint Data'!F:F = F100
            ) -
            (ROW(INDIRECT(""1:"" &amp; (2010 - A100))) - 1) *
            (
              (
                FILTER('Raw PhocalPoint Data'!G:G,
                  'Raw PhocalPoint Data'!A:A = 2012,
                  'R"&amp;"aw PhocalPoint Data'!D:D = D100,
                  'Raw PhocalPoint Data'!E:E = E100,
                  'Raw PhocalPoint Data'!F:F = F100
                ) /
                FILTER('Raw PhocalPoint Data'!G:G,
                  'Raw PhocalPoint Data'!A:A ="&amp;" 2011,
                  'Raw PhocalPoint Data'!D:D = D100,
                  'Raw PhocalPoint Data'!E:E = E100,
                  'Raw PhocalPoint Data'!F:F = F100
                ) - 1
              ) / 5
            )
          )
        )
      )
    "&amp;") *
    INDEX('Raw GDP data'!$I$2:$M$100,
      MATCH(D100, 'Raw GDP data'!$H$2:$H$100, 0),
      MATCH(A100, 'Raw GDP data'!$I$1:$M$1, 0)
    )
  )),
  """"
)
"),392155458.152833)</f>
        <v>392155458.15283298</v>
      </c>
      <c r="H100" s="80"/>
      <c r="I100" s="81">
        <f ca="1">IFERROR(__xludf.DUMMYFUNCTION("""COMPUTED_VALUE"""),2007)</f>
        <v>2007</v>
      </c>
      <c r="J100" s="82" t="str">
        <f ca="1">IFERROR(__xludf.DUMMYFUNCTION("""COMPUTED_VALUE"""),"Romania")</f>
        <v>Romania</v>
      </c>
      <c r="K100" s="83">
        <f ca="1">IFERROR(
  SUMIFS(
    'New Backfilled Data'!G:G,
    'New Backfilled Data'!A:A, I100,
    'New Backfilled Data'!D:D, J100,
    'New Backfilled Data'!E:E, "Online"
  ) /
  SUMIFS(
    'New Backfilled Data'!G:G,
    'New Backfilled Data'!A:A, I100,
    'New Backfilled Data'!D:D, J100
  ),
  ""
)</f>
        <v>6.7129831747151356E-2</v>
      </c>
      <c r="L100" s="84"/>
      <c r="M100" s="84"/>
    </row>
    <row r="101" spans="1:13" ht="17" x14ac:dyDescent="0.2">
      <c r="A101" s="44">
        <v>2005</v>
      </c>
      <c r="B101" s="45" t="s">
        <v>66</v>
      </c>
      <c r="C101" s="45" t="s">
        <v>41</v>
      </c>
      <c r="D101" s="45" t="s">
        <v>40</v>
      </c>
      <c r="E101" s="45" t="s">
        <v>67</v>
      </c>
      <c r="F101" s="45" t="s">
        <v>67</v>
      </c>
      <c r="G101" s="85">
        <f ca="1">IFERROR(__xludf.DUMMYFUNCTION("IFERROR(
  IF(A101 = 2008,
    IF(E101 = ""Online"",
      FILTER('Raw PhocalPoint Data'!G:G,
        'Raw PhocalPoint Data'!A:A = 2009,
        'Raw PhocalPoint Data'!D:D = D101,
        'Raw PhocalPoint Data'!E:E = E101,
        'Raw PhocalPoint Data'!F"&amp;":F = F101
      ) /
      (
        FILTER('Raw PhocalPoint Data'!G:G,
          'Raw PhocalPoint Data'!A:A = 2012,
          'Raw PhocalPoint Data'!D:D = D101,
          'Raw PhocalPoint Data'!E:E = E101,
          'Raw PhocalPoint Data'!F:F = F101
     "&amp;"   ) /
        FILTER('Raw PhocalPoint Data'!G:G,
          'Raw PhocalPoint Data'!A:A = 2011,
          'Raw PhocalPoint Data'!D:D = D101,
          'Raw PhocalPoint Data'!E:E = E101,
          'Raw PhocalPoint Data'!F:F = F101
        )
      ),
      F"&amp;"ILTER('Raw PhocalPoint Data'!G:G,
        'Raw PhocalPoint Data'!A:A = 2009,
        'Raw PhocalPoint Data'!D:D = D101,
        'Raw PhocalPoint Data'!E:E = E101,
        'Raw PhocalPoint Data'!F:F = F101
      ) *
      (
        INDEX('Raw GDP data'!$I$"&amp;"2:$M$100,
          MATCH(D101, 'Raw GDP data'!$H$2:$H$100, 0),
          MATCH(2008, 'Raw GDP data'!$I$1:$M$1, 0)
        ) /
        INDEX('Raw GDP data'!$I$2:$M$100,
          MATCH(D101, 'Raw GDP data'!$H$2:$H$100, 0),
          MATCH(2009, 'Raw GDP d"&amp;"ata'!$I$1:$M$1, 0)
        )
      )
    ),
  IF(A101 &lt; 2008,
    (
      FILTER(G:G,
        A:A = 2008,
        D:D = D101,
        E:E = E101,
        F:F = F101
      ) /
      PRODUCT(
        ARRAYFORMULA(
          (
            (
              FIL"&amp;"TER('Raw PhocalPoint Data'!G:G,
                'Raw PhocalPoint Data'!A:A = 2012,
                'Raw PhocalPoint Data'!D:D = D101,
                'Raw PhocalPoint Data'!E:E = E101,
                'Raw PhocalPoint Data'!F:F = F101
              ) /
  "&amp;"            FILTER('Raw PhocalPoint Data'!G:G,
                'Raw PhocalPoint Data'!A:A = 2011,
                'Raw PhocalPoint Data'!D:D = D101,
                'Raw PhocalPoint Data'!E:E = E101,
                'Raw PhocalPoint Data'!F:F = F101
     "&amp;"         ) -
              ROW(INDIRECT(""1:"" &amp; (2008 - A101))) *
              (
                (
                  FILTER('Raw PhocalPoint Data'!G:G,
                    'Raw PhocalPoint Data'!A:A = 2012,
                    'Raw PhocalPoint Data'!D:D"&amp;" = D101,
                    'Raw PhocalPoint Data'!E:E = E101,
                    'Raw PhocalPoint Data'!F:F = F101
                  ) /
                  FILTER('Raw PhocalPoint Data'!G:G,
                    'Raw PhocalPoint Data'!A:A = 2011,
       "&amp;"             'Raw PhocalPoint Data'!D:D = D101,
                    'Raw PhocalPoint Data'!E:E = E101,
                    'Raw PhocalPoint Data'!F:F = F101
                  ) - 1
                ) / 5
              )
            )
          )
        )
"&amp;"      )
    ),
    (
      FILTER('Raw PhocalPoint Data'!G:G,
        'Raw PhocalPoint Data'!A:A = 2009,
        'Raw PhocalPoint Data'!D:D = D101,
        'Raw PhocalPoint Data'!E:E = E101,
        'Raw PhocalPoint Data'!F:F = F101
      ) /
      PRODUC"&amp;"T(
        ARRAYFORMULA(
          (
            FILTER('Raw PhocalPoint Data'!G:G,
              'Raw PhocalPoint Data'!A:A = 2012,
              'Raw PhocalPoint Data'!D:D = D101,
              'Raw PhocalPoint Data'!E:E = E101,
              'Raw Phoca"&amp;"lPoint Data'!F:F = F101
            ) /
            FILTER('Raw PhocalPoint Data'!G:G,
              'Raw PhocalPoint Data'!A:A = 2011,
              'Raw PhocalPoint Data'!D:D = D101,
              'Raw PhocalPoint Data'!E:E = E101,
              'Raw Ph"&amp;"ocalPoint Data'!F:F = F101
            ) -
            (ROW(INDIRECT(""1:"" &amp; (2010 - A101))) - 1) *
            (
              (
                FILTER('Raw PhocalPoint Data'!G:G,
                  'Raw PhocalPoint Data'!A:A = 2012,
                  'R"&amp;"aw PhocalPoint Data'!D:D = D101,
                  'Raw PhocalPoint Data'!E:E = E101,
                  'Raw PhocalPoint Data'!F:F = F101
                ) /
                FILTER('Raw PhocalPoint Data'!G:G,
                  'Raw PhocalPoint Data'!A:A ="&amp;" 2011,
                  'Raw PhocalPoint Data'!D:D = D101,
                  'Raw PhocalPoint Data'!E:E = E101,
                  'Raw PhocalPoint Data'!F:F = F101
                ) - 1
              ) / 5
            )
          )
        )
      )
    "&amp;") *
    INDEX('Raw GDP data'!$I$2:$M$100,
      MATCH(D101, 'Raw GDP data'!$H$2:$H$100, 0),
      MATCH(A101, 'Raw GDP data'!$I$1:$M$1, 0)
    )
  )),
  """"
)
"),5235210193.65272)</f>
        <v>5235210193.6527205</v>
      </c>
      <c r="H101" s="86"/>
      <c r="I101" s="87">
        <f ca="1">IFERROR(__xludf.DUMMYFUNCTION("""COMPUTED_VALUE"""),2007)</f>
        <v>2007</v>
      </c>
      <c r="J101" s="88" t="str">
        <f ca="1">IFERROR(__xludf.DUMMYFUNCTION("""COMPUTED_VALUE"""),"Russia")</f>
        <v>Russia</v>
      </c>
      <c r="K101" s="89">
        <f ca="1">IFERROR(
  SUMIFS(
    'New Backfilled Data'!G:G,
    'New Backfilled Data'!A:A, I101,
    'New Backfilled Data'!D:D, J101,
    'New Backfilled Data'!E:E, "Online"
  ) /
  SUMIFS(
    'New Backfilled Data'!G:G,
    'New Backfilled Data'!A:A, I101,
    'New Backfilled Data'!D:D, J101
  ),
  ""
)</f>
        <v>2.1297684584061182E-2</v>
      </c>
      <c r="L101" s="90"/>
      <c r="M101" s="90"/>
    </row>
    <row r="102" spans="1:13" ht="17" x14ac:dyDescent="0.2">
      <c r="A102" s="37">
        <v>2005</v>
      </c>
      <c r="B102" s="38" t="s">
        <v>66</v>
      </c>
      <c r="C102" s="38" t="s">
        <v>41</v>
      </c>
      <c r="D102" s="38" t="s">
        <v>40</v>
      </c>
      <c r="E102" s="38" t="s">
        <v>69</v>
      </c>
      <c r="F102" s="38" t="s">
        <v>71</v>
      </c>
      <c r="G102" s="79">
        <f ca="1">IFERROR(__xludf.DUMMYFUNCTION("IFERROR(
  IF(A102 = 2008,
    IF(E102 = ""Online"",
      FILTER('Raw PhocalPoint Data'!G:G,
        'Raw PhocalPoint Data'!A:A = 2009,
        'Raw PhocalPoint Data'!D:D = D102,
        'Raw PhocalPoint Data'!E:E = E102,
        'Raw PhocalPoint Data'!F"&amp;":F = F102
      ) /
      (
        FILTER('Raw PhocalPoint Data'!G:G,
          'Raw PhocalPoint Data'!A:A = 2012,
          'Raw PhocalPoint Data'!D:D = D102,
          'Raw PhocalPoint Data'!E:E = E102,
          'Raw PhocalPoint Data'!F:F = F102
     "&amp;"   ) /
        FILTER('Raw PhocalPoint Data'!G:G,
          'Raw PhocalPoint Data'!A:A = 2011,
          'Raw PhocalPoint Data'!D:D = D102,
          'Raw PhocalPoint Data'!E:E = E102,
          'Raw PhocalPoint Data'!F:F = F102
        )
      ),
      F"&amp;"ILTER('Raw PhocalPoint Data'!G:G,
        'Raw PhocalPoint Data'!A:A = 2009,
        'Raw PhocalPoint Data'!D:D = D102,
        'Raw PhocalPoint Data'!E:E = E102,
        'Raw PhocalPoint Data'!F:F = F102
      ) *
      (
        INDEX('Raw GDP data'!$I$"&amp;"2:$M$100,
          MATCH(D102, 'Raw GDP data'!$H$2:$H$100, 0),
          MATCH(2008, 'Raw GDP data'!$I$1:$M$1, 0)
        ) /
        INDEX('Raw GDP data'!$I$2:$M$100,
          MATCH(D102, 'Raw GDP data'!$H$2:$H$100, 0),
          MATCH(2009, 'Raw GDP d"&amp;"ata'!$I$1:$M$1, 0)
        )
      )
    ),
  IF(A102 &lt; 2008,
    (
      FILTER(G:G,
        A:A = 2008,
        D:D = D102,
        E:E = E102,
        F:F = F102
      ) /
      PRODUCT(
        ARRAYFORMULA(
          (
            (
              FIL"&amp;"TER('Raw PhocalPoint Data'!G:G,
                'Raw PhocalPoint Data'!A:A = 2012,
                'Raw PhocalPoint Data'!D:D = D102,
                'Raw PhocalPoint Data'!E:E = E102,
                'Raw PhocalPoint Data'!F:F = F102
              ) /
  "&amp;"            FILTER('Raw PhocalPoint Data'!G:G,
                'Raw PhocalPoint Data'!A:A = 2011,
                'Raw PhocalPoint Data'!D:D = D102,
                'Raw PhocalPoint Data'!E:E = E102,
                'Raw PhocalPoint Data'!F:F = F102
     "&amp;"         ) -
              ROW(INDIRECT(""1:"" &amp; (2008 - A102))) *
              (
                (
                  FILTER('Raw PhocalPoint Data'!G:G,
                    'Raw PhocalPoint Data'!A:A = 2012,
                    'Raw PhocalPoint Data'!D:D"&amp;" = D102,
                    'Raw PhocalPoint Data'!E:E = E102,
                    'Raw PhocalPoint Data'!F:F = F102
                  ) /
                  FILTER('Raw PhocalPoint Data'!G:G,
                    'Raw PhocalPoint Data'!A:A = 2011,
       "&amp;"             'Raw PhocalPoint Data'!D:D = D102,
                    'Raw PhocalPoint Data'!E:E = E102,
                    'Raw PhocalPoint Data'!F:F = F102
                  ) - 1
                ) / 5
              )
            )
          )
        )
"&amp;"      )
    ),
    (
      FILTER('Raw PhocalPoint Data'!G:G,
        'Raw PhocalPoint Data'!A:A = 2009,
        'Raw PhocalPoint Data'!D:D = D102,
        'Raw PhocalPoint Data'!E:E = E102,
        'Raw PhocalPoint Data'!F:F = F102
      ) /
      PRODUC"&amp;"T(
        ARRAYFORMULA(
          (
            FILTER('Raw PhocalPoint Data'!G:G,
              'Raw PhocalPoint Data'!A:A = 2012,
              'Raw PhocalPoint Data'!D:D = D102,
              'Raw PhocalPoint Data'!E:E = E102,
              'Raw Phoca"&amp;"lPoint Data'!F:F = F102
            ) /
            FILTER('Raw PhocalPoint Data'!G:G,
              'Raw PhocalPoint Data'!A:A = 2011,
              'Raw PhocalPoint Data'!D:D = D102,
              'Raw PhocalPoint Data'!E:E = E102,
              'Raw Ph"&amp;"ocalPoint Data'!F:F = F102
            ) -
            (ROW(INDIRECT(""1:"" &amp; (2010 - A102))) - 1) *
            (
              (
                FILTER('Raw PhocalPoint Data'!G:G,
                  'Raw PhocalPoint Data'!A:A = 2012,
                  'R"&amp;"aw PhocalPoint Data'!D:D = D102,
                  'Raw PhocalPoint Data'!E:E = E102,
                  'Raw PhocalPoint Data'!F:F = F102
                ) /
                FILTER('Raw PhocalPoint Data'!G:G,
                  'Raw PhocalPoint Data'!A:A ="&amp;" 2011,
                  'Raw PhocalPoint Data'!D:D = D102,
                  'Raw PhocalPoint Data'!E:E = E102,
                  'Raw PhocalPoint Data'!F:F = F102
                ) - 1
              ) / 5
            )
          )
        )
      )
    "&amp;") *
    INDEX('Raw GDP data'!$I$2:$M$100,
      MATCH(D102, 'Raw GDP data'!$H$2:$H$100, 0),
      MATCH(A102, 'Raw GDP data'!$I$1:$M$1, 0)
    )
  )),
  """"
)
"),131835792.535737)</f>
        <v>131835792.53573699</v>
      </c>
      <c r="H102" s="80"/>
      <c r="I102" s="81">
        <f ca="1">IFERROR(__xludf.DUMMYFUNCTION("""COMPUTED_VALUE"""),2007)</f>
        <v>2007</v>
      </c>
      <c r="J102" s="82" t="str">
        <f ca="1">IFERROR(__xludf.DUMMYFUNCTION("""COMPUTED_VALUE"""),"Ukraine")</f>
        <v>Ukraine</v>
      </c>
      <c r="K102" s="83">
        <f ca="1">IFERROR(
  SUMIFS(
    'New Backfilled Data'!G:G,
    'New Backfilled Data'!A:A, I102,
    'New Backfilled Data'!D:D, J102,
    'New Backfilled Data'!E:E, "Online"
  ) /
  SUMIFS(
    'New Backfilled Data'!G:G,
    'New Backfilled Data'!A:A, I102,
    'New Backfilled Data'!D:D, J102
  ),
  ""
)</f>
        <v>6.5133492702826576E-2</v>
      </c>
      <c r="L102" s="84"/>
      <c r="M102" s="84"/>
    </row>
    <row r="103" spans="1:13" ht="17" x14ac:dyDescent="0.2">
      <c r="A103" s="44">
        <v>2005</v>
      </c>
      <c r="B103" s="45" t="s">
        <v>66</v>
      </c>
      <c r="C103" s="45" t="s">
        <v>41</v>
      </c>
      <c r="D103" s="45" t="s">
        <v>40</v>
      </c>
      <c r="E103" s="45" t="s">
        <v>69</v>
      </c>
      <c r="F103" s="45" t="s">
        <v>70</v>
      </c>
      <c r="G103" s="85">
        <f ca="1">IFERROR(__xludf.DUMMYFUNCTION("IFERROR(
  IF(A103 = 2008,
    IF(E103 = ""Online"",
      FILTER('Raw PhocalPoint Data'!G:G,
        'Raw PhocalPoint Data'!A:A = 2009,
        'Raw PhocalPoint Data'!D:D = D103,
        'Raw PhocalPoint Data'!E:E = E103,
        'Raw PhocalPoint Data'!F"&amp;":F = F103
      ) /
      (
        FILTER('Raw PhocalPoint Data'!G:G,
          'Raw PhocalPoint Data'!A:A = 2012,
          'Raw PhocalPoint Data'!D:D = D103,
          'Raw PhocalPoint Data'!E:E = E103,
          'Raw PhocalPoint Data'!F:F = F103
     "&amp;"   ) /
        FILTER('Raw PhocalPoint Data'!G:G,
          'Raw PhocalPoint Data'!A:A = 2011,
          'Raw PhocalPoint Data'!D:D = D103,
          'Raw PhocalPoint Data'!E:E = E103,
          'Raw PhocalPoint Data'!F:F = F103
        )
      ),
      F"&amp;"ILTER('Raw PhocalPoint Data'!G:G,
        'Raw PhocalPoint Data'!A:A = 2009,
        'Raw PhocalPoint Data'!D:D = D103,
        'Raw PhocalPoint Data'!E:E = E103,
        'Raw PhocalPoint Data'!F:F = F103
      ) *
      (
        INDEX('Raw GDP data'!$I$"&amp;"2:$M$100,
          MATCH(D103, 'Raw GDP data'!$H$2:$H$100, 0),
          MATCH(2008, 'Raw GDP data'!$I$1:$M$1, 0)
        ) /
        INDEX('Raw GDP data'!$I$2:$M$100,
          MATCH(D103, 'Raw GDP data'!$H$2:$H$100, 0),
          MATCH(2009, 'Raw GDP d"&amp;"ata'!$I$1:$M$1, 0)
        )
      )
    ),
  IF(A103 &lt; 2008,
    (
      FILTER(G:G,
        A:A = 2008,
        D:D = D103,
        E:E = E103,
        F:F = F103
      ) /
      PRODUCT(
        ARRAYFORMULA(
          (
            (
              FIL"&amp;"TER('Raw PhocalPoint Data'!G:G,
                'Raw PhocalPoint Data'!A:A = 2012,
                'Raw PhocalPoint Data'!D:D = D103,
                'Raw PhocalPoint Data'!E:E = E103,
                'Raw PhocalPoint Data'!F:F = F103
              ) /
  "&amp;"            FILTER('Raw PhocalPoint Data'!G:G,
                'Raw PhocalPoint Data'!A:A = 2011,
                'Raw PhocalPoint Data'!D:D = D103,
                'Raw PhocalPoint Data'!E:E = E103,
                'Raw PhocalPoint Data'!F:F = F103
     "&amp;"         ) -
              ROW(INDIRECT(""1:"" &amp; (2008 - A103))) *
              (
                (
                  FILTER('Raw PhocalPoint Data'!G:G,
                    'Raw PhocalPoint Data'!A:A = 2012,
                    'Raw PhocalPoint Data'!D:D"&amp;" = D103,
                    'Raw PhocalPoint Data'!E:E = E103,
                    'Raw PhocalPoint Data'!F:F = F103
                  ) /
                  FILTER('Raw PhocalPoint Data'!G:G,
                    'Raw PhocalPoint Data'!A:A = 2011,
       "&amp;"             'Raw PhocalPoint Data'!D:D = D103,
                    'Raw PhocalPoint Data'!E:E = E103,
                    'Raw PhocalPoint Data'!F:F = F103
                  ) - 1
                ) / 5
              )
            )
          )
        )
"&amp;"      )
    ),
    (
      FILTER('Raw PhocalPoint Data'!G:G,
        'Raw PhocalPoint Data'!A:A = 2009,
        'Raw PhocalPoint Data'!D:D = D103,
        'Raw PhocalPoint Data'!E:E = E103,
        'Raw PhocalPoint Data'!F:F = F103
      ) /
      PRODUC"&amp;"T(
        ARRAYFORMULA(
          (
            FILTER('Raw PhocalPoint Data'!G:G,
              'Raw PhocalPoint Data'!A:A = 2012,
              'Raw PhocalPoint Data'!D:D = D103,
              'Raw PhocalPoint Data'!E:E = E103,
              'Raw Phoca"&amp;"lPoint Data'!F:F = F103
            ) /
            FILTER('Raw PhocalPoint Data'!G:G,
              'Raw PhocalPoint Data'!A:A = 2011,
              'Raw PhocalPoint Data'!D:D = D103,
              'Raw PhocalPoint Data'!E:E = E103,
              'Raw Ph"&amp;"ocalPoint Data'!F:F = F103
            ) -
            (ROW(INDIRECT(""1:"" &amp; (2010 - A103))) - 1) *
            (
              (
                FILTER('Raw PhocalPoint Data'!G:G,
                  'Raw PhocalPoint Data'!A:A = 2012,
                  'R"&amp;"aw PhocalPoint Data'!D:D = D103,
                  'Raw PhocalPoint Data'!E:E = E103,
                  'Raw PhocalPoint Data'!F:F = F103
                ) /
                FILTER('Raw PhocalPoint Data'!G:G,
                  'Raw PhocalPoint Data'!A:A ="&amp;" 2011,
                  'Raw PhocalPoint Data'!D:D = D103,
                  'Raw PhocalPoint Data'!E:E = E103,
                  'Raw PhocalPoint Data'!F:F = F103
                ) - 1
              ) / 5
            )
          )
        )
      )
    "&amp;") *
    INDEX('Raw GDP data'!$I$2:$M$100,
      MATCH(D103, 'Raw GDP data'!$H$2:$H$100, 0),
      MATCH(A103, 'Raw GDP data'!$I$1:$M$1, 0)
    )
  )),
  """"
)
"),94573400.5072368)</f>
        <v>94573400.507236794</v>
      </c>
      <c r="H103" s="86"/>
      <c r="I103" s="87">
        <f ca="1">IFERROR(__xludf.DUMMYFUNCTION("""COMPUTED_VALUE"""),2007)</f>
        <v>2007</v>
      </c>
      <c r="J103" s="88" t="str">
        <f ca="1">IFERROR(__xludf.DUMMYFUNCTION("""COMPUTED_VALUE"""),"France")</f>
        <v>France</v>
      </c>
      <c r="K103" s="89">
        <f ca="1">IFERROR(
  SUMIFS(
    'New Backfilled Data'!G:G,
    'New Backfilled Data'!A:A, I103,
    'New Backfilled Data'!D:D, J103,
    'New Backfilled Data'!E:E, "Online"
  ) /
  SUMIFS(
    'New Backfilled Data'!G:G,
    'New Backfilled Data'!A:A, I103,
    'New Backfilled Data'!D:D, J103
  ),
  ""
)</f>
        <v>0.25543209618235363</v>
      </c>
      <c r="L103" s="90"/>
      <c r="M103" s="90"/>
    </row>
    <row r="104" spans="1:13" ht="17" x14ac:dyDescent="0.2">
      <c r="A104" s="37">
        <v>2005</v>
      </c>
      <c r="B104" s="38" t="s">
        <v>66</v>
      </c>
      <c r="C104" s="38" t="s">
        <v>41</v>
      </c>
      <c r="D104" s="38" t="s">
        <v>42</v>
      </c>
      <c r="E104" s="38" t="s">
        <v>67</v>
      </c>
      <c r="F104" s="38" t="s">
        <v>67</v>
      </c>
      <c r="G104" s="79">
        <f ca="1">IFERROR(__xludf.DUMMYFUNCTION("IFERROR(
  IF(A104 = 2008,
    IF(E104 = ""Online"",
      FILTER('Raw PhocalPoint Data'!G:G,
        'Raw PhocalPoint Data'!A:A = 2009,
        'Raw PhocalPoint Data'!D:D = D104,
        'Raw PhocalPoint Data'!E:E = E104,
        'Raw PhocalPoint Data'!F"&amp;":F = F104
      ) /
      (
        FILTER('Raw PhocalPoint Data'!G:G,
          'Raw PhocalPoint Data'!A:A = 2012,
          'Raw PhocalPoint Data'!D:D = D104,
          'Raw PhocalPoint Data'!E:E = E104,
          'Raw PhocalPoint Data'!F:F = F104
     "&amp;"   ) /
        FILTER('Raw PhocalPoint Data'!G:G,
          'Raw PhocalPoint Data'!A:A = 2011,
          'Raw PhocalPoint Data'!D:D = D104,
          'Raw PhocalPoint Data'!E:E = E104,
          'Raw PhocalPoint Data'!F:F = F104
        )
      ),
      F"&amp;"ILTER('Raw PhocalPoint Data'!G:G,
        'Raw PhocalPoint Data'!A:A = 2009,
        'Raw PhocalPoint Data'!D:D = D104,
        'Raw PhocalPoint Data'!E:E = E104,
        'Raw PhocalPoint Data'!F:F = F104
      ) *
      (
        INDEX('Raw GDP data'!$I$"&amp;"2:$M$100,
          MATCH(D104, 'Raw GDP data'!$H$2:$H$100, 0),
          MATCH(2008, 'Raw GDP data'!$I$1:$M$1, 0)
        ) /
        INDEX('Raw GDP data'!$I$2:$M$100,
          MATCH(D104, 'Raw GDP data'!$H$2:$H$100, 0),
          MATCH(2009, 'Raw GDP d"&amp;"ata'!$I$1:$M$1, 0)
        )
      )
    ),
  IF(A104 &lt; 2008,
    (
      FILTER(G:G,
        A:A = 2008,
        D:D = D104,
        E:E = E104,
        F:F = F104
      ) /
      PRODUCT(
        ARRAYFORMULA(
          (
            (
              FIL"&amp;"TER('Raw PhocalPoint Data'!G:G,
                'Raw PhocalPoint Data'!A:A = 2012,
                'Raw PhocalPoint Data'!D:D = D104,
                'Raw PhocalPoint Data'!E:E = E104,
                'Raw PhocalPoint Data'!F:F = F104
              ) /
  "&amp;"            FILTER('Raw PhocalPoint Data'!G:G,
                'Raw PhocalPoint Data'!A:A = 2011,
                'Raw PhocalPoint Data'!D:D = D104,
                'Raw PhocalPoint Data'!E:E = E104,
                'Raw PhocalPoint Data'!F:F = F104
     "&amp;"         ) -
              ROW(INDIRECT(""1:"" &amp; (2008 - A104))) *
              (
                (
                  FILTER('Raw PhocalPoint Data'!G:G,
                    'Raw PhocalPoint Data'!A:A = 2012,
                    'Raw PhocalPoint Data'!D:D"&amp;" = D104,
                    'Raw PhocalPoint Data'!E:E = E104,
                    'Raw PhocalPoint Data'!F:F = F104
                  ) /
                  FILTER('Raw PhocalPoint Data'!G:G,
                    'Raw PhocalPoint Data'!A:A = 2011,
       "&amp;"             'Raw PhocalPoint Data'!D:D = D104,
                    'Raw PhocalPoint Data'!E:E = E104,
                    'Raw PhocalPoint Data'!F:F = F104
                  ) - 1
                ) / 5
              )
            )
          )
        )
"&amp;"      )
    ),
    (
      FILTER('Raw PhocalPoint Data'!G:G,
        'Raw PhocalPoint Data'!A:A = 2009,
        'Raw PhocalPoint Data'!D:D = D104,
        'Raw PhocalPoint Data'!E:E = E104,
        'Raw PhocalPoint Data'!F:F = F104
      ) /
      PRODUC"&amp;"T(
        ARRAYFORMULA(
          (
            FILTER('Raw PhocalPoint Data'!G:G,
              'Raw PhocalPoint Data'!A:A = 2012,
              'Raw PhocalPoint Data'!D:D = D104,
              'Raw PhocalPoint Data'!E:E = E104,
              'Raw Phoca"&amp;"lPoint Data'!F:F = F104
            ) /
            FILTER('Raw PhocalPoint Data'!G:G,
              'Raw PhocalPoint Data'!A:A = 2011,
              'Raw PhocalPoint Data'!D:D = D104,
              'Raw PhocalPoint Data'!E:E = E104,
              'Raw Ph"&amp;"ocalPoint Data'!F:F = F104
            ) -
            (ROW(INDIRECT(""1:"" &amp; (2010 - A104))) - 1) *
            (
              (
                FILTER('Raw PhocalPoint Data'!G:G,
                  'Raw PhocalPoint Data'!A:A = 2012,
                  'R"&amp;"aw PhocalPoint Data'!D:D = D104,
                  'Raw PhocalPoint Data'!E:E = E104,
                  'Raw PhocalPoint Data'!F:F = F104
                ) /
                FILTER('Raw PhocalPoint Data'!G:G,
                  'Raw PhocalPoint Data'!A:A ="&amp;" 2011,
                  'Raw PhocalPoint Data'!D:D = D104,
                  'Raw PhocalPoint Data'!E:E = E104,
                  'Raw PhocalPoint Data'!F:F = F104
                ) - 1
              ) / 5
            )
          )
        )
      )
    "&amp;") *
    INDEX('Raw GDP data'!$I$2:$M$100,
      MATCH(D104, 'Raw GDP data'!$H$2:$H$100, 0),
      MATCH(A104, 'Raw GDP data'!$I$1:$M$1, 0)
    )
  )),
  """"
)
"),4362224927.74715)</f>
        <v>4362224927.7471504</v>
      </c>
      <c r="H104" s="80"/>
      <c r="I104" s="81">
        <f ca="1">IFERROR(__xludf.DUMMYFUNCTION("""COMPUTED_VALUE"""),2007)</f>
        <v>2007</v>
      </c>
      <c r="J104" s="82" t="str">
        <f ca="1">IFERROR(__xludf.DUMMYFUNCTION("""COMPUTED_VALUE"""),"Germany")</f>
        <v>Germany</v>
      </c>
      <c r="K104" s="83">
        <f ca="1">IFERROR(
  SUMIFS(
    'New Backfilled Data'!G:G,
    'New Backfilled Data'!A:A, I104,
    'New Backfilled Data'!D:D, J104,
    'New Backfilled Data'!E:E, "Online"
  ) /
  SUMIFS(
    'New Backfilled Data'!G:G,
    'New Backfilled Data'!A:A, I104,
    'New Backfilled Data'!D:D, J104
  ),
  ""
)</f>
        <v>0.26074991215646742</v>
      </c>
      <c r="L104" s="84"/>
      <c r="M104" s="84"/>
    </row>
    <row r="105" spans="1:13" ht="17" x14ac:dyDescent="0.2">
      <c r="A105" s="44">
        <v>2005</v>
      </c>
      <c r="B105" s="45" t="s">
        <v>66</v>
      </c>
      <c r="C105" s="45" t="s">
        <v>41</v>
      </c>
      <c r="D105" s="45" t="s">
        <v>42</v>
      </c>
      <c r="E105" s="45" t="s">
        <v>69</v>
      </c>
      <c r="F105" s="45" t="s">
        <v>71</v>
      </c>
      <c r="G105" s="85">
        <f ca="1">IFERROR(__xludf.DUMMYFUNCTION("IFERROR(
  IF(A105 = 2008,
    IF(E105 = ""Online"",
      FILTER('Raw PhocalPoint Data'!G:G,
        'Raw PhocalPoint Data'!A:A = 2009,
        'Raw PhocalPoint Data'!D:D = D105,
        'Raw PhocalPoint Data'!E:E = E105,
        'Raw PhocalPoint Data'!F"&amp;":F = F105
      ) /
      (
        FILTER('Raw PhocalPoint Data'!G:G,
          'Raw PhocalPoint Data'!A:A = 2012,
          'Raw PhocalPoint Data'!D:D = D105,
          'Raw PhocalPoint Data'!E:E = E105,
          'Raw PhocalPoint Data'!F:F = F105
     "&amp;"   ) /
        FILTER('Raw PhocalPoint Data'!G:G,
          'Raw PhocalPoint Data'!A:A = 2011,
          'Raw PhocalPoint Data'!D:D = D105,
          'Raw PhocalPoint Data'!E:E = E105,
          'Raw PhocalPoint Data'!F:F = F105
        )
      ),
      F"&amp;"ILTER('Raw PhocalPoint Data'!G:G,
        'Raw PhocalPoint Data'!A:A = 2009,
        'Raw PhocalPoint Data'!D:D = D105,
        'Raw PhocalPoint Data'!E:E = E105,
        'Raw PhocalPoint Data'!F:F = F105
      ) *
      (
        INDEX('Raw GDP data'!$I$"&amp;"2:$M$100,
          MATCH(D105, 'Raw GDP data'!$H$2:$H$100, 0),
          MATCH(2008, 'Raw GDP data'!$I$1:$M$1, 0)
        ) /
        INDEX('Raw GDP data'!$I$2:$M$100,
          MATCH(D105, 'Raw GDP data'!$H$2:$H$100, 0),
          MATCH(2009, 'Raw GDP d"&amp;"ata'!$I$1:$M$1, 0)
        )
      )
    ),
  IF(A105 &lt; 2008,
    (
      FILTER(G:G,
        A:A = 2008,
        D:D = D105,
        E:E = E105,
        F:F = F105
      ) /
      PRODUCT(
        ARRAYFORMULA(
          (
            (
              FIL"&amp;"TER('Raw PhocalPoint Data'!G:G,
                'Raw PhocalPoint Data'!A:A = 2012,
                'Raw PhocalPoint Data'!D:D = D105,
                'Raw PhocalPoint Data'!E:E = E105,
                'Raw PhocalPoint Data'!F:F = F105
              ) /
  "&amp;"            FILTER('Raw PhocalPoint Data'!G:G,
                'Raw PhocalPoint Data'!A:A = 2011,
                'Raw PhocalPoint Data'!D:D = D105,
                'Raw PhocalPoint Data'!E:E = E105,
                'Raw PhocalPoint Data'!F:F = F105
     "&amp;"         ) -
              ROW(INDIRECT(""1:"" &amp; (2008 - A105))) *
              (
                (
                  FILTER('Raw PhocalPoint Data'!G:G,
                    'Raw PhocalPoint Data'!A:A = 2012,
                    'Raw PhocalPoint Data'!D:D"&amp;" = D105,
                    'Raw PhocalPoint Data'!E:E = E105,
                    'Raw PhocalPoint Data'!F:F = F105
                  ) /
                  FILTER('Raw PhocalPoint Data'!G:G,
                    'Raw PhocalPoint Data'!A:A = 2011,
       "&amp;"             'Raw PhocalPoint Data'!D:D = D105,
                    'Raw PhocalPoint Data'!E:E = E105,
                    'Raw PhocalPoint Data'!F:F = F105
                  ) - 1
                ) / 5
              )
            )
          )
        )
"&amp;"      )
    ),
    (
      FILTER('Raw PhocalPoint Data'!G:G,
        'Raw PhocalPoint Data'!A:A = 2009,
        'Raw PhocalPoint Data'!D:D = D105,
        'Raw PhocalPoint Data'!E:E = E105,
        'Raw PhocalPoint Data'!F:F = F105
      ) /
      PRODUC"&amp;"T(
        ARRAYFORMULA(
          (
            FILTER('Raw PhocalPoint Data'!G:G,
              'Raw PhocalPoint Data'!A:A = 2012,
              'Raw PhocalPoint Data'!D:D = D105,
              'Raw PhocalPoint Data'!E:E = E105,
              'Raw Phoca"&amp;"lPoint Data'!F:F = F105
            ) /
            FILTER('Raw PhocalPoint Data'!G:G,
              'Raw PhocalPoint Data'!A:A = 2011,
              'Raw PhocalPoint Data'!D:D = D105,
              'Raw PhocalPoint Data'!E:E = E105,
              'Raw Ph"&amp;"ocalPoint Data'!F:F = F105
            ) -
            (ROW(INDIRECT(""1:"" &amp; (2010 - A105))) - 1) *
            (
              (
                FILTER('Raw PhocalPoint Data'!G:G,
                  'Raw PhocalPoint Data'!A:A = 2012,
                  'R"&amp;"aw PhocalPoint Data'!D:D = D105,
                  'Raw PhocalPoint Data'!E:E = E105,
                  'Raw PhocalPoint Data'!F:F = F105
                ) /
                FILTER('Raw PhocalPoint Data'!G:G,
                  'Raw PhocalPoint Data'!A:A ="&amp;" 2011,
                  'Raw PhocalPoint Data'!D:D = D105,
                  'Raw PhocalPoint Data'!E:E = E105,
                  'Raw PhocalPoint Data'!F:F = F105
                ) - 1
              ) / 5
            )
          )
        )
      )
    "&amp;") *
    INDEX('Raw GDP data'!$I$2:$M$100,
      MATCH(D105, 'Raw GDP data'!$H$2:$H$100, 0),
      MATCH(A105, 'Raw GDP data'!$I$1:$M$1, 0)
    )
  )),
  """"
)
"),258401673.93693)</f>
        <v>258401673.93693</v>
      </c>
      <c r="H105" s="86"/>
      <c r="I105" s="87">
        <f ca="1">IFERROR(__xludf.DUMMYFUNCTION("""COMPUTED_VALUE"""),2007)</f>
        <v>2007</v>
      </c>
      <c r="J105" s="88" t="str">
        <f ca="1">IFERROR(__xludf.DUMMYFUNCTION("""COMPUTED_VALUE"""),"Italy")</f>
        <v>Italy</v>
      </c>
      <c r="K105" s="89">
        <f ca="1">IFERROR(
  SUMIFS(
    'New Backfilled Data'!G:G,
    'New Backfilled Data'!A:A, I105,
    'New Backfilled Data'!D:D, J105,
    'New Backfilled Data'!E:E, "Online"
  ) /
  SUMIFS(
    'New Backfilled Data'!G:G,
    'New Backfilled Data'!A:A, I105,
    'New Backfilled Data'!D:D, J105
  ),
  ""
)</f>
        <v>0.18039453050584622</v>
      </c>
      <c r="L105" s="90"/>
      <c r="M105" s="90"/>
    </row>
    <row r="106" spans="1:13" ht="17" x14ac:dyDescent="0.2">
      <c r="A106" s="37">
        <v>2005</v>
      </c>
      <c r="B106" s="38" t="s">
        <v>66</v>
      </c>
      <c r="C106" s="38" t="s">
        <v>41</v>
      </c>
      <c r="D106" s="38" t="s">
        <v>42</v>
      </c>
      <c r="E106" s="38" t="s">
        <v>69</v>
      </c>
      <c r="F106" s="38" t="s">
        <v>70</v>
      </c>
      <c r="G106" s="79">
        <f ca="1">IFERROR(__xludf.DUMMYFUNCTION("IFERROR(
  IF(A106 = 2008,
    IF(E106 = ""Online"",
      FILTER('Raw PhocalPoint Data'!G:G,
        'Raw PhocalPoint Data'!A:A = 2009,
        'Raw PhocalPoint Data'!D:D = D106,
        'Raw PhocalPoint Data'!E:E = E106,
        'Raw PhocalPoint Data'!F"&amp;":F = F106
      ) /
      (
        FILTER('Raw PhocalPoint Data'!G:G,
          'Raw PhocalPoint Data'!A:A = 2012,
          'Raw PhocalPoint Data'!D:D = D106,
          'Raw PhocalPoint Data'!E:E = E106,
          'Raw PhocalPoint Data'!F:F = F106
     "&amp;"   ) /
        FILTER('Raw PhocalPoint Data'!G:G,
          'Raw PhocalPoint Data'!A:A = 2011,
          'Raw PhocalPoint Data'!D:D = D106,
          'Raw PhocalPoint Data'!E:E = E106,
          'Raw PhocalPoint Data'!F:F = F106
        )
      ),
      F"&amp;"ILTER('Raw PhocalPoint Data'!G:G,
        'Raw PhocalPoint Data'!A:A = 2009,
        'Raw PhocalPoint Data'!D:D = D106,
        'Raw PhocalPoint Data'!E:E = E106,
        'Raw PhocalPoint Data'!F:F = F106
      ) *
      (
        INDEX('Raw GDP data'!$I$"&amp;"2:$M$100,
          MATCH(D106, 'Raw GDP data'!$H$2:$H$100, 0),
          MATCH(2008, 'Raw GDP data'!$I$1:$M$1, 0)
        ) /
        INDEX('Raw GDP data'!$I$2:$M$100,
          MATCH(D106, 'Raw GDP data'!$H$2:$H$100, 0),
          MATCH(2009, 'Raw GDP d"&amp;"ata'!$I$1:$M$1, 0)
        )
      )
    ),
  IF(A106 &lt; 2008,
    (
      FILTER(G:G,
        A:A = 2008,
        D:D = D106,
        E:E = E106,
        F:F = F106
      ) /
      PRODUCT(
        ARRAYFORMULA(
          (
            (
              FIL"&amp;"TER('Raw PhocalPoint Data'!G:G,
                'Raw PhocalPoint Data'!A:A = 2012,
                'Raw PhocalPoint Data'!D:D = D106,
                'Raw PhocalPoint Data'!E:E = E106,
                'Raw PhocalPoint Data'!F:F = F106
              ) /
  "&amp;"            FILTER('Raw PhocalPoint Data'!G:G,
                'Raw PhocalPoint Data'!A:A = 2011,
                'Raw PhocalPoint Data'!D:D = D106,
                'Raw PhocalPoint Data'!E:E = E106,
                'Raw PhocalPoint Data'!F:F = F106
     "&amp;"         ) -
              ROW(INDIRECT(""1:"" &amp; (2008 - A106))) *
              (
                (
                  FILTER('Raw PhocalPoint Data'!G:G,
                    'Raw PhocalPoint Data'!A:A = 2012,
                    'Raw PhocalPoint Data'!D:D"&amp;" = D106,
                    'Raw PhocalPoint Data'!E:E = E106,
                    'Raw PhocalPoint Data'!F:F = F106
                  ) /
                  FILTER('Raw PhocalPoint Data'!G:G,
                    'Raw PhocalPoint Data'!A:A = 2011,
       "&amp;"             'Raw PhocalPoint Data'!D:D = D106,
                    'Raw PhocalPoint Data'!E:E = E106,
                    'Raw PhocalPoint Data'!F:F = F106
                  ) - 1
                ) / 5
              )
            )
          )
        )
"&amp;"      )
    ),
    (
      FILTER('Raw PhocalPoint Data'!G:G,
        'Raw PhocalPoint Data'!A:A = 2009,
        'Raw PhocalPoint Data'!D:D = D106,
        'Raw PhocalPoint Data'!E:E = E106,
        'Raw PhocalPoint Data'!F:F = F106
      ) /
      PRODUC"&amp;"T(
        ARRAYFORMULA(
          (
            FILTER('Raw PhocalPoint Data'!G:G,
              'Raw PhocalPoint Data'!A:A = 2012,
              'Raw PhocalPoint Data'!D:D = D106,
              'Raw PhocalPoint Data'!E:E = E106,
              'Raw Phoca"&amp;"lPoint Data'!F:F = F106
            ) /
            FILTER('Raw PhocalPoint Data'!G:G,
              'Raw PhocalPoint Data'!A:A = 2011,
              'Raw PhocalPoint Data'!D:D = D106,
              'Raw PhocalPoint Data'!E:E = E106,
              'Raw Ph"&amp;"ocalPoint Data'!F:F = F106
            ) -
            (ROW(INDIRECT(""1:"" &amp; (2010 - A106))) - 1) *
            (
              (
                FILTER('Raw PhocalPoint Data'!G:G,
                  'Raw PhocalPoint Data'!A:A = 2012,
                  'R"&amp;"aw PhocalPoint Data'!D:D = D106,
                  'Raw PhocalPoint Data'!E:E = E106,
                  'Raw PhocalPoint Data'!F:F = F106
                ) /
                FILTER('Raw PhocalPoint Data'!G:G,
                  'Raw PhocalPoint Data'!A:A ="&amp;" 2011,
                  'Raw PhocalPoint Data'!D:D = D106,
                  'Raw PhocalPoint Data'!E:E = E106,
                  'Raw PhocalPoint Data'!F:F = F106
                ) - 1
              ) / 5
            )
          )
        )
      )
    "&amp;") *
    INDEX('Raw GDP data'!$I$2:$M$100,
      MATCH(D106, 'Raw GDP data'!$H$2:$H$100, 0),
      MATCH(A106, 'Raw GDP data'!$I$1:$M$1, 0)
    )
  )),
  """"
)
"),237376203.167833)</f>
        <v>237376203.167833</v>
      </c>
      <c r="H106" s="80"/>
      <c r="I106" s="81">
        <f ca="1">IFERROR(__xludf.DUMMYFUNCTION("""COMPUTED_VALUE"""),2007)</f>
        <v>2007</v>
      </c>
      <c r="J106" s="82" t="str">
        <f ca="1">IFERROR(__xludf.DUMMYFUNCTION("""COMPUTED_VALUE"""),"Rest of Europe")</f>
        <v>Rest of Europe</v>
      </c>
      <c r="K106" s="83">
        <f ca="1">IFERROR(
  SUMIFS(
    'New Backfilled Data'!G:G,
    'New Backfilled Data'!A:A, I106,
    'New Backfilled Data'!D:D, J106,
    'New Backfilled Data'!E:E, "Online"
  ) /
  SUMIFS(
    'New Backfilled Data'!G:G,
    'New Backfilled Data'!A:A, I106,
    'New Backfilled Data'!D:D, J106
  ),
  ""
)</f>
        <v>0.19130367248938818</v>
      </c>
      <c r="L106" s="84"/>
      <c r="M106" s="84"/>
    </row>
    <row r="107" spans="1:13" ht="17" x14ac:dyDescent="0.2">
      <c r="A107" s="44">
        <v>2005</v>
      </c>
      <c r="B107" s="45" t="s">
        <v>66</v>
      </c>
      <c r="C107" s="45" t="s">
        <v>41</v>
      </c>
      <c r="D107" s="45" t="s">
        <v>43</v>
      </c>
      <c r="E107" s="45" t="s">
        <v>67</v>
      </c>
      <c r="F107" s="45" t="s">
        <v>67</v>
      </c>
      <c r="G107" s="85">
        <f ca="1">IFERROR(__xludf.DUMMYFUNCTION("IFERROR(
  IF(A107 = 2008,
    IF(E107 = ""Online"",
      FILTER('Raw PhocalPoint Data'!G:G,
        'Raw PhocalPoint Data'!A:A = 2009,
        'Raw PhocalPoint Data'!D:D = D107,
        'Raw PhocalPoint Data'!E:E = E107,
        'Raw PhocalPoint Data'!F"&amp;":F = F107
      ) /
      (
        FILTER('Raw PhocalPoint Data'!G:G,
          'Raw PhocalPoint Data'!A:A = 2012,
          'Raw PhocalPoint Data'!D:D = D107,
          'Raw PhocalPoint Data'!E:E = E107,
          'Raw PhocalPoint Data'!F:F = F107
     "&amp;"   ) /
        FILTER('Raw PhocalPoint Data'!G:G,
          'Raw PhocalPoint Data'!A:A = 2011,
          'Raw PhocalPoint Data'!D:D = D107,
          'Raw PhocalPoint Data'!E:E = E107,
          'Raw PhocalPoint Data'!F:F = F107
        )
      ),
      F"&amp;"ILTER('Raw PhocalPoint Data'!G:G,
        'Raw PhocalPoint Data'!A:A = 2009,
        'Raw PhocalPoint Data'!D:D = D107,
        'Raw PhocalPoint Data'!E:E = E107,
        'Raw PhocalPoint Data'!F:F = F107
      ) *
      (
        INDEX('Raw GDP data'!$I$"&amp;"2:$M$100,
          MATCH(D107, 'Raw GDP data'!$H$2:$H$100, 0),
          MATCH(2008, 'Raw GDP data'!$I$1:$M$1, 0)
        ) /
        INDEX('Raw GDP data'!$I$2:$M$100,
          MATCH(D107, 'Raw GDP data'!$H$2:$H$100, 0),
          MATCH(2009, 'Raw GDP d"&amp;"ata'!$I$1:$M$1, 0)
        )
      )
    ),
  IF(A107 &lt; 2008,
    (
      FILTER(G:G,
        A:A = 2008,
        D:D = D107,
        E:E = E107,
        F:F = F107
      ) /
      PRODUCT(
        ARRAYFORMULA(
          (
            (
              FIL"&amp;"TER('Raw PhocalPoint Data'!G:G,
                'Raw PhocalPoint Data'!A:A = 2012,
                'Raw PhocalPoint Data'!D:D = D107,
                'Raw PhocalPoint Data'!E:E = E107,
                'Raw PhocalPoint Data'!F:F = F107
              ) /
  "&amp;"            FILTER('Raw PhocalPoint Data'!G:G,
                'Raw PhocalPoint Data'!A:A = 2011,
                'Raw PhocalPoint Data'!D:D = D107,
                'Raw PhocalPoint Data'!E:E = E107,
                'Raw PhocalPoint Data'!F:F = F107
     "&amp;"         ) -
              ROW(INDIRECT(""1:"" &amp; (2008 - A107))) *
              (
                (
                  FILTER('Raw PhocalPoint Data'!G:G,
                    'Raw PhocalPoint Data'!A:A = 2012,
                    'Raw PhocalPoint Data'!D:D"&amp;" = D107,
                    'Raw PhocalPoint Data'!E:E = E107,
                    'Raw PhocalPoint Data'!F:F = F107
                  ) /
                  FILTER('Raw PhocalPoint Data'!G:G,
                    'Raw PhocalPoint Data'!A:A = 2011,
       "&amp;"             'Raw PhocalPoint Data'!D:D = D107,
                    'Raw PhocalPoint Data'!E:E = E107,
                    'Raw PhocalPoint Data'!F:F = F107
                  ) - 1
                ) / 5
              )
            )
          )
        )
"&amp;"      )
    ),
    (
      FILTER('Raw PhocalPoint Data'!G:G,
        'Raw PhocalPoint Data'!A:A = 2009,
        'Raw PhocalPoint Data'!D:D = D107,
        'Raw PhocalPoint Data'!E:E = E107,
        'Raw PhocalPoint Data'!F:F = F107
      ) /
      PRODUC"&amp;"T(
        ARRAYFORMULA(
          (
            FILTER('Raw PhocalPoint Data'!G:G,
              'Raw PhocalPoint Data'!A:A = 2012,
              'Raw PhocalPoint Data'!D:D = D107,
              'Raw PhocalPoint Data'!E:E = E107,
              'Raw Phoca"&amp;"lPoint Data'!F:F = F107
            ) /
            FILTER('Raw PhocalPoint Data'!G:G,
              'Raw PhocalPoint Data'!A:A = 2011,
              'Raw PhocalPoint Data'!D:D = D107,
              'Raw PhocalPoint Data'!E:E = E107,
              'Raw Ph"&amp;"ocalPoint Data'!F:F = F107
            ) -
            (ROW(INDIRECT(""1:"" &amp; (2010 - A107))) - 1) *
            (
              (
                FILTER('Raw PhocalPoint Data'!G:G,
                  'Raw PhocalPoint Data'!A:A = 2012,
                  'R"&amp;"aw PhocalPoint Data'!D:D = D107,
                  'Raw PhocalPoint Data'!E:E = E107,
                  'Raw PhocalPoint Data'!F:F = F107
                ) /
                FILTER('Raw PhocalPoint Data'!G:G,
                  'Raw PhocalPoint Data'!A:A ="&amp;" 2011,
                  'Raw PhocalPoint Data'!D:D = D107,
                  'Raw PhocalPoint Data'!E:E = E107,
                  'Raw PhocalPoint Data'!F:F = F107
                ) - 1
              ) / 5
            )
          )
        )
      )
    "&amp;") *
    INDEX('Raw GDP data'!$I$2:$M$100,
      MATCH(D107, 'Raw GDP data'!$H$2:$H$100, 0),
      MATCH(A107, 'Raw GDP data'!$I$1:$M$1, 0)
    )
  )),
  """"
)
"),8635768141.18152)</f>
        <v>8635768141.1815205</v>
      </c>
      <c r="H107" s="86"/>
      <c r="I107" s="87">
        <f ca="1">IFERROR(__xludf.DUMMYFUNCTION("""COMPUTED_VALUE"""),2007)</f>
        <v>2007</v>
      </c>
      <c r="J107" s="88" t="str">
        <f ca="1">IFERROR(__xludf.DUMMYFUNCTION("""COMPUTED_VALUE"""),"Scandinavia")</f>
        <v>Scandinavia</v>
      </c>
      <c r="K107" s="89">
        <f ca="1">IFERROR(
  SUMIFS(
    'New Backfilled Data'!G:G,
    'New Backfilled Data'!A:A, I107,
    'New Backfilled Data'!D:D, J107,
    'New Backfilled Data'!E:E, "Online"
  ) /
  SUMIFS(
    'New Backfilled Data'!G:G,
    'New Backfilled Data'!A:A, I107,
    'New Backfilled Data'!D:D, J107
  ),
  ""
)</f>
        <v>0.29777024459836632</v>
      </c>
      <c r="L107" s="90"/>
      <c r="M107" s="90"/>
    </row>
    <row r="108" spans="1:13" ht="17" x14ac:dyDescent="0.2">
      <c r="A108" s="37">
        <v>2005</v>
      </c>
      <c r="B108" s="38" t="s">
        <v>66</v>
      </c>
      <c r="C108" s="38" t="s">
        <v>41</v>
      </c>
      <c r="D108" s="38" t="s">
        <v>43</v>
      </c>
      <c r="E108" s="38" t="s">
        <v>69</v>
      </c>
      <c r="F108" s="38" t="s">
        <v>71</v>
      </c>
      <c r="G108" s="79">
        <f ca="1">IFERROR(__xludf.DUMMYFUNCTION("IFERROR(
  IF(A108 = 2008,
    IF(E108 = ""Online"",
      FILTER('Raw PhocalPoint Data'!G:G,
        'Raw PhocalPoint Data'!A:A = 2009,
        'Raw PhocalPoint Data'!D:D = D108,
        'Raw PhocalPoint Data'!E:E = E108,
        'Raw PhocalPoint Data'!F"&amp;":F = F108
      ) /
      (
        FILTER('Raw PhocalPoint Data'!G:G,
          'Raw PhocalPoint Data'!A:A = 2012,
          'Raw PhocalPoint Data'!D:D = D108,
          'Raw PhocalPoint Data'!E:E = E108,
          'Raw PhocalPoint Data'!F:F = F108
     "&amp;"   ) /
        FILTER('Raw PhocalPoint Data'!G:G,
          'Raw PhocalPoint Data'!A:A = 2011,
          'Raw PhocalPoint Data'!D:D = D108,
          'Raw PhocalPoint Data'!E:E = E108,
          'Raw PhocalPoint Data'!F:F = F108
        )
      ),
      F"&amp;"ILTER('Raw PhocalPoint Data'!G:G,
        'Raw PhocalPoint Data'!A:A = 2009,
        'Raw PhocalPoint Data'!D:D = D108,
        'Raw PhocalPoint Data'!E:E = E108,
        'Raw PhocalPoint Data'!F:F = F108
      ) *
      (
        INDEX('Raw GDP data'!$I$"&amp;"2:$M$100,
          MATCH(D108, 'Raw GDP data'!$H$2:$H$100, 0),
          MATCH(2008, 'Raw GDP data'!$I$1:$M$1, 0)
        ) /
        INDEX('Raw GDP data'!$I$2:$M$100,
          MATCH(D108, 'Raw GDP data'!$H$2:$H$100, 0),
          MATCH(2009, 'Raw GDP d"&amp;"ata'!$I$1:$M$1, 0)
        )
      )
    ),
  IF(A108 &lt; 2008,
    (
      FILTER(G:G,
        A:A = 2008,
        D:D = D108,
        E:E = E108,
        F:F = F108
      ) /
      PRODUCT(
        ARRAYFORMULA(
          (
            (
              FIL"&amp;"TER('Raw PhocalPoint Data'!G:G,
                'Raw PhocalPoint Data'!A:A = 2012,
                'Raw PhocalPoint Data'!D:D = D108,
                'Raw PhocalPoint Data'!E:E = E108,
                'Raw PhocalPoint Data'!F:F = F108
              ) /
  "&amp;"            FILTER('Raw PhocalPoint Data'!G:G,
                'Raw PhocalPoint Data'!A:A = 2011,
                'Raw PhocalPoint Data'!D:D = D108,
                'Raw PhocalPoint Data'!E:E = E108,
                'Raw PhocalPoint Data'!F:F = F108
     "&amp;"         ) -
              ROW(INDIRECT(""1:"" &amp; (2008 - A108))) *
              (
                (
                  FILTER('Raw PhocalPoint Data'!G:G,
                    'Raw PhocalPoint Data'!A:A = 2012,
                    'Raw PhocalPoint Data'!D:D"&amp;" = D108,
                    'Raw PhocalPoint Data'!E:E = E108,
                    'Raw PhocalPoint Data'!F:F = F108
                  ) /
                  FILTER('Raw PhocalPoint Data'!G:G,
                    'Raw PhocalPoint Data'!A:A = 2011,
       "&amp;"             'Raw PhocalPoint Data'!D:D = D108,
                    'Raw PhocalPoint Data'!E:E = E108,
                    'Raw PhocalPoint Data'!F:F = F108
                  ) - 1
                ) / 5
              )
            )
          )
        )
"&amp;"      )
    ),
    (
      FILTER('Raw PhocalPoint Data'!G:G,
        'Raw PhocalPoint Data'!A:A = 2009,
        'Raw PhocalPoint Data'!D:D = D108,
        'Raw PhocalPoint Data'!E:E = E108,
        'Raw PhocalPoint Data'!F:F = F108
      ) /
      PRODUC"&amp;"T(
        ARRAYFORMULA(
          (
            FILTER('Raw PhocalPoint Data'!G:G,
              'Raw PhocalPoint Data'!A:A = 2012,
              'Raw PhocalPoint Data'!D:D = D108,
              'Raw PhocalPoint Data'!E:E = E108,
              'Raw Phoca"&amp;"lPoint Data'!F:F = F108
            ) /
            FILTER('Raw PhocalPoint Data'!G:G,
              'Raw PhocalPoint Data'!A:A = 2011,
              'Raw PhocalPoint Data'!D:D = D108,
              'Raw PhocalPoint Data'!E:E = E108,
              'Raw Ph"&amp;"ocalPoint Data'!F:F = F108
            ) -
            (ROW(INDIRECT(""1:"" &amp; (2010 - A108))) - 1) *
            (
              (
                FILTER('Raw PhocalPoint Data'!G:G,
                  'Raw PhocalPoint Data'!A:A = 2012,
                  'R"&amp;"aw PhocalPoint Data'!D:D = D108,
                  'Raw PhocalPoint Data'!E:E = E108,
                  'Raw PhocalPoint Data'!F:F = F108
                ) /
                FILTER('Raw PhocalPoint Data'!G:G,
                  'Raw PhocalPoint Data'!A:A ="&amp;" 2011,
                  'Raw PhocalPoint Data'!D:D = D108,
                  'Raw PhocalPoint Data'!E:E = E108,
                  'Raw PhocalPoint Data'!F:F = F108
                ) - 1
              ) / 5
            )
          )
        )
      )
    "&amp;") *
    INDEX('Raw GDP data'!$I$2:$M$100,
      MATCH(D108, 'Raw GDP data'!$H$2:$H$100, 0),
      MATCH(A108, 'Raw GDP data'!$I$1:$M$1, 0)
    )
  )),
  """"
)
"),164367282.465936)</f>
        <v>164367282.46593601</v>
      </c>
      <c r="H108" s="80"/>
      <c r="I108" s="81">
        <f ca="1">IFERROR(__xludf.DUMMYFUNCTION("""COMPUTED_VALUE"""),2007)</f>
        <v>2007</v>
      </c>
      <c r="J108" s="82" t="str">
        <f ca="1">IFERROR(__xludf.DUMMYFUNCTION("""COMPUTED_VALUE"""),"Spain")</f>
        <v>Spain</v>
      </c>
      <c r="K108" s="83">
        <f ca="1">IFERROR(
  SUMIFS(
    'New Backfilled Data'!G:G,
    'New Backfilled Data'!A:A, I108,
    'New Backfilled Data'!D:D, J108,
    'New Backfilled Data'!E:E, "Online"
  ) /
  SUMIFS(
    'New Backfilled Data'!G:G,
    'New Backfilled Data'!A:A, I108,
    'New Backfilled Data'!D:D, J108
  ),
  ""
)</f>
        <v>0.158024408439675</v>
      </c>
      <c r="L108" s="84"/>
      <c r="M108" s="84"/>
    </row>
    <row r="109" spans="1:13" ht="17" x14ac:dyDescent="0.2">
      <c r="A109" s="44">
        <v>2005</v>
      </c>
      <c r="B109" s="45" t="s">
        <v>66</v>
      </c>
      <c r="C109" s="45" t="s">
        <v>41</v>
      </c>
      <c r="D109" s="45" t="s">
        <v>43</v>
      </c>
      <c r="E109" s="45" t="s">
        <v>69</v>
      </c>
      <c r="F109" s="45" t="s">
        <v>70</v>
      </c>
      <c r="G109" s="85">
        <f ca="1">IFERROR(__xludf.DUMMYFUNCTION("IFERROR(
  IF(A109 = 2008,
    IF(E109 = ""Online"",
      FILTER('Raw PhocalPoint Data'!G:G,
        'Raw PhocalPoint Data'!A:A = 2009,
        'Raw PhocalPoint Data'!D:D = D109,
        'Raw PhocalPoint Data'!E:E = E109,
        'Raw PhocalPoint Data'!F"&amp;":F = F109
      ) /
      (
        FILTER('Raw PhocalPoint Data'!G:G,
          'Raw PhocalPoint Data'!A:A = 2012,
          'Raw PhocalPoint Data'!D:D = D109,
          'Raw PhocalPoint Data'!E:E = E109,
          'Raw PhocalPoint Data'!F:F = F109
     "&amp;"   ) /
        FILTER('Raw PhocalPoint Data'!G:G,
          'Raw PhocalPoint Data'!A:A = 2011,
          'Raw PhocalPoint Data'!D:D = D109,
          'Raw PhocalPoint Data'!E:E = E109,
          'Raw PhocalPoint Data'!F:F = F109
        )
      ),
      F"&amp;"ILTER('Raw PhocalPoint Data'!G:G,
        'Raw PhocalPoint Data'!A:A = 2009,
        'Raw PhocalPoint Data'!D:D = D109,
        'Raw PhocalPoint Data'!E:E = E109,
        'Raw PhocalPoint Data'!F:F = F109
      ) *
      (
        INDEX('Raw GDP data'!$I$"&amp;"2:$M$100,
          MATCH(D109, 'Raw GDP data'!$H$2:$H$100, 0),
          MATCH(2008, 'Raw GDP data'!$I$1:$M$1, 0)
        ) /
        INDEX('Raw GDP data'!$I$2:$M$100,
          MATCH(D109, 'Raw GDP data'!$H$2:$H$100, 0),
          MATCH(2009, 'Raw GDP d"&amp;"ata'!$I$1:$M$1, 0)
        )
      )
    ),
  IF(A109 &lt; 2008,
    (
      FILTER(G:G,
        A:A = 2008,
        D:D = D109,
        E:E = E109,
        F:F = F109
      ) /
      PRODUCT(
        ARRAYFORMULA(
          (
            (
              FIL"&amp;"TER('Raw PhocalPoint Data'!G:G,
                'Raw PhocalPoint Data'!A:A = 2012,
                'Raw PhocalPoint Data'!D:D = D109,
                'Raw PhocalPoint Data'!E:E = E109,
                'Raw PhocalPoint Data'!F:F = F109
              ) /
  "&amp;"            FILTER('Raw PhocalPoint Data'!G:G,
                'Raw PhocalPoint Data'!A:A = 2011,
                'Raw PhocalPoint Data'!D:D = D109,
                'Raw PhocalPoint Data'!E:E = E109,
                'Raw PhocalPoint Data'!F:F = F109
     "&amp;"         ) -
              ROW(INDIRECT(""1:"" &amp; (2008 - A109))) *
              (
                (
                  FILTER('Raw PhocalPoint Data'!G:G,
                    'Raw PhocalPoint Data'!A:A = 2012,
                    'Raw PhocalPoint Data'!D:D"&amp;" = D109,
                    'Raw PhocalPoint Data'!E:E = E109,
                    'Raw PhocalPoint Data'!F:F = F109
                  ) /
                  FILTER('Raw PhocalPoint Data'!G:G,
                    'Raw PhocalPoint Data'!A:A = 2011,
       "&amp;"             'Raw PhocalPoint Data'!D:D = D109,
                    'Raw PhocalPoint Data'!E:E = E109,
                    'Raw PhocalPoint Data'!F:F = F109
                  ) - 1
                ) / 5
              )
            )
          )
        )
"&amp;"      )
    ),
    (
      FILTER('Raw PhocalPoint Data'!G:G,
        'Raw PhocalPoint Data'!A:A = 2009,
        'Raw PhocalPoint Data'!D:D = D109,
        'Raw PhocalPoint Data'!E:E = E109,
        'Raw PhocalPoint Data'!F:F = F109
      ) /
      PRODUC"&amp;"T(
        ARRAYFORMULA(
          (
            FILTER('Raw PhocalPoint Data'!G:G,
              'Raw PhocalPoint Data'!A:A = 2012,
              'Raw PhocalPoint Data'!D:D = D109,
              'Raw PhocalPoint Data'!E:E = E109,
              'Raw Phoca"&amp;"lPoint Data'!F:F = F109
            ) /
            FILTER('Raw PhocalPoint Data'!G:G,
              'Raw PhocalPoint Data'!A:A = 2011,
              'Raw PhocalPoint Data'!D:D = D109,
              'Raw PhocalPoint Data'!E:E = E109,
              'Raw Ph"&amp;"ocalPoint Data'!F:F = F109
            ) -
            (ROW(INDIRECT(""1:"" &amp; (2010 - A109))) - 1) *
            (
              (
                FILTER('Raw PhocalPoint Data'!G:G,
                  'Raw PhocalPoint Data'!A:A = 2012,
                  'R"&amp;"aw PhocalPoint Data'!D:D = D109,
                  'Raw PhocalPoint Data'!E:E = E109,
                  'Raw PhocalPoint Data'!F:F = F109
                ) /
                FILTER('Raw PhocalPoint Data'!G:G,
                  'Raw PhocalPoint Data'!A:A ="&amp;" 2011,
                  'Raw PhocalPoint Data'!D:D = D109,
                  'Raw PhocalPoint Data'!E:E = E109,
                  'Raw PhocalPoint Data'!F:F = F109
                ) - 1
              ) / 5
            )
          )
        )
      )
    "&amp;") *
    INDEX('Raw GDP data'!$I$2:$M$100,
      MATCH(D109, 'Raw GDP data'!$H$2:$H$100, 0),
      MATCH(A109, 'Raw GDP data'!$I$1:$M$1, 0)
    )
  )),
  """"
)
"),163903650.378748)</f>
        <v>163903650.378748</v>
      </c>
      <c r="H109" s="86"/>
      <c r="I109" s="87">
        <f ca="1">IFERROR(__xludf.DUMMYFUNCTION("""COMPUTED_VALUE"""),2007)</f>
        <v>2007</v>
      </c>
      <c r="J109" s="88" t="str">
        <f ca="1">IFERROR(__xludf.DUMMYFUNCTION("""COMPUTED_VALUE"""),"U.K.")</f>
        <v>U.K.</v>
      </c>
      <c r="K109" s="89">
        <f ca="1">IFERROR(
  SUMIFS(
    'New Backfilled Data'!G:G,
    'New Backfilled Data'!A:A, I109,
    'New Backfilled Data'!D:D, J109,
    'New Backfilled Data'!E:E, "Online"
  ) /
  SUMIFS(
    'New Backfilled Data'!G:G,
    'New Backfilled Data'!A:A, I109,
    'New Backfilled Data'!D:D, J109
  ),
  ""
)</f>
        <v>0.28201374826421954</v>
      </c>
      <c r="L109" s="90"/>
      <c r="M109" s="90"/>
    </row>
    <row r="110" spans="1:13" ht="17" x14ac:dyDescent="0.2">
      <c r="A110" s="37">
        <v>2005</v>
      </c>
      <c r="B110" s="38" t="s">
        <v>66</v>
      </c>
      <c r="C110" s="38" t="s">
        <v>41</v>
      </c>
      <c r="D110" s="38" t="s">
        <v>44</v>
      </c>
      <c r="E110" s="38" t="s">
        <v>67</v>
      </c>
      <c r="F110" s="38" t="s">
        <v>67</v>
      </c>
      <c r="G110" s="79">
        <f ca="1">IFERROR(__xludf.DUMMYFUNCTION("IFERROR(
  IF(A110 = 2008,
    IF(E110 = ""Online"",
      FILTER('Raw PhocalPoint Data'!G:G,
        'Raw PhocalPoint Data'!A:A = 2009,
        'Raw PhocalPoint Data'!D:D = D110,
        'Raw PhocalPoint Data'!E:E = E110,
        'Raw PhocalPoint Data'!F"&amp;":F = F110
      ) /
      (
        FILTER('Raw PhocalPoint Data'!G:G,
          'Raw PhocalPoint Data'!A:A = 2012,
          'Raw PhocalPoint Data'!D:D = D110,
          'Raw PhocalPoint Data'!E:E = E110,
          'Raw PhocalPoint Data'!F:F = F110
     "&amp;"   ) /
        FILTER('Raw PhocalPoint Data'!G:G,
          'Raw PhocalPoint Data'!A:A = 2011,
          'Raw PhocalPoint Data'!D:D = D110,
          'Raw PhocalPoint Data'!E:E = E110,
          'Raw PhocalPoint Data'!F:F = F110
        )
      ),
      F"&amp;"ILTER('Raw PhocalPoint Data'!G:G,
        'Raw PhocalPoint Data'!A:A = 2009,
        'Raw PhocalPoint Data'!D:D = D110,
        'Raw PhocalPoint Data'!E:E = E110,
        'Raw PhocalPoint Data'!F:F = F110
      ) *
      (
        INDEX('Raw GDP data'!$I$"&amp;"2:$M$100,
          MATCH(D110, 'Raw GDP data'!$H$2:$H$100, 0),
          MATCH(2008, 'Raw GDP data'!$I$1:$M$1, 0)
        ) /
        INDEX('Raw GDP data'!$I$2:$M$100,
          MATCH(D110, 'Raw GDP data'!$H$2:$H$100, 0),
          MATCH(2009, 'Raw GDP d"&amp;"ata'!$I$1:$M$1, 0)
        )
      )
    ),
  IF(A110 &lt; 2008,
    (
      FILTER(G:G,
        A:A = 2008,
        D:D = D110,
        E:E = E110,
        F:F = F110
      ) /
      PRODUCT(
        ARRAYFORMULA(
          (
            (
              FIL"&amp;"TER('Raw PhocalPoint Data'!G:G,
                'Raw PhocalPoint Data'!A:A = 2012,
                'Raw PhocalPoint Data'!D:D = D110,
                'Raw PhocalPoint Data'!E:E = E110,
                'Raw PhocalPoint Data'!F:F = F110
              ) /
  "&amp;"            FILTER('Raw PhocalPoint Data'!G:G,
                'Raw PhocalPoint Data'!A:A = 2011,
                'Raw PhocalPoint Data'!D:D = D110,
                'Raw PhocalPoint Data'!E:E = E110,
                'Raw PhocalPoint Data'!F:F = F110
     "&amp;"         ) -
              ROW(INDIRECT(""1:"" &amp; (2008 - A110))) *
              (
                (
                  FILTER('Raw PhocalPoint Data'!G:G,
                    'Raw PhocalPoint Data'!A:A = 2012,
                    'Raw PhocalPoint Data'!D:D"&amp;" = D110,
                    'Raw PhocalPoint Data'!E:E = E110,
                    'Raw PhocalPoint Data'!F:F = F110
                  ) /
                  FILTER('Raw PhocalPoint Data'!G:G,
                    'Raw PhocalPoint Data'!A:A = 2011,
       "&amp;"             'Raw PhocalPoint Data'!D:D = D110,
                    'Raw PhocalPoint Data'!E:E = E110,
                    'Raw PhocalPoint Data'!F:F = F110
                  ) - 1
                ) / 5
              )
            )
          )
        )
"&amp;"      )
    ),
    (
      FILTER('Raw PhocalPoint Data'!G:G,
        'Raw PhocalPoint Data'!A:A = 2009,
        'Raw PhocalPoint Data'!D:D = D110,
        'Raw PhocalPoint Data'!E:E = E110,
        'Raw PhocalPoint Data'!F:F = F110
      ) /
      PRODUC"&amp;"T(
        ARRAYFORMULA(
          (
            FILTER('Raw PhocalPoint Data'!G:G,
              'Raw PhocalPoint Data'!A:A = 2012,
              'Raw PhocalPoint Data'!D:D = D110,
              'Raw PhocalPoint Data'!E:E = E110,
              'Raw Phoca"&amp;"lPoint Data'!F:F = F110
            ) /
            FILTER('Raw PhocalPoint Data'!G:G,
              'Raw PhocalPoint Data'!A:A = 2011,
              'Raw PhocalPoint Data'!D:D = D110,
              'Raw PhocalPoint Data'!E:E = E110,
              'Raw Ph"&amp;"ocalPoint Data'!F:F = F110
            ) -
            (ROW(INDIRECT(""1:"" &amp; (2010 - A110))) - 1) *
            (
              (
                FILTER('Raw PhocalPoint Data'!G:G,
                  'Raw PhocalPoint Data'!A:A = 2012,
                  'R"&amp;"aw PhocalPoint Data'!D:D = D110,
                  'Raw PhocalPoint Data'!E:E = E110,
                  'Raw PhocalPoint Data'!F:F = F110
                ) /
                FILTER('Raw PhocalPoint Data'!G:G,
                  'Raw PhocalPoint Data'!A:A ="&amp;" 2011,
                  'Raw PhocalPoint Data'!D:D = D110,
                  'Raw PhocalPoint Data'!E:E = E110,
                  'Raw PhocalPoint Data'!F:F = F110
                ) - 1
              ) / 5
            )
          )
        )
      )
    "&amp;") *
    INDEX('Raw GDP data'!$I$2:$M$100,
      MATCH(D110, 'Raw GDP data'!$H$2:$H$100, 0),
      MATCH(A110, 'Raw GDP data'!$I$1:$M$1, 0)
    )
  )),
  """"
)
"),9987934440.47207)</f>
        <v>9987934440.4720707</v>
      </c>
      <c r="H110" s="80"/>
      <c r="I110" s="81">
        <f ca="1">IFERROR(__xludf.DUMMYFUNCTION("""COMPUTED_VALUE"""),2007)</f>
        <v>2007</v>
      </c>
      <c r="J110" s="82" t="str">
        <f ca="1">IFERROR(__xludf.DUMMYFUNCTION("""COMPUTED_VALUE"""),"Argentina")</f>
        <v>Argentina</v>
      </c>
      <c r="K110" s="83">
        <f ca="1">IFERROR(
  SUMIFS(
    'New Backfilled Data'!G:G,
    'New Backfilled Data'!A:A, I110,
    'New Backfilled Data'!D:D, J110,
    'New Backfilled Data'!E:E, "Online"
  ) /
  SUMIFS(
    'New Backfilled Data'!G:G,
    'New Backfilled Data'!A:A, I110,
    'New Backfilled Data'!D:D, J110
  ),
  ""
)</f>
        <v>2.5883042050008492E-2</v>
      </c>
      <c r="L110" s="84"/>
      <c r="M110" s="84"/>
    </row>
    <row r="111" spans="1:13" ht="17" x14ac:dyDescent="0.2">
      <c r="A111" s="44">
        <v>2005</v>
      </c>
      <c r="B111" s="45" t="s">
        <v>66</v>
      </c>
      <c r="C111" s="45" t="s">
        <v>41</v>
      </c>
      <c r="D111" s="45" t="s">
        <v>44</v>
      </c>
      <c r="E111" s="45" t="s">
        <v>69</v>
      </c>
      <c r="F111" s="45" t="s">
        <v>71</v>
      </c>
      <c r="G111" s="85">
        <f ca="1">IFERROR(__xludf.DUMMYFUNCTION("IFERROR(
  IF(A111 = 2008,
    IF(E111 = ""Online"",
      FILTER('Raw PhocalPoint Data'!G:G,
        'Raw PhocalPoint Data'!A:A = 2009,
        'Raw PhocalPoint Data'!D:D = D111,
        'Raw PhocalPoint Data'!E:E = E111,
        'Raw PhocalPoint Data'!F"&amp;":F = F111
      ) /
      (
        FILTER('Raw PhocalPoint Data'!G:G,
          'Raw PhocalPoint Data'!A:A = 2012,
          'Raw PhocalPoint Data'!D:D = D111,
          'Raw PhocalPoint Data'!E:E = E111,
          'Raw PhocalPoint Data'!F:F = F111
     "&amp;"   ) /
        FILTER('Raw PhocalPoint Data'!G:G,
          'Raw PhocalPoint Data'!A:A = 2011,
          'Raw PhocalPoint Data'!D:D = D111,
          'Raw PhocalPoint Data'!E:E = E111,
          'Raw PhocalPoint Data'!F:F = F111
        )
      ),
      F"&amp;"ILTER('Raw PhocalPoint Data'!G:G,
        'Raw PhocalPoint Data'!A:A = 2009,
        'Raw PhocalPoint Data'!D:D = D111,
        'Raw PhocalPoint Data'!E:E = E111,
        'Raw PhocalPoint Data'!F:F = F111
      ) *
      (
        INDEX('Raw GDP data'!$I$"&amp;"2:$M$100,
          MATCH(D111, 'Raw GDP data'!$H$2:$H$100, 0),
          MATCH(2008, 'Raw GDP data'!$I$1:$M$1, 0)
        ) /
        INDEX('Raw GDP data'!$I$2:$M$100,
          MATCH(D111, 'Raw GDP data'!$H$2:$H$100, 0),
          MATCH(2009, 'Raw GDP d"&amp;"ata'!$I$1:$M$1, 0)
        )
      )
    ),
  IF(A111 &lt; 2008,
    (
      FILTER(G:G,
        A:A = 2008,
        D:D = D111,
        E:E = E111,
        F:F = F111
      ) /
      PRODUCT(
        ARRAYFORMULA(
          (
            (
              FIL"&amp;"TER('Raw PhocalPoint Data'!G:G,
                'Raw PhocalPoint Data'!A:A = 2012,
                'Raw PhocalPoint Data'!D:D = D111,
                'Raw PhocalPoint Data'!E:E = E111,
                'Raw PhocalPoint Data'!F:F = F111
              ) /
  "&amp;"            FILTER('Raw PhocalPoint Data'!G:G,
                'Raw PhocalPoint Data'!A:A = 2011,
                'Raw PhocalPoint Data'!D:D = D111,
                'Raw PhocalPoint Data'!E:E = E111,
                'Raw PhocalPoint Data'!F:F = F111
     "&amp;"         ) -
              ROW(INDIRECT(""1:"" &amp; (2008 - A111))) *
              (
                (
                  FILTER('Raw PhocalPoint Data'!G:G,
                    'Raw PhocalPoint Data'!A:A = 2012,
                    'Raw PhocalPoint Data'!D:D"&amp;" = D111,
                    'Raw PhocalPoint Data'!E:E = E111,
                    'Raw PhocalPoint Data'!F:F = F111
                  ) /
                  FILTER('Raw PhocalPoint Data'!G:G,
                    'Raw PhocalPoint Data'!A:A = 2011,
       "&amp;"             'Raw PhocalPoint Data'!D:D = D111,
                    'Raw PhocalPoint Data'!E:E = E111,
                    'Raw PhocalPoint Data'!F:F = F111
                  ) - 1
                ) / 5
              )
            )
          )
        )
"&amp;"      )
    ),
    (
      FILTER('Raw PhocalPoint Data'!G:G,
        'Raw PhocalPoint Data'!A:A = 2009,
        'Raw PhocalPoint Data'!D:D = D111,
        'Raw PhocalPoint Data'!E:E = E111,
        'Raw PhocalPoint Data'!F:F = F111
      ) /
      PRODUC"&amp;"T(
        ARRAYFORMULA(
          (
            FILTER('Raw PhocalPoint Data'!G:G,
              'Raw PhocalPoint Data'!A:A = 2012,
              'Raw PhocalPoint Data'!D:D = D111,
              'Raw PhocalPoint Data'!E:E = E111,
              'Raw Phoca"&amp;"lPoint Data'!F:F = F111
            ) /
            FILTER('Raw PhocalPoint Data'!G:G,
              'Raw PhocalPoint Data'!A:A = 2011,
              'Raw PhocalPoint Data'!D:D = D111,
              'Raw PhocalPoint Data'!E:E = E111,
              'Raw Ph"&amp;"ocalPoint Data'!F:F = F111
            ) -
            (ROW(INDIRECT(""1:"" &amp; (2010 - A111))) - 1) *
            (
              (
                FILTER('Raw PhocalPoint Data'!G:G,
                  'Raw PhocalPoint Data'!A:A = 2012,
                  'R"&amp;"aw PhocalPoint Data'!D:D = D111,
                  'Raw PhocalPoint Data'!E:E = E111,
                  'Raw PhocalPoint Data'!F:F = F111
                ) /
                FILTER('Raw PhocalPoint Data'!G:G,
                  'Raw PhocalPoint Data'!A:A ="&amp;" 2011,
                  'Raw PhocalPoint Data'!D:D = D111,
                  'Raw PhocalPoint Data'!E:E = E111,
                  'Raw PhocalPoint Data'!F:F = F111
                ) - 1
              ) / 5
            )
          )
        )
      )
    "&amp;") *
    INDEX('Raw GDP data'!$I$2:$M$100,
      MATCH(D111, 'Raw GDP data'!$H$2:$H$100, 0),
      MATCH(A111, 'Raw GDP data'!$I$1:$M$1, 0)
    )
  )),
  """"
)
"),422186303.749182)</f>
        <v>422186303.74918199</v>
      </c>
      <c r="H111" s="86"/>
      <c r="I111" s="87">
        <f ca="1">IFERROR(__xludf.DUMMYFUNCTION("""COMPUTED_VALUE"""),2007)</f>
        <v>2007</v>
      </c>
      <c r="J111" s="88" t="str">
        <f ca="1">IFERROR(__xludf.DUMMYFUNCTION("""COMPUTED_VALUE"""),"Brazil")</f>
        <v>Brazil</v>
      </c>
      <c r="K111" s="89">
        <f ca="1">IFERROR(
  SUMIFS(
    'New Backfilled Data'!G:G,
    'New Backfilled Data'!A:A, I111,
    'New Backfilled Data'!D:D, J111,
    'New Backfilled Data'!E:E, "Online"
  ) /
  SUMIFS(
    'New Backfilled Data'!G:G,
    'New Backfilled Data'!A:A, I111,
    'New Backfilled Data'!D:D, J111
  ),
  ""
)</f>
        <v>6.7979649433440911E-2</v>
      </c>
      <c r="L111" s="90"/>
      <c r="M111" s="90"/>
    </row>
    <row r="112" spans="1:13" ht="17" x14ac:dyDescent="0.2">
      <c r="A112" s="37">
        <v>2005</v>
      </c>
      <c r="B112" s="38" t="s">
        <v>66</v>
      </c>
      <c r="C112" s="38" t="s">
        <v>41</v>
      </c>
      <c r="D112" s="38" t="s">
        <v>44</v>
      </c>
      <c r="E112" s="38" t="s">
        <v>69</v>
      </c>
      <c r="F112" s="38" t="s">
        <v>70</v>
      </c>
      <c r="G112" s="79">
        <f ca="1">IFERROR(__xludf.DUMMYFUNCTION("IFERROR(
  IF(A112 = 2008,
    IF(E112 = ""Online"",
      FILTER('Raw PhocalPoint Data'!G:G,
        'Raw PhocalPoint Data'!A:A = 2009,
        'Raw PhocalPoint Data'!D:D = D112,
        'Raw PhocalPoint Data'!E:E = E112,
        'Raw PhocalPoint Data'!F"&amp;":F = F112
      ) /
      (
        FILTER('Raw PhocalPoint Data'!G:G,
          'Raw PhocalPoint Data'!A:A = 2012,
          'Raw PhocalPoint Data'!D:D = D112,
          'Raw PhocalPoint Data'!E:E = E112,
          'Raw PhocalPoint Data'!F:F = F112
     "&amp;"   ) /
        FILTER('Raw PhocalPoint Data'!G:G,
          'Raw PhocalPoint Data'!A:A = 2011,
          'Raw PhocalPoint Data'!D:D = D112,
          'Raw PhocalPoint Data'!E:E = E112,
          'Raw PhocalPoint Data'!F:F = F112
        )
      ),
      F"&amp;"ILTER('Raw PhocalPoint Data'!G:G,
        'Raw PhocalPoint Data'!A:A = 2009,
        'Raw PhocalPoint Data'!D:D = D112,
        'Raw PhocalPoint Data'!E:E = E112,
        'Raw PhocalPoint Data'!F:F = F112
      ) *
      (
        INDEX('Raw GDP data'!$I$"&amp;"2:$M$100,
          MATCH(D112, 'Raw GDP data'!$H$2:$H$100, 0),
          MATCH(2008, 'Raw GDP data'!$I$1:$M$1, 0)
        ) /
        INDEX('Raw GDP data'!$I$2:$M$100,
          MATCH(D112, 'Raw GDP data'!$H$2:$H$100, 0),
          MATCH(2009, 'Raw GDP d"&amp;"ata'!$I$1:$M$1, 0)
        )
      )
    ),
  IF(A112 &lt; 2008,
    (
      FILTER(G:G,
        A:A = 2008,
        D:D = D112,
        E:E = E112,
        F:F = F112
      ) /
      PRODUCT(
        ARRAYFORMULA(
          (
            (
              FIL"&amp;"TER('Raw PhocalPoint Data'!G:G,
                'Raw PhocalPoint Data'!A:A = 2012,
                'Raw PhocalPoint Data'!D:D = D112,
                'Raw PhocalPoint Data'!E:E = E112,
                'Raw PhocalPoint Data'!F:F = F112
              ) /
  "&amp;"            FILTER('Raw PhocalPoint Data'!G:G,
                'Raw PhocalPoint Data'!A:A = 2011,
                'Raw PhocalPoint Data'!D:D = D112,
                'Raw PhocalPoint Data'!E:E = E112,
                'Raw PhocalPoint Data'!F:F = F112
     "&amp;"         ) -
              ROW(INDIRECT(""1:"" &amp; (2008 - A112))) *
              (
                (
                  FILTER('Raw PhocalPoint Data'!G:G,
                    'Raw PhocalPoint Data'!A:A = 2012,
                    'Raw PhocalPoint Data'!D:D"&amp;" = D112,
                    'Raw PhocalPoint Data'!E:E = E112,
                    'Raw PhocalPoint Data'!F:F = F112
                  ) /
                  FILTER('Raw PhocalPoint Data'!G:G,
                    'Raw PhocalPoint Data'!A:A = 2011,
       "&amp;"             'Raw PhocalPoint Data'!D:D = D112,
                    'Raw PhocalPoint Data'!E:E = E112,
                    'Raw PhocalPoint Data'!F:F = F112
                  ) - 1
                ) / 5
              )
            )
          )
        )
"&amp;"      )
    ),
    (
      FILTER('Raw PhocalPoint Data'!G:G,
        'Raw PhocalPoint Data'!A:A = 2009,
        'Raw PhocalPoint Data'!D:D = D112,
        'Raw PhocalPoint Data'!E:E = E112,
        'Raw PhocalPoint Data'!F:F = F112
      ) /
      PRODUC"&amp;"T(
        ARRAYFORMULA(
          (
            FILTER('Raw PhocalPoint Data'!G:G,
              'Raw PhocalPoint Data'!A:A = 2012,
              'Raw PhocalPoint Data'!D:D = D112,
              'Raw PhocalPoint Data'!E:E = E112,
              'Raw Phoca"&amp;"lPoint Data'!F:F = F112
            ) /
            FILTER('Raw PhocalPoint Data'!G:G,
              'Raw PhocalPoint Data'!A:A = 2011,
              'Raw PhocalPoint Data'!D:D = D112,
              'Raw PhocalPoint Data'!E:E = E112,
              'Raw Ph"&amp;"ocalPoint Data'!F:F = F112
            ) -
            (ROW(INDIRECT(""1:"" &amp; (2010 - A112))) - 1) *
            (
              (
                FILTER('Raw PhocalPoint Data'!G:G,
                  'Raw PhocalPoint Data'!A:A = 2012,
                  'R"&amp;"aw PhocalPoint Data'!D:D = D112,
                  'Raw PhocalPoint Data'!E:E = E112,
                  'Raw PhocalPoint Data'!F:F = F112
                ) /
                FILTER('Raw PhocalPoint Data'!G:G,
                  'Raw PhocalPoint Data'!A:A ="&amp;" 2011,
                  'Raw PhocalPoint Data'!D:D = D112,
                  'Raw PhocalPoint Data'!E:E = E112,
                  'Raw PhocalPoint Data'!F:F = F112
                ) - 1
              ) / 5
            )
          )
        )
      )
    "&amp;") *
    INDEX('Raw GDP data'!$I$2:$M$100,
      MATCH(D112, 'Raw GDP data'!$H$2:$H$100, 0),
      MATCH(A112, 'Raw GDP data'!$I$1:$M$1, 0)
    )
  )),
  """"
)
"),216189119.637281)</f>
        <v>216189119.637281</v>
      </c>
      <c r="H112" s="80"/>
      <c r="I112" s="81">
        <f ca="1">IFERROR(__xludf.DUMMYFUNCTION("""COMPUTED_VALUE"""),2007)</f>
        <v>2007</v>
      </c>
      <c r="J112" s="82" t="str">
        <f ca="1">IFERROR(__xludf.DUMMYFUNCTION("""COMPUTED_VALUE"""),"Chile")</f>
        <v>Chile</v>
      </c>
      <c r="K112" s="83">
        <f ca="1">IFERROR(
  SUMIFS(
    'New Backfilled Data'!G:G,
    'New Backfilled Data'!A:A, I112,
    'New Backfilled Data'!D:D, J112,
    'New Backfilled Data'!E:E, "Online"
  ) /
  SUMIFS(
    'New Backfilled Data'!G:G,
    'New Backfilled Data'!A:A, I112,
    'New Backfilled Data'!D:D, J112
  ),
  ""
)</f>
        <v>0.14571450191038135</v>
      </c>
      <c r="L112" s="84"/>
      <c r="M112" s="84"/>
    </row>
    <row r="113" spans="1:13" ht="17" x14ac:dyDescent="0.2">
      <c r="A113" s="44">
        <v>2005</v>
      </c>
      <c r="B113" s="45" t="s">
        <v>66</v>
      </c>
      <c r="C113" s="45" t="s">
        <v>41</v>
      </c>
      <c r="D113" s="45" t="s">
        <v>45</v>
      </c>
      <c r="E113" s="45" t="s">
        <v>67</v>
      </c>
      <c r="F113" s="45" t="s">
        <v>67</v>
      </c>
      <c r="G113" s="85">
        <f ca="1">IFERROR(__xludf.DUMMYFUNCTION("IFERROR(
  IF(A113 = 2008,
    IF(E113 = ""Online"",
      FILTER('Raw PhocalPoint Data'!G:G,
        'Raw PhocalPoint Data'!A:A = 2009,
        'Raw PhocalPoint Data'!D:D = D113,
        'Raw PhocalPoint Data'!E:E = E113,
        'Raw PhocalPoint Data'!F"&amp;":F = F113
      ) /
      (
        FILTER('Raw PhocalPoint Data'!G:G,
          'Raw PhocalPoint Data'!A:A = 2012,
          'Raw PhocalPoint Data'!D:D = D113,
          'Raw PhocalPoint Data'!E:E = E113,
          'Raw PhocalPoint Data'!F:F = F113
     "&amp;"   ) /
        FILTER('Raw PhocalPoint Data'!G:G,
          'Raw PhocalPoint Data'!A:A = 2011,
          'Raw PhocalPoint Data'!D:D = D113,
          'Raw PhocalPoint Data'!E:E = E113,
          'Raw PhocalPoint Data'!F:F = F113
        )
      ),
      F"&amp;"ILTER('Raw PhocalPoint Data'!G:G,
        'Raw PhocalPoint Data'!A:A = 2009,
        'Raw PhocalPoint Data'!D:D = D113,
        'Raw PhocalPoint Data'!E:E = E113,
        'Raw PhocalPoint Data'!F:F = F113
      ) *
      (
        INDEX('Raw GDP data'!$I$"&amp;"2:$M$100,
          MATCH(D113, 'Raw GDP data'!$H$2:$H$100, 0),
          MATCH(2008, 'Raw GDP data'!$I$1:$M$1, 0)
        ) /
        INDEX('Raw GDP data'!$I$2:$M$100,
          MATCH(D113, 'Raw GDP data'!$H$2:$H$100, 0),
          MATCH(2009, 'Raw GDP d"&amp;"ata'!$I$1:$M$1, 0)
        )
      )
    ),
  IF(A113 &lt; 2008,
    (
      FILTER(G:G,
        A:A = 2008,
        D:D = D113,
        E:E = E113,
        F:F = F113
      ) /
      PRODUCT(
        ARRAYFORMULA(
          (
            (
              FIL"&amp;"TER('Raw PhocalPoint Data'!G:G,
                'Raw PhocalPoint Data'!A:A = 2012,
                'Raw PhocalPoint Data'!D:D = D113,
                'Raw PhocalPoint Data'!E:E = E113,
                'Raw PhocalPoint Data'!F:F = F113
              ) /
  "&amp;"            FILTER('Raw PhocalPoint Data'!G:G,
                'Raw PhocalPoint Data'!A:A = 2011,
                'Raw PhocalPoint Data'!D:D = D113,
                'Raw PhocalPoint Data'!E:E = E113,
                'Raw PhocalPoint Data'!F:F = F113
     "&amp;"         ) -
              ROW(INDIRECT(""1:"" &amp; (2008 - A113))) *
              (
                (
                  FILTER('Raw PhocalPoint Data'!G:G,
                    'Raw PhocalPoint Data'!A:A = 2012,
                    'Raw PhocalPoint Data'!D:D"&amp;" = D113,
                    'Raw PhocalPoint Data'!E:E = E113,
                    'Raw PhocalPoint Data'!F:F = F113
                  ) /
                  FILTER('Raw PhocalPoint Data'!G:G,
                    'Raw PhocalPoint Data'!A:A = 2011,
       "&amp;"             'Raw PhocalPoint Data'!D:D = D113,
                    'Raw PhocalPoint Data'!E:E = E113,
                    'Raw PhocalPoint Data'!F:F = F113
                  ) - 1
                ) / 5
              )
            )
          )
        )
"&amp;"      )
    ),
    (
      FILTER('Raw PhocalPoint Data'!G:G,
        'Raw PhocalPoint Data'!A:A = 2009,
        'Raw PhocalPoint Data'!D:D = D113,
        'Raw PhocalPoint Data'!E:E = E113,
        'Raw PhocalPoint Data'!F:F = F113
      ) /
      PRODUC"&amp;"T(
        ARRAYFORMULA(
          (
            FILTER('Raw PhocalPoint Data'!G:G,
              'Raw PhocalPoint Data'!A:A = 2012,
              'Raw PhocalPoint Data'!D:D = D113,
              'Raw PhocalPoint Data'!E:E = E113,
              'Raw Phoca"&amp;"lPoint Data'!F:F = F113
            ) /
            FILTER('Raw PhocalPoint Data'!G:G,
              'Raw PhocalPoint Data'!A:A = 2011,
              'Raw PhocalPoint Data'!D:D = D113,
              'Raw PhocalPoint Data'!E:E = E113,
              'Raw Ph"&amp;"ocalPoint Data'!F:F = F113
            ) -
            (ROW(INDIRECT(""1:"" &amp; (2010 - A113))) - 1) *
            (
              (
                FILTER('Raw PhocalPoint Data'!G:G,
                  'Raw PhocalPoint Data'!A:A = 2012,
                  'R"&amp;"aw PhocalPoint Data'!D:D = D113,
                  'Raw PhocalPoint Data'!E:E = E113,
                  'Raw PhocalPoint Data'!F:F = F113
                ) /
                FILTER('Raw PhocalPoint Data'!G:G,
                  'Raw PhocalPoint Data'!A:A ="&amp;" 2011,
                  'Raw PhocalPoint Data'!D:D = D113,
                  'Raw PhocalPoint Data'!E:E = E113,
                  'Raw PhocalPoint Data'!F:F = F113
                ) - 1
              ) / 5
            )
          )
        )
      )
    "&amp;") *
    INDEX('Raw GDP data'!$I$2:$M$100,
      MATCH(D113, 'Raw GDP data'!$H$2:$H$100, 0),
      MATCH(A113, 'Raw GDP data'!$I$1:$M$1, 0)
    )
  )),
  """"
)
"),19343460138.3165)</f>
        <v>19343460138.316502</v>
      </c>
      <c r="H113" s="86"/>
      <c r="I113" s="87">
        <f ca="1">IFERROR(__xludf.DUMMYFUNCTION("""COMPUTED_VALUE"""),2007)</f>
        <v>2007</v>
      </c>
      <c r="J113" s="88" t="str">
        <f ca="1">IFERROR(__xludf.DUMMYFUNCTION("""COMPUTED_VALUE"""),"Colombia")</f>
        <v>Colombia</v>
      </c>
      <c r="K113" s="89">
        <f ca="1">IFERROR(
  SUMIFS(
    'New Backfilled Data'!G:G,
    'New Backfilled Data'!A:A, I113,
    'New Backfilled Data'!D:D, J113,
    'New Backfilled Data'!E:E, "Online"
  ) /
  SUMIFS(
    'New Backfilled Data'!G:G,
    'New Backfilled Data'!A:A, I113,
    'New Backfilled Data'!D:D, J113
  ),
  ""
)</f>
        <v>3.9720060769123162E-2</v>
      </c>
      <c r="L113" s="90"/>
      <c r="M113" s="90"/>
    </row>
    <row r="114" spans="1:13" ht="17" x14ac:dyDescent="0.2">
      <c r="A114" s="37">
        <v>2005</v>
      </c>
      <c r="B114" s="38" t="s">
        <v>66</v>
      </c>
      <c r="C114" s="38" t="s">
        <v>41</v>
      </c>
      <c r="D114" s="38" t="s">
        <v>45</v>
      </c>
      <c r="E114" s="38" t="s">
        <v>69</v>
      </c>
      <c r="F114" s="38" t="s">
        <v>71</v>
      </c>
      <c r="G114" s="79">
        <f ca="1">IFERROR(__xludf.DUMMYFUNCTION("IFERROR(
  IF(A114 = 2008,
    IF(E114 = ""Online"",
      FILTER('Raw PhocalPoint Data'!G:G,
        'Raw PhocalPoint Data'!A:A = 2009,
        'Raw PhocalPoint Data'!D:D = D114,
        'Raw PhocalPoint Data'!E:E = E114,
        'Raw PhocalPoint Data'!F"&amp;":F = F114
      ) /
      (
        FILTER('Raw PhocalPoint Data'!G:G,
          'Raw PhocalPoint Data'!A:A = 2012,
          'Raw PhocalPoint Data'!D:D = D114,
          'Raw PhocalPoint Data'!E:E = E114,
          'Raw PhocalPoint Data'!F:F = F114
     "&amp;"   ) /
        FILTER('Raw PhocalPoint Data'!G:G,
          'Raw PhocalPoint Data'!A:A = 2011,
          'Raw PhocalPoint Data'!D:D = D114,
          'Raw PhocalPoint Data'!E:E = E114,
          'Raw PhocalPoint Data'!F:F = F114
        )
      ),
      F"&amp;"ILTER('Raw PhocalPoint Data'!G:G,
        'Raw PhocalPoint Data'!A:A = 2009,
        'Raw PhocalPoint Data'!D:D = D114,
        'Raw PhocalPoint Data'!E:E = E114,
        'Raw PhocalPoint Data'!F:F = F114
      ) *
      (
        INDEX('Raw GDP data'!$I$"&amp;"2:$M$100,
          MATCH(D114, 'Raw GDP data'!$H$2:$H$100, 0),
          MATCH(2008, 'Raw GDP data'!$I$1:$M$1, 0)
        ) /
        INDEX('Raw GDP data'!$I$2:$M$100,
          MATCH(D114, 'Raw GDP data'!$H$2:$H$100, 0),
          MATCH(2009, 'Raw GDP d"&amp;"ata'!$I$1:$M$1, 0)
        )
      )
    ),
  IF(A114 &lt; 2008,
    (
      FILTER(G:G,
        A:A = 2008,
        D:D = D114,
        E:E = E114,
        F:F = F114
      ) /
      PRODUCT(
        ARRAYFORMULA(
          (
            (
              FIL"&amp;"TER('Raw PhocalPoint Data'!G:G,
                'Raw PhocalPoint Data'!A:A = 2012,
                'Raw PhocalPoint Data'!D:D = D114,
                'Raw PhocalPoint Data'!E:E = E114,
                'Raw PhocalPoint Data'!F:F = F114
              ) /
  "&amp;"            FILTER('Raw PhocalPoint Data'!G:G,
                'Raw PhocalPoint Data'!A:A = 2011,
                'Raw PhocalPoint Data'!D:D = D114,
                'Raw PhocalPoint Data'!E:E = E114,
                'Raw PhocalPoint Data'!F:F = F114
     "&amp;"         ) -
              ROW(INDIRECT(""1:"" &amp; (2008 - A114))) *
              (
                (
                  FILTER('Raw PhocalPoint Data'!G:G,
                    'Raw PhocalPoint Data'!A:A = 2012,
                    'Raw PhocalPoint Data'!D:D"&amp;" = D114,
                    'Raw PhocalPoint Data'!E:E = E114,
                    'Raw PhocalPoint Data'!F:F = F114
                  ) /
                  FILTER('Raw PhocalPoint Data'!G:G,
                    'Raw PhocalPoint Data'!A:A = 2011,
       "&amp;"             'Raw PhocalPoint Data'!D:D = D114,
                    'Raw PhocalPoint Data'!E:E = E114,
                    'Raw PhocalPoint Data'!F:F = F114
                  ) - 1
                ) / 5
              )
            )
          )
        )
"&amp;"      )
    ),
    (
      FILTER('Raw PhocalPoint Data'!G:G,
        'Raw PhocalPoint Data'!A:A = 2009,
        'Raw PhocalPoint Data'!D:D = D114,
        'Raw PhocalPoint Data'!E:E = E114,
        'Raw PhocalPoint Data'!F:F = F114
      ) /
      PRODUC"&amp;"T(
        ARRAYFORMULA(
          (
            FILTER('Raw PhocalPoint Data'!G:G,
              'Raw PhocalPoint Data'!A:A = 2012,
              'Raw PhocalPoint Data'!D:D = D114,
              'Raw PhocalPoint Data'!E:E = E114,
              'Raw Phoca"&amp;"lPoint Data'!F:F = F114
            ) /
            FILTER('Raw PhocalPoint Data'!G:G,
              'Raw PhocalPoint Data'!A:A = 2011,
              'Raw PhocalPoint Data'!D:D = D114,
              'Raw PhocalPoint Data'!E:E = E114,
              'Raw Ph"&amp;"ocalPoint Data'!F:F = F114
            ) -
            (ROW(INDIRECT(""1:"" &amp; (2010 - A114))) - 1) *
            (
              (
                FILTER('Raw PhocalPoint Data'!G:G,
                  'Raw PhocalPoint Data'!A:A = 2012,
                  'R"&amp;"aw PhocalPoint Data'!D:D = D114,
                  'Raw PhocalPoint Data'!E:E = E114,
                  'Raw PhocalPoint Data'!F:F = F114
                ) /
                FILTER('Raw PhocalPoint Data'!G:G,
                  'Raw PhocalPoint Data'!A:A ="&amp;" 2011,
                  'Raw PhocalPoint Data'!D:D = D114,
                  'Raw PhocalPoint Data'!E:E = E114,
                  'Raw PhocalPoint Data'!F:F = F114
                ) - 1
              ) / 5
            )
          )
        )
      )
    "&amp;") *
    INDEX('Raw GDP data'!$I$2:$M$100,
      MATCH(D114, 'Raw GDP data'!$H$2:$H$100, 0),
      MATCH(A114, 'Raw GDP data'!$I$1:$M$1, 0)
    )
  )),
  """"
)
"),963386505.641574)</f>
        <v>963386505.64157403</v>
      </c>
      <c r="H114" s="80"/>
      <c r="I114" s="81">
        <f ca="1">IFERROR(__xludf.DUMMYFUNCTION("""COMPUTED_VALUE"""),2007)</f>
        <v>2007</v>
      </c>
      <c r="J114" s="82" t="str">
        <f ca="1">IFERROR(__xludf.DUMMYFUNCTION("""COMPUTED_VALUE"""),"Mexico")</f>
        <v>Mexico</v>
      </c>
      <c r="K114" s="83">
        <f ca="1">IFERROR(
  SUMIFS(
    'New Backfilled Data'!G:G,
    'New Backfilled Data'!A:A, I114,
    'New Backfilled Data'!D:D, J114,
    'New Backfilled Data'!E:E, "Online"
  ) /
  SUMIFS(
    'New Backfilled Data'!G:G,
    'New Backfilled Data'!A:A, I114,
    'New Backfilled Data'!D:D, J114
  ),
  ""
)</f>
        <v>9.1858538565145212E-2</v>
      </c>
      <c r="L114" s="84"/>
      <c r="M114" s="84"/>
    </row>
    <row r="115" spans="1:13" ht="17" x14ac:dyDescent="0.2">
      <c r="A115" s="44">
        <v>2005</v>
      </c>
      <c r="B115" s="45" t="s">
        <v>66</v>
      </c>
      <c r="C115" s="45" t="s">
        <v>41</v>
      </c>
      <c r="D115" s="45" t="s">
        <v>45</v>
      </c>
      <c r="E115" s="45" t="s">
        <v>69</v>
      </c>
      <c r="F115" s="45" t="s">
        <v>70</v>
      </c>
      <c r="G115" s="85">
        <f ca="1">IFERROR(__xludf.DUMMYFUNCTION("IFERROR(
  IF(A115 = 2008,
    IF(E115 = ""Online"",
      FILTER('Raw PhocalPoint Data'!G:G,
        'Raw PhocalPoint Data'!A:A = 2009,
        'Raw PhocalPoint Data'!D:D = D115,
        'Raw PhocalPoint Data'!E:E = E115,
        'Raw PhocalPoint Data'!F"&amp;":F = F115
      ) /
      (
        FILTER('Raw PhocalPoint Data'!G:G,
          'Raw PhocalPoint Data'!A:A = 2012,
          'Raw PhocalPoint Data'!D:D = D115,
          'Raw PhocalPoint Data'!E:E = E115,
          'Raw PhocalPoint Data'!F:F = F115
     "&amp;"   ) /
        FILTER('Raw PhocalPoint Data'!G:G,
          'Raw PhocalPoint Data'!A:A = 2011,
          'Raw PhocalPoint Data'!D:D = D115,
          'Raw PhocalPoint Data'!E:E = E115,
          'Raw PhocalPoint Data'!F:F = F115
        )
      ),
      F"&amp;"ILTER('Raw PhocalPoint Data'!G:G,
        'Raw PhocalPoint Data'!A:A = 2009,
        'Raw PhocalPoint Data'!D:D = D115,
        'Raw PhocalPoint Data'!E:E = E115,
        'Raw PhocalPoint Data'!F:F = F115
      ) *
      (
        INDEX('Raw GDP data'!$I$"&amp;"2:$M$100,
          MATCH(D115, 'Raw GDP data'!$H$2:$H$100, 0),
          MATCH(2008, 'Raw GDP data'!$I$1:$M$1, 0)
        ) /
        INDEX('Raw GDP data'!$I$2:$M$100,
          MATCH(D115, 'Raw GDP data'!$H$2:$H$100, 0),
          MATCH(2009, 'Raw GDP d"&amp;"ata'!$I$1:$M$1, 0)
        )
      )
    ),
  IF(A115 &lt; 2008,
    (
      FILTER(G:G,
        A:A = 2008,
        D:D = D115,
        E:E = E115,
        F:F = F115
      ) /
      PRODUCT(
        ARRAYFORMULA(
          (
            (
              FIL"&amp;"TER('Raw PhocalPoint Data'!G:G,
                'Raw PhocalPoint Data'!A:A = 2012,
                'Raw PhocalPoint Data'!D:D = D115,
                'Raw PhocalPoint Data'!E:E = E115,
                'Raw PhocalPoint Data'!F:F = F115
              ) /
  "&amp;"            FILTER('Raw PhocalPoint Data'!G:G,
                'Raw PhocalPoint Data'!A:A = 2011,
                'Raw PhocalPoint Data'!D:D = D115,
                'Raw PhocalPoint Data'!E:E = E115,
                'Raw PhocalPoint Data'!F:F = F115
     "&amp;"         ) -
              ROW(INDIRECT(""1:"" &amp; (2008 - A115))) *
              (
                (
                  FILTER('Raw PhocalPoint Data'!G:G,
                    'Raw PhocalPoint Data'!A:A = 2012,
                    'Raw PhocalPoint Data'!D:D"&amp;" = D115,
                    'Raw PhocalPoint Data'!E:E = E115,
                    'Raw PhocalPoint Data'!F:F = F115
                  ) /
                  FILTER('Raw PhocalPoint Data'!G:G,
                    'Raw PhocalPoint Data'!A:A = 2011,
       "&amp;"             'Raw PhocalPoint Data'!D:D = D115,
                    'Raw PhocalPoint Data'!E:E = E115,
                    'Raw PhocalPoint Data'!F:F = F115
                  ) - 1
                ) / 5
              )
            )
          )
        )
"&amp;"      )
    ),
    (
      FILTER('Raw PhocalPoint Data'!G:G,
        'Raw PhocalPoint Data'!A:A = 2009,
        'Raw PhocalPoint Data'!D:D = D115,
        'Raw PhocalPoint Data'!E:E = E115,
        'Raw PhocalPoint Data'!F:F = F115
      ) /
      PRODUC"&amp;"T(
        ARRAYFORMULA(
          (
            FILTER('Raw PhocalPoint Data'!G:G,
              'Raw PhocalPoint Data'!A:A = 2012,
              'Raw PhocalPoint Data'!D:D = D115,
              'Raw PhocalPoint Data'!E:E = E115,
              'Raw Phoca"&amp;"lPoint Data'!F:F = F115
            ) /
            FILTER('Raw PhocalPoint Data'!G:G,
              'Raw PhocalPoint Data'!A:A = 2011,
              'Raw PhocalPoint Data'!D:D = D115,
              'Raw PhocalPoint Data'!E:E = E115,
              'Raw Ph"&amp;"ocalPoint Data'!F:F = F115
            ) -
            (ROW(INDIRECT(""1:"" &amp; (2010 - A115))) - 1) *
            (
              (
                FILTER('Raw PhocalPoint Data'!G:G,
                  'Raw PhocalPoint Data'!A:A = 2012,
                  'R"&amp;"aw PhocalPoint Data'!D:D = D115,
                  'Raw PhocalPoint Data'!E:E = E115,
                  'Raw PhocalPoint Data'!F:F = F115
                ) /
                FILTER('Raw PhocalPoint Data'!G:G,
                  'Raw PhocalPoint Data'!A:A ="&amp;" 2011,
                  'Raw PhocalPoint Data'!D:D = D115,
                  'Raw PhocalPoint Data'!E:E = E115,
                  'Raw PhocalPoint Data'!F:F = F115
                ) - 1
              ) / 5
            )
          )
        )
      )
    "&amp;") *
    INDEX('Raw GDP data'!$I$2:$M$100,
      MATCH(D115, 'Raw GDP data'!$H$2:$H$100, 0),
      MATCH(A115, 'Raw GDP data'!$I$1:$M$1, 0)
    )
  )),
  """"
)
"),681367607.833561)</f>
        <v>681367607.83356094</v>
      </c>
      <c r="H115" s="86"/>
      <c r="I115" s="87">
        <f ca="1">IFERROR(__xludf.DUMMYFUNCTION("""COMPUTED_VALUE"""),2007)</f>
        <v>2007</v>
      </c>
      <c r="J115" s="88" t="str">
        <f ca="1">IFERROR(__xludf.DUMMYFUNCTION("""COMPUTED_VALUE"""),"Egypt")</f>
        <v>Egypt</v>
      </c>
      <c r="K115" s="89">
        <f ca="1">IFERROR(
  SUMIFS(
    'New Backfilled Data'!G:G,
    'New Backfilled Data'!A:A, I115,
    'New Backfilled Data'!D:D, J115,
    'New Backfilled Data'!E:E, "Online"
  ) /
  SUMIFS(
    'New Backfilled Data'!G:G,
    'New Backfilled Data'!A:A, I115,
    'New Backfilled Data'!D:D, J115
  ),
  ""
)</f>
        <v>4.6700149514022876E-2</v>
      </c>
      <c r="L115" s="90"/>
      <c r="M115" s="90"/>
    </row>
    <row r="116" spans="1:13" ht="17" x14ac:dyDescent="0.2">
      <c r="A116" s="37">
        <v>2005</v>
      </c>
      <c r="B116" s="38" t="s">
        <v>66</v>
      </c>
      <c r="C116" s="38" t="s">
        <v>47</v>
      </c>
      <c r="D116" s="38" t="s">
        <v>46</v>
      </c>
      <c r="E116" s="38" t="s">
        <v>67</v>
      </c>
      <c r="F116" s="38" t="s">
        <v>67</v>
      </c>
      <c r="G116" s="79">
        <f ca="1">IFERROR(__xludf.DUMMYFUNCTION("IFERROR(
  IF(A116 = 2008,
    IF(E116 = ""Online"",
      FILTER('Raw PhocalPoint Data'!G:G,
        'Raw PhocalPoint Data'!A:A = 2009,
        'Raw PhocalPoint Data'!D:D = D116,
        'Raw PhocalPoint Data'!E:E = E116,
        'Raw PhocalPoint Data'!F"&amp;":F = F116
      ) /
      (
        FILTER('Raw PhocalPoint Data'!G:G,
          'Raw PhocalPoint Data'!A:A = 2012,
          'Raw PhocalPoint Data'!D:D = D116,
          'Raw PhocalPoint Data'!E:E = E116,
          'Raw PhocalPoint Data'!F:F = F116
     "&amp;"   ) /
        FILTER('Raw PhocalPoint Data'!G:G,
          'Raw PhocalPoint Data'!A:A = 2011,
          'Raw PhocalPoint Data'!D:D = D116,
          'Raw PhocalPoint Data'!E:E = E116,
          'Raw PhocalPoint Data'!F:F = F116
        )
      ),
      F"&amp;"ILTER('Raw PhocalPoint Data'!G:G,
        'Raw PhocalPoint Data'!A:A = 2009,
        'Raw PhocalPoint Data'!D:D = D116,
        'Raw PhocalPoint Data'!E:E = E116,
        'Raw PhocalPoint Data'!F:F = F116
      ) *
      (
        INDEX('Raw GDP data'!$I$"&amp;"2:$M$100,
          MATCH(D116, 'Raw GDP data'!$H$2:$H$100, 0),
          MATCH(2008, 'Raw GDP data'!$I$1:$M$1, 0)
        ) /
        INDEX('Raw GDP data'!$I$2:$M$100,
          MATCH(D116, 'Raw GDP data'!$H$2:$H$100, 0),
          MATCH(2009, 'Raw GDP d"&amp;"ata'!$I$1:$M$1, 0)
        )
      )
    ),
  IF(A116 &lt; 2008,
    (
      FILTER(G:G,
        A:A = 2008,
        D:D = D116,
        E:E = E116,
        F:F = F116
      ) /
      PRODUCT(
        ARRAYFORMULA(
          (
            (
              FIL"&amp;"TER('Raw PhocalPoint Data'!G:G,
                'Raw PhocalPoint Data'!A:A = 2012,
                'Raw PhocalPoint Data'!D:D = D116,
                'Raw PhocalPoint Data'!E:E = E116,
                'Raw PhocalPoint Data'!F:F = F116
              ) /
  "&amp;"            FILTER('Raw PhocalPoint Data'!G:G,
                'Raw PhocalPoint Data'!A:A = 2011,
                'Raw PhocalPoint Data'!D:D = D116,
                'Raw PhocalPoint Data'!E:E = E116,
                'Raw PhocalPoint Data'!F:F = F116
     "&amp;"         ) -
              ROW(INDIRECT(""1:"" &amp; (2008 - A116))) *
              (
                (
                  FILTER('Raw PhocalPoint Data'!G:G,
                    'Raw PhocalPoint Data'!A:A = 2012,
                    'Raw PhocalPoint Data'!D:D"&amp;" = D116,
                    'Raw PhocalPoint Data'!E:E = E116,
                    'Raw PhocalPoint Data'!F:F = F116
                  ) /
                  FILTER('Raw PhocalPoint Data'!G:G,
                    'Raw PhocalPoint Data'!A:A = 2011,
       "&amp;"             'Raw PhocalPoint Data'!D:D = D116,
                    'Raw PhocalPoint Data'!E:E = E116,
                    'Raw PhocalPoint Data'!F:F = F116
                  ) - 1
                ) / 5
              )
            )
          )
        )
"&amp;"      )
    ),
    (
      FILTER('Raw PhocalPoint Data'!G:G,
        'Raw PhocalPoint Data'!A:A = 2009,
        'Raw PhocalPoint Data'!D:D = D116,
        'Raw PhocalPoint Data'!E:E = E116,
        'Raw PhocalPoint Data'!F:F = F116
      ) /
      PRODUC"&amp;"T(
        ARRAYFORMULA(
          (
            FILTER('Raw PhocalPoint Data'!G:G,
              'Raw PhocalPoint Data'!A:A = 2012,
              'Raw PhocalPoint Data'!D:D = D116,
              'Raw PhocalPoint Data'!E:E = E116,
              'Raw Phoca"&amp;"lPoint Data'!F:F = F116
            ) /
            FILTER('Raw PhocalPoint Data'!G:G,
              'Raw PhocalPoint Data'!A:A = 2011,
              'Raw PhocalPoint Data'!D:D = D116,
              'Raw PhocalPoint Data'!E:E = E116,
              'Raw Ph"&amp;"ocalPoint Data'!F:F = F116
            ) -
            (ROW(INDIRECT(""1:"" &amp; (2010 - A116))) - 1) *
            (
              (
                FILTER('Raw PhocalPoint Data'!G:G,
                  'Raw PhocalPoint Data'!A:A = 2012,
                  'R"&amp;"aw PhocalPoint Data'!D:D = D116,
                  'Raw PhocalPoint Data'!E:E = E116,
                  'Raw PhocalPoint Data'!F:F = F116
                ) /
                FILTER('Raw PhocalPoint Data'!G:G,
                  'Raw PhocalPoint Data'!A:A ="&amp;" 2011,
                  'Raw PhocalPoint Data'!D:D = D116,
                  'Raw PhocalPoint Data'!E:E = E116,
                  'Raw PhocalPoint Data'!F:F = F116
                ) - 1
              ) / 5
            )
          )
        )
      )
    "&amp;") *
    INDEX('Raw GDP data'!$I$2:$M$100,
      MATCH(D116, 'Raw GDP data'!$H$2:$H$100, 0),
      MATCH(A116, 'Raw GDP data'!$I$1:$M$1, 0)
    )
  )),
  """"
)
"),13831080023.0971)</f>
        <v>13831080023.097099</v>
      </c>
      <c r="H116" s="80"/>
      <c r="I116" s="81">
        <f ca="1">IFERROR(__xludf.DUMMYFUNCTION("""COMPUTED_VALUE"""),2007)</f>
        <v>2007</v>
      </c>
      <c r="J116" s="82" t="str">
        <f ca="1">IFERROR(__xludf.DUMMYFUNCTION("""COMPUTED_VALUE"""),"Qatar")</f>
        <v>Qatar</v>
      </c>
      <c r="K116" s="83">
        <f ca="1">IFERROR(
  SUMIFS(
    'New Backfilled Data'!G:G,
    'New Backfilled Data'!A:A, I116,
    'New Backfilled Data'!D:D, J116,
    'New Backfilled Data'!E:E, "Online"
  ) /
  SUMIFS(
    'New Backfilled Data'!G:G,
    'New Backfilled Data'!A:A, I116,
    'New Backfilled Data'!D:D, J116
  ),
  ""
)</f>
        <v>0.10979650730675203</v>
      </c>
      <c r="L116" s="84"/>
      <c r="M116" s="84"/>
    </row>
    <row r="117" spans="1:13" ht="34" x14ac:dyDescent="0.2">
      <c r="A117" s="44">
        <v>2005</v>
      </c>
      <c r="B117" s="45" t="s">
        <v>66</v>
      </c>
      <c r="C117" s="45" t="s">
        <v>47</v>
      </c>
      <c r="D117" s="45" t="s">
        <v>46</v>
      </c>
      <c r="E117" s="45" t="s">
        <v>69</v>
      </c>
      <c r="F117" s="45" t="s">
        <v>71</v>
      </c>
      <c r="G117" s="85">
        <f ca="1">IFERROR(__xludf.DUMMYFUNCTION("IFERROR(
  IF(A117 = 2008,
    IF(E117 = ""Online"",
      FILTER('Raw PhocalPoint Data'!G:G,
        'Raw PhocalPoint Data'!A:A = 2009,
        'Raw PhocalPoint Data'!D:D = D117,
        'Raw PhocalPoint Data'!E:E = E117,
        'Raw PhocalPoint Data'!F"&amp;":F = F117
      ) /
      (
        FILTER('Raw PhocalPoint Data'!G:G,
          'Raw PhocalPoint Data'!A:A = 2012,
          'Raw PhocalPoint Data'!D:D = D117,
          'Raw PhocalPoint Data'!E:E = E117,
          'Raw PhocalPoint Data'!F:F = F117
     "&amp;"   ) /
        FILTER('Raw PhocalPoint Data'!G:G,
          'Raw PhocalPoint Data'!A:A = 2011,
          'Raw PhocalPoint Data'!D:D = D117,
          'Raw PhocalPoint Data'!E:E = E117,
          'Raw PhocalPoint Data'!F:F = F117
        )
      ),
      F"&amp;"ILTER('Raw PhocalPoint Data'!G:G,
        'Raw PhocalPoint Data'!A:A = 2009,
        'Raw PhocalPoint Data'!D:D = D117,
        'Raw PhocalPoint Data'!E:E = E117,
        'Raw PhocalPoint Data'!F:F = F117
      ) *
      (
        INDEX('Raw GDP data'!$I$"&amp;"2:$M$100,
          MATCH(D117, 'Raw GDP data'!$H$2:$H$100, 0),
          MATCH(2008, 'Raw GDP data'!$I$1:$M$1, 0)
        ) /
        INDEX('Raw GDP data'!$I$2:$M$100,
          MATCH(D117, 'Raw GDP data'!$H$2:$H$100, 0),
          MATCH(2009, 'Raw GDP d"&amp;"ata'!$I$1:$M$1, 0)
        )
      )
    ),
  IF(A117 &lt; 2008,
    (
      FILTER(G:G,
        A:A = 2008,
        D:D = D117,
        E:E = E117,
        F:F = F117
      ) /
      PRODUCT(
        ARRAYFORMULA(
          (
            (
              FIL"&amp;"TER('Raw PhocalPoint Data'!G:G,
                'Raw PhocalPoint Data'!A:A = 2012,
                'Raw PhocalPoint Data'!D:D = D117,
                'Raw PhocalPoint Data'!E:E = E117,
                'Raw PhocalPoint Data'!F:F = F117
              ) /
  "&amp;"            FILTER('Raw PhocalPoint Data'!G:G,
                'Raw PhocalPoint Data'!A:A = 2011,
                'Raw PhocalPoint Data'!D:D = D117,
                'Raw PhocalPoint Data'!E:E = E117,
                'Raw PhocalPoint Data'!F:F = F117
     "&amp;"         ) -
              ROW(INDIRECT(""1:"" &amp; (2008 - A117))) *
              (
                (
                  FILTER('Raw PhocalPoint Data'!G:G,
                    'Raw PhocalPoint Data'!A:A = 2012,
                    'Raw PhocalPoint Data'!D:D"&amp;" = D117,
                    'Raw PhocalPoint Data'!E:E = E117,
                    'Raw PhocalPoint Data'!F:F = F117
                  ) /
                  FILTER('Raw PhocalPoint Data'!G:G,
                    'Raw PhocalPoint Data'!A:A = 2011,
       "&amp;"             'Raw PhocalPoint Data'!D:D = D117,
                    'Raw PhocalPoint Data'!E:E = E117,
                    'Raw PhocalPoint Data'!F:F = F117
                  ) - 1
                ) / 5
              )
            )
          )
        )
"&amp;"      )
    ),
    (
      FILTER('Raw PhocalPoint Data'!G:G,
        'Raw PhocalPoint Data'!A:A = 2009,
        'Raw PhocalPoint Data'!D:D = D117,
        'Raw PhocalPoint Data'!E:E = E117,
        'Raw PhocalPoint Data'!F:F = F117
      ) /
      PRODUC"&amp;"T(
        ARRAYFORMULA(
          (
            FILTER('Raw PhocalPoint Data'!G:G,
              'Raw PhocalPoint Data'!A:A = 2012,
              'Raw PhocalPoint Data'!D:D = D117,
              'Raw PhocalPoint Data'!E:E = E117,
              'Raw Phoca"&amp;"lPoint Data'!F:F = F117
            ) /
            FILTER('Raw PhocalPoint Data'!G:G,
              'Raw PhocalPoint Data'!A:A = 2011,
              'Raw PhocalPoint Data'!D:D = D117,
              'Raw PhocalPoint Data'!E:E = E117,
              'Raw Ph"&amp;"ocalPoint Data'!F:F = F117
            ) -
            (ROW(INDIRECT(""1:"" &amp; (2010 - A117))) - 1) *
            (
              (
                FILTER('Raw PhocalPoint Data'!G:G,
                  'Raw PhocalPoint Data'!A:A = 2012,
                  'R"&amp;"aw PhocalPoint Data'!D:D = D117,
                  'Raw PhocalPoint Data'!E:E = E117,
                  'Raw PhocalPoint Data'!F:F = F117
                ) /
                FILTER('Raw PhocalPoint Data'!G:G,
                  'Raw PhocalPoint Data'!A:A ="&amp;" 2011,
                  'Raw PhocalPoint Data'!D:D = D117,
                  'Raw PhocalPoint Data'!E:E = E117,
                  'Raw PhocalPoint Data'!F:F = F117
                ) - 1
              ) / 5
            )
          )
        )
      )
    "&amp;") *
    INDEX('Raw GDP data'!$I$2:$M$100,
      MATCH(D117, 'Raw GDP data'!$H$2:$H$100, 0),
      MATCH(A117, 'Raw GDP data'!$I$1:$M$1, 0)
    )
  )),
  """"
)
"),1808954375.02564)</f>
        <v>1808954375.02564</v>
      </c>
      <c r="H117" s="86"/>
      <c r="I117" s="87">
        <f ca="1">IFERROR(__xludf.DUMMYFUNCTION("""COMPUTED_VALUE"""),2007)</f>
        <v>2007</v>
      </c>
      <c r="J117" s="88" t="str">
        <f ca="1">IFERROR(__xludf.DUMMYFUNCTION("""COMPUTED_VALUE"""),"Rest of Middle East")</f>
        <v>Rest of Middle East</v>
      </c>
      <c r="K117" s="89">
        <f ca="1">IFERROR(
  SUMIFS(
    'New Backfilled Data'!G:G,
    'New Backfilled Data'!A:A, I117,
    'New Backfilled Data'!D:D, J117,
    'New Backfilled Data'!E:E, "Online"
  ) /
  SUMIFS(
    'New Backfilled Data'!G:G,
    'New Backfilled Data'!A:A, I117,
    'New Backfilled Data'!D:D, J117
  ),
  ""
)</f>
        <v>4.4716301307990682E-2</v>
      </c>
      <c r="L117" s="90"/>
      <c r="M117" s="90"/>
    </row>
    <row r="118" spans="1:13" ht="17" x14ac:dyDescent="0.2">
      <c r="A118" s="37">
        <v>2005</v>
      </c>
      <c r="B118" s="38" t="s">
        <v>66</v>
      </c>
      <c r="C118" s="38" t="s">
        <v>47</v>
      </c>
      <c r="D118" s="38" t="s">
        <v>46</v>
      </c>
      <c r="E118" s="38" t="s">
        <v>69</v>
      </c>
      <c r="F118" s="38" t="s">
        <v>70</v>
      </c>
      <c r="G118" s="79">
        <f ca="1">IFERROR(__xludf.DUMMYFUNCTION("IFERROR(
  IF(A118 = 2008,
    IF(E118 = ""Online"",
      FILTER('Raw PhocalPoint Data'!G:G,
        'Raw PhocalPoint Data'!A:A = 2009,
        'Raw PhocalPoint Data'!D:D = D118,
        'Raw PhocalPoint Data'!E:E = E118,
        'Raw PhocalPoint Data'!F"&amp;":F = F118
      ) /
      (
        FILTER('Raw PhocalPoint Data'!G:G,
          'Raw PhocalPoint Data'!A:A = 2012,
          'Raw PhocalPoint Data'!D:D = D118,
          'Raw PhocalPoint Data'!E:E = E118,
          'Raw PhocalPoint Data'!F:F = F118
     "&amp;"   ) /
        FILTER('Raw PhocalPoint Data'!G:G,
          'Raw PhocalPoint Data'!A:A = 2011,
          'Raw PhocalPoint Data'!D:D = D118,
          'Raw PhocalPoint Data'!E:E = E118,
          'Raw PhocalPoint Data'!F:F = F118
        )
      ),
      F"&amp;"ILTER('Raw PhocalPoint Data'!G:G,
        'Raw PhocalPoint Data'!A:A = 2009,
        'Raw PhocalPoint Data'!D:D = D118,
        'Raw PhocalPoint Data'!E:E = E118,
        'Raw PhocalPoint Data'!F:F = F118
      ) *
      (
        INDEX('Raw GDP data'!$I$"&amp;"2:$M$100,
          MATCH(D118, 'Raw GDP data'!$H$2:$H$100, 0),
          MATCH(2008, 'Raw GDP data'!$I$1:$M$1, 0)
        ) /
        INDEX('Raw GDP data'!$I$2:$M$100,
          MATCH(D118, 'Raw GDP data'!$H$2:$H$100, 0),
          MATCH(2009, 'Raw GDP d"&amp;"ata'!$I$1:$M$1, 0)
        )
      )
    ),
  IF(A118 &lt; 2008,
    (
      FILTER(G:G,
        A:A = 2008,
        D:D = D118,
        E:E = E118,
        F:F = F118
      ) /
      PRODUCT(
        ARRAYFORMULA(
          (
            (
              FIL"&amp;"TER('Raw PhocalPoint Data'!G:G,
                'Raw PhocalPoint Data'!A:A = 2012,
                'Raw PhocalPoint Data'!D:D = D118,
                'Raw PhocalPoint Data'!E:E = E118,
                'Raw PhocalPoint Data'!F:F = F118
              ) /
  "&amp;"            FILTER('Raw PhocalPoint Data'!G:G,
                'Raw PhocalPoint Data'!A:A = 2011,
                'Raw PhocalPoint Data'!D:D = D118,
                'Raw PhocalPoint Data'!E:E = E118,
                'Raw PhocalPoint Data'!F:F = F118
     "&amp;"         ) -
              ROW(INDIRECT(""1:"" &amp; (2008 - A118))) *
              (
                (
                  FILTER('Raw PhocalPoint Data'!G:G,
                    'Raw PhocalPoint Data'!A:A = 2012,
                    'Raw PhocalPoint Data'!D:D"&amp;" = D118,
                    'Raw PhocalPoint Data'!E:E = E118,
                    'Raw PhocalPoint Data'!F:F = F118
                  ) /
                  FILTER('Raw PhocalPoint Data'!G:G,
                    'Raw PhocalPoint Data'!A:A = 2011,
       "&amp;"             'Raw PhocalPoint Data'!D:D = D118,
                    'Raw PhocalPoint Data'!E:E = E118,
                    'Raw PhocalPoint Data'!F:F = F118
                  ) - 1
                ) / 5
              )
            )
          )
        )
"&amp;"      )
    ),
    (
      FILTER('Raw PhocalPoint Data'!G:G,
        'Raw PhocalPoint Data'!A:A = 2009,
        'Raw PhocalPoint Data'!D:D = D118,
        'Raw PhocalPoint Data'!E:E = E118,
        'Raw PhocalPoint Data'!F:F = F118
      ) /
      PRODUC"&amp;"T(
        ARRAYFORMULA(
          (
            FILTER('Raw PhocalPoint Data'!G:G,
              'Raw PhocalPoint Data'!A:A = 2012,
              'Raw PhocalPoint Data'!D:D = D118,
              'Raw PhocalPoint Data'!E:E = E118,
              'Raw Phoca"&amp;"lPoint Data'!F:F = F118
            ) /
            FILTER('Raw PhocalPoint Data'!G:G,
              'Raw PhocalPoint Data'!A:A = 2011,
              'Raw PhocalPoint Data'!D:D = D118,
              'Raw PhocalPoint Data'!E:E = E118,
              'Raw Ph"&amp;"ocalPoint Data'!F:F = F118
            ) -
            (ROW(INDIRECT(""1:"" &amp; (2010 - A118))) - 1) *
            (
              (
                FILTER('Raw PhocalPoint Data'!G:G,
                  'Raw PhocalPoint Data'!A:A = 2012,
                  'R"&amp;"aw PhocalPoint Data'!D:D = D118,
                  'Raw PhocalPoint Data'!E:E = E118,
                  'Raw PhocalPoint Data'!F:F = F118
                ) /
                FILTER('Raw PhocalPoint Data'!G:G,
                  'Raw PhocalPoint Data'!A:A ="&amp;" 2011,
                  'Raw PhocalPoint Data'!D:D = D118,
                  'Raw PhocalPoint Data'!E:E = E118,
                  'Raw PhocalPoint Data'!F:F = F118
                ) - 1
              ) / 5
            )
          )
        )
      )
    "&amp;") *
    INDEX('Raw GDP data'!$I$2:$M$100,
      MATCH(D118, 'Raw GDP data'!$H$2:$H$100, 0),
      MATCH(A118, 'Raw GDP data'!$I$1:$M$1, 0)
    )
  )),
  """"
)
"),4740850338.34075)</f>
        <v>4740850338.3407497</v>
      </c>
      <c r="H118" s="80"/>
      <c r="I118" s="81">
        <f ca="1">IFERROR(__xludf.DUMMYFUNCTION("""COMPUTED_VALUE"""),2007)</f>
        <v>2007</v>
      </c>
      <c r="J118" s="82" t="str">
        <f ca="1">IFERROR(__xludf.DUMMYFUNCTION("""COMPUTED_VALUE"""),"Saudi Arabia")</f>
        <v>Saudi Arabia</v>
      </c>
      <c r="K118" s="83">
        <f ca="1">IFERROR(
  SUMIFS(
    'New Backfilled Data'!G:G,
    'New Backfilled Data'!A:A, I118,
    'New Backfilled Data'!D:D, J118,
    'New Backfilled Data'!E:E, "Online"
  ) /
  SUMIFS(
    'New Backfilled Data'!G:G,
    'New Backfilled Data'!A:A, I118,
    'New Backfilled Data'!D:D, J118
  ),
  ""
)</f>
        <v>7.0066964418147221E-2</v>
      </c>
      <c r="L118" s="84"/>
      <c r="M118" s="84"/>
    </row>
    <row r="119" spans="1:13" ht="17" x14ac:dyDescent="0.2">
      <c r="A119" s="44">
        <v>2005</v>
      </c>
      <c r="B119" s="45" t="s">
        <v>66</v>
      </c>
      <c r="C119" s="45" t="s">
        <v>47</v>
      </c>
      <c r="D119" s="45" t="s">
        <v>48</v>
      </c>
      <c r="E119" s="45" t="s">
        <v>72</v>
      </c>
      <c r="F119" s="45" t="s">
        <v>73</v>
      </c>
      <c r="G119" s="85">
        <f ca="1">IFERROR(__xludf.DUMMYFUNCTION("IFERROR(
  IF(A119 = 2008,
    IF(E119 = ""Online"",
      FILTER('Raw PhocalPoint Data'!G:G,
        'Raw PhocalPoint Data'!A:A = 2009,
        'Raw PhocalPoint Data'!D:D = D119,
        'Raw PhocalPoint Data'!E:E = E119,
        'Raw PhocalPoint Data'!F"&amp;":F = F119
      ) /
      (
        FILTER('Raw PhocalPoint Data'!G:G,
          'Raw PhocalPoint Data'!A:A = 2012,
          'Raw PhocalPoint Data'!D:D = D119,
          'Raw PhocalPoint Data'!E:E = E119,
          'Raw PhocalPoint Data'!F:F = F119
     "&amp;"   ) /
        FILTER('Raw PhocalPoint Data'!G:G,
          'Raw PhocalPoint Data'!A:A = 2011,
          'Raw PhocalPoint Data'!D:D = D119,
          'Raw PhocalPoint Data'!E:E = E119,
          'Raw PhocalPoint Data'!F:F = F119
        )
      ),
      F"&amp;"ILTER('Raw PhocalPoint Data'!G:G,
        'Raw PhocalPoint Data'!A:A = 2009,
        'Raw PhocalPoint Data'!D:D = D119,
        'Raw PhocalPoint Data'!E:E = E119,
        'Raw PhocalPoint Data'!F:F = F119
      ) *
      (
        INDEX('Raw GDP data'!$I$"&amp;"2:$M$100,
          MATCH(D119, 'Raw GDP data'!$H$2:$H$100, 0),
          MATCH(2008, 'Raw GDP data'!$I$1:$M$1, 0)
        ) /
        INDEX('Raw GDP data'!$I$2:$M$100,
          MATCH(D119, 'Raw GDP data'!$H$2:$H$100, 0),
          MATCH(2009, 'Raw GDP d"&amp;"ata'!$I$1:$M$1, 0)
        )
      )
    ),
  IF(A119 &lt; 2008,
    (
      FILTER(G:G,
        A:A = 2008,
        D:D = D119,
        E:E = E119,
        F:F = F119
      ) /
      PRODUCT(
        ARRAYFORMULA(
          (
            (
              FIL"&amp;"TER('Raw PhocalPoint Data'!G:G,
                'Raw PhocalPoint Data'!A:A = 2012,
                'Raw PhocalPoint Data'!D:D = D119,
                'Raw PhocalPoint Data'!E:E = E119,
                'Raw PhocalPoint Data'!F:F = F119
              ) /
  "&amp;"            FILTER('Raw PhocalPoint Data'!G:G,
                'Raw PhocalPoint Data'!A:A = 2011,
                'Raw PhocalPoint Data'!D:D = D119,
                'Raw PhocalPoint Data'!E:E = E119,
                'Raw PhocalPoint Data'!F:F = F119
     "&amp;"         ) -
              ROW(INDIRECT(""1:"" &amp; (2008 - A119))) *
              (
                (
                  FILTER('Raw PhocalPoint Data'!G:G,
                    'Raw PhocalPoint Data'!A:A = 2012,
                    'Raw PhocalPoint Data'!D:D"&amp;" = D119,
                    'Raw PhocalPoint Data'!E:E = E119,
                    'Raw PhocalPoint Data'!F:F = F119
                  ) /
                  FILTER('Raw PhocalPoint Data'!G:G,
                    'Raw PhocalPoint Data'!A:A = 2011,
       "&amp;"             'Raw PhocalPoint Data'!D:D = D119,
                    'Raw PhocalPoint Data'!E:E = E119,
                    'Raw PhocalPoint Data'!F:F = F119
                  ) - 1
                ) / 5
              )
            )
          )
        )
"&amp;"      )
    ),
    (
      FILTER('Raw PhocalPoint Data'!G:G,
        'Raw PhocalPoint Data'!A:A = 2009,
        'Raw PhocalPoint Data'!D:D = D119,
        'Raw PhocalPoint Data'!E:E = E119,
        'Raw PhocalPoint Data'!F:F = F119
      ) /
      PRODUC"&amp;"T(
        ARRAYFORMULA(
          (
            FILTER('Raw PhocalPoint Data'!G:G,
              'Raw PhocalPoint Data'!A:A = 2012,
              'Raw PhocalPoint Data'!D:D = D119,
              'Raw PhocalPoint Data'!E:E = E119,
              'Raw Phoca"&amp;"lPoint Data'!F:F = F119
            ) /
            FILTER('Raw PhocalPoint Data'!G:G,
              'Raw PhocalPoint Data'!A:A = 2011,
              'Raw PhocalPoint Data'!D:D = D119,
              'Raw PhocalPoint Data'!E:E = E119,
              'Raw Ph"&amp;"ocalPoint Data'!F:F = F119
            ) -
            (ROW(INDIRECT(""1:"" &amp; (2010 - A119))) - 1) *
            (
              (
                FILTER('Raw PhocalPoint Data'!G:G,
                  'Raw PhocalPoint Data'!A:A = 2012,
                  'R"&amp;"aw PhocalPoint Data'!D:D = D119,
                  'Raw PhocalPoint Data'!E:E = E119,
                  'Raw PhocalPoint Data'!F:F = F119
                ) /
                FILTER('Raw PhocalPoint Data'!G:G,
                  'Raw PhocalPoint Data'!A:A ="&amp;" 2011,
                  'Raw PhocalPoint Data'!D:D = D119,
                  'Raw PhocalPoint Data'!E:E = E119,
                  'Raw PhocalPoint Data'!F:F = F119
                ) - 1
              ) / 5
            )
          )
        )
      )
    "&amp;") *
    INDEX('Raw GDP data'!$I$2:$M$100,
      MATCH(D119, 'Raw GDP data'!$H$2:$H$100, 0),
      MATCH(A119, 'Raw GDP data'!$I$1:$M$1, 0)
    )
  )),
  """"
)
"),68981751456.2785)</f>
        <v>68981751456.278503</v>
      </c>
      <c r="H119" s="86"/>
      <c r="I119" s="87">
        <f ca="1">IFERROR(__xludf.DUMMYFUNCTION("""COMPUTED_VALUE"""),2007)</f>
        <v>2007</v>
      </c>
      <c r="J119" s="88" t="str">
        <f ca="1">IFERROR(__xludf.DUMMYFUNCTION("""COMPUTED_VALUE"""),"U.A.E.")</f>
        <v>U.A.E.</v>
      </c>
      <c r="K119" s="89">
        <f ca="1">IFERROR(
  SUMIFS(
    'New Backfilled Data'!G:G,
    'New Backfilled Data'!A:A, I119,
    'New Backfilled Data'!D:D, J119,
    'New Backfilled Data'!E:E, "Online"
  ) /
  SUMIFS(
    'New Backfilled Data'!G:G,
    'New Backfilled Data'!A:A, I119,
    'New Backfilled Data'!D:D, J119
  ),
  ""
)</f>
        <v>8.9279835456593765E-2</v>
      </c>
      <c r="L119" s="90"/>
      <c r="M119" s="90"/>
    </row>
    <row r="120" spans="1:13" ht="17" x14ac:dyDescent="0.2">
      <c r="A120" s="37">
        <v>2005</v>
      </c>
      <c r="B120" s="38" t="s">
        <v>66</v>
      </c>
      <c r="C120" s="38" t="s">
        <v>47</v>
      </c>
      <c r="D120" s="38" t="s">
        <v>48</v>
      </c>
      <c r="E120" s="38" t="s">
        <v>67</v>
      </c>
      <c r="F120" s="38" t="s">
        <v>74</v>
      </c>
      <c r="G120" s="79">
        <f ca="1">IFERROR(__xludf.DUMMYFUNCTION("IFERROR(
  IF(A120 = 2008,
    IF(E120 = ""Online"",
      FILTER('Raw PhocalPoint Data'!G:G,
        'Raw PhocalPoint Data'!A:A = 2009,
        'Raw PhocalPoint Data'!D:D = D120,
        'Raw PhocalPoint Data'!E:E = E120,
        'Raw PhocalPoint Data'!F"&amp;":F = F120
      ) /
      (
        FILTER('Raw PhocalPoint Data'!G:G,
          'Raw PhocalPoint Data'!A:A = 2012,
          'Raw PhocalPoint Data'!D:D = D120,
          'Raw PhocalPoint Data'!E:E = E120,
          'Raw PhocalPoint Data'!F:F = F120
     "&amp;"   ) /
        FILTER('Raw PhocalPoint Data'!G:G,
          'Raw PhocalPoint Data'!A:A = 2011,
          'Raw PhocalPoint Data'!D:D = D120,
          'Raw PhocalPoint Data'!E:E = E120,
          'Raw PhocalPoint Data'!F:F = F120
        )
      ),
      F"&amp;"ILTER('Raw PhocalPoint Data'!G:G,
        'Raw PhocalPoint Data'!A:A = 2009,
        'Raw PhocalPoint Data'!D:D = D120,
        'Raw PhocalPoint Data'!E:E = E120,
        'Raw PhocalPoint Data'!F:F = F120
      ) *
      (
        INDEX('Raw GDP data'!$I$"&amp;"2:$M$100,
          MATCH(D120, 'Raw GDP data'!$H$2:$H$100, 0),
          MATCH(2008, 'Raw GDP data'!$I$1:$M$1, 0)
        ) /
        INDEX('Raw GDP data'!$I$2:$M$100,
          MATCH(D120, 'Raw GDP data'!$H$2:$H$100, 0),
          MATCH(2009, 'Raw GDP d"&amp;"ata'!$I$1:$M$1, 0)
        )
      )
    ),
  IF(A120 &lt; 2008,
    (
      FILTER(G:G,
        A:A = 2008,
        D:D = D120,
        E:E = E120,
        F:F = F120
      ) /
      PRODUCT(
        ARRAYFORMULA(
          (
            (
              FIL"&amp;"TER('Raw PhocalPoint Data'!G:G,
                'Raw PhocalPoint Data'!A:A = 2012,
                'Raw PhocalPoint Data'!D:D = D120,
                'Raw PhocalPoint Data'!E:E = E120,
                'Raw PhocalPoint Data'!F:F = F120
              ) /
  "&amp;"            FILTER('Raw PhocalPoint Data'!G:G,
                'Raw PhocalPoint Data'!A:A = 2011,
                'Raw PhocalPoint Data'!D:D = D120,
                'Raw PhocalPoint Data'!E:E = E120,
                'Raw PhocalPoint Data'!F:F = F120
     "&amp;"         ) -
              ROW(INDIRECT(""1:"" &amp; (2008 - A120))) *
              (
                (
                  FILTER('Raw PhocalPoint Data'!G:G,
                    'Raw PhocalPoint Data'!A:A = 2012,
                    'Raw PhocalPoint Data'!D:D"&amp;" = D120,
                    'Raw PhocalPoint Data'!E:E = E120,
                    'Raw PhocalPoint Data'!F:F = F120
                  ) /
                  FILTER('Raw PhocalPoint Data'!G:G,
                    'Raw PhocalPoint Data'!A:A = 2011,
       "&amp;"             'Raw PhocalPoint Data'!D:D = D120,
                    'Raw PhocalPoint Data'!E:E = E120,
                    'Raw PhocalPoint Data'!F:F = F120
                  ) - 1
                ) / 5
              )
            )
          )
        )
"&amp;"      )
    ),
    (
      FILTER('Raw PhocalPoint Data'!G:G,
        'Raw PhocalPoint Data'!A:A = 2009,
        'Raw PhocalPoint Data'!D:D = D120,
        'Raw PhocalPoint Data'!E:E = E120,
        'Raw PhocalPoint Data'!F:F = F120
      ) /
      PRODUC"&amp;"T(
        ARRAYFORMULA(
          (
            FILTER('Raw PhocalPoint Data'!G:G,
              'Raw PhocalPoint Data'!A:A = 2012,
              'Raw PhocalPoint Data'!D:D = D120,
              'Raw PhocalPoint Data'!E:E = E120,
              'Raw Phoca"&amp;"lPoint Data'!F:F = F120
            ) /
            FILTER('Raw PhocalPoint Data'!G:G,
              'Raw PhocalPoint Data'!A:A = 2011,
              'Raw PhocalPoint Data'!D:D = D120,
              'Raw PhocalPoint Data'!E:E = E120,
              'Raw Ph"&amp;"ocalPoint Data'!F:F = F120
            ) -
            (ROW(INDIRECT(""1:"" &amp; (2010 - A120))) - 1) *
            (
              (
                FILTER('Raw PhocalPoint Data'!G:G,
                  'Raw PhocalPoint Data'!A:A = 2012,
                  'R"&amp;"aw PhocalPoint Data'!D:D = D120,
                  'Raw PhocalPoint Data'!E:E = E120,
                  'Raw PhocalPoint Data'!F:F = F120
                ) /
                FILTER('Raw PhocalPoint Data'!G:G,
                  'Raw PhocalPoint Data'!A:A ="&amp;" 2011,
                  'Raw PhocalPoint Data'!D:D = D120,
                  'Raw PhocalPoint Data'!E:E = E120,
                  'Raw PhocalPoint Data'!F:F = F120
                ) - 1
              ) / 5
            )
          )
        )
      )
    "&amp;") *
    INDEX('Raw GDP data'!$I$2:$M$100,
      MATCH(D120, 'Raw GDP data'!$H$2:$H$100, 0),
      MATCH(A120, 'Raw GDP data'!$I$1:$M$1, 0)
    )
  )),
  """"
)
"),70043323174.8131)</f>
        <v>70043323174.813095</v>
      </c>
      <c r="H120" s="80"/>
      <c r="I120" s="81">
        <f ca="1">IFERROR(__xludf.DUMMYFUNCTION("""COMPUTED_VALUE"""),2007)</f>
        <v>2007</v>
      </c>
      <c r="J120" s="82" t="str">
        <f ca="1">IFERROR(__xludf.DUMMYFUNCTION("""COMPUTED_VALUE"""),"Canada")</f>
        <v>Canada</v>
      </c>
      <c r="K120" s="83">
        <f ca="1">IFERROR(
  SUMIFS(
    'New Backfilled Data'!G:G,
    'New Backfilled Data'!A:A, I120,
    'New Backfilled Data'!D:D, J120,
    'New Backfilled Data'!E:E, "Online"
  ) /
  SUMIFS(
    'New Backfilled Data'!G:G,
    'New Backfilled Data'!A:A, I120,
    'New Backfilled Data'!D:D, J120
  ),
  ""
)</f>
        <v>0.31697394143536345</v>
      </c>
      <c r="L120" s="84"/>
      <c r="M120" s="84"/>
    </row>
    <row r="121" spans="1:13" ht="17" x14ac:dyDescent="0.2">
      <c r="A121" s="44">
        <v>2005</v>
      </c>
      <c r="B121" s="45" t="s">
        <v>66</v>
      </c>
      <c r="C121" s="45" t="s">
        <v>47</v>
      </c>
      <c r="D121" s="45" t="s">
        <v>48</v>
      </c>
      <c r="E121" s="45" t="s">
        <v>69</v>
      </c>
      <c r="F121" s="45" t="s">
        <v>71</v>
      </c>
      <c r="G121" s="85">
        <f ca="1">IFERROR(__xludf.DUMMYFUNCTION("IFERROR(
  IF(A121 = 2008,
    IF(E121 = ""Online"",
      FILTER('Raw PhocalPoint Data'!G:G,
        'Raw PhocalPoint Data'!A:A = 2009,
        'Raw PhocalPoint Data'!D:D = D121,
        'Raw PhocalPoint Data'!E:E = E121,
        'Raw PhocalPoint Data'!F"&amp;":F = F121
      ) /
      (
        FILTER('Raw PhocalPoint Data'!G:G,
          'Raw PhocalPoint Data'!A:A = 2012,
          'Raw PhocalPoint Data'!D:D = D121,
          'Raw PhocalPoint Data'!E:E = E121,
          'Raw PhocalPoint Data'!F:F = F121
     "&amp;"   ) /
        FILTER('Raw PhocalPoint Data'!G:G,
          'Raw PhocalPoint Data'!A:A = 2011,
          'Raw PhocalPoint Data'!D:D = D121,
          'Raw PhocalPoint Data'!E:E = E121,
          'Raw PhocalPoint Data'!F:F = F121
        )
      ),
      F"&amp;"ILTER('Raw PhocalPoint Data'!G:G,
        'Raw PhocalPoint Data'!A:A = 2009,
        'Raw PhocalPoint Data'!D:D = D121,
        'Raw PhocalPoint Data'!E:E = E121,
        'Raw PhocalPoint Data'!F:F = F121
      ) *
      (
        INDEX('Raw GDP data'!$I$"&amp;"2:$M$100,
          MATCH(D121, 'Raw GDP data'!$H$2:$H$100, 0),
          MATCH(2008, 'Raw GDP data'!$I$1:$M$1, 0)
        ) /
        INDEX('Raw GDP data'!$I$2:$M$100,
          MATCH(D121, 'Raw GDP data'!$H$2:$H$100, 0),
          MATCH(2009, 'Raw GDP d"&amp;"ata'!$I$1:$M$1, 0)
        )
      )
    ),
  IF(A121 &lt; 2008,
    (
      FILTER(G:G,
        A:A = 2008,
        D:D = D121,
        E:E = E121,
        F:F = F121
      ) /
      PRODUCT(
        ARRAYFORMULA(
          (
            (
              FIL"&amp;"TER('Raw PhocalPoint Data'!G:G,
                'Raw PhocalPoint Data'!A:A = 2012,
                'Raw PhocalPoint Data'!D:D = D121,
                'Raw PhocalPoint Data'!E:E = E121,
                'Raw PhocalPoint Data'!F:F = F121
              ) /
  "&amp;"            FILTER('Raw PhocalPoint Data'!G:G,
                'Raw PhocalPoint Data'!A:A = 2011,
                'Raw PhocalPoint Data'!D:D = D121,
                'Raw PhocalPoint Data'!E:E = E121,
                'Raw PhocalPoint Data'!F:F = F121
     "&amp;"         ) -
              ROW(INDIRECT(""1:"" &amp; (2008 - A121))) *
              (
                (
                  FILTER('Raw PhocalPoint Data'!G:G,
                    'Raw PhocalPoint Data'!A:A = 2012,
                    'Raw PhocalPoint Data'!D:D"&amp;" = D121,
                    'Raw PhocalPoint Data'!E:E = E121,
                    'Raw PhocalPoint Data'!F:F = F121
                  ) /
                  FILTER('Raw PhocalPoint Data'!G:G,
                    'Raw PhocalPoint Data'!A:A = 2011,
       "&amp;"             'Raw PhocalPoint Data'!D:D = D121,
                    'Raw PhocalPoint Data'!E:E = E121,
                    'Raw PhocalPoint Data'!F:F = F121
                  ) - 1
                ) / 5
              )
            )
          )
        )
"&amp;"      )
    ),
    (
      FILTER('Raw PhocalPoint Data'!G:G,
        'Raw PhocalPoint Data'!A:A = 2009,
        'Raw PhocalPoint Data'!D:D = D121,
        'Raw PhocalPoint Data'!E:E = E121,
        'Raw PhocalPoint Data'!F:F = F121
      ) /
      PRODUC"&amp;"T(
        ARRAYFORMULA(
          (
            FILTER('Raw PhocalPoint Data'!G:G,
              'Raw PhocalPoint Data'!A:A = 2012,
              'Raw PhocalPoint Data'!D:D = D121,
              'Raw PhocalPoint Data'!E:E = E121,
              'Raw Phoca"&amp;"lPoint Data'!F:F = F121
            ) /
            FILTER('Raw PhocalPoint Data'!G:G,
              'Raw PhocalPoint Data'!A:A = 2011,
              'Raw PhocalPoint Data'!D:D = D121,
              'Raw PhocalPoint Data'!E:E = E121,
              'Raw Ph"&amp;"ocalPoint Data'!F:F = F121
            ) -
            (ROW(INDIRECT(""1:"" &amp; (2010 - A121))) - 1) *
            (
              (
                FILTER('Raw PhocalPoint Data'!G:G,
                  'Raw PhocalPoint Data'!A:A = 2012,
                  'R"&amp;"aw PhocalPoint Data'!D:D = D121,
                  'Raw PhocalPoint Data'!E:E = E121,
                  'Raw PhocalPoint Data'!F:F = F121
                ) /
                FILTER('Raw PhocalPoint Data'!G:G,
                  'Raw PhocalPoint Data'!A:A ="&amp;" 2011,
                  'Raw PhocalPoint Data'!D:D = D121,
                  'Raw PhocalPoint Data'!E:E = E121,
                  'Raw PhocalPoint Data'!F:F = F121
                ) - 1
              ) / 5
            )
          )
        )
      )
    "&amp;") *
    INDEX('Raw GDP data'!$I$2:$M$100,
      MATCH(D121, 'Raw GDP data'!$H$2:$H$100, 0),
      MATCH(A121, 'Raw GDP data'!$I$1:$M$1, 0)
    )
  )),
  """"
)
"),29651527714.636)</f>
        <v>29651527714.636002</v>
      </c>
      <c r="H121" s="86"/>
      <c r="I121" s="87">
        <f ca="1">IFERROR(__xludf.DUMMYFUNCTION("""COMPUTED_VALUE"""),2007)</f>
        <v>2007</v>
      </c>
      <c r="J121" s="88" t="str">
        <f ca="1">IFERROR(__xludf.DUMMYFUNCTION("""COMPUTED_VALUE"""),"U.S.")</f>
        <v>U.S.</v>
      </c>
      <c r="K121" s="89">
        <f ca="1">IFERROR(
  SUMIFS(
    'New Backfilled Data'!G:G,
    'New Backfilled Data'!A:A, I121,
    'New Backfilled Data'!D:D, J121,
    'New Backfilled Data'!E:E, "Online"
  ) /
  SUMIFS(
    'New Backfilled Data'!G:G,
    'New Backfilled Data'!A:A, I121,
    'New Backfilled Data'!D:D, J121
  ),
  ""
)</f>
        <v>0.18193785846960595</v>
      </c>
      <c r="L121" s="90"/>
      <c r="M121" s="90"/>
    </row>
    <row r="122" spans="1:13" ht="34" x14ac:dyDescent="0.2">
      <c r="A122" s="37">
        <v>2005</v>
      </c>
      <c r="B122" s="38" t="s">
        <v>66</v>
      </c>
      <c r="C122" s="38" t="s">
        <v>47</v>
      </c>
      <c r="D122" s="38" t="s">
        <v>48</v>
      </c>
      <c r="E122" s="38" t="s">
        <v>69</v>
      </c>
      <c r="F122" s="38" t="s">
        <v>70</v>
      </c>
      <c r="G122" s="79" t="str">
        <f ca="1">IFERROR(__xludf.DUMMYFUNCTION("IFERROR(
  IF(A122 = 2008,
    IF(E122 = ""Online"",
      FILTER('Raw PhocalPoint Data'!G:G,
        'Raw PhocalPoint Data'!A:A = 2009,
        'Raw PhocalPoint Data'!D:D = D122,
        'Raw PhocalPoint Data'!E:E = E122,
        'Raw PhocalPoint Data'!F"&amp;":F = F122
      ) /
      (
        FILTER('Raw PhocalPoint Data'!G:G,
          'Raw PhocalPoint Data'!A:A = 2012,
          'Raw PhocalPoint Data'!D:D = D122,
          'Raw PhocalPoint Data'!E:E = E122,
          'Raw PhocalPoint Data'!F:F = F122
     "&amp;"   ) /
        FILTER('Raw PhocalPoint Data'!G:G,
          'Raw PhocalPoint Data'!A:A = 2011,
          'Raw PhocalPoint Data'!D:D = D122,
          'Raw PhocalPoint Data'!E:E = E122,
          'Raw PhocalPoint Data'!F:F = F122
        )
      ),
      F"&amp;"ILTER('Raw PhocalPoint Data'!G:G,
        'Raw PhocalPoint Data'!A:A = 2009,
        'Raw PhocalPoint Data'!D:D = D122,
        'Raw PhocalPoint Data'!E:E = E122,
        'Raw PhocalPoint Data'!F:F = F122
      ) *
      (
        INDEX('Raw GDP data'!$I$"&amp;"2:$M$100,
          MATCH(D122, 'Raw GDP data'!$H$2:$H$100, 0),
          MATCH(2008, 'Raw GDP data'!$I$1:$M$1, 0)
        ) /
        INDEX('Raw GDP data'!$I$2:$M$100,
          MATCH(D122, 'Raw GDP data'!$H$2:$H$100, 0),
          MATCH(2009, 'Raw GDP d"&amp;"ata'!$I$1:$M$1, 0)
        )
      )
    ),
  IF(A122 &lt; 2008,
    (
      FILTER(G:G,
        A:A = 2008,
        D:D = D122,
        E:E = E122,
        F:F = F122
      ) /
      PRODUCT(
        ARRAYFORMULA(
          (
            (
              FIL"&amp;"TER('Raw PhocalPoint Data'!G:G,
                'Raw PhocalPoint Data'!A:A = 2012,
                'Raw PhocalPoint Data'!D:D = D122,
                'Raw PhocalPoint Data'!E:E = E122,
                'Raw PhocalPoint Data'!F:F = F122
              ) /
  "&amp;"            FILTER('Raw PhocalPoint Data'!G:G,
                'Raw PhocalPoint Data'!A:A = 2011,
                'Raw PhocalPoint Data'!D:D = D122,
                'Raw PhocalPoint Data'!E:E = E122,
                'Raw PhocalPoint Data'!F:F = F122
     "&amp;"         ) -
              ROW(INDIRECT(""1:"" &amp; (2008 - A122))) *
              (
                (
                  FILTER('Raw PhocalPoint Data'!G:G,
                    'Raw PhocalPoint Data'!A:A = 2012,
                    'Raw PhocalPoint Data'!D:D"&amp;" = D122,
                    'Raw PhocalPoint Data'!E:E = E122,
                    'Raw PhocalPoint Data'!F:F = F122
                  ) /
                  FILTER('Raw PhocalPoint Data'!G:G,
                    'Raw PhocalPoint Data'!A:A = 2011,
       "&amp;"             'Raw PhocalPoint Data'!D:D = D122,
                    'Raw PhocalPoint Data'!E:E = E122,
                    'Raw PhocalPoint Data'!F:F = F122
                  ) - 1
                ) / 5
              )
            )
          )
        )
"&amp;"      )
    ),
    (
      FILTER('Raw PhocalPoint Data'!G:G,
        'Raw PhocalPoint Data'!A:A = 2009,
        'Raw PhocalPoint Data'!D:D = D122,
        'Raw PhocalPoint Data'!E:E = E122,
        'Raw PhocalPoint Data'!F:F = F122
      ) /
      PRODUC"&amp;"T(
        ARRAYFORMULA(
          (
            FILTER('Raw PhocalPoint Data'!G:G,
              'Raw PhocalPoint Data'!A:A = 2012,
              'Raw PhocalPoint Data'!D:D = D122,
              'Raw PhocalPoint Data'!E:E = E122,
              'Raw Phoca"&amp;"lPoint Data'!F:F = F122
            ) /
            FILTER('Raw PhocalPoint Data'!G:G,
              'Raw PhocalPoint Data'!A:A = 2011,
              'Raw PhocalPoint Data'!D:D = D122,
              'Raw PhocalPoint Data'!E:E = E122,
              'Raw Ph"&amp;"ocalPoint Data'!F:F = F122
            ) -
            (ROW(INDIRECT(""1:"" &amp; (2010 - A122))) - 1) *
            (
              (
                FILTER('Raw PhocalPoint Data'!G:G,
                  'Raw PhocalPoint Data'!A:A = 2012,
                  'R"&amp;"aw PhocalPoint Data'!D:D = D122,
                  'Raw PhocalPoint Data'!E:E = E122,
                  'Raw PhocalPoint Data'!F:F = F122
                ) /
                FILTER('Raw PhocalPoint Data'!G:G,
                  'Raw PhocalPoint Data'!A:A ="&amp;" 2011,
                  'Raw PhocalPoint Data'!D:D = D122,
                  'Raw PhocalPoint Data'!E:E = E122,
                  'Raw PhocalPoint Data'!F:F = F122
                ) - 1
              ) / 5
            )
          )
        )
      )
    "&amp;") *
    INDEX('Raw GDP data'!$I$2:$M$100,
      MATCH(D122, 'Raw GDP data'!$H$2:$H$100, 0),
      MATCH(A122, 'Raw GDP data'!$I$1:$M$1, 0)
    )
  )),
  """"
)
"),"")</f>
        <v/>
      </c>
      <c r="H122" s="80"/>
      <c r="I122" s="81">
        <f ca="1">IFERROR(__xludf.DUMMYFUNCTION("""COMPUTED_VALUE"""),2008)</f>
        <v>2008</v>
      </c>
      <c r="J122" s="82" t="str">
        <f ca="1">IFERROR(__xludf.DUMMYFUNCTION("""COMPUTED_VALUE"""),"Australia-New Zealand")</f>
        <v>Australia-New Zealand</v>
      </c>
      <c r="K122" s="83">
        <f ca="1">IFERROR(
  SUMIFS(
    'New Backfilled Data'!G:G,
    'New Backfilled Data'!A:A, I122,
    'New Backfilled Data'!D:D, J122,
    'New Backfilled Data'!E:E, "Online"
  ) /
  SUMIFS(
    'New Backfilled Data'!G:G,
    'New Backfilled Data'!A:A, I122,
    'New Backfilled Data'!D:D, J122
  ),
  ""
)</f>
        <v>0.27946685455901882</v>
      </c>
      <c r="L122" s="84"/>
      <c r="M122" s="84"/>
    </row>
    <row r="123" spans="1:13" ht="17" x14ac:dyDescent="0.2">
      <c r="A123" s="44">
        <v>2006</v>
      </c>
      <c r="B123" s="45" t="s">
        <v>66</v>
      </c>
      <c r="C123" s="45" t="s">
        <v>4</v>
      </c>
      <c r="D123" s="45" t="s">
        <v>3</v>
      </c>
      <c r="E123" s="45" t="s">
        <v>67</v>
      </c>
      <c r="F123" s="45" t="s">
        <v>67</v>
      </c>
      <c r="G123" s="85">
        <f ca="1">IFERROR(__xludf.DUMMYFUNCTION("IFERROR(
  IF(A123 = 2008,
    IF(E123 = ""Online"",
      FILTER('Raw PhocalPoint Data'!G:G,
        'Raw PhocalPoint Data'!A:A = 2009,
        'Raw PhocalPoint Data'!D:D = D123,
        'Raw PhocalPoint Data'!E:E = E123,
        'Raw PhocalPoint Data'!F"&amp;":F = F123
      ) /
      (
        FILTER('Raw PhocalPoint Data'!G:G,
          'Raw PhocalPoint Data'!A:A = 2012,
          'Raw PhocalPoint Data'!D:D = D123,
          'Raw PhocalPoint Data'!E:E = E123,
          'Raw PhocalPoint Data'!F:F = F123
     "&amp;"   ) /
        FILTER('Raw PhocalPoint Data'!G:G,
          'Raw PhocalPoint Data'!A:A = 2011,
          'Raw PhocalPoint Data'!D:D = D123,
          'Raw PhocalPoint Data'!E:E = E123,
          'Raw PhocalPoint Data'!F:F = F123
        )
      ),
      F"&amp;"ILTER('Raw PhocalPoint Data'!G:G,
        'Raw PhocalPoint Data'!A:A = 2009,
        'Raw PhocalPoint Data'!D:D = D123,
        'Raw PhocalPoint Data'!E:E = E123,
        'Raw PhocalPoint Data'!F:F = F123
      ) *
      (
        INDEX('Raw GDP data'!$I$"&amp;"2:$M$100,
          MATCH(D123, 'Raw GDP data'!$H$2:$H$100, 0),
          MATCH(2008, 'Raw GDP data'!$I$1:$M$1, 0)
        ) /
        INDEX('Raw GDP data'!$I$2:$M$100,
          MATCH(D123, 'Raw GDP data'!$H$2:$H$100, 0),
          MATCH(2009, 'Raw GDP d"&amp;"ata'!$I$1:$M$1, 0)
        )
      )
    ),
  IF(A123 &lt; 2008,
    (
      FILTER(G:G,
        A:A = 2008,
        D:D = D123,
        E:E = E123,
        F:F = F123
      ) /
      PRODUCT(
        ARRAYFORMULA(
          (
            (
              FIL"&amp;"TER('Raw PhocalPoint Data'!G:G,
                'Raw PhocalPoint Data'!A:A = 2012,
                'Raw PhocalPoint Data'!D:D = D123,
                'Raw PhocalPoint Data'!E:E = E123,
                'Raw PhocalPoint Data'!F:F = F123
              ) /
  "&amp;"            FILTER('Raw PhocalPoint Data'!G:G,
                'Raw PhocalPoint Data'!A:A = 2011,
                'Raw PhocalPoint Data'!D:D = D123,
                'Raw PhocalPoint Data'!E:E = E123,
                'Raw PhocalPoint Data'!F:F = F123
     "&amp;"         ) -
              ROW(INDIRECT(""1:"" &amp; (2008 - A123))) *
              (
                (
                  FILTER('Raw PhocalPoint Data'!G:G,
                    'Raw PhocalPoint Data'!A:A = 2012,
                    'Raw PhocalPoint Data'!D:D"&amp;" = D123,
                    'Raw PhocalPoint Data'!E:E = E123,
                    'Raw PhocalPoint Data'!F:F = F123
                  ) /
                  FILTER('Raw PhocalPoint Data'!G:G,
                    'Raw PhocalPoint Data'!A:A = 2011,
       "&amp;"             'Raw PhocalPoint Data'!D:D = D123,
                    'Raw PhocalPoint Data'!E:E = E123,
                    'Raw PhocalPoint Data'!F:F = F123
                  ) - 1
                ) / 5
              )
            )
          )
        )
"&amp;"      )
    ),
    (
      FILTER('Raw PhocalPoint Data'!G:G,
        'Raw PhocalPoint Data'!A:A = 2009,
        'Raw PhocalPoint Data'!D:D = D123,
        'Raw PhocalPoint Data'!E:E = E123,
        'Raw PhocalPoint Data'!F:F = F123
      ) /
      PRODUC"&amp;"T(
        ARRAYFORMULA(
          (
            FILTER('Raw PhocalPoint Data'!G:G,
              'Raw PhocalPoint Data'!A:A = 2012,
              'Raw PhocalPoint Data'!D:D = D123,
              'Raw PhocalPoint Data'!E:E = E123,
              'Raw Phoca"&amp;"lPoint Data'!F:F = F123
            ) /
            FILTER('Raw PhocalPoint Data'!G:G,
              'Raw PhocalPoint Data'!A:A = 2011,
              'Raw PhocalPoint Data'!D:D = D123,
              'Raw PhocalPoint Data'!E:E = E123,
              'Raw Ph"&amp;"ocalPoint Data'!F:F = F123
            ) -
            (ROW(INDIRECT(""1:"" &amp; (2010 - A123))) - 1) *
            (
              (
                FILTER('Raw PhocalPoint Data'!G:G,
                  'Raw PhocalPoint Data'!A:A = 2012,
                  'R"&amp;"aw PhocalPoint Data'!D:D = D123,
                  'Raw PhocalPoint Data'!E:E = E123,
                  'Raw PhocalPoint Data'!F:F = F123
                ) /
                FILTER('Raw PhocalPoint Data'!G:G,
                  'Raw PhocalPoint Data'!A:A ="&amp;" 2011,
                  'Raw PhocalPoint Data'!D:D = D123,
                  'Raw PhocalPoint Data'!E:E = E123,
                  'Raw PhocalPoint Data'!F:F = F123
                ) - 1
              ) / 5
            )
          )
        )
      )
    "&amp;") *
    INDEX('Raw GDP data'!$I$2:$M$100,
      MATCH(D123, 'Raw GDP data'!$H$2:$H$100, 0),
      MATCH(A123, 'Raw GDP data'!$I$1:$M$1, 0)
    )
  )),
  """"
)
"),17330026603.3213)</f>
        <v>17330026603.321301</v>
      </c>
      <c r="H123" s="86"/>
      <c r="I123" s="87">
        <f ca="1">IFERROR(__xludf.DUMMYFUNCTION("""COMPUTED_VALUE"""),2008)</f>
        <v>2008</v>
      </c>
      <c r="J123" s="88" t="str">
        <f ca="1">IFERROR(__xludf.DUMMYFUNCTION("""COMPUTED_VALUE"""),"China")</f>
        <v>China</v>
      </c>
      <c r="K123" s="89">
        <f ca="1">IFERROR(
  SUMIFS(
    'New Backfilled Data'!G:G,
    'New Backfilled Data'!A:A, I123,
    'New Backfilled Data'!D:D, J123,
    'New Backfilled Data'!E:E, "Online"
  ) /
  SUMIFS(
    'New Backfilled Data'!G:G,
    'New Backfilled Data'!A:A, I123,
    'New Backfilled Data'!D:D, J123
  ),
  ""
)</f>
        <v>5.0386726401739593E-2</v>
      </c>
      <c r="L123" s="90"/>
      <c r="M123" s="90"/>
    </row>
    <row r="124" spans="1:13" ht="17" x14ac:dyDescent="0.2">
      <c r="A124" s="37">
        <v>2006</v>
      </c>
      <c r="B124" s="38" t="s">
        <v>66</v>
      </c>
      <c r="C124" s="38" t="s">
        <v>4</v>
      </c>
      <c r="D124" s="38" t="s">
        <v>3</v>
      </c>
      <c r="E124" s="38" t="s">
        <v>69</v>
      </c>
      <c r="F124" s="38" t="s">
        <v>71</v>
      </c>
      <c r="G124" s="79">
        <f ca="1">IFERROR(__xludf.DUMMYFUNCTION("IFERROR(
  IF(A124 = 2008,
    IF(E124 = ""Online"",
      FILTER('Raw PhocalPoint Data'!G:G,
        'Raw PhocalPoint Data'!A:A = 2009,
        'Raw PhocalPoint Data'!D:D = D124,
        'Raw PhocalPoint Data'!E:E = E124,
        'Raw PhocalPoint Data'!F"&amp;":F = F124
      ) /
      (
        FILTER('Raw PhocalPoint Data'!G:G,
          'Raw PhocalPoint Data'!A:A = 2012,
          'Raw PhocalPoint Data'!D:D = D124,
          'Raw PhocalPoint Data'!E:E = E124,
          'Raw PhocalPoint Data'!F:F = F124
     "&amp;"   ) /
        FILTER('Raw PhocalPoint Data'!G:G,
          'Raw PhocalPoint Data'!A:A = 2011,
          'Raw PhocalPoint Data'!D:D = D124,
          'Raw PhocalPoint Data'!E:E = E124,
          'Raw PhocalPoint Data'!F:F = F124
        )
      ),
      F"&amp;"ILTER('Raw PhocalPoint Data'!G:G,
        'Raw PhocalPoint Data'!A:A = 2009,
        'Raw PhocalPoint Data'!D:D = D124,
        'Raw PhocalPoint Data'!E:E = E124,
        'Raw PhocalPoint Data'!F:F = F124
      ) *
      (
        INDEX('Raw GDP data'!$I$"&amp;"2:$M$100,
          MATCH(D124, 'Raw GDP data'!$H$2:$H$100, 0),
          MATCH(2008, 'Raw GDP data'!$I$1:$M$1, 0)
        ) /
        INDEX('Raw GDP data'!$I$2:$M$100,
          MATCH(D124, 'Raw GDP data'!$H$2:$H$100, 0),
          MATCH(2009, 'Raw GDP d"&amp;"ata'!$I$1:$M$1, 0)
        )
      )
    ),
  IF(A124 &lt; 2008,
    (
      FILTER(G:G,
        A:A = 2008,
        D:D = D124,
        E:E = E124,
        F:F = F124
      ) /
      PRODUCT(
        ARRAYFORMULA(
          (
            (
              FIL"&amp;"TER('Raw PhocalPoint Data'!G:G,
                'Raw PhocalPoint Data'!A:A = 2012,
                'Raw PhocalPoint Data'!D:D = D124,
                'Raw PhocalPoint Data'!E:E = E124,
                'Raw PhocalPoint Data'!F:F = F124
              ) /
  "&amp;"            FILTER('Raw PhocalPoint Data'!G:G,
                'Raw PhocalPoint Data'!A:A = 2011,
                'Raw PhocalPoint Data'!D:D = D124,
                'Raw PhocalPoint Data'!E:E = E124,
                'Raw PhocalPoint Data'!F:F = F124
     "&amp;"         ) -
              ROW(INDIRECT(""1:"" &amp; (2008 - A124))) *
              (
                (
                  FILTER('Raw PhocalPoint Data'!G:G,
                    'Raw PhocalPoint Data'!A:A = 2012,
                    'Raw PhocalPoint Data'!D:D"&amp;" = D124,
                    'Raw PhocalPoint Data'!E:E = E124,
                    'Raw PhocalPoint Data'!F:F = F124
                  ) /
                  FILTER('Raw PhocalPoint Data'!G:G,
                    'Raw PhocalPoint Data'!A:A = 2011,
       "&amp;"             'Raw PhocalPoint Data'!D:D = D124,
                    'Raw PhocalPoint Data'!E:E = E124,
                    'Raw PhocalPoint Data'!F:F = F124
                  ) - 1
                ) / 5
              )
            )
          )
        )
"&amp;"      )
    ),
    (
      FILTER('Raw PhocalPoint Data'!G:G,
        'Raw PhocalPoint Data'!A:A = 2009,
        'Raw PhocalPoint Data'!D:D = D124,
        'Raw PhocalPoint Data'!E:E = E124,
        'Raw PhocalPoint Data'!F:F = F124
      ) /
      PRODUC"&amp;"T(
        ARRAYFORMULA(
          (
            FILTER('Raw PhocalPoint Data'!G:G,
              'Raw PhocalPoint Data'!A:A = 2012,
              'Raw PhocalPoint Data'!D:D = D124,
              'Raw PhocalPoint Data'!E:E = E124,
              'Raw Phoca"&amp;"lPoint Data'!F:F = F124
            ) /
            FILTER('Raw PhocalPoint Data'!G:G,
              'Raw PhocalPoint Data'!A:A = 2011,
              'Raw PhocalPoint Data'!D:D = D124,
              'Raw PhocalPoint Data'!E:E = E124,
              'Raw Ph"&amp;"ocalPoint Data'!F:F = F124
            ) -
            (ROW(INDIRECT(""1:"" &amp; (2010 - A124))) - 1) *
            (
              (
                FILTER('Raw PhocalPoint Data'!G:G,
                  'Raw PhocalPoint Data'!A:A = 2012,
                  'R"&amp;"aw PhocalPoint Data'!D:D = D124,
                  'Raw PhocalPoint Data'!E:E = E124,
                  'Raw PhocalPoint Data'!F:F = F124
                ) /
                FILTER('Raw PhocalPoint Data'!G:G,
                  'Raw PhocalPoint Data'!A:A ="&amp;" 2011,
                  'Raw PhocalPoint Data'!D:D = D124,
                  'Raw PhocalPoint Data'!E:E = E124,
                  'Raw PhocalPoint Data'!F:F = F124
                ) - 1
              ) / 5
            )
          )
        )
      )
    "&amp;") *
    INDEX('Raw GDP data'!$I$2:$M$100,
      MATCH(D124, 'Raw GDP data'!$H$2:$H$100, 0),
      MATCH(A124, 'Raw GDP data'!$I$1:$M$1, 0)
    )
  )),
  """"
)
"),710315683.00135)</f>
        <v>710315683.00135005</v>
      </c>
      <c r="H124" s="80"/>
      <c r="I124" s="81">
        <f ca="1">IFERROR(__xludf.DUMMYFUNCTION("""COMPUTED_VALUE"""),2008)</f>
        <v>2008</v>
      </c>
      <c r="J124" s="82" t="str">
        <f ca="1">IFERROR(__xludf.DUMMYFUNCTION("""COMPUTED_VALUE"""),"Hong Kong")</f>
        <v>Hong Kong</v>
      </c>
      <c r="K124" s="83">
        <f ca="1">IFERROR(
  SUMIFS(
    'New Backfilled Data'!G:G,
    'New Backfilled Data'!A:A, I124,
    'New Backfilled Data'!D:D, J124,
    'New Backfilled Data'!E:E, "Online"
  ) /
  SUMIFS(
    'New Backfilled Data'!G:G,
    'New Backfilled Data'!A:A, I124,
    'New Backfilled Data'!D:D, J124
  ),
  ""
)</f>
        <v>4.3164843441505937E-2</v>
      </c>
      <c r="L124" s="84"/>
      <c r="M124" s="84"/>
    </row>
    <row r="125" spans="1:13" ht="17" x14ac:dyDescent="0.2">
      <c r="A125" s="44">
        <v>2006</v>
      </c>
      <c r="B125" s="45" t="s">
        <v>66</v>
      </c>
      <c r="C125" s="45" t="s">
        <v>4</v>
      </c>
      <c r="D125" s="45" t="s">
        <v>3</v>
      </c>
      <c r="E125" s="45" t="s">
        <v>69</v>
      </c>
      <c r="F125" s="45" t="s">
        <v>70</v>
      </c>
      <c r="G125" s="85">
        <f ca="1">IFERROR(__xludf.DUMMYFUNCTION("IFERROR(
  IF(A125 = 2008,
    IF(E125 = ""Online"",
      FILTER('Raw PhocalPoint Data'!G:G,
        'Raw PhocalPoint Data'!A:A = 2009,
        'Raw PhocalPoint Data'!D:D = D125,
        'Raw PhocalPoint Data'!E:E = E125,
        'Raw PhocalPoint Data'!F"&amp;":F = F125
      ) /
      (
        FILTER('Raw PhocalPoint Data'!G:G,
          'Raw PhocalPoint Data'!A:A = 2012,
          'Raw PhocalPoint Data'!D:D = D125,
          'Raw PhocalPoint Data'!E:E = E125,
          'Raw PhocalPoint Data'!F:F = F125
     "&amp;"   ) /
        FILTER('Raw PhocalPoint Data'!G:G,
          'Raw PhocalPoint Data'!A:A = 2011,
          'Raw PhocalPoint Data'!D:D = D125,
          'Raw PhocalPoint Data'!E:E = E125,
          'Raw PhocalPoint Data'!F:F = F125
        )
      ),
      F"&amp;"ILTER('Raw PhocalPoint Data'!G:G,
        'Raw PhocalPoint Data'!A:A = 2009,
        'Raw PhocalPoint Data'!D:D = D125,
        'Raw PhocalPoint Data'!E:E = E125,
        'Raw PhocalPoint Data'!F:F = F125
      ) *
      (
        INDEX('Raw GDP data'!$I$"&amp;"2:$M$100,
          MATCH(D125, 'Raw GDP data'!$H$2:$H$100, 0),
          MATCH(2008, 'Raw GDP data'!$I$1:$M$1, 0)
        ) /
        INDEX('Raw GDP data'!$I$2:$M$100,
          MATCH(D125, 'Raw GDP data'!$H$2:$H$100, 0),
          MATCH(2009, 'Raw GDP d"&amp;"ata'!$I$1:$M$1, 0)
        )
      )
    ),
  IF(A125 &lt; 2008,
    (
      FILTER(G:G,
        A:A = 2008,
        D:D = D125,
        E:E = E125,
        F:F = F125
      ) /
      PRODUCT(
        ARRAYFORMULA(
          (
            (
              FIL"&amp;"TER('Raw PhocalPoint Data'!G:G,
                'Raw PhocalPoint Data'!A:A = 2012,
                'Raw PhocalPoint Data'!D:D = D125,
                'Raw PhocalPoint Data'!E:E = E125,
                'Raw PhocalPoint Data'!F:F = F125
              ) /
  "&amp;"            FILTER('Raw PhocalPoint Data'!G:G,
                'Raw PhocalPoint Data'!A:A = 2011,
                'Raw PhocalPoint Data'!D:D = D125,
                'Raw PhocalPoint Data'!E:E = E125,
                'Raw PhocalPoint Data'!F:F = F125
     "&amp;"         ) -
              ROW(INDIRECT(""1:"" &amp; (2008 - A125))) *
              (
                (
                  FILTER('Raw PhocalPoint Data'!G:G,
                    'Raw PhocalPoint Data'!A:A = 2012,
                    'Raw PhocalPoint Data'!D:D"&amp;" = D125,
                    'Raw PhocalPoint Data'!E:E = E125,
                    'Raw PhocalPoint Data'!F:F = F125
                  ) /
                  FILTER('Raw PhocalPoint Data'!G:G,
                    'Raw PhocalPoint Data'!A:A = 2011,
       "&amp;"             'Raw PhocalPoint Data'!D:D = D125,
                    'Raw PhocalPoint Data'!E:E = E125,
                    'Raw PhocalPoint Data'!F:F = F125
                  ) - 1
                ) / 5
              )
            )
          )
        )
"&amp;"      )
    ),
    (
      FILTER('Raw PhocalPoint Data'!G:G,
        'Raw PhocalPoint Data'!A:A = 2009,
        'Raw PhocalPoint Data'!D:D = D125,
        'Raw PhocalPoint Data'!E:E = E125,
        'Raw PhocalPoint Data'!F:F = F125
      ) /
      PRODUC"&amp;"T(
        ARRAYFORMULA(
          (
            FILTER('Raw PhocalPoint Data'!G:G,
              'Raw PhocalPoint Data'!A:A = 2012,
              'Raw PhocalPoint Data'!D:D = D125,
              'Raw PhocalPoint Data'!E:E = E125,
              'Raw Phoca"&amp;"lPoint Data'!F:F = F125
            ) /
            FILTER('Raw PhocalPoint Data'!G:G,
              'Raw PhocalPoint Data'!A:A = 2011,
              'Raw PhocalPoint Data'!D:D = D125,
              'Raw PhocalPoint Data'!E:E = E125,
              'Raw Ph"&amp;"ocalPoint Data'!F:F = F125
            ) -
            (ROW(INDIRECT(""1:"" &amp; (2010 - A125))) - 1) *
            (
              (
                FILTER('Raw PhocalPoint Data'!G:G,
                  'Raw PhocalPoint Data'!A:A = 2012,
                  'R"&amp;"aw PhocalPoint Data'!D:D = D125,
                  'Raw PhocalPoint Data'!E:E = E125,
                  'Raw PhocalPoint Data'!F:F = F125
                ) /
                FILTER('Raw PhocalPoint Data'!G:G,
                  'Raw PhocalPoint Data'!A:A ="&amp;" 2011,
                  'Raw PhocalPoint Data'!D:D = D125,
                  'Raw PhocalPoint Data'!E:E = E125,
                  'Raw PhocalPoint Data'!F:F = F125
                ) - 1
              ) / 5
            )
          )
        )
      )
    "&amp;") *
    INDEX('Raw GDP data'!$I$2:$M$100,
      MATCH(D125, 'Raw GDP data'!$H$2:$H$100, 0),
      MATCH(A125, 'Raw GDP data'!$I$1:$M$1, 0)
    )
  )),
  """"
)
"),5515361957.58702)</f>
        <v>5515361957.5870199</v>
      </c>
      <c r="H125" s="86"/>
      <c r="I125" s="87">
        <f ca="1">IFERROR(__xludf.DUMMYFUNCTION("""COMPUTED_VALUE"""),2008)</f>
        <v>2008</v>
      </c>
      <c r="J125" s="88" t="str">
        <f ca="1">IFERROR(__xludf.DUMMYFUNCTION("""COMPUTED_VALUE"""),"India")</f>
        <v>India</v>
      </c>
      <c r="K125" s="89">
        <f ca="1">IFERROR(
  SUMIFS(
    'New Backfilled Data'!G:G,
    'New Backfilled Data'!A:A, I125,
    'New Backfilled Data'!D:D, J125,
    'New Backfilled Data'!E:E, "Online"
  ) /
  SUMIFS(
    'New Backfilled Data'!G:G,
    'New Backfilled Data'!A:A, I125,
    'New Backfilled Data'!D:D, J125
  ),
  ""
)</f>
        <v>0.22683635386700493</v>
      </c>
      <c r="L125" s="90"/>
      <c r="M125" s="90"/>
    </row>
    <row r="126" spans="1:13" ht="17" x14ac:dyDescent="0.2">
      <c r="A126" s="37">
        <v>2006</v>
      </c>
      <c r="B126" s="38" t="s">
        <v>66</v>
      </c>
      <c r="C126" s="38" t="s">
        <v>4</v>
      </c>
      <c r="D126" s="38" t="s">
        <v>5</v>
      </c>
      <c r="E126" s="38" t="s">
        <v>67</v>
      </c>
      <c r="F126" s="38" t="s">
        <v>67</v>
      </c>
      <c r="G126" s="79">
        <f ca="1">IFERROR(__xludf.DUMMYFUNCTION("IFERROR(
  IF(A126 = 2008,
    IF(E126 = ""Online"",
      FILTER('Raw PhocalPoint Data'!G:G,
        'Raw PhocalPoint Data'!A:A = 2009,
        'Raw PhocalPoint Data'!D:D = D126,
        'Raw PhocalPoint Data'!E:E = E126,
        'Raw PhocalPoint Data'!F"&amp;":F = F126
      ) /
      (
        FILTER('Raw PhocalPoint Data'!G:G,
          'Raw PhocalPoint Data'!A:A = 2012,
          'Raw PhocalPoint Data'!D:D = D126,
          'Raw PhocalPoint Data'!E:E = E126,
          'Raw PhocalPoint Data'!F:F = F126
     "&amp;"   ) /
        FILTER('Raw PhocalPoint Data'!G:G,
          'Raw PhocalPoint Data'!A:A = 2011,
          'Raw PhocalPoint Data'!D:D = D126,
          'Raw PhocalPoint Data'!E:E = E126,
          'Raw PhocalPoint Data'!F:F = F126
        )
      ),
      F"&amp;"ILTER('Raw PhocalPoint Data'!G:G,
        'Raw PhocalPoint Data'!A:A = 2009,
        'Raw PhocalPoint Data'!D:D = D126,
        'Raw PhocalPoint Data'!E:E = E126,
        'Raw PhocalPoint Data'!F:F = F126
      ) *
      (
        INDEX('Raw GDP data'!$I$"&amp;"2:$M$100,
          MATCH(D126, 'Raw GDP data'!$H$2:$H$100, 0),
          MATCH(2008, 'Raw GDP data'!$I$1:$M$1, 0)
        ) /
        INDEX('Raw GDP data'!$I$2:$M$100,
          MATCH(D126, 'Raw GDP data'!$H$2:$H$100, 0),
          MATCH(2009, 'Raw GDP d"&amp;"ata'!$I$1:$M$1, 0)
        )
      )
    ),
  IF(A126 &lt; 2008,
    (
      FILTER(G:G,
        A:A = 2008,
        D:D = D126,
        E:E = E126,
        F:F = F126
      ) /
      PRODUCT(
        ARRAYFORMULA(
          (
            (
              FIL"&amp;"TER('Raw PhocalPoint Data'!G:G,
                'Raw PhocalPoint Data'!A:A = 2012,
                'Raw PhocalPoint Data'!D:D = D126,
                'Raw PhocalPoint Data'!E:E = E126,
                'Raw PhocalPoint Data'!F:F = F126
              ) /
  "&amp;"            FILTER('Raw PhocalPoint Data'!G:G,
                'Raw PhocalPoint Data'!A:A = 2011,
                'Raw PhocalPoint Data'!D:D = D126,
                'Raw PhocalPoint Data'!E:E = E126,
                'Raw PhocalPoint Data'!F:F = F126
     "&amp;"         ) -
              ROW(INDIRECT(""1:"" &amp; (2008 - A126))) *
              (
                (
                  FILTER('Raw PhocalPoint Data'!G:G,
                    'Raw PhocalPoint Data'!A:A = 2012,
                    'Raw PhocalPoint Data'!D:D"&amp;" = D126,
                    'Raw PhocalPoint Data'!E:E = E126,
                    'Raw PhocalPoint Data'!F:F = F126
                  ) /
                  FILTER('Raw PhocalPoint Data'!G:G,
                    'Raw PhocalPoint Data'!A:A = 2011,
       "&amp;"             'Raw PhocalPoint Data'!D:D = D126,
                    'Raw PhocalPoint Data'!E:E = E126,
                    'Raw PhocalPoint Data'!F:F = F126
                  ) - 1
                ) / 5
              )
            )
          )
        )
"&amp;"      )
    ),
    (
      FILTER('Raw PhocalPoint Data'!G:G,
        'Raw PhocalPoint Data'!A:A = 2009,
        'Raw PhocalPoint Data'!D:D = D126,
        'Raw PhocalPoint Data'!E:E = E126,
        'Raw PhocalPoint Data'!F:F = F126
      ) /
      PRODUC"&amp;"T(
        ARRAYFORMULA(
          (
            FILTER('Raw PhocalPoint Data'!G:G,
              'Raw PhocalPoint Data'!A:A = 2012,
              'Raw PhocalPoint Data'!D:D = D126,
              'Raw PhocalPoint Data'!E:E = E126,
              'Raw Phoca"&amp;"lPoint Data'!F:F = F126
            ) /
            FILTER('Raw PhocalPoint Data'!G:G,
              'Raw PhocalPoint Data'!A:A = 2011,
              'Raw PhocalPoint Data'!D:D = D126,
              'Raw PhocalPoint Data'!E:E = E126,
              'Raw Ph"&amp;"ocalPoint Data'!F:F = F126
            ) -
            (ROW(INDIRECT(""1:"" &amp; (2010 - A126))) - 1) *
            (
              (
                FILTER('Raw PhocalPoint Data'!G:G,
                  'Raw PhocalPoint Data'!A:A = 2012,
                  'R"&amp;"aw PhocalPoint Data'!D:D = D126,
                  'Raw PhocalPoint Data'!E:E = E126,
                  'Raw PhocalPoint Data'!F:F = F126
                ) /
                FILTER('Raw PhocalPoint Data'!G:G,
                  'Raw PhocalPoint Data'!A:A ="&amp;" 2011,
                  'Raw PhocalPoint Data'!D:D = D126,
                  'Raw PhocalPoint Data'!E:E = E126,
                  'Raw PhocalPoint Data'!F:F = F126
                ) - 1
              ) / 5
            )
          )
        )
      )
    "&amp;") *
    INDEX('Raw GDP data'!$I$2:$M$100,
      MATCH(D126, 'Raw GDP data'!$H$2:$H$100, 0),
      MATCH(A126, 'Raw GDP data'!$I$1:$M$1, 0)
    )
  )),
  """"
)
"),42571868116.5853)</f>
        <v>42571868116.585297</v>
      </c>
      <c r="H126" s="80"/>
      <c r="I126" s="81">
        <f ca="1">IFERROR(__xludf.DUMMYFUNCTION("""COMPUTED_VALUE"""),2008)</f>
        <v>2008</v>
      </c>
      <c r="J126" s="82" t="str">
        <f ca="1">IFERROR(__xludf.DUMMYFUNCTION("""COMPUTED_VALUE"""),"Indonesia")</f>
        <v>Indonesia</v>
      </c>
      <c r="K126" s="83">
        <f ca="1">IFERROR(
  SUMIFS(
    'New Backfilled Data'!G:G,
    'New Backfilled Data'!A:A, I126,
    'New Backfilled Data'!D:D, J126,
    'New Backfilled Data'!E:E, "Online"
  ) /
  SUMIFS(
    'New Backfilled Data'!G:G,
    'New Backfilled Data'!A:A, I126,
    'New Backfilled Data'!D:D, J126
  ),
  ""
)</f>
        <v>1.9351589990500174E-2</v>
      </c>
      <c r="L126" s="84"/>
      <c r="M126" s="84"/>
    </row>
    <row r="127" spans="1:13" ht="17" x14ac:dyDescent="0.2">
      <c r="A127" s="44">
        <v>2006</v>
      </c>
      <c r="B127" s="45" t="s">
        <v>66</v>
      </c>
      <c r="C127" s="45" t="s">
        <v>4</v>
      </c>
      <c r="D127" s="45" t="s">
        <v>5</v>
      </c>
      <c r="E127" s="45" t="s">
        <v>69</v>
      </c>
      <c r="F127" s="45" t="s">
        <v>71</v>
      </c>
      <c r="G127" s="85">
        <f ca="1">IFERROR(__xludf.DUMMYFUNCTION("IFERROR(
  IF(A127 = 2008,
    IF(E127 = ""Online"",
      FILTER('Raw PhocalPoint Data'!G:G,
        'Raw PhocalPoint Data'!A:A = 2009,
        'Raw PhocalPoint Data'!D:D = D127,
        'Raw PhocalPoint Data'!E:E = E127,
        'Raw PhocalPoint Data'!F"&amp;":F = F127
      ) /
      (
        FILTER('Raw PhocalPoint Data'!G:G,
          'Raw PhocalPoint Data'!A:A = 2012,
          'Raw PhocalPoint Data'!D:D = D127,
          'Raw PhocalPoint Data'!E:E = E127,
          'Raw PhocalPoint Data'!F:F = F127
     "&amp;"   ) /
        FILTER('Raw PhocalPoint Data'!G:G,
          'Raw PhocalPoint Data'!A:A = 2011,
          'Raw PhocalPoint Data'!D:D = D127,
          'Raw PhocalPoint Data'!E:E = E127,
          'Raw PhocalPoint Data'!F:F = F127
        )
      ),
      F"&amp;"ILTER('Raw PhocalPoint Data'!G:G,
        'Raw PhocalPoint Data'!A:A = 2009,
        'Raw PhocalPoint Data'!D:D = D127,
        'Raw PhocalPoint Data'!E:E = E127,
        'Raw PhocalPoint Data'!F:F = F127
      ) *
      (
        INDEX('Raw GDP data'!$I$"&amp;"2:$M$100,
          MATCH(D127, 'Raw GDP data'!$H$2:$H$100, 0),
          MATCH(2008, 'Raw GDP data'!$I$1:$M$1, 0)
        ) /
        INDEX('Raw GDP data'!$I$2:$M$100,
          MATCH(D127, 'Raw GDP data'!$H$2:$H$100, 0),
          MATCH(2009, 'Raw GDP d"&amp;"ata'!$I$1:$M$1, 0)
        )
      )
    ),
  IF(A127 &lt; 2008,
    (
      FILTER(G:G,
        A:A = 2008,
        D:D = D127,
        E:E = E127,
        F:F = F127
      ) /
      PRODUCT(
        ARRAYFORMULA(
          (
            (
              FIL"&amp;"TER('Raw PhocalPoint Data'!G:G,
                'Raw PhocalPoint Data'!A:A = 2012,
                'Raw PhocalPoint Data'!D:D = D127,
                'Raw PhocalPoint Data'!E:E = E127,
                'Raw PhocalPoint Data'!F:F = F127
              ) /
  "&amp;"            FILTER('Raw PhocalPoint Data'!G:G,
                'Raw PhocalPoint Data'!A:A = 2011,
                'Raw PhocalPoint Data'!D:D = D127,
                'Raw PhocalPoint Data'!E:E = E127,
                'Raw PhocalPoint Data'!F:F = F127
     "&amp;"         ) -
              ROW(INDIRECT(""1:"" &amp; (2008 - A127))) *
              (
                (
                  FILTER('Raw PhocalPoint Data'!G:G,
                    'Raw PhocalPoint Data'!A:A = 2012,
                    'Raw PhocalPoint Data'!D:D"&amp;" = D127,
                    'Raw PhocalPoint Data'!E:E = E127,
                    'Raw PhocalPoint Data'!F:F = F127
                  ) /
                  FILTER('Raw PhocalPoint Data'!G:G,
                    'Raw PhocalPoint Data'!A:A = 2011,
       "&amp;"             'Raw PhocalPoint Data'!D:D = D127,
                    'Raw PhocalPoint Data'!E:E = E127,
                    'Raw PhocalPoint Data'!F:F = F127
                  ) - 1
                ) / 5
              )
            )
          )
        )
"&amp;"      )
    ),
    (
      FILTER('Raw PhocalPoint Data'!G:G,
        'Raw PhocalPoint Data'!A:A = 2009,
        'Raw PhocalPoint Data'!D:D = D127,
        'Raw PhocalPoint Data'!E:E = E127,
        'Raw PhocalPoint Data'!F:F = F127
      ) /
      PRODUC"&amp;"T(
        ARRAYFORMULA(
          (
            FILTER('Raw PhocalPoint Data'!G:G,
              'Raw PhocalPoint Data'!A:A = 2012,
              'Raw PhocalPoint Data'!D:D = D127,
              'Raw PhocalPoint Data'!E:E = E127,
              'Raw Phoca"&amp;"lPoint Data'!F:F = F127
            ) /
            FILTER('Raw PhocalPoint Data'!G:G,
              'Raw PhocalPoint Data'!A:A = 2011,
              'Raw PhocalPoint Data'!D:D = D127,
              'Raw PhocalPoint Data'!E:E = E127,
              'Raw Ph"&amp;"ocalPoint Data'!F:F = F127
            ) -
            (ROW(INDIRECT(""1:"" &amp; (2010 - A127))) - 1) *
            (
              (
                FILTER('Raw PhocalPoint Data'!G:G,
                  'Raw PhocalPoint Data'!A:A = 2012,
                  'R"&amp;"aw PhocalPoint Data'!D:D = D127,
                  'Raw PhocalPoint Data'!E:E = E127,
                  'Raw PhocalPoint Data'!F:F = F127
                ) /
                FILTER('Raw PhocalPoint Data'!G:G,
                  'Raw PhocalPoint Data'!A:A ="&amp;" 2011,
                  'Raw PhocalPoint Data'!D:D = D127,
                  'Raw PhocalPoint Data'!E:E = E127,
                  'Raw PhocalPoint Data'!F:F = F127
                ) - 1
              ) / 5
            )
          )
        )
      )
    "&amp;") *
    INDEX('Raw GDP data'!$I$2:$M$100,
      MATCH(D127, 'Raw GDP data'!$H$2:$H$100, 0),
      MATCH(A127, 'Raw GDP data'!$I$1:$M$1, 0)
    )
  )),
  """"
)
"),746409815.107446)</f>
        <v>746409815.10744596</v>
      </c>
      <c r="H127" s="86"/>
      <c r="I127" s="87">
        <f ca="1">IFERROR(__xludf.DUMMYFUNCTION("""COMPUTED_VALUE"""),2008)</f>
        <v>2008</v>
      </c>
      <c r="J127" s="88" t="str">
        <f ca="1">IFERROR(__xludf.DUMMYFUNCTION("""COMPUTED_VALUE"""),"Japan")</f>
        <v>Japan</v>
      </c>
      <c r="K127" s="89">
        <f ca="1">IFERROR(
  SUMIFS(
    'New Backfilled Data'!G:G,
    'New Backfilled Data'!A:A, I127,
    'New Backfilled Data'!D:D, J127,
    'New Backfilled Data'!E:E, "Online"
  ) /
  SUMIFS(
    'New Backfilled Data'!G:G,
    'New Backfilled Data'!A:A, I127,
    'New Backfilled Data'!D:D, J127
  ),
  ""
)</f>
        <v>0.22090069963372913</v>
      </c>
      <c r="L127" s="90"/>
      <c r="M127" s="90"/>
    </row>
    <row r="128" spans="1:13" ht="17" x14ac:dyDescent="0.2">
      <c r="A128" s="37">
        <v>2006</v>
      </c>
      <c r="B128" s="38" t="s">
        <v>66</v>
      </c>
      <c r="C128" s="38" t="s">
        <v>4</v>
      </c>
      <c r="D128" s="38" t="s">
        <v>5</v>
      </c>
      <c r="E128" s="38" t="s">
        <v>69</v>
      </c>
      <c r="F128" s="38" t="s">
        <v>70</v>
      </c>
      <c r="G128" s="79">
        <f ca="1">IFERROR(__xludf.DUMMYFUNCTION("IFERROR(
  IF(A128 = 2008,
    IF(E128 = ""Online"",
      FILTER('Raw PhocalPoint Data'!G:G,
        'Raw PhocalPoint Data'!A:A = 2009,
        'Raw PhocalPoint Data'!D:D = D128,
        'Raw PhocalPoint Data'!E:E = E128,
        'Raw PhocalPoint Data'!F"&amp;":F = F128
      ) /
      (
        FILTER('Raw PhocalPoint Data'!G:G,
          'Raw PhocalPoint Data'!A:A = 2012,
          'Raw PhocalPoint Data'!D:D = D128,
          'Raw PhocalPoint Data'!E:E = E128,
          'Raw PhocalPoint Data'!F:F = F128
     "&amp;"   ) /
        FILTER('Raw PhocalPoint Data'!G:G,
          'Raw PhocalPoint Data'!A:A = 2011,
          'Raw PhocalPoint Data'!D:D = D128,
          'Raw PhocalPoint Data'!E:E = E128,
          'Raw PhocalPoint Data'!F:F = F128
        )
      ),
      F"&amp;"ILTER('Raw PhocalPoint Data'!G:G,
        'Raw PhocalPoint Data'!A:A = 2009,
        'Raw PhocalPoint Data'!D:D = D128,
        'Raw PhocalPoint Data'!E:E = E128,
        'Raw PhocalPoint Data'!F:F = F128
      ) *
      (
        INDEX('Raw GDP data'!$I$"&amp;"2:$M$100,
          MATCH(D128, 'Raw GDP data'!$H$2:$H$100, 0),
          MATCH(2008, 'Raw GDP data'!$I$1:$M$1, 0)
        ) /
        INDEX('Raw GDP data'!$I$2:$M$100,
          MATCH(D128, 'Raw GDP data'!$H$2:$H$100, 0),
          MATCH(2009, 'Raw GDP d"&amp;"ata'!$I$1:$M$1, 0)
        )
      )
    ),
  IF(A128 &lt; 2008,
    (
      FILTER(G:G,
        A:A = 2008,
        D:D = D128,
        E:E = E128,
        F:F = F128
      ) /
      PRODUCT(
        ARRAYFORMULA(
          (
            (
              FIL"&amp;"TER('Raw PhocalPoint Data'!G:G,
                'Raw PhocalPoint Data'!A:A = 2012,
                'Raw PhocalPoint Data'!D:D = D128,
                'Raw PhocalPoint Data'!E:E = E128,
                'Raw PhocalPoint Data'!F:F = F128
              ) /
  "&amp;"            FILTER('Raw PhocalPoint Data'!G:G,
                'Raw PhocalPoint Data'!A:A = 2011,
                'Raw PhocalPoint Data'!D:D = D128,
                'Raw PhocalPoint Data'!E:E = E128,
                'Raw PhocalPoint Data'!F:F = F128
     "&amp;"         ) -
              ROW(INDIRECT(""1:"" &amp; (2008 - A128))) *
              (
                (
                  FILTER('Raw PhocalPoint Data'!G:G,
                    'Raw PhocalPoint Data'!A:A = 2012,
                    'Raw PhocalPoint Data'!D:D"&amp;" = D128,
                    'Raw PhocalPoint Data'!E:E = E128,
                    'Raw PhocalPoint Data'!F:F = F128
                  ) /
                  FILTER('Raw PhocalPoint Data'!G:G,
                    'Raw PhocalPoint Data'!A:A = 2011,
       "&amp;"             'Raw PhocalPoint Data'!D:D = D128,
                    'Raw PhocalPoint Data'!E:E = E128,
                    'Raw PhocalPoint Data'!F:F = F128
                  ) - 1
                ) / 5
              )
            )
          )
        )
"&amp;"      )
    ),
    (
      FILTER('Raw PhocalPoint Data'!G:G,
        'Raw PhocalPoint Data'!A:A = 2009,
        'Raw PhocalPoint Data'!D:D = D128,
        'Raw PhocalPoint Data'!E:E = E128,
        'Raw PhocalPoint Data'!F:F = F128
      ) /
      PRODUC"&amp;"T(
        ARRAYFORMULA(
          (
            FILTER('Raw PhocalPoint Data'!G:G,
              'Raw PhocalPoint Data'!A:A = 2012,
              'Raw PhocalPoint Data'!D:D = D128,
              'Raw PhocalPoint Data'!E:E = E128,
              'Raw Phoca"&amp;"lPoint Data'!F:F = F128
            ) /
            FILTER('Raw PhocalPoint Data'!G:G,
              'Raw PhocalPoint Data'!A:A = 2011,
              'Raw PhocalPoint Data'!D:D = D128,
              'Raw PhocalPoint Data'!E:E = E128,
              'Raw Ph"&amp;"ocalPoint Data'!F:F = F128
            ) -
            (ROW(INDIRECT(""1:"" &amp; (2010 - A128))) - 1) *
            (
              (
                FILTER('Raw PhocalPoint Data'!G:G,
                  'Raw PhocalPoint Data'!A:A = 2012,
                  'R"&amp;"aw PhocalPoint Data'!D:D = D128,
                  'Raw PhocalPoint Data'!E:E = E128,
                  'Raw PhocalPoint Data'!F:F = F128
                ) /
                FILTER('Raw PhocalPoint Data'!G:G,
                  'Raw PhocalPoint Data'!A:A ="&amp;" 2011,
                  'Raw PhocalPoint Data'!D:D = D128,
                  'Raw PhocalPoint Data'!E:E = E128,
                  'Raw PhocalPoint Data'!F:F = F128
                ) - 1
              ) / 5
            )
          )
        )
      )
    "&amp;") *
    INDEX('Raw GDP data'!$I$2:$M$100,
      MATCH(D128, 'Raw GDP data'!$H$2:$H$100, 0),
      MATCH(A128, 'Raw GDP data'!$I$1:$M$1, 0)
    )
  )),
  """"
)
"),928069925.114168)</f>
        <v>928069925.11416805</v>
      </c>
      <c r="H128" s="80"/>
      <c r="I128" s="81">
        <f ca="1">IFERROR(__xludf.DUMMYFUNCTION("""COMPUTED_VALUE"""),2008)</f>
        <v>2008</v>
      </c>
      <c r="J128" s="82" t="str">
        <f ca="1">IFERROR(__xludf.DUMMYFUNCTION("""COMPUTED_VALUE"""),"Macau")</f>
        <v>Macau</v>
      </c>
      <c r="K128" s="83">
        <f ca="1">IFERROR(
  SUMIFS(
    'New Backfilled Data'!G:G,
    'New Backfilled Data'!A:A, I128,
    'New Backfilled Data'!D:D, J128,
    'New Backfilled Data'!E:E, "Online"
  ) /
  SUMIFS(
    'New Backfilled Data'!G:G,
    'New Backfilled Data'!A:A, I128,
    'New Backfilled Data'!D:D, J128
  ),
  ""
)</f>
        <v>1.4820091667054879E-2</v>
      </c>
      <c r="L128" s="84"/>
      <c r="M128" s="84"/>
    </row>
    <row r="129" spans="1:13" ht="17" x14ac:dyDescent="0.2">
      <c r="A129" s="44">
        <v>2006</v>
      </c>
      <c r="B129" s="45" t="s">
        <v>66</v>
      </c>
      <c r="C129" s="45" t="s">
        <v>4</v>
      </c>
      <c r="D129" s="45" t="s">
        <v>6</v>
      </c>
      <c r="E129" s="45" t="s">
        <v>67</v>
      </c>
      <c r="F129" s="45" t="s">
        <v>67</v>
      </c>
      <c r="G129" s="85">
        <f ca="1">IFERROR(__xludf.DUMMYFUNCTION("IFERROR(
  IF(A129 = 2008,
    IF(E129 = ""Online"",
      FILTER('Raw PhocalPoint Data'!G:G,
        'Raw PhocalPoint Data'!A:A = 2009,
        'Raw PhocalPoint Data'!D:D = D129,
        'Raw PhocalPoint Data'!E:E = E129,
        'Raw PhocalPoint Data'!F"&amp;":F = F129
      ) /
      (
        FILTER('Raw PhocalPoint Data'!G:G,
          'Raw PhocalPoint Data'!A:A = 2012,
          'Raw PhocalPoint Data'!D:D = D129,
          'Raw PhocalPoint Data'!E:E = E129,
          'Raw PhocalPoint Data'!F:F = F129
     "&amp;"   ) /
        FILTER('Raw PhocalPoint Data'!G:G,
          'Raw PhocalPoint Data'!A:A = 2011,
          'Raw PhocalPoint Data'!D:D = D129,
          'Raw PhocalPoint Data'!E:E = E129,
          'Raw PhocalPoint Data'!F:F = F129
        )
      ),
      F"&amp;"ILTER('Raw PhocalPoint Data'!G:G,
        'Raw PhocalPoint Data'!A:A = 2009,
        'Raw PhocalPoint Data'!D:D = D129,
        'Raw PhocalPoint Data'!E:E = E129,
        'Raw PhocalPoint Data'!F:F = F129
      ) *
      (
        INDEX('Raw GDP data'!$I$"&amp;"2:$M$100,
          MATCH(D129, 'Raw GDP data'!$H$2:$H$100, 0),
          MATCH(2008, 'Raw GDP data'!$I$1:$M$1, 0)
        ) /
        INDEX('Raw GDP data'!$I$2:$M$100,
          MATCH(D129, 'Raw GDP data'!$H$2:$H$100, 0),
          MATCH(2009, 'Raw GDP d"&amp;"ata'!$I$1:$M$1, 0)
        )
      )
    ),
  IF(A129 &lt; 2008,
    (
      FILTER(G:G,
        A:A = 2008,
        D:D = D129,
        E:E = E129,
        F:F = F129
      ) /
      PRODUCT(
        ARRAYFORMULA(
          (
            (
              FIL"&amp;"TER('Raw PhocalPoint Data'!G:G,
                'Raw PhocalPoint Data'!A:A = 2012,
                'Raw PhocalPoint Data'!D:D = D129,
                'Raw PhocalPoint Data'!E:E = E129,
                'Raw PhocalPoint Data'!F:F = F129
              ) /
  "&amp;"            FILTER('Raw PhocalPoint Data'!G:G,
                'Raw PhocalPoint Data'!A:A = 2011,
                'Raw PhocalPoint Data'!D:D = D129,
                'Raw PhocalPoint Data'!E:E = E129,
                'Raw PhocalPoint Data'!F:F = F129
     "&amp;"         ) -
              ROW(INDIRECT(""1:"" &amp; (2008 - A129))) *
              (
                (
                  FILTER('Raw PhocalPoint Data'!G:G,
                    'Raw PhocalPoint Data'!A:A = 2012,
                    'Raw PhocalPoint Data'!D:D"&amp;" = D129,
                    'Raw PhocalPoint Data'!E:E = E129,
                    'Raw PhocalPoint Data'!F:F = F129
                  ) /
                  FILTER('Raw PhocalPoint Data'!G:G,
                    'Raw PhocalPoint Data'!A:A = 2011,
       "&amp;"             'Raw PhocalPoint Data'!D:D = D129,
                    'Raw PhocalPoint Data'!E:E = E129,
                    'Raw PhocalPoint Data'!F:F = F129
                  ) - 1
                ) / 5
              )
            )
          )
        )
"&amp;"      )
    ),
    (
      FILTER('Raw PhocalPoint Data'!G:G,
        'Raw PhocalPoint Data'!A:A = 2009,
        'Raw PhocalPoint Data'!D:D = D129,
        'Raw PhocalPoint Data'!E:E = E129,
        'Raw PhocalPoint Data'!F:F = F129
      ) /
      PRODUC"&amp;"T(
        ARRAYFORMULA(
          (
            FILTER('Raw PhocalPoint Data'!G:G,
              'Raw PhocalPoint Data'!A:A = 2012,
              'Raw PhocalPoint Data'!D:D = D129,
              'Raw PhocalPoint Data'!E:E = E129,
              'Raw Phoca"&amp;"lPoint Data'!F:F = F129
            ) /
            FILTER('Raw PhocalPoint Data'!G:G,
              'Raw PhocalPoint Data'!A:A = 2011,
              'Raw PhocalPoint Data'!D:D = D129,
              'Raw PhocalPoint Data'!E:E = E129,
              'Raw Ph"&amp;"ocalPoint Data'!F:F = F129
            ) -
            (ROW(INDIRECT(""1:"" &amp; (2010 - A129))) - 1) *
            (
              (
                FILTER('Raw PhocalPoint Data'!G:G,
                  'Raw PhocalPoint Data'!A:A = 2012,
                  'R"&amp;"aw PhocalPoint Data'!D:D = D129,
                  'Raw PhocalPoint Data'!E:E = E129,
                  'Raw PhocalPoint Data'!F:F = F129
                ) /
                FILTER('Raw PhocalPoint Data'!G:G,
                  'Raw PhocalPoint Data'!A:A ="&amp;" 2011,
                  'Raw PhocalPoint Data'!D:D = D129,
                  'Raw PhocalPoint Data'!E:E = E129,
                  'Raw PhocalPoint Data'!F:F = F129
                ) - 1
              ) / 5
            )
          )
        )
      )
    "&amp;") *
    INDEX('Raw GDP data'!$I$2:$M$100,
      MATCH(D129, 'Raw GDP data'!$H$2:$H$100, 0),
      MATCH(A129, 'Raw GDP data'!$I$1:$M$1, 0)
    )
  )),
  """"
)
"),8523736280.83115)</f>
        <v>8523736280.8311501</v>
      </c>
      <c r="H129" s="86"/>
      <c r="I129" s="87">
        <f ca="1">IFERROR(__xludf.DUMMYFUNCTION("""COMPUTED_VALUE"""),2008)</f>
        <v>2008</v>
      </c>
      <c r="J129" s="88" t="str">
        <f ca="1">IFERROR(__xludf.DUMMYFUNCTION("""COMPUTED_VALUE"""),"Malaysia")</f>
        <v>Malaysia</v>
      </c>
      <c r="K129" s="89">
        <f ca="1">IFERROR(
  SUMIFS(
    'New Backfilled Data'!G:G,
    'New Backfilled Data'!A:A, I129,
    'New Backfilled Data'!D:D, J129,
    'New Backfilled Data'!E:E, "Online"
  ) /
  SUMIFS(
    'New Backfilled Data'!G:G,
    'New Backfilled Data'!A:A, I129,
    'New Backfilled Data'!D:D, J129
  ),
  ""
)</f>
        <v>0.211923469302574</v>
      </c>
      <c r="L129" s="90"/>
      <c r="M129" s="90"/>
    </row>
    <row r="130" spans="1:13" ht="17" x14ac:dyDescent="0.2">
      <c r="A130" s="37">
        <v>2006</v>
      </c>
      <c r="B130" s="38" t="s">
        <v>66</v>
      </c>
      <c r="C130" s="38" t="s">
        <v>4</v>
      </c>
      <c r="D130" s="38" t="s">
        <v>6</v>
      </c>
      <c r="E130" s="38" t="s">
        <v>69</v>
      </c>
      <c r="F130" s="38" t="s">
        <v>71</v>
      </c>
      <c r="G130" s="79">
        <f ca="1">IFERROR(__xludf.DUMMYFUNCTION("IFERROR(
  IF(A130 = 2008,
    IF(E130 = ""Online"",
      FILTER('Raw PhocalPoint Data'!G:G,
        'Raw PhocalPoint Data'!A:A = 2009,
        'Raw PhocalPoint Data'!D:D = D130,
        'Raw PhocalPoint Data'!E:E = E130,
        'Raw PhocalPoint Data'!F"&amp;":F = F130
      ) /
      (
        FILTER('Raw PhocalPoint Data'!G:G,
          'Raw PhocalPoint Data'!A:A = 2012,
          'Raw PhocalPoint Data'!D:D = D130,
          'Raw PhocalPoint Data'!E:E = E130,
          'Raw PhocalPoint Data'!F:F = F130
     "&amp;"   ) /
        FILTER('Raw PhocalPoint Data'!G:G,
          'Raw PhocalPoint Data'!A:A = 2011,
          'Raw PhocalPoint Data'!D:D = D130,
          'Raw PhocalPoint Data'!E:E = E130,
          'Raw PhocalPoint Data'!F:F = F130
        )
      ),
      F"&amp;"ILTER('Raw PhocalPoint Data'!G:G,
        'Raw PhocalPoint Data'!A:A = 2009,
        'Raw PhocalPoint Data'!D:D = D130,
        'Raw PhocalPoint Data'!E:E = E130,
        'Raw PhocalPoint Data'!F:F = F130
      ) *
      (
        INDEX('Raw GDP data'!$I$"&amp;"2:$M$100,
          MATCH(D130, 'Raw GDP data'!$H$2:$H$100, 0),
          MATCH(2008, 'Raw GDP data'!$I$1:$M$1, 0)
        ) /
        INDEX('Raw GDP data'!$I$2:$M$100,
          MATCH(D130, 'Raw GDP data'!$H$2:$H$100, 0),
          MATCH(2009, 'Raw GDP d"&amp;"ata'!$I$1:$M$1, 0)
        )
      )
    ),
  IF(A130 &lt; 2008,
    (
      FILTER(G:G,
        A:A = 2008,
        D:D = D130,
        E:E = E130,
        F:F = F130
      ) /
      PRODUCT(
        ARRAYFORMULA(
          (
            (
              FIL"&amp;"TER('Raw PhocalPoint Data'!G:G,
                'Raw PhocalPoint Data'!A:A = 2012,
                'Raw PhocalPoint Data'!D:D = D130,
                'Raw PhocalPoint Data'!E:E = E130,
                'Raw PhocalPoint Data'!F:F = F130
              ) /
  "&amp;"            FILTER('Raw PhocalPoint Data'!G:G,
                'Raw PhocalPoint Data'!A:A = 2011,
                'Raw PhocalPoint Data'!D:D = D130,
                'Raw PhocalPoint Data'!E:E = E130,
                'Raw PhocalPoint Data'!F:F = F130
     "&amp;"         ) -
              ROW(INDIRECT(""1:"" &amp; (2008 - A130))) *
              (
                (
                  FILTER('Raw PhocalPoint Data'!G:G,
                    'Raw PhocalPoint Data'!A:A = 2012,
                    'Raw PhocalPoint Data'!D:D"&amp;" = D130,
                    'Raw PhocalPoint Data'!E:E = E130,
                    'Raw PhocalPoint Data'!F:F = F130
                  ) /
                  FILTER('Raw PhocalPoint Data'!G:G,
                    'Raw PhocalPoint Data'!A:A = 2011,
       "&amp;"             'Raw PhocalPoint Data'!D:D = D130,
                    'Raw PhocalPoint Data'!E:E = E130,
                    'Raw PhocalPoint Data'!F:F = F130
                  ) - 1
                ) / 5
              )
            )
          )
        )
"&amp;"      )
    ),
    (
      FILTER('Raw PhocalPoint Data'!G:G,
        'Raw PhocalPoint Data'!A:A = 2009,
        'Raw PhocalPoint Data'!D:D = D130,
        'Raw PhocalPoint Data'!E:E = E130,
        'Raw PhocalPoint Data'!F:F = F130
      ) /
      PRODUC"&amp;"T(
        ARRAYFORMULA(
          (
            FILTER('Raw PhocalPoint Data'!G:G,
              'Raw PhocalPoint Data'!A:A = 2012,
              'Raw PhocalPoint Data'!D:D = D130,
              'Raw PhocalPoint Data'!E:E = E130,
              'Raw Phoca"&amp;"lPoint Data'!F:F = F130
            ) /
            FILTER('Raw PhocalPoint Data'!G:G,
              'Raw PhocalPoint Data'!A:A = 2011,
              'Raw PhocalPoint Data'!D:D = D130,
              'Raw PhocalPoint Data'!E:E = E130,
              'Raw Ph"&amp;"ocalPoint Data'!F:F = F130
            ) -
            (ROW(INDIRECT(""1:"" &amp; (2010 - A130))) - 1) *
            (
              (
                FILTER('Raw PhocalPoint Data'!G:G,
                  'Raw PhocalPoint Data'!A:A = 2012,
                  'R"&amp;"aw PhocalPoint Data'!D:D = D130,
                  'Raw PhocalPoint Data'!E:E = E130,
                  'Raw PhocalPoint Data'!F:F = F130
                ) /
                FILTER('Raw PhocalPoint Data'!G:G,
                  'Raw PhocalPoint Data'!A:A ="&amp;" 2011,
                  'Raw PhocalPoint Data'!D:D = D130,
                  'Raw PhocalPoint Data'!E:E = E130,
                  'Raw PhocalPoint Data'!F:F = F130
                ) - 1
              ) / 5
            )
          )
        )
      )
    "&amp;") *
    INDEX('Raw GDP data'!$I$2:$M$100,
      MATCH(D130, 'Raw GDP data'!$H$2:$H$100, 0),
      MATCH(A130, 'Raw GDP data'!$I$1:$M$1, 0)
    )
  )),
  """"
)
"),42434280.8309208)</f>
        <v>42434280.830920801</v>
      </c>
      <c r="H130" s="80"/>
      <c r="I130" s="81">
        <f ca="1">IFERROR(__xludf.DUMMYFUNCTION("""COMPUTED_VALUE"""),2008)</f>
        <v>2008</v>
      </c>
      <c r="J130" s="82" t="str">
        <f ca="1">IFERROR(__xludf.DUMMYFUNCTION("""COMPUTED_VALUE"""),"Singapore")</f>
        <v>Singapore</v>
      </c>
      <c r="K130" s="83">
        <f ca="1">IFERROR(
  SUMIFS(
    'New Backfilled Data'!G:G,
    'New Backfilled Data'!A:A, I130,
    'New Backfilled Data'!D:D, J130,
    'New Backfilled Data'!E:E, "Online"
  ) /
  SUMIFS(
    'New Backfilled Data'!G:G,
    'New Backfilled Data'!A:A, I130,
    'New Backfilled Data'!D:D, J130
  ),
  ""
)</f>
        <v>0.20834032556404844</v>
      </c>
      <c r="L130" s="84"/>
      <c r="M130" s="84"/>
    </row>
    <row r="131" spans="1:13" ht="17" x14ac:dyDescent="0.2">
      <c r="A131" s="44">
        <v>2006</v>
      </c>
      <c r="B131" s="45" t="s">
        <v>66</v>
      </c>
      <c r="C131" s="45" t="s">
        <v>4</v>
      </c>
      <c r="D131" s="45" t="s">
        <v>6</v>
      </c>
      <c r="E131" s="45" t="s">
        <v>69</v>
      </c>
      <c r="F131" s="45" t="s">
        <v>70</v>
      </c>
      <c r="G131" s="85">
        <f ca="1">IFERROR(__xludf.DUMMYFUNCTION("IFERROR(
  IF(A131 = 2008,
    IF(E131 = ""Online"",
      FILTER('Raw PhocalPoint Data'!G:G,
        'Raw PhocalPoint Data'!A:A = 2009,
        'Raw PhocalPoint Data'!D:D = D131,
        'Raw PhocalPoint Data'!E:E = E131,
        'Raw PhocalPoint Data'!F"&amp;":F = F131
      ) /
      (
        FILTER('Raw PhocalPoint Data'!G:G,
          'Raw PhocalPoint Data'!A:A = 2012,
          'Raw PhocalPoint Data'!D:D = D131,
          'Raw PhocalPoint Data'!E:E = E131,
          'Raw PhocalPoint Data'!F:F = F131
     "&amp;"   ) /
        FILTER('Raw PhocalPoint Data'!G:G,
          'Raw PhocalPoint Data'!A:A = 2011,
          'Raw PhocalPoint Data'!D:D = D131,
          'Raw PhocalPoint Data'!E:E = E131,
          'Raw PhocalPoint Data'!F:F = F131
        )
      ),
      F"&amp;"ILTER('Raw PhocalPoint Data'!G:G,
        'Raw PhocalPoint Data'!A:A = 2009,
        'Raw PhocalPoint Data'!D:D = D131,
        'Raw PhocalPoint Data'!E:E = E131,
        'Raw PhocalPoint Data'!F:F = F131
      ) *
      (
        INDEX('Raw GDP data'!$I$"&amp;"2:$M$100,
          MATCH(D131, 'Raw GDP data'!$H$2:$H$100, 0),
          MATCH(2008, 'Raw GDP data'!$I$1:$M$1, 0)
        ) /
        INDEX('Raw GDP data'!$I$2:$M$100,
          MATCH(D131, 'Raw GDP data'!$H$2:$H$100, 0),
          MATCH(2009, 'Raw GDP d"&amp;"ata'!$I$1:$M$1, 0)
        )
      )
    ),
  IF(A131 &lt; 2008,
    (
      FILTER(G:G,
        A:A = 2008,
        D:D = D131,
        E:E = E131,
        F:F = F131
      ) /
      PRODUCT(
        ARRAYFORMULA(
          (
            (
              FIL"&amp;"TER('Raw PhocalPoint Data'!G:G,
                'Raw PhocalPoint Data'!A:A = 2012,
                'Raw PhocalPoint Data'!D:D = D131,
                'Raw PhocalPoint Data'!E:E = E131,
                'Raw PhocalPoint Data'!F:F = F131
              ) /
  "&amp;"            FILTER('Raw PhocalPoint Data'!G:G,
                'Raw PhocalPoint Data'!A:A = 2011,
                'Raw PhocalPoint Data'!D:D = D131,
                'Raw PhocalPoint Data'!E:E = E131,
                'Raw PhocalPoint Data'!F:F = F131
     "&amp;"         ) -
              ROW(INDIRECT(""1:"" &amp; (2008 - A131))) *
              (
                (
                  FILTER('Raw PhocalPoint Data'!G:G,
                    'Raw PhocalPoint Data'!A:A = 2012,
                    'Raw PhocalPoint Data'!D:D"&amp;" = D131,
                    'Raw PhocalPoint Data'!E:E = E131,
                    'Raw PhocalPoint Data'!F:F = F131
                  ) /
                  FILTER('Raw PhocalPoint Data'!G:G,
                    'Raw PhocalPoint Data'!A:A = 2011,
       "&amp;"             'Raw PhocalPoint Data'!D:D = D131,
                    'Raw PhocalPoint Data'!E:E = E131,
                    'Raw PhocalPoint Data'!F:F = F131
                  ) - 1
                ) / 5
              )
            )
          )
        )
"&amp;"      )
    ),
    (
      FILTER('Raw PhocalPoint Data'!G:G,
        'Raw PhocalPoint Data'!A:A = 2009,
        'Raw PhocalPoint Data'!D:D = D131,
        'Raw PhocalPoint Data'!E:E = E131,
        'Raw PhocalPoint Data'!F:F = F131
      ) /
      PRODUC"&amp;"T(
        ARRAYFORMULA(
          (
            FILTER('Raw PhocalPoint Data'!G:G,
              'Raw PhocalPoint Data'!A:A = 2012,
              'Raw PhocalPoint Data'!D:D = D131,
              'Raw PhocalPoint Data'!E:E = E131,
              'Raw Phoca"&amp;"lPoint Data'!F:F = F131
            ) /
            FILTER('Raw PhocalPoint Data'!G:G,
              'Raw PhocalPoint Data'!A:A = 2011,
              'Raw PhocalPoint Data'!D:D = D131,
              'Raw PhocalPoint Data'!E:E = E131,
              'Raw Ph"&amp;"ocalPoint Data'!F:F = F131
            ) -
            (ROW(INDIRECT(""1:"" &amp; (2010 - A131))) - 1) *
            (
              (
                FILTER('Raw PhocalPoint Data'!G:G,
                  'Raw PhocalPoint Data'!A:A = 2012,
                  'R"&amp;"aw PhocalPoint Data'!D:D = D131,
                  'Raw PhocalPoint Data'!E:E = E131,
                  'Raw PhocalPoint Data'!F:F = F131
                ) /
                FILTER('Raw PhocalPoint Data'!G:G,
                  'Raw PhocalPoint Data'!A:A ="&amp;" 2011,
                  'Raw PhocalPoint Data'!D:D = D131,
                  'Raw PhocalPoint Data'!E:E = E131,
                  'Raw PhocalPoint Data'!F:F = F131
                ) - 1
              ) / 5
            )
          )
        )
      )
    "&amp;") *
    INDEX('Raw GDP data'!$I$2:$M$100,
      MATCH(D131, 'Raw GDP data'!$H$2:$H$100, 0),
      MATCH(A131, 'Raw GDP data'!$I$1:$M$1, 0)
    )
  )),
  """"
)
"),221385734.930631)</f>
        <v>221385734.93063101</v>
      </c>
      <c r="H131" s="86"/>
      <c r="I131" s="87">
        <f ca="1">IFERROR(__xludf.DUMMYFUNCTION("""COMPUTED_VALUE"""),2008)</f>
        <v>2008</v>
      </c>
      <c r="J131" s="88" t="str">
        <f ca="1">IFERROR(__xludf.DUMMYFUNCTION("""COMPUTED_VALUE"""),"South Korea")</f>
        <v>South Korea</v>
      </c>
      <c r="K131" s="89">
        <f ca="1">IFERROR(
  SUMIFS(
    'New Backfilled Data'!G:G,
    'New Backfilled Data'!A:A, I131,
    'New Backfilled Data'!D:D, J131,
    'New Backfilled Data'!E:E, "Online"
  ) /
  SUMIFS(
    'New Backfilled Data'!G:G,
    'New Backfilled Data'!A:A, I131,
    'New Backfilled Data'!D:D, J131
  ),
  ""
)</f>
        <v>8.1097519990424374E-2</v>
      </c>
      <c r="L131" s="90"/>
      <c r="M131" s="90"/>
    </row>
    <row r="132" spans="1:13" ht="17" x14ac:dyDescent="0.2">
      <c r="A132" s="37">
        <v>2006</v>
      </c>
      <c r="B132" s="38" t="s">
        <v>66</v>
      </c>
      <c r="C132" s="38" t="s">
        <v>4</v>
      </c>
      <c r="D132" s="38" t="s">
        <v>7</v>
      </c>
      <c r="E132" s="38" t="s">
        <v>67</v>
      </c>
      <c r="F132" s="38" t="s">
        <v>67</v>
      </c>
      <c r="G132" s="79">
        <f ca="1">IFERROR(__xludf.DUMMYFUNCTION("IFERROR(
  IF(A132 = 2008,
    IF(E132 = ""Online"",
      FILTER('Raw PhocalPoint Data'!G:G,
        'Raw PhocalPoint Data'!A:A = 2009,
        'Raw PhocalPoint Data'!D:D = D132,
        'Raw PhocalPoint Data'!E:E = E132,
        'Raw PhocalPoint Data'!F"&amp;":F = F132
      ) /
      (
        FILTER('Raw PhocalPoint Data'!G:G,
          'Raw PhocalPoint Data'!A:A = 2012,
          'Raw PhocalPoint Data'!D:D = D132,
          'Raw PhocalPoint Data'!E:E = E132,
          'Raw PhocalPoint Data'!F:F = F132
     "&amp;"   ) /
        FILTER('Raw PhocalPoint Data'!G:G,
          'Raw PhocalPoint Data'!A:A = 2011,
          'Raw PhocalPoint Data'!D:D = D132,
          'Raw PhocalPoint Data'!E:E = E132,
          'Raw PhocalPoint Data'!F:F = F132
        )
      ),
      F"&amp;"ILTER('Raw PhocalPoint Data'!G:G,
        'Raw PhocalPoint Data'!A:A = 2009,
        'Raw PhocalPoint Data'!D:D = D132,
        'Raw PhocalPoint Data'!E:E = E132,
        'Raw PhocalPoint Data'!F:F = F132
      ) *
      (
        INDEX('Raw GDP data'!$I$"&amp;"2:$M$100,
          MATCH(D132, 'Raw GDP data'!$H$2:$H$100, 0),
          MATCH(2008, 'Raw GDP data'!$I$1:$M$1, 0)
        ) /
        INDEX('Raw GDP data'!$I$2:$M$100,
          MATCH(D132, 'Raw GDP data'!$H$2:$H$100, 0),
          MATCH(2009, 'Raw GDP d"&amp;"ata'!$I$1:$M$1, 0)
        )
      )
    ),
  IF(A132 &lt; 2008,
    (
      FILTER(G:G,
        A:A = 2008,
        D:D = D132,
        E:E = E132,
        F:F = F132
      ) /
      PRODUCT(
        ARRAYFORMULA(
          (
            (
              FIL"&amp;"TER('Raw PhocalPoint Data'!G:G,
                'Raw PhocalPoint Data'!A:A = 2012,
                'Raw PhocalPoint Data'!D:D = D132,
                'Raw PhocalPoint Data'!E:E = E132,
                'Raw PhocalPoint Data'!F:F = F132
              ) /
  "&amp;"            FILTER('Raw PhocalPoint Data'!G:G,
                'Raw PhocalPoint Data'!A:A = 2011,
                'Raw PhocalPoint Data'!D:D = D132,
                'Raw PhocalPoint Data'!E:E = E132,
                'Raw PhocalPoint Data'!F:F = F132
     "&amp;"         ) -
              ROW(INDIRECT(""1:"" &amp; (2008 - A132))) *
              (
                (
                  FILTER('Raw PhocalPoint Data'!G:G,
                    'Raw PhocalPoint Data'!A:A = 2012,
                    'Raw PhocalPoint Data'!D:D"&amp;" = D132,
                    'Raw PhocalPoint Data'!E:E = E132,
                    'Raw PhocalPoint Data'!F:F = F132
                  ) /
                  FILTER('Raw PhocalPoint Data'!G:G,
                    'Raw PhocalPoint Data'!A:A = 2011,
       "&amp;"             'Raw PhocalPoint Data'!D:D = D132,
                    'Raw PhocalPoint Data'!E:E = E132,
                    'Raw PhocalPoint Data'!F:F = F132
                  ) - 1
                ) / 5
              )
            )
          )
        )
"&amp;"      )
    ),
    (
      FILTER('Raw PhocalPoint Data'!G:G,
        'Raw PhocalPoint Data'!A:A = 2009,
        'Raw PhocalPoint Data'!D:D = D132,
        'Raw PhocalPoint Data'!E:E = E132,
        'Raw PhocalPoint Data'!F:F = F132
      ) /
      PRODUC"&amp;"T(
        ARRAYFORMULA(
          (
            FILTER('Raw PhocalPoint Data'!G:G,
              'Raw PhocalPoint Data'!A:A = 2012,
              'Raw PhocalPoint Data'!D:D = D132,
              'Raw PhocalPoint Data'!E:E = E132,
              'Raw Phoca"&amp;"lPoint Data'!F:F = F132
            ) /
            FILTER('Raw PhocalPoint Data'!G:G,
              'Raw PhocalPoint Data'!A:A = 2011,
              'Raw PhocalPoint Data'!D:D = D132,
              'Raw PhocalPoint Data'!E:E = E132,
              'Raw Ph"&amp;"ocalPoint Data'!F:F = F132
            ) -
            (ROW(INDIRECT(""1:"" &amp; (2010 - A132))) - 1) *
            (
              (
                FILTER('Raw PhocalPoint Data'!G:G,
                  'Raw PhocalPoint Data'!A:A = 2012,
                  'R"&amp;"aw PhocalPoint Data'!D:D = D132,
                  'Raw PhocalPoint Data'!E:E = E132,
                  'Raw PhocalPoint Data'!F:F = F132
                ) /
                FILTER('Raw PhocalPoint Data'!G:G,
                  'Raw PhocalPoint Data'!A:A ="&amp;" 2011,
                  'Raw PhocalPoint Data'!D:D = D132,
                  'Raw PhocalPoint Data'!E:E = E132,
                  'Raw PhocalPoint Data'!F:F = F132
                ) - 1
              ) / 5
            )
          )
        )
      )
    "&amp;") *
    INDEX('Raw GDP data'!$I$2:$M$100,
      MATCH(D132, 'Raw GDP data'!$H$2:$H$100, 0),
      MATCH(A132, 'Raw GDP data'!$I$1:$M$1, 0)
    )
  )),
  """"
)
"),12113953030.8352)</f>
        <v>12113953030.835199</v>
      </c>
      <c r="H132" s="80"/>
      <c r="I132" s="81">
        <f ca="1">IFERROR(__xludf.DUMMYFUNCTION("""COMPUTED_VALUE"""),2008)</f>
        <v>2008</v>
      </c>
      <c r="J132" s="82" t="str">
        <f ca="1">IFERROR(__xludf.DUMMYFUNCTION("""COMPUTED_VALUE"""),"Taiwan")</f>
        <v>Taiwan</v>
      </c>
      <c r="K132" s="83">
        <f ca="1">IFERROR(
  SUMIFS(
    'New Backfilled Data'!G:G,
    'New Backfilled Data'!A:A, I132,
    'New Backfilled Data'!D:D, J132,
    'New Backfilled Data'!E:E, "Online"
  ) /
  SUMIFS(
    'New Backfilled Data'!G:G,
    'New Backfilled Data'!A:A, I132,
    'New Backfilled Data'!D:D, J132
  ),
  ""
)</f>
        <v>6.5012705081112121E-2</v>
      </c>
      <c r="L132" s="84"/>
      <c r="M132" s="84"/>
    </row>
    <row r="133" spans="1:13" ht="17" x14ac:dyDescent="0.2">
      <c r="A133" s="44">
        <v>2006</v>
      </c>
      <c r="B133" s="45" t="s">
        <v>66</v>
      </c>
      <c r="C133" s="45" t="s">
        <v>4</v>
      </c>
      <c r="D133" s="45" t="s">
        <v>7</v>
      </c>
      <c r="E133" s="45" t="s">
        <v>69</v>
      </c>
      <c r="F133" s="45" t="s">
        <v>71</v>
      </c>
      <c r="G133" s="85">
        <f ca="1">IFERROR(__xludf.DUMMYFUNCTION("IFERROR(
  IF(A133 = 2008,
    IF(E133 = ""Online"",
      FILTER('Raw PhocalPoint Data'!G:G,
        'Raw PhocalPoint Data'!A:A = 2009,
        'Raw PhocalPoint Data'!D:D = D133,
        'Raw PhocalPoint Data'!E:E = E133,
        'Raw PhocalPoint Data'!F"&amp;":F = F133
      ) /
      (
        FILTER('Raw PhocalPoint Data'!G:G,
          'Raw PhocalPoint Data'!A:A = 2012,
          'Raw PhocalPoint Data'!D:D = D133,
          'Raw PhocalPoint Data'!E:E = E133,
          'Raw PhocalPoint Data'!F:F = F133
     "&amp;"   ) /
        FILTER('Raw PhocalPoint Data'!G:G,
          'Raw PhocalPoint Data'!A:A = 2011,
          'Raw PhocalPoint Data'!D:D = D133,
          'Raw PhocalPoint Data'!E:E = E133,
          'Raw PhocalPoint Data'!F:F = F133
        )
      ),
      F"&amp;"ILTER('Raw PhocalPoint Data'!G:G,
        'Raw PhocalPoint Data'!A:A = 2009,
        'Raw PhocalPoint Data'!D:D = D133,
        'Raw PhocalPoint Data'!E:E = E133,
        'Raw PhocalPoint Data'!F:F = F133
      ) *
      (
        INDEX('Raw GDP data'!$I$"&amp;"2:$M$100,
          MATCH(D133, 'Raw GDP data'!$H$2:$H$100, 0),
          MATCH(2008, 'Raw GDP data'!$I$1:$M$1, 0)
        ) /
        INDEX('Raw GDP data'!$I$2:$M$100,
          MATCH(D133, 'Raw GDP data'!$H$2:$H$100, 0),
          MATCH(2009, 'Raw GDP d"&amp;"ata'!$I$1:$M$1, 0)
        )
      )
    ),
  IF(A133 &lt; 2008,
    (
      FILTER(G:G,
        A:A = 2008,
        D:D = D133,
        E:E = E133,
        F:F = F133
      ) /
      PRODUCT(
        ARRAYFORMULA(
          (
            (
              FIL"&amp;"TER('Raw PhocalPoint Data'!G:G,
                'Raw PhocalPoint Data'!A:A = 2012,
                'Raw PhocalPoint Data'!D:D = D133,
                'Raw PhocalPoint Data'!E:E = E133,
                'Raw PhocalPoint Data'!F:F = F133
              ) /
  "&amp;"            FILTER('Raw PhocalPoint Data'!G:G,
                'Raw PhocalPoint Data'!A:A = 2011,
                'Raw PhocalPoint Data'!D:D = D133,
                'Raw PhocalPoint Data'!E:E = E133,
                'Raw PhocalPoint Data'!F:F = F133
     "&amp;"         ) -
              ROW(INDIRECT(""1:"" &amp; (2008 - A133))) *
              (
                (
                  FILTER('Raw PhocalPoint Data'!G:G,
                    'Raw PhocalPoint Data'!A:A = 2012,
                    'Raw PhocalPoint Data'!D:D"&amp;" = D133,
                    'Raw PhocalPoint Data'!E:E = E133,
                    'Raw PhocalPoint Data'!F:F = F133
                  ) /
                  FILTER('Raw PhocalPoint Data'!G:G,
                    'Raw PhocalPoint Data'!A:A = 2011,
       "&amp;"             'Raw PhocalPoint Data'!D:D = D133,
                    'Raw PhocalPoint Data'!E:E = E133,
                    'Raw PhocalPoint Data'!F:F = F133
                  ) - 1
                ) / 5
              )
            )
          )
        )
"&amp;"      )
    ),
    (
      FILTER('Raw PhocalPoint Data'!G:G,
        'Raw PhocalPoint Data'!A:A = 2009,
        'Raw PhocalPoint Data'!D:D = D133,
        'Raw PhocalPoint Data'!E:E = E133,
        'Raw PhocalPoint Data'!F:F = F133
      ) /
      PRODUC"&amp;"T(
        ARRAYFORMULA(
          (
            FILTER('Raw PhocalPoint Data'!G:G,
              'Raw PhocalPoint Data'!A:A = 2012,
              'Raw PhocalPoint Data'!D:D = D133,
              'Raw PhocalPoint Data'!E:E = E133,
              'Raw Phoca"&amp;"lPoint Data'!F:F = F133
            ) /
            FILTER('Raw PhocalPoint Data'!G:G,
              'Raw PhocalPoint Data'!A:A = 2011,
              'Raw PhocalPoint Data'!D:D = D133,
              'Raw PhocalPoint Data'!E:E = E133,
              'Raw Ph"&amp;"ocalPoint Data'!F:F = F133
            ) -
            (ROW(INDIRECT(""1:"" &amp; (2010 - A133))) - 1) *
            (
              (
                FILTER('Raw PhocalPoint Data'!G:G,
                  'Raw PhocalPoint Data'!A:A = 2012,
                  'R"&amp;"aw PhocalPoint Data'!D:D = D133,
                  'Raw PhocalPoint Data'!E:E = E133,
                  'Raw PhocalPoint Data'!F:F = F133
                ) /
                FILTER('Raw PhocalPoint Data'!G:G,
                  'Raw PhocalPoint Data'!A:A ="&amp;" 2011,
                  'Raw PhocalPoint Data'!D:D = D133,
                  'Raw PhocalPoint Data'!E:E = E133,
                  'Raw PhocalPoint Data'!F:F = F133
                ) - 1
              ) / 5
            )
          )
        )
      )
    "&amp;") *
    INDEX('Raw GDP data'!$I$2:$M$100,
      MATCH(D133, 'Raw GDP data'!$H$2:$H$100, 0),
      MATCH(A133, 'Raw GDP data'!$I$1:$M$1, 0)
    )
  )),
  """"
)
"),1260785347.99981)</f>
        <v>1260785347.99981</v>
      </c>
      <c r="H133" s="86"/>
      <c r="I133" s="87">
        <f ca="1">IFERROR(__xludf.DUMMYFUNCTION("""COMPUTED_VALUE"""),2008)</f>
        <v>2008</v>
      </c>
      <c r="J133" s="88" t="str">
        <f ca="1">IFERROR(__xludf.DUMMYFUNCTION("""COMPUTED_VALUE"""),"Thailand")</f>
        <v>Thailand</v>
      </c>
      <c r="K133" s="89">
        <f ca="1">IFERROR(
  SUMIFS(
    'New Backfilled Data'!G:G,
    'New Backfilled Data'!A:A, I133,
    'New Backfilled Data'!D:D, J133,
    'New Backfilled Data'!E:E, "Online"
  ) /
  SUMIFS(
    'New Backfilled Data'!G:G,
    'New Backfilled Data'!A:A, I133,
    'New Backfilled Data'!D:D, J133
  ),
  ""
)</f>
        <v>0.1149884177576799</v>
      </c>
      <c r="L133" s="90"/>
      <c r="M133" s="90"/>
    </row>
    <row r="134" spans="1:13" ht="17" x14ac:dyDescent="0.2">
      <c r="A134" s="37">
        <v>2006</v>
      </c>
      <c r="B134" s="38" t="s">
        <v>66</v>
      </c>
      <c r="C134" s="38" t="s">
        <v>4</v>
      </c>
      <c r="D134" s="38" t="s">
        <v>7</v>
      </c>
      <c r="E134" s="38" t="s">
        <v>69</v>
      </c>
      <c r="F134" s="38" t="s">
        <v>70</v>
      </c>
      <c r="G134" s="79">
        <f ca="1">IFERROR(__xludf.DUMMYFUNCTION("IFERROR(
  IF(A134 = 2008,
    IF(E134 = ""Online"",
      FILTER('Raw PhocalPoint Data'!G:G,
        'Raw PhocalPoint Data'!A:A = 2009,
        'Raw PhocalPoint Data'!D:D = D134,
        'Raw PhocalPoint Data'!E:E = E134,
        'Raw PhocalPoint Data'!F"&amp;":F = F134
      ) /
      (
        FILTER('Raw PhocalPoint Data'!G:G,
          'Raw PhocalPoint Data'!A:A = 2012,
          'Raw PhocalPoint Data'!D:D = D134,
          'Raw PhocalPoint Data'!E:E = E134,
          'Raw PhocalPoint Data'!F:F = F134
     "&amp;"   ) /
        FILTER('Raw PhocalPoint Data'!G:G,
          'Raw PhocalPoint Data'!A:A = 2011,
          'Raw PhocalPoint Data'!D:D = D134,
          'Raw PhocalPoint Data'!E:E = E134,
          'Raw PhocalPoint Data'!F:F = F134
        )
      ),
      F"&amp;"ILTER('Raw PhocalPoint Data'!G:G,
        'Raw PhocalPoint Data'!A:A = 2009,
        'Raw PhocalPoint Data'!D:D = D134,
        'Raw PhocalPoint Data'!E:E = E134,
        'Raw PhocalPoint Data'!F:F = F134
      ) *
      (
        INDEX('Raw GDP data'!$I$"&amp;"2:$M$100,
          MATCH(D134, 'Raw GDP data'!$H$2:$H$100, 0),
          MATCH(2008, 'Raw GDP data'!$I$1:$M$1, 0)
        ) /
        INDEX('Raw GDP data'!$I$2:$M$100,
          MATCH(D134, 'Raw GDP data'!$H$2:$H$100, 0),
          MATCH(2009, 'Raw GDP d"&amp;"ata'!$I$1:$M$1, 0)
        )
      )
    ),
  IF(A134 &lt; 2008,
    (
      FILTER(G:G,
        A:A = 2008,
        D:D = D134,
        E:E = E134,
        F:F = F134
      ) /
      PRODUCT(
        ARRAYFORMULA(
          (
            (
              FIL"&amp;"TER('Raw PhocalPoint Data'!G:G,
                'Raw PhocalPoint Data'!A:A = 2012,
                'Raw PhocalPoint Data'!D:D = D134,
                'Raw PhocalPoint Data'!E:E = E134,
                'Raw PhocalPoint Data'!F:F = F134
              ) /
  "&amp;"            FILTER('Raw PhocalPoint Data'!G:G,
                'Raw PhocalPoint Data'!A:A = 2011,
                'Raw PhocalPoint Data'!D:D = D134,
                'Raw PhocalPoint Data'!E:E = E134,
                'Raw PhocalPoint Data'!F:F = F134
     "&amp;"         ) -
              ROW(INDIRECT(""1:"" &amp; (2008 - A134))) *
              (
                (
                  FILTER('Raw PhocalPoint Data'!G:G,
                    'Raw PhocalPoint Data'!A:A = 2012,
                    'Raw PhocalPoint Data'!D:D"&amp;" = D134,
                    'Raw PhocalPoint Data'!E:E = E134,
                    'Raw PhocalPoint Data'!F:F = F134
                  ) /
                  FILTER('Raw PhocalPoint Data'!G:G,
                    'Raw PhocalPoint Data'!A:A = 2011,
       "&amp;"             'Raw PhocalPoint Data'!D:D = D134,
                    'Raw PhocalPoint Data'!E:E = E134,
                    'Raw PhocalPoint Data'!F:F = F134
                  ) - 1
                ) / 5
              )
            )
          )
        )
"&amp;"      )
    ),
    (
      FILTER('Raw PhocalPoint Data'!G:G,
        'Raw PhocalPoint Data'!A:A = 2009,
        'Raw PhocalPoint Data'!D:D = D134,
        'Raw PhocalPoint Data'!E:E = E134,
        'Raw PhocalPoint Data'!F:F = F134
      ) /
      PRODUC"&amp;"T(
        ARRAYFORMULA(
          (
            FILTER('Raw PhocalPoint Data'!G:G,
              'Raw PhocalPoint Data'!A:A = 2012,
              'Raw PhocalPoint Data'!D:D = D134,
              'Raw PhocalPoint Data'!E:E = E134,
              'Raw Phoca"&amp;"lPoint Data'!F:F = F134
            ) /
            FILTER('Raw PhocalPoint Data'!G:G,
              'Raw PhocalPoint Data'!A:A = 2011,
              'Raw PhocalPoint Data'!D:D = D134,
              'Raw PhocalPoint Data'!E:E = E134,
              'Raw Ph"&amp;"ocalPoint Data'!F:F = F134
            ) -
            (ROW(INDIRECT(""1:"" &amp; (2010 - A134))) - 1) *
            (
              (
                FILTER('Raw PhocalPoint Data'!G:G,
                  'Raw PhocalPoint Data'!A:A = 2012,
                  'R"&amp;"aw PhocalPoint Data'!D:D = D134,
                  'Raw PhocalPoint Data'!E:E = E134,
                  'Raw PhocalPoint Data'!F:F = F134
                ) /
                FILTER('Raw PhocalPoint Data'!G:G,
                  'Raw PhocalPoint Data'!A:A ="&amp;" 2011,
                  'Raw PhocalPoint Data'!D:D = D134,
                  'Raw PhocalPoint Data'!E:E = E134,
                  'Raw PhocalPoint Data'!F:F = F134
                ) - 1
              ) / 5
            )
          )
        )
      )
    "&amp;") *
    INDEX('Raw GDP data'!$I$2:$M$100,
      MATCH(D134, 'Raw GDP data'!$H$2:$H$100, 0),
      MATCH(A134, 'Raw GDP data'!$I$1:$M$1, 0)
    )
  )),
  """"
)
"),2487571798.12957)</f>
        <v>2487571798.12957</v>
      </c>
      <c r="H134" s="80"/>
      <c r="I134" s="81">
        <f ca="1">IFERROR(__xludf.DUMMYFUNCTION("""COMPUTED_VALUE"""),2008)</f>
        <v>2008</v>
      </c>
      <c r="J134" s="82" t="str">
        <f ca="1">IFERROR(__xludf.DUMMYFUNCTION("""COMPUTED_VALUE"""),"Bulgaria")</f>
        <v>Bulgaria</v>
      </c>
      <c r="K134" s="83">
        <f ca="1">IFERROR(
  SUMIFS(
    'New Backfilled Data'!G:G,
    'New Backfilled Data'!A:A, I134,
    'New Backfilled Data'!D:D, J134,
    'New Backfilled Data'!E:E, "Online"
  ) /
  SUMIFS(
    'New Backfilled Data'!G:G,
    'New Backfilled Data'!A:A, I134,
    'New Backfilled Data'!D:D, J134
  ),
  ""
)</f>
        <v>5.3528650829159641E-2</v>
      </c>
      <c r="L134" s="84"/>
      <c r="M134" s="84"/>
    </row>
    <row r="135" spans="1:13" ht="17" x14ac:dyDescent="0.2">
      <c r="A135" s="44">
        <v>2006</v>
      </c>
      <c r="B135" s="45" t="s">
        <v>66</v>
      </c>
      <c r="C135" s="45" t="s">
        <v>4</v>
      </c>
      <c r="D135" s="45" t="s">
        <v>8</v>
      </c>
      <c r="E135" s="45" t="s">
        <v>67</v>
      </c>
      <c r="F135" s="45" t="s">
        <v>67</v>
      </c>
      <c r="G135" s="85">
        <f ca="1">IFERROR(__xludf.DUMMYFUNCTION("IFERROR(
  IF(A135 = 2008,
    IF(E135 = ""Online"",
      FILTER('Raw PhocalPoint Data'!G:G,
        'Raw PhocalPoint Data'!A:A = 2009,
        'Raw PhocalPoint Data'!D:D = D135,
        'Raw PhocalPoint Data'!E:E = E135,
        'Raw PhocalPoint Data'!F"&amp;":F = F135
      ) /
      (
        FILTER('Raw PhocalPoint Data'!G:G,
          'Raw PhocalPoint Data'!A:A = 2012,
          'Raw PhocalPoint Data'!D:D = D135,
          'Raw PhocalPoint Data'!E:E = E135,
          'Raw PhocalPoint Data'!F:F = F135
     "&amp;"   ) /
        FILTER('Raw PhocalPoint Data'!G:G,
          'Raw PhocalPoint Data'!A:A = 2011,
          'Raw PhocalPoint Data'!D:D = D135,
          'Raw PhocalPoint Data'!E:E = E135,
          'Raw PhocalPoint Data'!F:F = F135
        )
      ),
      F"&amp;"ILTER('Raw PhocalPoint Data'!G:G,
        'Raw PhocalPoint Data'!A:A = 2009,
        'Raw PhocalPoint Data'!D:D = D135,
        'Raw PhocalPoint Data'!E:E = E135,
        'Raw PhocalPoint Data'!F:F = F135
      ) *
      (
        INDEX('Raw GDP data'!$I$"&amp;"2:$M$100,
          MATCH(D135, 'Raw GDP data'!$H$2:$H$100, 0),
          MATCH(2008, 'Raw GDP data'!$I$1:$M$1, 0)
        ) /
        INDEX('Raw GDP data'!$I$2:$M$100,
          MATCH(D135, 'Raw GDP data'!$H$2:$H$100, 0),
          MATCH(2009, 'Raw GDP d"&amp;"ata'!$I$1:$M$1, 0)
        )
      )
    ),
  IF(A135 &lt; 2008,
    (
      FILTER(G:G,
        A:A = 2008,
        D:D = D135,
        E:E = E135,
        F:F = F135
      ) /
      PRODUCT(
        ARRAYFORMULA(
          (
            (
              FIL"&amp;"TER('Raw PhocalPoint Data'!G:G,
                'Raw PhocalPoint Data'!A:A = 2012,
                'Raw PhocalPoint Data'!D:D = D135,
                'Raw PhocalPoint Data'!E:E = E135,
                'Raw PhocalPoint Data'!F:F = F135
              ) /
  "&amp;"            FILTER('Raw PhocalPoint Data'!G:G,
                'Raw PhocalPoint Data'!A:A = 2011,
                'Raw PhocalPoint Data'!D:D = D135,
                'Raw PhocalPoint Data'!E:E = E135,
                'Raw PhocalPoint Data'!F:F = F135
     "&amp;"         ) -
              ROW(INDIRECT(""1:"" &amp; (2008 - A135))) *
              (
                (
                  FILTER('Raw PhocalPoint Data'!G:G,
                    'Raw PhocalPoint Data'!A:A = 2012,
                    'Raw PhocalPoint Data'!D:D"&amp;" = D135,
                    'Raw PhocalPoint Data'!E:E = E135,
                    'Raw PhocalPoint Data'!F:F = F135
                  ) /
                  FILTER('Raw PhocalPoint Data'!G:G,
                    'Raw PhocalPoint Data'!A:A = 2011,
       "&amp;"             'Raw PhocalPoint Data'!D:D = D135,
                    'Raw PhocalPoint Data'!E:E = E135,
                    'Raw PhocalPoint Data'!F:F = F135
                  ) - 1
                ) / 5
              )
            )
          )
        )
"&amp;"      )
    ),
    (
      FILTER('Raw PhocalPoint Data'!G:G,
        'Raw PhocalPoint Data'!A:A = 2009,
        'Raw PhocalPoint Data'!D:D = D135,
        'Raw PhocalPoint Data'!E:E = E135,
        'Raw PhocalPoint Data'!F:F = F135
      ) /
      PRODUC"&amp;"T(
        ARRAYFORMULA(
          (
            FILTER('Raw PhocalPoint Data'!G:G,
              'Raw PhocalPoint Data'!A:A = 2012,
              'Raw PhocalPoint Data'!D:D = D135,
              'Raw PhocalPoint Data'!E:E = E135,
              'Raw Phoca"&amp;"lPoint Data'!F:F = F135
            ) /
            FILTER('Raw PhocalPoint Data'!G:G,
              'Raw PhocalPoint Data'!A:A = 2011,
              'Raw PhocalPoint Data'!D:D = D135,
              'Raw PhocalPoint Data'!E:E = E135,
              'Raw Ph"&amp;"ocalPoint Data'!F:F = F135
            ) -
            (ROW(INDIRECT(""1:"" &amp; (2010 - A135))) - 1) *
            (
              (
                FILTER('Raw PhocalPoint Data'!G:G,
                  'Raw PhocalPoint Data'!A:A = 2012,
                  'R"&amp;"aw PhocalPoint Data'!D:D = D135,
                  'Raw PhocalPoint Data'!E:E = E135,
                  'Raw PhocalPoint Data'!F:F = F135
                ) /
                FILTER('Raw PhocalPoint Data'!G:G,
                  'Raw PhocalPoint Data'!A:A ="&amp;" 2011,
                  'Raw PhocalPoint Data'!D:D = D135,
                  'Raw PhocalPoint Data'!E:E = E135,
                  'Raw PhocalPoint Data'!F:F = F135
                ) - 1
              ) / 5
            )
          )
        )
      )
    "&amp;") *
    INDEX('Raw GDP data'!$I$2:$M$100,
      MATCH(D135, 'Raw GDP data'!$H$2:$H$100, 0),
      MATCH(A135, 'Raw GDP data'!$I$1:$M$1, 0)
    )
  )),
  """"
)
"),4208167391.23706)</f>
        <v>4208167391.2370601</v>
      </c>
      <c r="H135" s="86"/>
      <c r="I135" s="87">
        <f ca="1">IFERROR(__xludf.DUMMYFUNCTION("""COMPUTED_VALUE"""),2008)</f>
        <v>2008</v>
      </c>
      <c r="J135" s="88" t="str">
        <f ca="1">IFERROR(__xludf.DUMMYFUNCTION("""COMPUTED_VALUE"""),"Czech Republic")</f>
        <v>Czech Republic</v>
      </c>
      <c r="K135" s="89">
        <f ca="1">IFERROR(
  SUMIFS(
    'New Backfilled Data'!G:G,
    'New Backfilled Data'!A:A, I135,
    'New Backfilled Data'!D:D, J135,
    'New Backfilled Data'!E:E, "Online"
  ) /
  SUMIFS(
    'New Backfilled Data'!G:G,
    'New Backfilled Data'!A:A, I135,
    'New Backfilled Data'!D:D, J135
  ),
  ""
)</f>
        <v>0.12537722254248412</v>
      </c>
      <c r="L135" s="90"/>
      <c r="M135" s="90"/>
    </row>
    <row r="136" spans="1:13" ht="17" x14ac:dyDescent="0.2">
      <c r="A136" s="37">
        <v>2006</v>
      </c>
      <c r="B136" s="38" t="s">
        <v>66</v>
      </c>
      <c r="C136" s="38" t="s">
        <v>4</v>
      </c>
      <c r="D136" s="38" t="s">
        <v>8</v>
      </c>
      <c r="E136" s="38" t="s">
        <v>69</v>
      </c>
      <c r="F136" s="38" t="s">
        <v>71</v>
      </c>
      <c r="G136" s="79">
        <f ca="1">IFERROR(__xludf.DUMMYFUNCTION("IFERROR(
  IF(A136 = 2008,
    IF(E136 = ""Online"",
      FILTER('Raw PhocalPoint Data'!G:G,
        'Raw PhocalPoint Data'!A:A = 2009,
        'Raw PhocalPoint Data'!D:D = D136,
        'Raw PhocalPoint Data'!E:E = E136,
        'Raw PhocalPoint Data'!F"&amp;":F = F136
      ) /
      (
        FILTER('Raw PhocalPoint Data'!G:G,
          'Raw PhocalPoint Data'!A:A = 2012,
          'Raw PhocalPoint Data'!D:D = D136,
          'Raw PhocalPoint Data'!E:E = E136,
          'Raw PhocalPoint Data'!F:F = F136
     "&amp;"   ) /
        FILTER('Raw PhocalPoint Data'!G:G,
          'Raw PhocalPoint Data'!A:A = 2011,
          'Raw PhocalPoint Data'!D:D = D136,
          'Raw PhocalPoint Data'!E:E = E136,
          'Raw PhocalPoint Data'!F:F = F136
        )
      ),
      F"&amp;"ILTER('Raw PhocalPoint Data'!G:G,
        'Raw PhocalPoint Data'!A:A = 2009,
        'Raw PhocalPoint Data'!D:D = D136,
        'Raw PhocalPoint Data'!E:E = E136,
        'Raw PhocalPoint Data'!F:F = F136
      ) *
      (
        INDEX('Raw GDP data'!$I$"&amp;"2:$M$100,
          MATCH(D136, 'Raw GDP data'!$H$2:$H$100, 0),
          MATCH(2008, 'Raw GDP data'!$I$1:$M$1, 0)
        ) /
        INDEX('Raw GDP data'!$I$2:$M$100,
          MATCH(D136, 'Raw GDP data'!$H$2:$H$100, 0),
          MATCH(2009, 'Raw GDP d"&amp;"ata'!$I$1:$M$1, 0)
        )
      )
    ),
  IF(A136 &lt; 2008,
    (
      FILTER(G:G,
        A:A = 2008,
        D:D = D136,
        E:E = E136,
        F:F = F136
      ) /
      PRODUCT(
        ARRAYFORMULA(
          (
            (
              FIL"&amp;"TER('Raw PhocalPoint Data'!G:G,
                'Raw PhocalPoint Data'!A:A = 2012,
                'Raw PhocalPoint Data'!D:D = D136,
                'Raw PhocalPoint Data'!E:E = E136,
                'Raw PhocalPoint Data'!F:F = F136
              ) /
  "&amp;"            FILTER('Raw PhocalPoint Data'!G:G,
                'Raw PhocalPoint Data'!A:A = 2011,
                'Raw PhocalPoint Data'!D:D = D136,
                'Raw PhocalPoint Data'!E:E = E136,
                'Raw PhocalPoint Data'!F:F = F136
     "&amp;"         ) -
              ROW(INDIRECT(""1:"" &amp; (2008 - A136))) *
              (
                (
                  FILTER('Raw PhocalPoint Data'!G:G,
                    'Raw PhocalPoint Data'!A:A = 2012,
                    'Raw PhocalPoint Data'!D:D"&amp;" = D136,
                    'Raw PhocalPoint Data'!E:E = E136,
                    'Raw PhocalPoint Data'!F:F = F136
                  ) /
                  FILTER('Raw PhocalPoint Data'!G:G,
                    'Raw PhocalPoint Data'!A:A = 2011,
       "&amp;"             'Raw PhocalPoint Data'!D:D = D136,
                    'Raw PhocalPoint Data'!E:E = E136,
                    'Raw PhocalPoint Data'!F:F = F136
                  ) - 1
                ) / 5
              )
            )
          )
        )
"&amp;"      )
    ),
    (
      FILTER('Raw PhocalPoint Data'!G:G,
        'Raw PhocalPoint Data'!A:A = 2009,
        'Raw PhocalPoint Data'!D:D = D136,
        'Raw PhocalPoint Data'!E:E = E136,
        'Raw PhocalPoint Data'!F:F = F136
      ) /
      PRODUC"&amp;"T(
        ARRAYFORMULA(
          (
            FILTER('Raw PhocalPoint Data'!G:G,
              'Raw PhocalPoint Data'!A:A = 2012,
              'Raw PhocalPoint Data'!D:D = D136,
              'Raw PhocalPoint Data'!E:E = E136,
              'Raw Phoca"&amp;"lPoint Data'!F:F = F136
            ) /
            FILTER('Raw PhocalPoint Data'!G:G,
              'Raw PhocalPoint Data'!A:A = 2011,
              'Raw PhocalPoint Data'!D:D = D136,
              'Raw PhocalPoint Data'!E:E = E136,
              'Raw Ph"&amp;"ocalPoint Data'!F:F = F136
            ) -
            (ROW(INDIRECT(""1:"" &amp; (2010 - A136))) - 1) *
            (
              (
                FILTER('Raw PhocalPoint Data'!G:G,
                  'Raw PhocalPoint Data'!A:A = 2012,
                  'R"&amp;"aw PhocalPoint Data'!D:D = D136,
                  'Raw PhocalPoint Data'!E:E = E136,
                  'Raw PhocalPoint Data'!F:F = F136
                ) /
                FILTER('Raw PhocalPoint Data'!G:G,
                  'Raw PhocalPoint Data'!A:A ="&amp;" 2011,
                  'Raw PhocalPoint Data'!D:D = D136,
                  'Raw PhocalPoint Data'!E:E = E136,
                  'Raw PhocalPoint Data'!F:F = F136
                ) - 1
              ) / 5
            )
          )
        )
      )
    "&amp;") *
    INDEX('Raw GDP data'!$I$2:$M$100,
      MATCH(D136, 'Raw GDP data'!$H$2:$H$100, 0),
      MATCH(A136, 'Raw GDP data'!$I$1:$M$1, 0)
    )
  )),
  """"
)
"),8105649.30572344)</f>
        <v>8105649.3057234399</v>
      </c>
      <c r="H136" s="80"/>
      <c r="I136" s="81">
        <f ca="1">IFERROR(__xludf.DUMMYFUNCTION("""COMPUTED_VALUE"""),2008)</f>
        <v>2008</v>
      </c>
      <c r="J136" s="82" t="str">
        <f ca="1">IFERROR(__xludf.DUMMYFUNCTION("""COMPUTED_VALUE"""),"Greece")</f>
        <v>Greece</v>
      </c>
      <c r="K136" s="83">
        <f ca="1">IFERROR(
  SUMIFS(
    'New Backfilled Data'!G:G,
    'New Backfilled Data'!A:A, I136,
    'New Backfilled Data'!D:D, J136,
    'New Backfilled Data'!E:E, "Online"
  ) /
  SUMIFS(
    'New Backfilled Data'!G:G,
    'New Backfilled Data'!A:A, I136,
    'New Backfilled Data'!D:D, J136
  ),
  ""
)</f>
        <v>0.18383036475821138</v>
      </c>
      <c r="L136" s="84"/>
      <c r="M136" s="84"/>
    </row>
    <row r="137" spans="1:13" ht="17" x14ac:dyDescent="0.2">
      <c r="A137" s="44">
        <v>2006</v>
      </c>
      <c r="B137" s="45" t="s">
        <v>66</v>
      </c>
      <c r="C137" s="45" t="s">
        <v>4</v>
      </c>
      <c r="D137" s="45" t="s">
        <v>8</v>
      </c>
      <c r="E137" s="45" t="s">
        <v>69</v>
      </c>
      <c r="F137" s="45" t="s">
        <v>70</v>
      </c>
      <c r="G137" s="85">
        <f ca="1">IFERROR(__xludf.DUMMYFUNCTION("IFERROR(
  IF(A137 = 2008,
    IF(E137 = ""Online"",
      FILTER('Raw PhocalPoint Data'!G:G,
        'Raw PhocalPoint Data'!A:A = 2009,
        'Raw PhocalPoint Data'!D:D = D137,
        'Raw PhocalPoint Data'!E:E = E137,
        'Raw PhocalPoint Data'!F"&amp;":F = F137
      ) /
      (
        FILTER('Raw PhocalPoint Data'!G:G,
          'Raw PhocalPoint Data'!A:A = 2012,
          'Raw PhocalPoint Data'!D:D = D137,
          'Raw PhocalPoint Data'!E:E = E137,
          'Raw PhocalPoint Data'!F:F = F137
     "&amp;"   ) /
        FILTER('Raw PhocalPoint Data'!G:G,
          'Raw PhocalPoint Data'!A:A = 2011,
          'Raw PhocalPoint Data'!D:D = D137,
          'Raw PhocalPoint Data'!E:E = E137,
          'Raw PhocalPoint Data'!F:F = F137
        )
      ),
      F"&amp;"ILTER('Raw PhocalPoint Data'!G:G,
        'Raw PhocalPoint Data'!A:A = 2009,
        'Raw PhocalPoint Data'!D:D = D137,
        'Raw PhocalPoint Data'!E:E = E137,
        'Raw PhocalPoint Data'!F:F = F137
      ) *
      (
        INDEX('Raw GDP data'!$I$"&amp;"2:$M$100,
          MATCH(D137, 'Raw GDP data'!$H$2:$H$100, 0),
          MATCH(2008, 'Raw GDP data'!$I$1:$M$1, 0)
        ) /
        INDEX('Raw GDP data'!$I$2:$M$100,
          MATCH(D137, 'Raw GDP data'!$H$2:$H$100, 0),
          MATCH(2009, 'Raw GDP d"&amp;"ata'!$I$1:$M$1, 0)
        )
      )
    ),
  IF(A137 &lt; 2008,
    (
      FILTER(G:G,
        A:A = 2008,
        D:D = D137,
        E:E = E137,
        F:F = F137
      ) /
      PRODUCT(
        ARRAYFORMULA(
          (
            (
              FIL"&amp;"TER('Raw PhocalPoint Data'!G:G,
                'Raw PhocalPoint Data'!A:A = 2012,
                'Raw PhocalPoint Data'!D:D = D137,
                'Raw PhocalPoint Data'!E:E = E137,
                'Raw PhocalPoint Data'!F:F = F137
              ) /
  "&amp;"            FILTER('Raw PhocalPoint Data'!G:G,
                'Raw PhocalPoint Data'!A:A = 2011,
                'Raw PhocalPoint Data'!D:D = D137,
                'Raw PhocalPoint Data'!E:E = E137,
                'Raw PhocalPoint Data'!F:F = F137
     "&amp;"         ) -
              ROW(INDIRECT(""1:"" &amp; (2008 - A137))) *
              (
                (
                  FILTER('Raw PhocalPoint Data'!G:G,
                    'Raw PhocalPoint Data'!A:A = 2012,
                    'Raw PhocalPoint Data'!D:D"&amp;" = D137,
                    'Raw PhocalPoint Data'!E:E = E137,
                    'Raw PhocalPoint Data'!F:F = F137
                  ) /
                  FILTER('Raw PhocalPoint Data'!G:G,
                    'Raw PhocalPoint Data'!A:A = 2011,
       "&amp;"             'Raw PhocalPoint Data'!D:D = D137,
                    'Raw PhocalPoint Data'!E:E = E137,
                    'Raw PhocalPoint Data'!F:F = F137
                  ) - 1
                ) / 5
              )
            )
          )
        )
"&amp;"      )
    ),
    (
      FILTER('Raw PhocalPoint Data'!G:G,
        'Raw PhocalPoint Data'!A:A = 2009,
        'Raw PhocalPoint Data'!D:D = D137,
        'Raw PhocalPoint Data'!E:E = E137,
        'Raw PhocalPoint Data'!F:F = F137
      ) /
      PRODUC"&amp;"T(
        ARRAYFORMULA(
          (
            FILTER('Raw PhocalPoint Data'!G:G,
              'Raw PhocalPoint Data'!A:A = 2012,
              'Raw PhocalPoint Data'!D:D = D137,
              'Raw PhocalPoint Data'!E:E = E137,
              'Raw Phoca"&amp;"lPoint Data'!F:F = F137
            ) /
            FILTER('Raw PhocalPoint Data'!G:G,
              'Raw PhocalPoint Data'!A:A = 2011,
              'Raw PhocalPoint Data'!D:D = D137,
              'Raw PhocalPoint Data'!E:E = E137,
              'Raw Ph"&amp;"ocalPoint Data'!F:F = F137
            ) -
            (ROW(INDIRECT(""1:"" &amp; (2010 - A137))) - 1) *
            (
              (
                FILTER('Raw PhocalPoint Data'!G:G,
                  'Raw PhocalPoint Data'!A:A = 2012,
                  'R"&amp;"aw PhocalPoint Data'!D:D = D137,
                  'Raw PhocalPoint Data'!E:E = E137,
                  'Raw PhocalPoint Data'!F:F = F137
                ) /
                FILTER('Raw PhocalPoint Data'!G:G,
                  'Raw PhocalPoint Data'!A:A ="&amp;" 2011,
                  'Raw PhocalPoint Data'!D:D = D137,
                  'Raw PhocalPoint Data'!E:E = E137,
                  'Raw PhocalPoint Data'!F:F = F137
                ) - 1
              ) / 5
            )
          )
        )
      )
    "&amp;") *
    INDEX('Raw GDP data'!$I$2:$M$100,
      MATCH(D137, 'Raw GDP data'!$H$2:$H$100, 0),
      MATCH(A137, 'Raw GDP data'!$I$1:$M$1, 0)
    )
  )),
  """"
)
"),33732220.0402968)</f>
        <v>33732220.0402968</v>
      </c>
      <c r="H137" s="86"/>
      <c r="I137" s="87">
        <f ca="1">IFERROR(__xludf.DUMMYFUNCTION("""COMPUTED_VALUE"""),2008)</f>
        <v>2008</v>
      </c>
      <c r="J137" s="88" t="str">
        <f ca="1">IFERROR(__xludf.DUMMYFUNCTION("""COMPUTED_VALUE"""),"Hungary")</f>
        <v>Hungary</v>
      </c>
      <c r="K137" s="89">
        <f ca="1">IFERROR(
  SUMIFS(
    'New Backfilled Data'!G:G,
    'New Backfilled Data'!A:A, I137,
    'New Backfilled Data'!D:D, J137,
    'New Backfilled Data'!E:E, "Online"
  ) /
  SUMIFS(
    'New Backfilled Data'!G:G,
    'New Backfilled Data'!A:A, I137,
    'New Backfilled Data'!D:D, J137
  ),
  ""
)</f>
        <v>0.1563654280084936</v>
      </c>
      <c r="L137" s="90"/>
      <c r="M137" s="90"/>
    </row>
    <row r="138" spans="1:13" ht="17" x14ac:dyDescent="0.2">
      <c r="A138" s="37">
        <v>2006</v>
      </c>
      <c r="B138" s="38" t="s">
        <v>66</v>
      </c>
      <c r="C138" s="38" t="s">
        <v>4</v>
      </c>
      <c r="D138" s="38" t="s">
        <v>9</v>
      </c>
      <c r="E138" s="38" t="s">
        <v>67</v>
      </c>
      <c r="F138" s="38" t="s">
        <v>67</v>
      </c>
      <c r="G138" s="79">
        <f ca="1">IFERROR(__xludf.DUMMYFUNCTION("IFERROR(
  IF(A138 = 2008,
    IF(E138 = ""Online"",
      FILTER('Raw PhocalPoint Data'!G:G,
        'Raw PhocalPoint Data'!A:A = 2009,
        'Raw PhocalPoint Data'!D:D = D138,
        'Raw PhocalPoint Data'!E:E = E138,
        'Raw PhocalPoint Data'!F"&amp;":F = F138
      ) /
      (
        FILTER('Raw PhocalPoint Data'!G:G,
          'Raw PhocalPoint Data'!A:A = 2012,
          'Raw PhocalPoint Data'!D:D = D138,
          'Raw PhocalPoint Data'!E:E = E138,
          'Raw PhocalPoint Data'!F:F = F138
     "&amp;"   ) /
        FILTER('Raw PhocalPoint Data'!G:G,
          'Raw PhocalPoint Data'!A:A = 2011,
          'Raw PhocalPoint Data'!D:D = D138,
          'Raw PhocalPoint Data'!E:E = E138,
          'Raw PhocalPoint Data'!F:F = F138
        )
      ),
      F"&amp;"ILTER('Raw PhocalPoint Data'!G:G,
        'Raw PhocalPoint Data'!A:A = 2009,
        'Raw PhocalPoint Data'!D:D = D138,
        'Raw PhocalPoint Data'!E:E = E138,
        'Raw PhocalPoint Data'!F:F = F138
      ) *
      (
        INDEX('Raw GDP data'!$I$"&amp;"2:$M$100,
          MATCH(D138, 'Raw GDP data'!$H$2:$H$100, 0),
          MATCH(2008, 'Raw GDP data'!$I$1:$M$1, 0)
        ) /
        INDEX('Raw GDP data'!$I$2:$M$100,
          MATCH(D138, 'Raw GDP data'!$H$2:$H$100, 0),
          MATCH(2009, 'Raw GDP d"&amp;"ata'!$I$1:$M$1, 0)
        )
      )
    ),
  IF(A138 &lt; 2008,
    (
      FILTER(G:G,
        A:A = 2008,
        D:D = D138,
        E:E = E138,
        F:F = F138
      ) /
      PRODUCT(
        ARRAYFORMULA(
          (
            (
              FIL"&amp;"TER('Raw PhocalPoint Data'!G:G,
                'Raw PhocalPoint Data'!A:A = 2012,
                'Raw PhocalPoint Data'!D:D = D138,
                'Raw PhocalPoint Data'!E:E = E138,
                'Raw PhocalPoint Data'!F:F = F138
              ) /
  "&amp;"            FILTER('Raw PhocalPoint Data'!G:G,
                'Raw PhocalPoint Data'!A:A = 2011,
                'Raw PhocalPoint Data'!D:D = D138,
                'Raw PhocalPoint Data'!E:E = E138,
                'Raw PhocalPoint Data'!F:F = F138
     "&amp;"         ) -
              ROW(INDIRECT(""1:"" &amp; (2008 - A138))) *
              (
                (
                  FILTER('Raw PhocalPoint Data'!G:G,
                    'Raw PhocalPoint Data'!A:A = 2012,
                    'Raw PhocalPoint Data'!D:D"&amp;" = D138,
                    'Raw PhocalPoint Data'!E:E = E138,
                    'Raw PhocalPoint Data'!F:F = F138
                  ) /
                  FILTER('Raw PhocalPoint Data'!G:G,
                    'Raw PhocalPoint Data'!A:A = 2011,
       "&amp;"             'Raw PhocalPoint Data'!D:D = D138,
                    'Raw PhocalPoint Data'!E:E = E138,
                    'Raw PhocalPoint Data'!F:F = F138
                  ) - 1
                ) / 5
              )
            )
          )
        )
"&amp;"      )
    ),
    (
      FILTER('Raw PhocalPoint Data'!G:G,
        'Raw PhocalPoint Data'!A:A = 2009,
        'Raw PhocalPoint Data'!D:D = D138,
        'Raw PhocalPoint Data'!E:E = E138,
        'Raw PhocalPoint Data'!F:F = F138
      ) /
      PRODUC"&amp;"T(
        ARRAYFORMULA(
          (
            FILTER('Raw PhocalPoint Data'!G:G,
              'Raw PhocalPoint Data'!A:A = 2012,
              'Raw PhocalPoint Data'!D:D = D138,
              'Raw PhocalPoint Data'!E:E = E138,
              'Raw Phoca"&amp;"lPoint Data'!F:F = F138
            ) /
            FILTER('Raw PhocalPoint Data'!G:G,
              'Raw PhocalPoint Data'!A:A = 2011,
              'Raw PhocalPoint Data'!D:D = D138,
              'Raw PhocalPoint Data'!E:E = E138,
              'Raw Ph"&amp;"ocalPoint Data'!F:F = F138
            ) -
            (ROW(INDIRECT(""1:"" &amp; (2010 - A138))) - 1) *
            (
              (
                FILTER('Raw PhocalPoint Data'!G:G,
                  'Raw PhocalPoint Data'!A:A = 2012,
                  'R"&amp;"aw PhocalPoint Data'!D:D = D138,
                  'Raw PhocalPoint Data'!E:E = E138,
                  'Raw PhocalPoint Data'!F:F = F138
                ) /
                FILTER('Raw PhocalPoint Data'!G:G,
                  'Raw PhocalPoint Data'!A:A ="&amp;" 2011,
                  'Raw PhocalPoint Data'!D:D = D138,
                  'Raw PhocalPoint Data'!E:E = E138,
                  'Raw PhocalPoint Data'!F:F = F138
                ) - 1
              ) / 5
            )
          )
        )
      )
    "&amp;") *
    INDEX('Raw GDP data'!$I$2:$M$100,
      MATCH(D138, 'Raw GDP data'!$H$2:$H$100, 0),
      MATCH(A138, 'Raw GDP data'!$I$1:$M$1, 0)
    )
  )),
  """"
)
"),67859961124.4478)</f>
        <v>67859961124.4478</v>
      </c>
      <c r="H138" s="80"/>
      <c r="I138" s="81">
        <f ca="1">IFERROR(__xludf.DUMMYFUNCTION("""COMPUTED_VALUE"""),2008)</f>
        <v>2008</v>
      </c>
      <c r="J138" s="82" t="str">
        <f ca="1">IFERROR(__xludf.DUMMYFUNCTION("""COMPUTED_VALUE"""),"Poland")</f>
        <v>Poland</v>
      </c>
      <c r="K138" s="83">
        <f ca="1">IFERROR(
  SUMIFS(
    'New Backfilled Data'!G:G,
    'New Backfilled Data'!A:A, I138,
    'New Backfilled Data'!D:D, J138,
    'New Backfilled Data'!E:E, "Online"
  ) /
  SUMIFS(
    'New Backfilled Data'!G:G,
    'New Backfilled Data'!A:A, I138,
    'New Backfilled Data'!D:D, J138
  ),
  ""
)</f>
        <v>0.11767378806851446</v>
      </c>
      <c r="L138" s="84"/>
      <c r="M138" s="84"/>
    </row>
    <row r="139" spans="1:13" ht="34" x14ac:dyDescent="0.2">
      <c r="A139" s="44">
        <v>2006</v>
      </c>
      <c r="B139" s="45" t="s">
        <v>66</v>
      </c>
      <c r="C139" s="45" t="s">
        <v>4</v>
      </c>
      <c r="D139" s="45" t="s">
        <v>9</v>
      </c>
      <c r="E139" s="45" t="s">
        <v>69</v>
      </c>
      <c r="F139" s="45" t="s">
        <v>71</v>
      </c>
      <c r="G139" s="85">
        <f ca="1">IFERROR(__xludf.DUMMYFUNCTION("IFERROR(
  IF(A139 = 2008,
    IF(E139 = ""Online"",
      FILTER('Raw PhocalPoint Data'!G:G,
        'Raw PhocalPoint Data'!A:A = 2009,
        'Raw PhocalPoint Data'!D:D = D139,
        'Raw PhocalPoint Data'!E:E = E139,
        'Raw PhocalPoint Data'!F"&amp;":F = F139
      ) /
      (
        FILTER('Raw PhocalPoint Data'!G:G,
          'Raw PhocalPoint Data'!A:A = 2012,
          'Raw PhocalPoint Data'!D:D = D139,
          'Raw PhocalPoint Data'!E:E = E139,
          'Raw PhocalPoint Data'!F:F = F139
     "&amp;"   ) /
        FILTER('Raw PhocalPoint Data'!G:G,
          'Raw PhocalPoint Data'!A:A = 2011,
          'Raw PhocalPoint Data'!D:D = D139,
          'Raw PhocalPoint Data'!E:E = E139,
          'Raw PhocalPoint Data'!F:F = F139
        )
      ),
      F"&amp;"ILTER('Raw PhocalPoint Data'!G:G,
        'Raw PhocalPoint Data'!A:A = 2009,
        'Raw PhocalPoint Data'!D:D = D139,
        'Raw PhocalPoint Data'!E:E = E139,
        'Raw PhocalPoint Data'!F:F = F139
      ) *
      (
        INDEX('Raw GDP data'!$I$"&amp;"2:$M$100,
          MATCH(D139, 'Raw GDP data'!$H$2:$H$100, 0),
          MATCH(2008, 'Raw GDP data'!$I$1:$M$1, 0)
        ) /
        INDEX('Raw GDP data'!$I$2:$M$100,
          MATCH(D139, 'Raw GDP data'!$H$2:$H$100, 0),
          MATCH(2009, 'Raw GDP d"&amp;"ata'!$I$1:$M$1, 0)
        )
      )
    ),
  IF(A139 &lt; 2008,
    (
      FILTER(G:G,
        A:A = 2008,
        D:D = D139,
        E:E = E139,
        F:F = F139
      ) /
      PRODUCT(
        ARRAYFORMULA(
          (
            (
              FIL"&amp;"TER('Raw PhocalPoint Data'!G:G,
                'Raw PhocalPoint Data'!A:A = 2012,
                'Raw PhocalPoint Data'!D:D = D139,
                'Raw PhocalPoint Data'!E:E = E139,
                'Raw PhocalPoint Data'!F:F = F139
              ) /
  "&amp;"            FILTER('Raw PhocalPoint Data'!G:G,
                'Raw PhocalPoint Data'!A:A = 2011,
                'Raw PhocalPoint Data'!D:D = D139,
                'Raw PhocalPoint Data'!E:E = E139,
                'Raw PhocalPoint Data'!F:F = F139
     "&amp;"         ) -
              ROW(INDIRECT(""1:"" &amp; (2008 - A139))) *
              (
                (
                  FILTER('Raw PhocalPoint Data'!G:G,
                    'Raw PhocalPoint Data'!A:A = 2012,
                    'Raw PhocalPoint Data'!D:D"&amp;" = D139,
                    'Raw PhocalPoint Data'!E:E = E139,
                    'Raw PhocalPoint Data'!F:F = F139
                  ) /
                  FILTER('Raw PhocalPoint Data'!G:G,
                    'Raw PhocalPoint Data'!A:A = 2011,
       "&amp;"             'Raw PhocalPoint Data'!D:D = D139,
                    'Raw PhocalPoint Data'!E:E = E139,
                    'Raw PhocalPoint Data'!F:F = F139
                  ) - 1
                ) / 5
              )
            )
          )
        )
"&amp;"      )
    ),
    (
      FILTER('Raw PhocalPoint Data'!G:G,
        'Raw PhocalPoint Data'!A:A = 2009,
        'Raw PhocalPoint Data'!D:D = D139,
        'Raw PhocalPoint Data'!E:E = E139,
        'Raw PhocalPoint Data'!F:F = F139
      ) /
      PRODUC"&amp;"T(
        ARRAYFORMULA(
          (
            FILTER('Raw PhocalPoint Data'!G:G,
              'Raw PhocalPoint Data'!A:A = 2012,
              'Raw PhocalPoint Data'!D:D = D139,
              'Raw PhocalPoint Data'!E:E = E139,
              'Raw Phoca"&amp;"lPoint Data'!F:F = F139
            ) /
            FILTER('Raw PhocalPoint Data'!G:G,
              'Raw PhocalPoint Data'!A:A = 2011,
              'Raw PhocalPoint Data'!D:D = D139,
              'Raw PhocalPoint Data'!E:E = E139,
              'Raw Ph"&amp;"ocalPoint Data'!F:F = F139
            ) -
            (ROW(INDIRECT(""1:"" &amp; (2010 - A139))) - 1) *
            (
              (
                FILTER('Raw PhocalPoint Data'!G:G,
                  'Raw PhocalPoint Data'!A:A = 2012,
                  'R"&amp;"aw PhocalPoint Data'!D:D = D139,
                  'Raw PhocalPoint Data'!E:E = E139,
                  'Raw PhocalPoint Data'!F:F = F139
                ) /
                FILTER('Raw PhocalPoint Data'!G:G,
                  'Raw PhocalPoint Data'!A:A ="&amp;" 2011,
                  'Raw PhocalPoint Data'!D:D = D139,
                  'Raw PhocalPoint Data'!E:E = E139,
                  'Raw PhocalPoint Data'!F:F = F139
                ) - 1
              ) / 5
            )
          )
        )
      )
    "&amp;") *
    INDEX('Raw GDP data'!$I$2:$M$100,
      MATCH(D139, 'Raw GDP data'!$H$2:$H$100, 0),
      MATCH(A139, 'Raw GDP data'!$I$1:$M$1, 0)
    )
  )),
  """"
)
"),4054143874.12917)</f>
        <v>4054143874.1291699</v>
      </c>
      <c r="H139" s="86"/>
      <c r="I139" s="87">
        <f ca="1">IFERROR(__xludf.DUMMYFUNCTION("""COMPUTED_VALUE"""),2008)</f>
        <v>2008</v>
      </c>
      <c r="J139" s="88" t="str">
        <f ca="1">IFERROR(__xludf.DUMMYFUNCTION("""COMPUTED_VALUE"""),"Rest of Eastern Europe")</f>
        <v>Rest of Eastern Europe</v>
      </c>
      <c r="K139" s="89">
        <f ca="1">IFERROR(
  SUMIFS(
    'New Backfilled Data'!G:G,
    'New Backfilled Data'!A:A, I139,
    'New Backfilled Data'!D:D, J139,
    'New Backfilled Data'!E:E, "Online"
  ) /
  SUMIFS(
    'New Backfilled Data'!G:G,
    'New Backfilled Data'!A:A, I139,
    'New Backfilled Data'!D:D, J139
  ),
  ""
)</f>
        <v>0.1267708984591604</v>
      </c>
      <c r="L139" s="90"/>
      <c r="M139" s="90"/>
    </row>
    <row r="140" spans="1:13" ht="17" x14ac:dyDescent="0.2">
      <c r="A140" s="37">
        <v>2006</v>
      </c>
      <c r="B140" s="38" t="s">
        <v>66</v>
      </c>
      <c r="C140" s="38" t="s">
        <v>4</v>
      </c>
      <c r="D140" s="38" t="s">
        <v>9</v>
      </c>
      <c r="E140" s="38" t="s">
        <v>69</v>
      </c>
      <c r="F140" s="38" t="s">
        <v>70</v>
      </c>
      <c r="G140" s="79">
        <f ca="1">IFERROR(__xludf.DUMMYFUNCTION("IFERROR(
  IF(A140 = 2008,
    IF(E140 = ""Online"",
      FILTER('Raw PhocalPoint Data'!G:G,
        'Raw PhocalPoint Data'!A:A = 2009,
        'Raw PhocalPoint Data'!D:D = D140,
        'Raw PhocalPoint Data'!E:E = E140,
        'Raw PhocalPoint Data'!F"&amp;":F = F140
      ) /
      (
        FILTER('Raw PhocalPoint Data'!G:G,
          'Raw PhocalPoint Data'!A:A = 2012,
          'Raw PhocalPoint Data'!D:D = D140,
          'Raw PhocalPoint Data'!E:E = E140,
          'Raw PhocalPoint Data'!F:F = F140
     "&amp;"   ) /
        FILTER('Raw PhocalPoint Data'!G:G,
          'Raw PhocalPoint Data'!A:A = 2011,
          'Raw PhocalPoint Data'!D:D = D140,
          'Raw PhocalPoint Data'!E:E = E140,
          'Raw PhocalPoint Data'!F:F = F140
        )
      ),
      F"&amp;"ILTER('Raw PhocalPoint Data'!G:G,
        'Raw PhocalPoint Data'!A:A = 2009,
        'Raw PhocalPoint Data'!D:D = D140,
        'Raw PhocalPoint Data'!E:E = E140,
        'Raw PhocalPoint Data'!F:F = F140
      ) *
      (
        INDEX('Raw GDP data'!$I$"&amp;"2:$M$100,
          MATCH(D140, 'Raw GDP data'!$H$2:$H$100, 0),
          MATCH(2008, 'Raw GDP data'!$I$1:$M$1, 0)
        ) /
        INDEX('Raw GDP data'!$I$2:$M$100,
          MATCH(D140, 'Raw GDP data'!$H$2:$H$100, 0),
          MATCH(2009, 'Raw GDP d"&amp;"ata'!$I$1:$M$1, 0)
        )
      )
    ),
  IF(A140 &lt; 2008,
    (
      FILTER(G:G,
        A:A = 2008,
        D:D = D140,
        E:E = E140,
        F:F = F140
      ) /
      PRODUCT(
        ARRAYFORMULA(
          (
            (
              FIL"&amp;"TER('Raw PhocalPoint Data'!G:G,
                'Raw PhocalPoint Data'!A:A = 2012,
                'Raw PhocalPoint Data'!D:D = D140,
                'Raw PhocalPoint Data'!E:E = E140,
                'Raw PhocalPoint Data'!F:F = F140
              ) /
  "&amp;"            FILTER('Raw PhocalPoint Data'!G:G,
                'Raw PhocalPoint Data'!A:A = 2011,
                'Raw PhocalPoint Data'!D:D = D140,
                'Raw PhocalPoint Data'!E:E = E140,
                'Raw PhocalPoint Data'!F:F = F140
     "&amp;"         ) -
              ROW(INDIRECT(""1:"" &amp; (2008 - A140))) *
              (
                (
                  FILTER('Raw PhocalPoint Data'!G:G,
                    'Raw PhocalPoint Data'!A:A = 2012,
                    'Raw PhocalPoint Data'!D:D"&amp;" = D140,
                    'Raw PhocalPoint Data'!E:E = E140,
                    'Raw PhocalPoint Data'!F:F = F140
                  ) /
                  FILTER('Raw PhocalPoint Data'!G:G,
                    'Raw PhocalPoint Data'!A:A = 2011,
       "&amp;"             'Raw PhocalPoint Data'!D:D = D140,
                    'Raw PhocalPoint Data'!E:E = E140,
                    'Raw PhocalPoint Data'!F:F = F140
                  ) - 1
                ) / 5
              )
            )
          )
        )
"&amp;"      )
    ),
    (
      FILTER('Raw PhocalPoint Data'!G:G,
        'Raw PhocalPoint Data'!A:A = 2009,
        'Raw PhocalPoint Data'!D:D = D140,
        'Raw PhocalPoint Data'!E:E = E140,
        'Raw PhocalPoint Data'!F:F = F140
      ) /
      PRODUC"&amp;"T(
        ARRAYFORMULA(
          (
            FILTER('Raw PhocalPoint Data'!G:G,
              'Raw PhocalPoint Data'!A:A = 2012,
              'Raw PhocalPoint Data'!D:D = D140,
              'Raw PhocalPoint Data'!E:E = E140,
              'Raw Phoca"&amp;"lPoint Data'!F:F = F140
            ) /
            FILTER('Raw PhocalPoint Data'!G:G,
              'Raw PhocalPoint Data'!A:A = 2011,
              'Raw PhocalPoint Data'!D:D = D140,
              'Raw PhocalPoint Data'!E:E = E140,
              'Raw Ph"&amp;"ocalPoint Data'!F:F = F140
            ) -
            (ROW(INDIRECT(""1:"" &amp; (2010 - A140))) - 1) *
            (
              (
                FILTER('Raw PhocalPoint Data'!G:G,
                  'Raw PhocalPoint Data'!A:A = 2012,
                  'R"&amp;"aw PhocalPoint Data'!D:D = D140,
                  'Raw PhocalPoint Data'!E:E = E140,
                  'Raw PhocalPoint Data'!F:F = F140
                ) /
                FILTER('Raw PhocalPoint Data'!G:G,
                  'Raw PhocalPoint Data'!A:A ="&amp;" 2011,
                  'Raw PhocalPoint Data'!D:D = D140,
                  'Raw PhocalPoint Data'!E:E = E140,
                  'Raw PhocalPoint Data'!F:F = F140
                ) - 1
              ) / 5
            )
          )
        )
      )
    "&amp;") *
    INDEX('Raw GDP data'!$I$2:$M$100,
      MATCH(D140, 'Raw GDP data'!$H$2:$H$100, 0),
      MATCH(A140, 'Raw GDP data'!$I$1:$M$1, 0)
    )
  )),
  """"
)
"),11420514551.7543)</f>
        <v>11420514551.754299</v>
      </c>
      <c r="H140" s="80"/>
      <c r="I140" s="81">
        <f ca="1">IFERROR(__xludf.DUMMYFUNCTION("""COMPUTED_VALUE"""),2008)</f>
        <v>2008</v>
      </c>
      <c r="J140" s="82" t="str">
        <f ca="1">IFERROR(__xludf.DUMMYFUNCTION("""COMPUTED_VALUE"""),"Romania")</f>
        <v>Romania</v>
      </c>
      <c r="K140" s="83">
        <f ca="1">IFERROR(
  SUMIFS(
    'New Backfilled Data'!G:G,
    'New Backfilled Data'!A:A, I140,
    'New Backfilled Data'!D:D, J140,
    'New Backfilled Data'!E:E, "Online"
  ) /
  SUMIFS(
    'New Backfilled Data'!G:G,
    'New Backfilled Data'!A:A, I140,
    'New Backfilled Data'!D:D, J140
  ),
  ""
)</f>
        <v>8.2292208225984362E-2</v>
      </c>
      <c r="L140" s="84"/>
      <c r="M140" s="84"/>
    </row>
    <row r="141" spans="1:13" ht="17" x14ac:dyDescent="0.2">
      <c r="A141" s="44">
        <v>2006</v>
      </c>
      <c r="B141" s="45" t="s">
        <v>66</v>
      </c>
      <c r="C141" s="45" t="s">
        <v>4</v>
      </c>
      <c r="D141" s="45" t="s">
        <v>10</v>
      </c>
      <c r="E141" s="45" t="s">
        <v>67</v>
      </c>
      <c r="F141" s="45" t="s">
        <v>67</v>
      </c>
      <c r="G141" s="85">
        <f ca="1">IFERROR(__xludf.DUMMYFUNCTION("IFERROR(
  IF(A141 = 2008,
    IF(E141 = ""Online"",
      FILTER('Raw PhocalPoint Data'!G:G,
        'Raw PhocalPoint Data'!A:A = 2009,
        'Raw PhocalPoint Data'!D:D = D141,
        'Raw PhocalPoint Data'!E:E = E141,
        'Raw PhocalPoint Data'!F"&amp;":F = F141
      ) /
      (
        FILTER('Raw PhocalPoint Data'!G:G,
          'Raw PhocalPoint Data'!A:A = 2012,
          'Raw PhocalPoint Data'!D:D = D141,
          'Raw PhocalPoint Data'!E:E = E141,
          'Raw PhocalPoint Data'!F:F = F141
     "&amp;"   ) /
        FILTER('Raw PhocalPoint Data'!G:G,
          'Raw PhocalPoint Data'!A:A = 2011,
          'Raw PhocalPoint Data'!D:D = D141,
          'Raw PhocalPoint Data'!E:E = E141,
          'Raw PhocalPoint Data'!F:F = F141
        )
      ),
      F"&amp;"ILTER('Raw PhocalPoint Data'!G:G,
        'Raw PhocalPoint Data'!A:A = 2009,
        'Raw PhocalPoint Data'!D:D = D141,
        'Raw PhocalPoint Data'!E:E = E141,
        'Raw PhocalPoint Data'!F:F = F141
      ) *
      (
        INDEX('Raw GDP data'!$I$"&amp;"2:$M$100,
          MATCH(D141, 'Raw GDP data'!$H$2:$H$100, 0),
          MATCH(2008, 'Raw GDP data'!$I$1:$M$1, 0)
        ) /
        INDEX('Raw GDP data'!$I$2:$M$100,
          MATCH(D141, 'Raw GDP data'!$H$2:$H$100, 0),
          MATCH(2009, 'Raw GDP d"&amp;"ata'!$I$1:$M$1, 0)
        )
      )
    ),
  IF(A141 &lt; 2008,
    (
      FILTER(G:G,
        A:A = 2008,
        D:D = D141,
        E:E = E141,
        F:F = F141
      ) /
      PRODUCT(
        ARRAYFORMULA(
          (
            (
              FIL"&amp;"TER('Raw PhocalPoint Data'!G:G,
                'Raw PhocalPoint Data'!A:A = 2012,
                'Raw PhocalPoint Data'!D:D = D141,
                'Raw PhocalPoint Data'!E:E = E141,
                'Raw PhocalPoint Data'!F:F = F141
              ) /
  "&amp;"            FILTER('Raw PhocalPoint Data'!G:G,
                'Raw PhocalPoint Data'!A:A = 2011,
                'Raw PhocalPoint Data'!D:D = D141,
                'Raw PhocalPoint Data'!E:E = E141,
                'Raw PhocalPoint Data'!F:F = F141
     "&amp;"         ) -
              ROW(INDIRECT(""1:"" &amp; (2008 - A141))) *
              (
                (
                  FILTER('Raw PhocalPoint Data'!G:G,
                    'Raw PhocalPoint Data'!A:A = 2012,
                    'Raw PhocalPoint Data'!D:D"&amp;" = D141,
                    'Raw PhocalPoint Data'!E:E = E141,
                    'Raw PhocalPoint Data'!F:F = F141
                  ) /
                  FILTER('Raw PhocalPoint Data'!G:G,
                    'Raw PhocalPoint Data'!A:A = 2011,
       "&amp;"             'Raw PhocalPoint Data'!D:D = D141,
                    'Raw PhocalPoint Data'!E:E = E141,
                    'Raw PhocalPoint Data'!F:F = F141
                  ) - 1
                ) / 5
              )
            )
          )
        )
"&amp;"      )
    ),
    (
      FILTER('Raw PhocalPoint Data'!G:G,
        'Raw PhocalPoint Data'!A:A = 2009,
        'Raw PhocalPoint Data'!D:D = D141,
        'Raw PhocalPoint Data'!E:E = E141,
        'Raw PhocalPoint Data'!F:F = F141
      ) /
      PRODUC"&amp;"T(
        ARRAYFORMULA(
          (
            FILTER('Raw PhocalPoint Data'!G:G,
              'Raw PhocalPoint Data'!A:A = 2012,
              'Raw PhocalPoint Data'!D:D = D141,
              'Raw PhocalPoint Data'!E:E = E141,
              'Raw Phoca"&amp;"lPoint Data'!F:F = F141
            ) /
            FILTER('Raw PhocalPoint Data'!G:G,
              'Raw PhocalPoint Data'!A:A = 2011,
              'Raw PhocalPoint Data'!D:D = D141,
              'Raw PhocalPoint Data'!E:E = E141,
              'Raw Ph"&amp;"ocalPoint Data'!F:F = F141
            ) -
            (ROW(INDIRECT(""1:"" &amp; (2010 - A141))) - 1) *
            (
              (
                FILTER('Raw PhocalPoint Data'!G:G,
                  'Raw PhocalPoint Data'!A:A = 2012,
                  'R"&amp;"aw PhocalPoint Data'!D:D = D141,
                  'Raw PhocalPoint Data'!E:E = E141,
                  'Raw PhocalPoint Data'!F:F = F141
                ) /
                FILTER('Raw PhocalPoint Data'!G:G,
                  'Raw PhocalPoint Data'!A:A ="&amp;" 2011,
                  'Raw PhocalPoint Data'!D:D = D141,
                  'Raw PhocalPoint Data'!E:E = E141,
                  'Raw PhocalPoint Data'!F:F = F141
                ) - 1
              ) / 5
            )
          )
        )
      )
    "&amp;") *
    INDEX('Raw GDP data'!$I$2:$M$100,
      MATCH(D141, 'Raw GDP data'!$H$2:$H$100, 0),
      MATCH(A141, 'Raw GDP data'!$I$1:$M$1, 0)
    )
  )),
  """"
)
"),507735649.865582)</f>
        <v>507735649.86558199</v>
      </c>
      <c r="H141" s="86"/>
      <c r="I141" s="87">
        <f ca="1">IFERROR(__xludf.DUMMYFUNCTION("""COMPUTED_VALUE"""),2008)</f>
        <v>2008</v>
      </c>
      <c r="J141" s="88" t="str">
        <f ca="1">IFERROR(__xludf.DUMMYFUNCTION("""COMPUTED_VALUE"""),"Russia")</f>
        <v>Russia</v>
      </c>
      <c r="K141" s="89">
        <f ca="1">IFERROR(
  SUMIFS(
    'New Backfilled Data'!G:G,
    'New Backfilled Data'!A:A, I141,
    'New Backfilled Data'!D:D, J141,
    'New Backfilled Data'!E:E, "Online"
  ) /
  SUMIFS(
    'New Backfilled Data'!G:G,
    'New Backfilled Data'!A:A, I141,
    'New Backfilled Data'!D:D, J141
  ),
  ""
)</f>
        <v>2.9647528733888269E-2</v>
      </c>
      <c r="L141" s="90"/>
      <c r="M141" s="90"/>
    </row>
    <row r="142" spans="1:13" ht="17" x14ac:dyDescent="0.2">
      <c r="A142" s="37">
        <v>2006</v>
      </c>
      <c r="B142" s="38" t="s">
        <v>66</v>
      </c>
      <c r="C142" s="38" t="s">
        <v>4</v>
      </c>
      <c r="D142" s="38" t="s">
        <v>10</v>
      </c>
      <c r="E142" s="38" t="s">
        <v>69</v>
      </c>
      <c r="F142" s="38" t="s">
        <v>71</v>
      </c>
      <c r="G142" s="79">
        <f ca="1">IFERROR(__xludf.DUMMYFUNCTION("IFERROR(
  IF(A142 = 2008,
    IF(E142 = ""Online"",
      FILTER('Raw PhocalPoint Data'!G:G,
        'Raw PhocalPoint Data'!A:A = 2009,
        'Raw PhocalPoint Data'!D:D = D142,
        'Raw PhocalPoint Data'!E:E = E142,
        'Raw PhocalPoint Data'!F"&amp;":F = F142
      ) /
      (
        FILTER('Raw PhocalPoint Data'!G:G,
          'Raw PhocalPoint Data'!A:A = 2012,
          'Raw PhocalPoint Data'!D:D = D142,
          'Raw PhocalPoint Data'!E:E = E142,
          'Raw PhocalPoint Data'!F:F = F142
     "&amp;"   ) /
        FILTER('Raw PhocalPoint Data'!G:G,
          'Raw PhocalPoint Data'!A:A = 2011,
          'Raw PhocalPoint Data'!D:D = D142,
          'Raw PhocalPoint Data'!E:E = E142,
          'Raw PhocalPoint Data'!F:F = F142
        )
      ),
      F"&amp;"ILTER('Raw PhocalPoint Data'!G:G,
        'Raw PhocalPoint Data'!A:A = 2009,
        'Raw PhocalPoint Data'!D:D = D142,
        'Raw PhocalPoint Data'!E:E = E142,
        'Raw PhocalPoint Data'!F:F = F142
      ) *
      (
        INDEX('Raw GDP data'!$I$"&amp;"2:$M$100,
          MATCH(D142, 'Raw GDP data'!$H$2:$H$100, 0),
          MATCH(2008, 'Raw GDP data'!$I$1:$M$1, 0)
        ) /
        INDEX('Raw GDP data'!$I$2:$M$100,
          MATCH(D142, 'Raw GDP data'!$H$2:$H$100, 0),
          MATCH(2009, 'Raw GDP d"&amp;"ata'!$I$1:$M$1, 0)
        )
      )
    ),
  IF(A142 &lt; 2008,
    (
      FILTER(G:G,
        A:A = 2008,
        D:D = D142,
        E:E = E142,
        F:F = F142
      ) /
      PRODUCT(
        ARRAYFORMULA(
          (
            (
              FIL"&amp;"TER('Raw PhocalPoint Data'!G:G,
                'Raw PhocalPoint Data'!A:A = 2012,
                'Raw PhocalPoint Data'!D:D = D142,
                'Raw PhocalPoint Data'!E:E = E142,
                'Raw PhocalPoint Data'!F:F = F142
              ) /
  "&amp;"            FILTER('Raw PhocalPoint Data'!G:G,
                'Raw PhocalPoint Data'!A:A = 2011,
                'Raw PhocalPoint Data'!D:D = D142,
                'Raw PhocalPoint Data'!E:E = E142,
                'Raw PhocalPoint Data'!F:F = F142
     "&amp;"         ) -
              ROW(INDIRECT(""1:"" &amp; (2008 - A142))) *
              (
                (
                  FILTER('Raw PhocalPoint Data'!G:G,
                    'Raw PhocalPoint Data'!A:A = 2012,
                    'Raw PhocalPoint Data'!D:D"&amp;" = D142,
                    'Raw PhocalPoint Data'!E:E = E142,
                    'Raw PhocalPoint Data'!F:F = F142
                  ) /
                  FILTER('Raw PhocalPoint Data'!G:G,
                    'Raw PhocalPoint Data'!A:A = 2011,
       "&amp;"             'Raw PhocalPoint Data'!D:D = D142,
                    'Raw PhocalPoint Data'!E:E = E142,
                    'Raw PhocalPoint Data'!F:F = F142
                  ) - 1
                ) / 5
              )
            )
          )
        )
"&amp;"      )
    ),
    (
      FILTER('Raw PhocalPoint Data'!G:G,
        'Raw PhocalPoint Data'!A:A = 2009,
        'Raw PhocalPoint Data'!D:D = D142,
        'Raw PhocalPoint Data'!E:E = E142,
        'Raw PhocalPoint Data'!F:F = F142
      ) /
      PRODUC"&amp;"T(
        ARRAYFORMULA(
          (
            FILTER('Raw PhocalPoint Data'!G:G,
              'Raw PhocalPoint Data'!A:A = 2012,
              'Raw PhocalPoint Data'!D:D = D142,
              'Raw PhocalPoint Data'!E:E = E142,
              'Raw Phoca"&amp;"lPoint Data'!F:F = F142
            ) /
            FILTER('Raw PhocalPoint Data'!G:G,
              'Raw PhocalPoint Data'!A:A = 2011,
              'Raw PhocalPoint Data'!D:D = D142,
              'Raw PhocalPoint Data'!E:E = E142,
              'Raw Ph"&amp;"ocalPoint Data'!F:F = F142
            ) -
            (ROW(INDIRECT(""1:"" &amp; (2010 - A142))) - 1) *
            (
              (
                FILTER('Raw PhocalPoint Data'!G:G,
                  'Raw PhocalPoint Data'!A:A = 2012,
                  'R"&amp;"aw PhocalPoint Data'!D:D = D142,
                  'Raw PhocalPoint Data'!E:E = E142,
                  'Raw PhocalPoint Data'!F:F = F142
                ) /
                FILTER('Raw PhocalPoint Data'!G:G,
                  'Raw PhocalPoint Data'!A:A ="&amp;" 2011,
                  'Raw PhocalPoint Data'!D:D = D142,
                  'Raw PhocalPoint Data'!E:E = E142,
                  'Raw PhocalPoint Data'!F:F = F142
                ) - 1
              ) / 5
            )
          )
        )
      )
    "&amp;") *
    INDEX('Raw GDP data'!$I$2:$M$100,
      MATCH(D142, 'Raw GDP data'!$H$2:$H$100, 0),
      MATCH(A142, 'Raw GDP data'!$I$1:$M$1, 0)
    )
  )),
  """"
)
"),1653546.7348437)</f>
        <v>1653546.7348437</v>
      </c>
      <c r="H142" s="80"/>
      <c r="I142" s="81">
        <f ca="1">IFERROR(__xludf.DUMMYFUNCTION("""COMPUTED_VALUE"""),2008)</f>
        <v>2008</v>
      </c>
      <c r="J142" s="82" t="str">
        <f ca="1">IFERROR(__xludf.DUMMYFUNCTION("""COMPUTED_VALUE"""),"Ukraine")</f>
        <v>Ukraine</v>
      </c>
      <c r="K142" s="83">
        <f ca="1">IFERROR(
  SUMIFS(
    'New Backfilled Data'!G:G,
    'New Backfilled Data'!A:A, I142,
    'New Backfilled Data'!D:D, J142,
    'New Backfilled Data'!E:E, "Online"
  ) /
  SUMIFS(
    'New Backfilled Data'!G:G,
    'New Backfilled Data'!A:A, I142,
    'New Backfilled Data'!D:D, J142
  ),
  ""
)</f>
        <v>7.4859277197415391E-2</v>
      </c>
      <c r="L142" s="84"/>
      <c r="M142" s="84"/>
    </row>
    <row r="143" spans="1:13" ht="17" x14ac:dyDescent="0.2">
      <c r="A143" s="44">
        <v>2006</v>
      </c>
      <c r="B143" s="45" t="s">
        <v>66</v>
      </c>
      <c r="C143" s="45" t="s">
        <v>4</v>
      </c>
      <c r="D143" s="45" t="s">
        <v>10</v>
      </c>
      <c r="E143" s="45" t="s">
        <v>69</v>
      </c>
      <c r="F143" s="45" t="s">
        <v>70</v>
      </c>
      <c r="G143" s="85">
        <f ca="1">IFERROR(__xludf.DUMMYFUNCTION("IFERROR(
  IF(A143 = 2008,
    IF(E143 = ""Online"",
      FILTER('Raw PhocalPoint Data'!G:G,
        'Raw PhocalPoint Data'!A:A = 2009,
        'Raw PhocalPoint Data'!D:D = D143,
        'Raw PhocalPoint Data'!E:E = E143,
        'Raw PhocalPoint Data'!F"&amp;":F = F143
      ) /
      (
        FILTER('Raw PhocalPoint Data'!G:G,
          'Raw PhocalPoint Data'!A:A = 2012,
          'Raw PhocalPoint Data'!D:D = D143,
          'Raw PhocalPoint Data'!E:E = E143,
          'Raw PhocalPoint Data'!F:F = F143
     "&amp;"   ) /
        FILTER('Raw PhocalPoint Data'!G:G,
          'Raw PhocalPoint Data'!A:A = 2011,
          'Raw PhocalPoint Data'!D:D = D143,
          'Raw PhocalPoint Data'!E:E = E143,
          'Raw PhocalPoint Data'!F:F = F143
        )
      ),
      F"&amp;"ILTER('Raw PhocalPoint Data'!G:G,
        'Raw PhocalPoint Data'!A:A = 2009,
        'Raw PhocalPoint Data'!D:D = D143,
        'Raw PhocalPoint Data'!E:E = E143,
        'Raw PhocalPoint Data'!F:F = F143
      ) *
      (
        INDEX('Raw GDP data'!$I$"&amp;"2:$M$100,
          MATCH(D143, 'Raw GDP data'!$H$2:$H$100, 0),
          MATCH(2008, 'Raw GDP data'!$I$1:$M$1, 0)
        ) /
        INDEX('Raw GDP data'!$I$2:$M$100,
          MATCH(D143, 'Raw GDP data'!$H$2:$H$100, 0),
          MATCH(2009, 'Raw GDP d"&amp;"ata'!$I$1:$M$1, 0)
        )
      )
    ),
  IF(A143 &lt; 2008,
    (
      FILTER(G:G,
        A:A = 2008,
        D:D = D143,
        E:E = E143,
        F:F = F143
      ) /
      PRODUCT(
        ARRAYFORMULA(
          (
            (
              FIL"&amp;"TER('Raw PhocalPoint Data'!G:G,
                'Raw PhocalPoint Data'!A:A = 2012,
                'Raw PhocalPoint Data'!D:D = D143,
                'Raw PhocalPoint Data'!E:E = E143,
                'Raw PhocalPoint Data'!F:F = F143
              ) /
  "&amp;"            FILTER('Raw PhocalPoint Data'!G:G,
                'Raw PhocalPoint Data'!A:A = 2011,
                'Raw PhocalPoint Data'!D:D = D143,
                'Raw PhocalPoint Data'!E:E = E143,
                'Raw PhocalPoint Data'!F:F = F143
     "&amp;"         ) -
              ROW(INDIRECT(""1:"" &amp; (2008 - A143))) *
              (
                (
                  FILTER('Raw PhocalPoint Data'!G:G,
                    'Raw PhocalPoint Data'!A:A = 2012,
                    'Raw PhocalPoint Data'!D:D"&amp;" = D143,
                    'Raw PhocalPoint Data'!E:E = E143,
                    'Raw PhocalPoint Data'!F:F = F143
                  ) /
                  FILTER('Raw PhocalPoint Data'!G:G,
                    'Raw PhocalPoint Data'!A:A = 2011,
       "&amp;"             'Raw PhocalPoint Data'!D:D = D143,
                    'Raw PhocalPoint Data'!E:E = E143,
                    'Raw PhocalPoint Data'!F:F = F143
                  ) - 1
                ) / 5
              )
            )
          )
        )
"&amp;"      )
    ),
    (
      FILTER('Raw PhocalPoint Data'!G:G,
        'Raw PhocalPoint Data'!A:A = 2009,
        'Raw PhocalPoint Data'!D:D = D143,
        'Raw PhocalPoint Data'!E:E = E143,
        'Raw PhocalPoint Data'!F:F = F143
      ) /
      PRODUC"&amp;"T(
        ARRAYFORMULA(
          (
            FILTER('Raw PhocalPoint Data'!G:G,
              'Raw PhocalPoint Data'!A:A = 2012,
              'Raw PhocalPoint Data'!D:D = D143,
              'Raw PhocalPoint Data'!E:E = E143,
              'Raw Phoca"&amp;"lPoint Data'!F:F = F143
            ) /
            FILTER('Raw PhocalPoint Data'!G:G,
              'Raw PhocalPoint Data'!A:A = 2011,
              'Raw PhocalPoint Data'!D:D = D143,
              'Raw PhocalPoint Data'!E:E = E143,
              'Raw Ph"&amp;"ocalPoint Data'!F:F = F143
            ) -
            (ROW(INDIRECT(""1:"" &amp; (2010 - A143))) - 1) *
            (
              (
                FILTER('Raw PhocalPoint Data'!G:G,
                  'Raw PhocalPoint Data'!A:A = 2012,
                  'R"&amp;"aw PhocalPoint Data'!D:D = D143,
                  'Raw PhocalPoint Data'!E:E = E143,
                  'Raw PhocalPoint Data'!F:F = F143
                ) /
                FILTER('Raw PhocalPoint Data'!G:G,
                  'Raw PhocalPoint Data'!A:A ="&amp;" 2011,
                  'Raw PhocalPoint Data'!D:D = D143,
                  'Raw PhocalPoint Data'!E:E = E143,
                  'Raw PhocalPoint Data'!F:F = F143
                ) - 1
              ) / 5
            )
          )
        )
      )
    "&amp;") *
    INDEX('Raw GDP data'!$I$2:$M$100,
      MATCH(D143, 'Raw GDP data'!$H$2:$H$100, 0),
      MATCH(A143, 'Raw GDP data'!$I$1:$M$1, 0)
    )
  )),
  """"
)
"),2432382.72586826)</f>
        <v>2432382.72586826</v>
      </c>
      <c r="H143" s="86"/>
      <c r="I143" s="87">
        <f ca="1">IFERROR(__xludf.DUMMYFUNCTION("""COMPUTED_VALUE"""),2008)</f>
        <v>2008</v>
      </c>
      <c r="J143" s="88" t="str">
        <f ca="1">IFERROR(__xludf.DUMMYFUNCTION("""COMPUTED_VALUE"""),"France")</f>
        <v>France</v>
      </c>
      <c r="K143" s="89">
        <f ca="1">IFERROR(
  SUMIFS(
    'New Backfilled Data'!G:G,
    'New Backfilled Data'!A:A, I143,
    'New Backfilled Data'!D:D, J143,
    'New Backfilled Data'!E:E, "Online"
  ) /
  SUMIFS(
    'New Backfilled Data'!G:G,
    'New Backfilled Data'!A:A, I143,
    'New Backfilled Data'!D:D, J143
  ),
  ""
)</f>
        <v>0.2684781095744353</v>
      </c>
      <c r="L143" s="90"/>
      <c r="M143" s="90"/>
    </row>
    <row r="144" spans="1:13" ht="17" x14ac:dyDescent="0.2">
      <c r="A144" s="37">
        <v>2006</v>
      </c>
      <c r="B144" s="38" t="s">
        <v>66</v>
      </c>
      <c r="C144" s="38" t="s">
        <v>4</v>
      </c>
      <c r="D144" s="38" t="s">
        <v>11</v>
      </c>
      <c r="E144" s="38" t="s">
        <v>67</v>
      </c>
      <c r="F144" s="38" t="s">
        <v>67</v>
      </c>
      <c r="G144" s="79">
        <f ca="1">IFERROR(__xludf.DUMMYFUNCTION("IFERROR(
  IF(A144 = 2008,
    IF(E144 = ""Online"",
      FILTER('Raw PhocalPoint Data'!G:G,
        'Raw PhocalPoint Data'!A:A = 2009,
        'Raw PhocalPoint Data'!D:D = D144,
        'Raw PhocalPoint Data'!E:E = E144,
        'Raw PhocalPoint Data'!F"&amp;":F = F144
      ) /
      (
        FILTER('Raw PhocalPoint Data'!G:G,
          'Raw PhocalPoint Data'!A:A = 2012,
          'Raw PhocalPoint Data'!D:D = D144,
          'Raw PhocalPoint Data'!E:E = E144,
          'Raw PhocalPoint Data'!F:F = F144
     "&amp;"   ) /
        FILTER('Raw PhocalPoint Data'!G:G,
          'Raw PhocalPoint Data'!A:A = 2011,
          'Raw PhocalPoint Data'!D:D = D144,
          'Raw PhocalPoint Data'!E:E = E144,
          'Raw PhocalPoint Data'!F:F = F144
        )
      ),
      F"&amp;"ILTER('Raw PhocalPoint Data'!G:G,
        'Raw PhocalPoint Data'!A:A = 2009,
        'Raw PhocalPoint Data'!D:D = D144,
        'Raw PhocalPoint Data'!E:E = E144,
        'Raw PhocalPoint Data'!F:F = F144
      ) *
      (
        INDEX('Raw GDP data'!$I$"&amp;"2:$M$100,
          MATCH(D144, 'Raw GDP data'!$H$2:$H$100, 0),
          MATCH(2008, 'Raw GDP data'!$I$1:$M$1, 0)
        ) /
        INDEX('Raw GDP data'!$I$2:$M$100,
          MATCH(D144, 'Raw GDP data'!$H$2:$H$100, 0),
          MATCH(2009, 'Raw GDP d"&amp;"ata'!$I$1:$M$1, 0)
        )
      )
    ),
  IF(A144 &lt; 2008,
    (
      FILTER(G:G,
        A:A = 2008,
        D:D = D144,
        E:E = E144,
        F:F = F144
      ) /
      PRODUCT(
        ARRAYFORMULA(
          (
            (
              FIL"&amp;"TER('Raw PhocalPoint Data'!G:G,
                'Raw PhocalPoint Data'!A:A = 2012,
                'Raw PhocalPoint Data'!D:D = D144,
                'Raw PhocalPoint Data'!E:E = E144,
                'Raw PhocalPoint Data'!F:F = F144
              ) /
  "&amp;"            FILTER('Raw PhocalPoint Data'!G:G,
                'Raw PhocalPoint Data'!A:A = 2011,
                'Raw PhocalPoint Data'!D:D = D144,
                'Raw PhocalPoint Data'!E:E = E144,
                'Raw PhocalPoint Data'!F:F = F144
     "&amp;"         ) -
              ROW(INDIRECT(""1:"" &amp; (2008 - A144))) *
              (
                (
                  FILTER('Raw PhocalPoint Data'!G:G,
                    'Raw PhocalPoint Data'!A:A = 2012,
                    'Raw PhocalPoint Data'!D:D"&amp;" = D144,
                    'Raw PhocalPoint Data'!E:E = E144,
                    'Raw PhocalPoint Data'!F:F = F144
                  ) /
                  FILTER('Raw PhocalPoint Data'!G:G,
                    'Raw PhocalPoint Data'!A:A = 2011,
       "&amp;"             'Raw PhocalPoint Data'!D:D = D144,
                    'Raw PhocalPoint Data'!E:E = E144,
                    'Raw PhocalPoint Data'!F:F = F144
                  ) - 1
                ) / 5
              )
            )
          )
        )
"&amp;"      )
    ),
    (
      FILTER('Raw PhocalPoint Data'!G:G,
        'Raw PhocalPoint Data'!A:A = 2009,
        'Raw PhocalPoint Data'!D:D = D144,
        'Raw PhocalPoint Data'!E:E = E144,
        'Raw PhocalPoint Data'!F:F = F144
      ) /
      PRODUC"&amp;"T(
        ARRAYFORMULA(
          (
            FILTER('Raw PhocalPoint Data'!G:G,
              'Raw PhocalPoint Data'!A:A = 2012,
              'Raw PhocalPoint Data'!D:D = D144,
              'Raw PhocalPoint Data'!E:E = E144,
              'Raw Phoca"&amp;"lPoint Data'!F:F = F144
            ) /
            FILTER('Raw PhocalPoint Data'!G:G,
              'Raw PhocalPoint Data'!A:A = 2011,
              'Raw PhocalPoint Data'!D:D = D144,
              'Raw PhocalPoint Data'!E:E = E144,
              'Raw Ph"&amp;"ocalPoint Data'!F:F = F144
            ) -
            (ROW(INDIRECT(""1:"" &amp; (2010 - A144))) - 1) *
            (
              (
                FILTER('Raw PhocalPoint Data'!G:G,
                  'Raw PhocalPoint Data'!A:A = 2012,
                  'R"&amp;"aw PhocalPoint Data'!D:D = D144,
                  'Raw PhocalPoint Data'!E:E = E144,
                  'Raw PhocalPoint Data'!F:F = F144
                ) /
                FILTER('Raw PhocalPoint Data'!G:G,
                  'Raw PhocalPoint Data'!A:A ="&amp;" 2011,
                  'Raw PhocalPoint Data'!D:D = D144,
                  'Raw PhocalPoint Data'!E:E = E144,
                  'Raw PhocalPoint Data'!F:F = F144
                ) - 1
              ) / 5
            )
          )
        )
      )
    "&amp;") *
    INDEX('Raw GDP data'!$I$2:$M$100,
      MATCH(D144, 'Raw GDP data'!$H$2:$H$100, 0),
      MATCH(A144, 'Raw GDP data'!$I$1:$M$1, 0)
    )
  )),
  """"
)
"),4380243871.83319)</f>
        <v>4380243871.83319</v>
      </c>
      <c r="H144" s="80"/>
      <c r="I144" s="81">
        <f ca="1">IFERROR(__xludf.DUMMYFUNCTION("""COMPUTED_VALUE"""),2008)</f>
        <v>2008</v>
      </c>
      <c r="J144" s="82" t="str">
        <f ca="1">IFERROR(__xludf.DUMMYFUNCTION("""COMPUTED_VALUE"""),"Germany")</f>
        <v>Germany</v>
      </c>
      <c r="K144" s="83">
        <f ca="1">IFERROR(
  SUMIFS(
    'New Backfilled Data'!G:G,
    'New Backfilled Data'!A:A, I144,
    'New Backfilled Data'!D:D, J144,
    'New Backfilled Data'!E:E, "Online"
  ) /
  SUMIFS(
    'New Backfilled Data'!G:G,
    'New Backfilled Data'!A:A, I144,
    'New Backfilled Data'!D:D, J144
  ),
  ""
)</f>
        <v>0.26331992534795573</v>
      </c>
      <c r="L144" s="84"/>
      <c r="M144" s="84"/>
    </row>
    <row r="145" spans="1:13" ht="17" x14ac:dyDescent="0.2">
      <c r="A145" s="44">
        <v>2006</v>
      </c>
      <c r="B145" s="45" t="s">
        <v>66</v>
      </c>
      <c r="C145" s="45" t="s">
        <v>4</v>
      </c>
      <c r="D145" s="45" t="s">
        <v>11</v>
      </c>
      <c r="E145" s="45" t="s">
        <v>69</v>
      </c>
      <c r="F145" s="45" t="s">
        <v>71</v>
      </c>
      <c r="G145" s="85">
        <f ca="1">IFERROR(__xludf.DUMMYFUNCTION("IFERROR(
  IF(A145 = 2008,
    IF(E145 = ""Online"",
      FILTER('Raw PhocalPoint Data'!G:G,
        'Raw PhocalPoint Data'!A:A = 2009,
        'Raw PhocalPoint Data'!D:D = D145,
        'Raw PhocalPoint Data'!E:E = E145,
        'Raw PhocalPoint Data'!F"&amp;":F = F145
      ) /
      (
        FILTER('Raw PhocalPoint Data'!G:G,
          'Raw PhocalPoint Data'!A:A = 2012,
          'Raw PhocalPoint Data'!D:D = D145,
          'Raw PhocalPoint Data'!E:E = E145,
          'Raw PhocalPoint Data'!F:F = F145
     "&amp;"   ) /
        FILTER('Raw PhocalPoint Data'!G:G,
          'Raw PhocalPoint Data'!A:A = 2011,
          'Raw PhocalPoint Data'!D:D = D145,
          'Raw PhocalPoint Data'!E:E = E145,
          'Raw PhocalPoint Data'!F:F = F145
        )
      ),
      F"&amp;"ILTER('Raw PhocalPoint Data'!G:G,
        'Raw PhocalPoint Data'!A:A = 2009,
        'Raw PhocalPoint Data'!D:D = D145,
        'Raw PhocalPoint Data'!E:E = E145,
        'Raw PhocalPoint Data'!F:F = F145
      ) *
      (
        INDEX('Raw GDP data'!$I$"&amp;"2:$M$100,
          MATCH(D145, 'Raw GDP data'!$H$2:$H$100, 0),
          MATCH(2008, 'Raw GDP data'!$I$1:$M$1, 0)
        ) /
        INDEX('Raw GDP data'!$I$2:$M$100,
          MATCH(D145, 'Raw GDP data'!$H$2:$H$100, 0),
          MATCH(2009, 'Raw GDP d"&amp;"ata'!$I$1:$M$1, 0)
        )
      )
    ),
  IF(A145 &lt; 2008,
    (
      FILTER(G:G,
        A:A = 2008,
        D:D = D145,
        E:E = E145,
        F:F = F145
      ) /
      PRODUCT(
        ARRAYFORMULA(
          (
            (
              FIL"&amp;"TER('Raw PhocalPoint Data'!G:G,
                'Raw PhocalPoint Data'!A:A = 2012,
                'Raw PhocalPoint Data'!D:D = D145,
                'Raw PhocalPoint Data'!E:E = E145,
                'Raw PhocalPoint Data'!F:F = F145
              ) /
  "&amp;"            FILTER('Raw PhocalPoint Data'!G:G,
                'Raw PhocalPoint Data'!A:A = 2011,
                'Raw PhocalPoint Data'!D:D = D145,
                'Raw PhocalPoint Data'!E:E = E145,
                'Raw PhocalPoint Data'!F:F = F145
     "&amp;"         ) -
              ROW(INDIRECT(""1:"" &amp; (2008 - A145))) *
              (
                (
                  FILTER('Raw PhocalPoint Data'!G:G,
                    'Raw PhocalPoint Data'!A:A = 2012,
                    'Raw PhocalPoint Data'!D:D"&amp;" = D145,
                    'Raw PhocalPoint Data'!E:E = E145,
                    'Raw PhocalPoint Data'!F:F = F145
                  ) /
                  FILTER('Raw PhocalPoint Data'!G:G,
                    'Raw PhocalPoint Data'!A:A = 2011,
       "&amp;"             'Raw PhocalPoint Data'!D:D = D145,
                    'Raw PhocalPoint Data'!E:E = E145,
                    'Raw PhocalPoint Data'!F:F = F145
                  ) - 1
                ) / 5
              )
            )
          )
        )
"&amp;"      )
    ),
    (
      FILTER('Raw PhocalPoint Data'!G:G,
        'Raw PhocalPoint Data'!A:A = 2009,
        'Raw PhocalPoint Data'!D:D = D145,
        'Raw PhocalPoint Data'!E:E = E145,
        'Raw PhocalPoint Data'!F:F = F145
      ) /
      PRODUC"&amp;"T(
        ARRAYFORMULA(
          (
            FILTER('Raw PhocalPoint Data'!G:G,
              'Raw PhocalPoint Data'!A:A = 2012,
              'Raw PhocalPoint Data'!D:D = D145,
              'Raw PhocalPoint Data'!E:E = E145,
              'Raw Phoca"&amp;"lPoint Data'!F:F = F145
            ) /
            FILTER('Raw PhocalPoint Data'!G:G,
              'Raw PhocalPoint Data'!A:A = 2011,
              'Raw PhocalPoint Data'!D:D = D145,
              'Raw PhocalPoint Data'!E:E = E145,
              'Raw Ph"&amp;"ocalPoint Data'!F:F = F145
            ) -
            (ROW(INDIRECT(""1:"" &amp; (2010 - A145))) - 1) *
            (
              (
                FILTER('Raw PhocalPoint Data'!G:G,
                  'Raw PhocalPoint Data'!A:A = 2012,
                  'R"&amp;"aw PhocalPoint Data'!D:D = D145,
                  'Raw PhocalPoint Data'!E:E = E145,
                  'Raw PhocalPoint Data'!F:F = F145
                ) /
                FILTER('Raw PhocalPoint Data'!G:G,
                  'Raw PhocalPoint Data'!A:A ="&amp;" 2011,
                  'Raw PhocalPoint Data'!D:D = D145,
                  'Raw PhocalPoint Data'!E:E = E145,
                  'Raw PhocalPoint Data'!F:F = F145
                ) - 1
              ) / 5
            )
          )
        )
      )
    "&amp;") *
    INDEX('Raw GDP data'!$I$2:$M$100,
      MATCH(D145, 'Raw GDP data'!$H$2:$H$100, 0),
      MATCH(A145, 'Raw GDP data'!$I$1:$M$1, 0)
    )
  )),
  """"
)
"),23229573.7370411)</f>
        <v>23229573.737041101</v>
      </c>
      <c r="H145" s="86"/>
      <c r="I145" s="87">
        <f ca="1">IFERROR(__xludf.DUMMYFUNCTION("""COMPUTED_VALUE"""),2008)</f>
        <v>2008</v>
      </c>
      <c r="J145" s="88" t="str">
        <f ca="1">IFERROR(__xludf.DUMMYFUNCTION("""COMPUTED_VALUE"""),"Italy")</f>
        <v>Italy</v>
      </c>
      <c r="K145" s="89">
        <f ca="1">IFERROR(
  SUMIFS(
    'New Backfilled Data'!G:G,
    'New Backfilled Data'!A:A, I145,
    'New Backfilled Data'!D:D, J145,
    'New Backfilled Data'!E:E, "Online"
  ) /
  SUMIFS(
    'New Backfilled Data'!G:G,
    'New Backfilled Data'!A:A, I145,
    'New Backfilled Data'!D:D, J145
  ),
  ""
)</f>
        <v>0.19048074722356859</v>
      </c>
      <c r="L145" s="90"/>
      <c r="M145" s="90"/>
    </row>
    <row r="146" spans="1:13" ht="17" x14ac:dyDescent="0.2">
      <c r="A146" s="37">
        <v>2006</v>
      </c>
      <c r="B146" s="38" t="s">
        <v>66</v>
      </c>
      <c r="C146" s="38" t="s">
        <v>4</v>
      </c>
      <c r="D146" s="38" t="s">
        <v>11</v>
      </c>
      <c r="E146" s="38" t="s">
        <v>69</v>
      </c>
      <c r="F146" s="38" t="s">
        <v>70</v>
      </c>
      <c r="G146" s="79">
        <f ca="1">IFERROR(__xludf.DUMMYFUNCTION("IFERROR(
  IF(A146 = 2008,
    IF(E146 = ""Online"",
      FILTER('Raw PhocalPoint Data'!G:G,
        'Raw PhocalPoint Data'!A:A = 2009,
        'Raw PhocalPoint Data'!D:D = D146,
        'Raw PhocalPoint Data'!E:E = E146,
        'Raw PhocalPoint Data'!F"&amp;":F = F146
      ) /
      (
        FILTER('Raw PhocalPoint Data'!G:G,
          'Raw PhocalPoint Data'!A:A = 2012,
          'Raw PhocalPoint Data'!D:D = D146,
          'Raw PhocalPoint Data'!E:E = E146,
          'Raw PhocalPoint Data'!F:F = F146
     "&amp;"   ) /
        FILTER('Raw PhocalPoint Data'!G:G,
          'Raw PhocalPoint Data'!A:A = 2011,
          'Raw PhocalPoint Data'!D:D = D146,
          'Raw PhocalPoint Data'!E:E = E146,
          'Raw PhocalPoint Data'!F:F = F146
        )
      ),
      F"&amp;"ILTER('Raw PhocalPoint Data'!G:G,
        'Raw PhocalPoint Data'!A:A = 2009,
        'Raw PhocalPoint Data'!D:D = D146,
        'Raw PhocalPoint Data'!E:E = E146,
        'Raw PhocalPoint Data'!F:F = F146
      ) *
      (
        INDEX('Raw GDP data'!$I$"&amp;"2:$M$100,
          MATCH(D146, 'Raw GDP data'!$H$2:$H$100, 0),
          MATCH(2008, 'Raw GDP data'!$I$1:$M$1, 0)
        ) /
        INDEX('Raw GDP data'!$I$2:$M$100,
          MATCH(D146, 'Raw GDP data'!$H$2:$H$100, 0),
          MATCH(2009, 'Raw GDP d"&amp;"ata'!$I$1:$M$1, 0)
        )
      )
    ),
  IF(A146 &lt; 2008,
    (
      FILTER(G:G,
        A:A = 2008,
        D:D = D146,
        E:E = E146,
        F:F = F146
      ) /
      PRODUCT(
        ARRAYFORMULA(
          (
            (
              FIL"&amp;"TER('Raw PhocalPoint Data'!G:G,
                'Raw PhocalPoint Data'!A:A = 2012,
                'Raw PhocalPoint Data'!D:D = D146,
                'Raw PhocalPoint Data'!E:E = E146,
                'Raw PhocalPoint Data'!F:F = F146
              ) /
  "&amp;"            FILTER('Raw PhocalPoint Data'!G:G,
                'Raw PhocalPoint Data'!A:A = 2011,
                'Raw PhocalPoint Data'!D:D = D146,
                'Raw PhocalPoint Data'!E:E = E146,
                'Raw PhocalPoint Data'!F:F = F146
     "&amp;"         ) -
              ROW(INDIRECT(""1:"" &amp; (2008 - A146))) *
              (
                (
                  FILTER('Raw PhocalPoint Data'!G:G,
                    'Raw PhocalPoint Data'!A:A = 2012,
                    'Raw PhocalPoint Data'!D:D"&amp;" = D146,
                    'Raw PhocalPoint Data'!E:E = E146,
                    'Raw PhocalPoint Data'!F:F = F146
                  ) /
                  FILTER('Raw PhocalPoint Data'!G:G,
                    'Raw PhocalPoint Data'!A:A = 2011,
       "&amp;"             'Raw PhocalPoint Data'!D:D = D146,
                    'Raw PhocalPoint Data'!E:E = E146,
                    'Raw PhocalPoint Data'!F:F = F146
                  ) - 1
                ) / 5
              )
            )
          )
        )
"&amp;"      )
    ),
    (
      FILTER('Raw PhocalPoint Data'!G:G,
        'Raw PhocalPoint Data'!A:A = 2009,
        'Raw PhocalPoint Data'!D:D = D146,
        'Raw PhocalPoint Data'!E:E = E146,
        'Raw PhocalPoint Data'!F:F = F146
      ) /
      PRODUC"&amp;"T(
        ARRAYFORMULA(
          (
            FILTER('Raw PhocalPoint Data'!G:G,
              'Raw PhocalPoint Data'!A:A = 2012,
              'Raw PhocalPoint Data'!D:D = D146,
              'Raw PhocalPoint Data'!E:E = E146,
              'Raw Phoca"&amp;"lPoint Data'!F:F = F146
            ) /
            FILTER('Raw PhocalPoint Data'!G:G,
              'Raw PhocalPoint Data'!A:A = 2011,
              'Raw PhocalPoint Data'!D:D = D146,
              'Raw PhocalPoint Data'!E:E = E146,
              'Raw Ph"&amp;"ocalPoint Data'!F:F = F146
            ) -
            (ROW(INDIRECT(""1:"" &amp; (2010 - A146))) - 1) *
            (
              (
                FILTER('Raw PhocalPoint Data'!G:G,
                  'Raw PhocalPoint Data'!A:A = 2012,
                  'R"&amp;"aw PhocalPoint Data'!D:D = D146,
                  'Raw PhocalPoint Data'!E:E = E146,
                  'Raw PhocalPoint Data'!F:F = F146
                ) /
                FILTER('Raw PhocalPoint Data'!G:G,
                  'Raw PhocalPoint Data'!A:A ="&amp;" 2011,
                  'Raw PhocalPoint Data'!D:D = D146,
                  'Raw PhocalPoint Data'!E:E = E146,
                  'Raw PhocalPoint Data'!F:F = F146
                ) - 1
              ) / 5
            )
          )
        )
      )
    "&amp;") *
    INDEX('Raw GDP data'!$I$2:$M$100,
      MATCH(D146, 'Raw GDP data'!$H$2:$H$100, 0),
      MATCH(A146, 'Raw GDP data'!$I$1:$M$1, 0)
    )
  )),
  """"
)
"),1108168821.76469)</f>
        <v>1108168821.7646899</v>
      </c>
      <c r="H146" s="80"/>
      <c r="I146" s="81">
        <f ca="1">IFERROR(__xludf.DUMMYFUNCTION("""COMPUTED_VALUE"""),2008)</f>
        <v>2008</v>
      </c>
      <c r="J146" s="82" t="str">
        <f ca="1">IFERROR(__xludf.DUMMYFUNCTION("""COMPUTED_VALUE"""),"Rest of Europe")</f>
        <v>Rest of Europe</v>
      </c>
      <c r="K146" s="83">
        <f ca="1">IFERROR(
  SUMIFS(
    'New Backfilled Data'!G:G,
    'New Backfilled Data'!A:A, I146,
    'New Backfilled Data'!D:D, J146,
    'New Backfilled Data'!E:E, "Online"
  ) /
  SUMIFS(
    'New Backfilled Data'!G:G,
    'New Backfilled Data'!A:A, I146,
    'New Backfilled Data'!D:D, J146
  ),
  ""
)</f>
        <v>0.21296688226182275</v>
      </c>
      <c r="L146" s="84"/>
      <c r="M146" s="84"/>
    </row>
    <row r="147" spans="1:13" ht="17" x14ac:dyDescent="0.2">
      <c r="A147" s="44">
        <v>2006</v>
      </c>
      <c r="B147" s="45" t="s">
        <v>66</v>
      </c>
      <c r="C147" s="45" t="s">
        <v>4</v>
      </c>
      <c r="D147" s="45" t="s">
        <v>12</v>
      </c>
      <c r="E147" s="45" t="s">
        <v>67</v>
      </c>
      <c r="F147" s="45" t="s">
        <v>67</v>
      </c>
      <c r="G147" s="85">
        <f ca="1">IFERROR(__xludf.DUMMYFUNCTION("IFERROR(
  IF(A147 = 2008,
    IF(E147 = ""Online"",
      FILTER('Raw PhocalPoint Data'!G:G,
        'Raw PhocalPoint Data'!A:A = 2009,
        'Raw PhocalPoint Data'!D:D = D147,
        'Raw PhocalPoint Data'!E:E = E147,
        'Raw PhocalPoint Data'!F"&amp;":F = F147
      ) /
      (
        FILTER('Raw PhocalPoint Data'!G:G,
          'Raw PhocalPoint Data'!A:A = 2012,
          'Raw PhocalPoint Data'!D:D = D147,
          'Raw PhocalPoint Data'!E:E = E147,
          'Raw PhocalPoint Data'!F:F = F147
     "&amp;"   ) /
        FILTER('Raw PhocalPoint Data'!G:G,
          'Raw PhocalPoint Data'!A:A = 2011,
          'Raw PhocalPoint Data'!D:D = D147,
          'Raw PhocalPoint Data'!E:E = E147,
          'Raw PhocalPoint Data'!F:F = F147
        )
      ),
      F"&amp;"ILTER('Raw PhocalPoint Data'!G:G,
        'Raw PhocalPoint Data'!A:A = 2009,
        'Raw PhocalPoint Data'!D:D = D147,
        'Raw PhocalPoint Data'!E:E = E147,
        'Raw PhocalPoint Data'!F:F = F147
      ) *
      (
        INDEX('Raw GDP data'!$I$"&amp;"2:$M$100,
          MATCH(D147, 'Raw GDP data'!$H$2:$H$100, 0),
          MATCH(2008, 'Raw GDP data'!$I$1:$M$1, 0)
        ) /
        INDEX('Raw GDP data'!$I$2:$M$100,
          MATCH(D147, 'Raw GDP data'!$H$2:$H$100, 0),
          MATCH(2009, 'Raw GDP d"&amp;"ata'!$I$1:$M$1, 0)
        )
      )
    ),
  IF(A147 &lt; 2008,
    (
      FILTER(G:G,
        A:A = 2008,
        D:D = D147,
        E:E = E147,
        F:F = F147
      ) /
      PRODUCT(
        ARRAYFORMULA(
          (
            (
              FIL"&amp;"TER('Raw PhocalPoint Data'!G:G,
                'Raw PhocalPoint Data'!A:A = 2012,
                'Raw PhocalPoint Data'!D:D = D147,
                'Raw PhocalPoint Data'!E:E = E147,
                'Raw PhocalPoint Data'!F:F = F147
              ) /
  "&amp;"            FILTER('Raw PhocalPoint Data'!G:G,
                'Raw PhocalPoint Data'!A:A = 2011,
                'Raw PhocalPoint Data'!D:D = D147,
                'Raw PhocalPoint Data'!E:E = E147,
                'Raw PhocalPoint Data'!F:F = F147
     "&amp;"         ) -
              ROW(INDIRECT(""1:"" &amp; (2008 - A147))) *
              (
                (
                  FILTER('Raw PhocalPoint Data'!G:G,
                    'Raw PhocalPoint Data'!A:A = 2012,
                    'Raw PhocalPoint Data'!D:D"&amp;" = D147,
                    'Raw PhocalPoint Data'!E:E = E147,
                    'Raw PhocalPoint Data'!F:F = F147
                  ) /
                  FILTER('Raw PhocalPoint Data'!G:G,
                    'Raw PhocalPoint Data'!A:A = 2011,
       "&amp;"             'Raw PhocalPoint Data'!D:D = D147,
                    'Raw PhocalPoint Data'!E:E = E147,
                    'Raw PhocalPoint Data'!F:F = F147
                  ) - 1
                ) / 5
              )
            )
          )
        )
"&amp;"      )
    ),
    (
      FILTER('Raw PhocalPoint Data'!G:G,
        'Raw PhocalPoint Data'!A:A = 2009,
        'Raw PhocalPoint Data'!D:D = D147,
        'Raw PhocalPoint Data'!E:E = E147,
        'Raw PhocalPoint Data'!F:F = F147
      ) /
      PRODUC"&amp;"T(
        ARRAYFORMULA(
          (
            FILTER('Raw PhocalPoint Data'!G:G,
              'Raw PhocalPoint Data'!A:A = 2012,
              'Raw PhocalPoint Data'!D:D = D147,
              'Raw PhocalPoint Data'!E:E = E147,
              'Raw Phoca"&amp;"lPoint Data'!F:F = F147
            ) /
            FILTER('Raw PhocalPoint Data'!G:G,
              'Raw PhocalPoint Data'!A:A = 2011,
              'Raw PhocalPoint Data'!D:D = D147,
              'Raw PhocalPoint Data'!E:E = E147,
              'Raw Ph"&amp;"ocalPoint Data'!F:F = F147
            ) -
            (ROW(INDIRECT(""1:"" &amp; (2010 - A147))) - 1) *
            (
              (
                FILTER('Raw PhocalPoint Data'!G:G,
                  'Raw PhocalPoint Data'!A:A = 2012,
                  'R"&amp;"aw PhocalPoint Data'!D:D = D147,
                  'Raw PhocalPoint Data'!E:E = E147,
                  'Raw PhocalPoint Data'!F:F = F147
                ) /
                FILTER('Raw PhocalPoint Data'!G:G,
                  'Raw PhocalPoint Data'!A:A ="&amp;" 2011,
                  'Raw PhocalPoint Data'!D:D = D147,
                  'Raw PhocalPoint Data'!E:E = E147,
                  'Raw PhocalPoint Data'!F:F = F147
                ) - 1
              ) / 5
            )
          )
        )
      )
    "&amp;") *
    INDEX('Raw GDP data'!$I$2:$M$100,
      MATCH(D147, 'Raw GDP data'!$H$2:$H$100, 0),
      MATCH(A147, 'Raw GDP data'!$I$1:$M$1, 0)
    )
  )),
  """"
)
"),4789376518.76676)</f>
        <v>4789376518.7667599</v>
      </c>
      <c r="H147" s="86"/>
      <c r="I147" s="87">
        <f ca="1">IFERROR(__xludf.DUMMYFUNCTION("""COMPUTED_VALUE"""),2008)</f>
        <v>2008</v>
      </c>
      <c r="J147" s="88" t="str">
        <f ca="1">IFERROR(__xludf.DUMMYFUNCTION("""COMPUTED_VALUE"""),"Scandinavia")</f>
        <v>Scandinavia</v>
      </c>
      <c r="K147" s="89">
        <f ca="1">IFERROR(
  SUMIFS(
    'New Backfilled Data'!G:G,
    'New Backfilled Data'!A:A, I147,
    'New Backfilled Data'!D:D, J147,
    'New Backfilled Data'!E:E, "Online"
  ) /
  SUMIFS(
    'New Backfilled Data'!G:G,
    'New Backfilled Data'!A:A, I147,
    'New Backfilled Data'!D:D, J147
  ),
  ""
)</f>
        <v>0.31455303616655761</v>
      </c>
      <c r="L147" s="90"/>
      <c r="M147" s="90"/>
    </row>
    <row r="148" spans="1:13" ht="17" x14ac:dyDescent="0.2">
      <c r="A148" s="37">
        <v>2006</v>
      </c>
      <c r="B148" s="38" t="s">
        <v>66</v>
      </c>
      <c r="C148" s="38" t="s">
        <v>4</v>
      </c>
      <c r="D148" s="38" t="s">
        <v>12</v>
      </c>
      <c r="E148" s="38" t="s">
        <v>69</v>
      </c>
      <c r="F148" s="38" t="s">
        <v>71</v>
      </c>
      <c r="G148" s="79">
        <f ca="1">IFERROR(__xludf.DUMMYFUNCTION("IFERROR(
  IF(A148 = 2008,
    IF(E148 = ""Online"",
      FILTER('Raw PhocalPoint Data'!G:G,
        'Raw PhocalPoint Data'!A:A = 2009,
        'Raw PhocalPoint Data'!D:D = D148,
        'Raw PhocalPoint Data'!E:E = E148,
        'Raw PhocalPoint Data'!F"&amp;":F = F148
      ) /
      (
        FILTER('Raw PhocalPoint Data'!G:G,
          'Raw PhocalPoint Data'!A:A = 2012,
          'Raw PhocalPoint Data'!D:D = D148,
          'Raw PhocalPoint Data'!E:E = E148,
          'Raw PhocalPoint Data'!F:F = F148
     "&amp;"   ) /
        FILTER('Raw PhocalPoint Data'!G:G,
          'Raw PhocalPoint Data'!A:A = 2011,
          'Raw PhocalPoint Data'!D:D = D148,
          'Raw PhocalPoint Data'!E:E = E148,
          'Raw PhocalPoint Data'!F:F = F148
        )
      ),
      F"&amp;"ILTER('Raw PhocalPoint Data'!G:G,
        'Raw PhocalPoint Data'!A:A = 2009,
        'Raw PhocalPoint Data'!D:D = D148,
        'Raw PhocalPoint Data'!E:E = E148,
        'Raw PhocalPoint Data'!F:F = F148
      ) *
      (
        INDEX('Raw GDP data'!$I$"&amp;"2:$M$100,
          MATCH(D148, 'Raw GDP data'!$H$2:$H$100, 0),
          MATCH(2008, 'Raw GDP data'!$I$1:$M$1, 0)
        ) /
        INDEX('Raw GDP data'!$I$2:$M$100,
          MATCH(D148, 'Raw GDP data'!$H$2:$H$100, 0),
          MATCH(2009, 'Raw GDP d"&amp;"ata'!$I$1:$M$1, 0)
        )
      )
    ),
  IF(A148 &lt; 2008,
    (
      FILTER(G:G,
        A:A = 2008,
        D:D = D148,
        E:E = E148,
        F:F = F148
      ) /
      PRODUCT(
        ARRAYFORMULA(
          (
            (
              FIL"&amp;"TER('Raw PhocalPoint Data'!G:G,
                'Raw PhocalPoint Data'!A:A = 2012,
                'Raw PhocalPoint Data'!D:D = D148,
                'Raw PhocalPoint Data'!E:E = E148,
                'Raw PhocalPoint Data'!F:F = F148
              ) /
  "&amp;"            FILTER('Raw PhocalPoint Data'!G:G,
                'Raw PhocalPoint Data'!A:A = 2011,
                'Raw PhocalPoint Data'!D:D = D148,
                'Raw PhocalPoint Data'!E:E = E148,
                'Raw PhocalPoint Data'!F:F = F148
     "&amp;"         ) -
              ROW(INDIRECT(""1:"" &amp; (2008 - A148))) *
              (
                (
                  FILTER('Raw PhocalPoint Data'!G:G,
                    'Raw PhocalPoint Data'!A:A = 2012,
                    'Raw PhocalPoint Data'!D:D"&amp;" = D148,
                    'Raw PhocalPoint Data'!E:E = E148,
                    'Raw PhocalPoint Data'!F:F = F148
                  ) /
                  FILTER('Raw PhocalPoint Data'!G:G,
                    'Raw PhocalPoint Data'!A:A = 2011,
       "&amp;"             'Raw PhocalPoint Data'!D:D = D148,
                    'Raw PhocalPoint Data'!E:E = E148,
                    'Raw PhocalPoint Data'!F:F = F148
                  ) - 1
                ) / 5
              )
            )
          )
        )
"&amp;"      )
    ),
    (
      FILTER('Raw PhocalPoint Data'!G:G,
        'Raw PhocalPoint Data'!A:A = 2009,
        'Raw PhocalPoint Data'!D:D = D148,
        'Raw PhocalPoint Data'!E:E = E148,
        'Raw PhocalPoint Data'!F:F = F148
      ) /
      PRODUC"&amp;"T(
        ARRAYFORMULA(
          (
            FILTER('Raw PhocalPoint Data'!G:G,
              'Raw PhocalPoint Data'!A:A = 2012,
              'Raw PhocalPoint Data'!D:D = D148,
              'Raw PhocalPoint Data'!E:E = E148,
              'Raw Phoca"&amp;"lPoint Data'!F:F = F148
            ) /
            FILTER('Raw PhocalPoint Data'!G:G,
              'Raw PhocalPoint Data'!A:A = 2011,
              'Raw PhocalPoint Data'!D:D = D148,
              'Raw PhocalPoint Data'!E:E = E148,
              'Raw Ph"&amp;"ocalPoint Data'!F:F = F148
            ) -
            (ROW(INDIRECT(""1:"" &amp; (2010 - A148))) - 1) *
            (
              (
                FILTER('Raw PhocalPoint Data'!G:G,
                  'Raw PhocalPoint Data'!A:A = 2012,
                  'R"&amp;"aw PhocalPoint Data'!D:D = D148,
                  'Raw PhocalPoint Data'!E:E = E148,
                  'Raw PhocalPoint Data'!F:F = F148
                ) /
                FILTER('Raw PhocalPoint Data'!G:G,
                  'Raw PhocalPoint Data'!A:A ="&amp;" 2011,
                  'Raw PhocalPoint Data'!D:D = D148,
                  'Raw PhocalPoint Data'!E:E = E148,
                  'Raw PhocalPoint Data'!F:F = F148
                ) - 1
              ) / 5
            )
          )
        )
      )
    "&amp;") *
    INDEX('Raw GDP data'!$I$2:$M$100,
      MATCH(D148, 'Raw GDP data'!$H$2:$H$100, 0),
      MATCH(A148, 'Raw GDP data'!$I$1:$M$1, 0)
    )
  )),
  """"
)
"),108161612.38276)</f>
        <v>108161612.38276</v>
      </c>
      <c r="H148" s="80"/>
      <c r="I148" s="81">
        <f ca="1">IFERROR(__xludf.DUMMYFUNCTION("""COMPUTED_VALUE"""),2008)</f>
        <v>2008</v>
      </c>
      <c r="J148" s="82" t="str">
        <f ca="1">IFERROR(__xludf.DUMMYFUNCTION("""COMPUTED_VALUE"""),"Spain")</f>
        <v>Spain</v>
      </c>
      <c r="K148" s="83">
        <f ca="1">IFERROR(
  SUMIFS(
    'New Backfilled Data'!G:G,
    'New Backfilled Data'!A:A, I148,
    'New Backfilled Data'!D:D, J148,
    'New Backfilled Data'!E:E, "Online"
  ) /
  SUMIFS(
    'New Backfilled Data'!G:G,
    'New Backfilled Data'!A:A, I148,
    'New Backfilled Data'!D:D, J148
  ),
  ""
)</f>
        <v>0.18219986050830778</v>
      </c>
      <c r="L148" s="84"/>
      <c r="M148" s="84"/>
    </row>
    <row r="149" spans="1:13" ht="17" x14ac:dyDescent="0.2">
      <c r="A149" s="44">
        <v>2006</v>
      </c>
      <c r="B149" s="45" t="s">
        <v>66</v>
      </c>
      <c r="C149" s="45" t="s">
        <v>4</v>
      </c>
      <c r="D149" s="45" t="s">
        <v>12</v>
      </c>
      <c r="E149" s="45" t="s">
        <v>69</v>
      </c>
      <c r="F149" s="45" t="s">
        <v>70</v>
      </c>
      <c r="G149" s="85">
        <f ca="1">IFERROR(__xludf.DUMMYFUNCTION("IFERROR(
  IF(A149 = 2008,
    IF(E149 = ""Online"",
      FILTER('Raw PhocalPoint Data'!G:G,
        'Raw PhocalPoint Data'!A:A = 2009,
        'Raw PhocalPoint Data'!D:D = D149,
        'Raw PhocalPoint Data'!E:E = E149,
        'Raw PhocalPoint Data'!F"&amp;":F = F149
      ) /
      (
        FILTER('Raw PhocalPoint Data'!G:G,
          'Raw PhocalPoint Data'!A:A = 2012,
          'Raw PhocalPoint Data'!D:D = D149,
          'Raw PhocalPoint Data'!E:E = E149,
          'Raw PhocalPoint Data'!F:F = F149
     "&amp;"   ) /
        FILTER('Raw PhocalPoint Data'!G:G,
          'Raw PhocalPoint Data'!A:A = 2011,
          'Raw PhocalPoint Data'!D:D = D149,
          'Raw PhocalPoint Data'!E:E = E149,
          'Raw PhocalPoint Data'!F:F = F149
        )
      ),
      F"&amp;"ILTER('Raw PhocalPoint Data'!G:G,
        'Raw PhocalPoint Data'!A:A = 2009,
        'Raw PhocalPoint Data'!D:D = D149,
        'Raw PhocalPoint Data'!E:E = E149,
        'Raw PhocalPoint Data'!F:F = F149
      ) *
      (
        INDEX('Raw GDP data'!$I$"&amp;"2:$M$100,
          MATCH(D149, 'Raw GDP data'!$H$2:$H$100, 0),
          MATCH(2008, 'Raw GDP data'!$I$1:$M$1, 0)
        ) /
        INDEX('Raw GDP data'!$I$2:$M$100,
          MATCH(D149, 'Raw GDP data'!$H$2:$H$100, 0),
          MATCH(2009, 'Raw GDP d"&amp;"ata'!$I$1:$M$1, 0)
        )
      )
    ),
  IF(A149 &lt; 2008,
    (
      FILTER(G:G,
        A:A = 2008,
        D:D = D149,
        E:E = E149,
        F:F = F149
      ) /
      PRODUCT(
        ARRAYFORMULA(
          (
            (
              FIL"&amp;"TER('Raw PhocalPoint Data'!G:G,
                'Raw PhocalPoint Data'!A:A = 2012,
                'Raw PhocalPoint Data'!D:D = D149,
                'Raw PhocalPoint Data'!E:E = E149,
                'Raw PhocalPoint Data'!F:F = F149
              ) /
  "&amp;"            FILTER('Raw PhocalPoint Data'!G:G,
                'Raw PhocalPoint Data'!A:A = 2011,
                'Raw PhocalPoint Data'!D:D = D149,
                'Raw PhocalPoint Data'!E:E = E149,
                'Raw PhocalPoint Data'!F:F = F149
     "&amp;"         ) -
              ROW(INDIRECT(""1:"" &amp; (2008 - A149))) *
              (
                (
                  FILTER('Raw PhocalPoint Data'!G:G,
                    'Raw PhocalPoint Data'!A:A = 2012,
                    'Raw PhocalPoint Data'!D:D"&amp;" = D149,
                    'Raw PhocalPoint Data'!E:E = E149,
                    'Raw PhocalPoint Data'!F:F = F149
                  ) /
                  FILTER('Raw PhocalPoint Data'!G:G,
                    'Raw PhocalPoint Data'!A:A = 2011,
       "&amp;"             'Raw PhocalPoint Data'!D:D = D149,
                    'Raw PhocalPoint Data'!E:E = E149,
                    'Raw PhocalPoint Data'!F:F = F149
                  ) - 1
                ) / 5
              )
            )
          )
        )
"&amp;"      )
    ),
    (
      FILTER('Raw PhocalPoint Data'!G:G,
        'Raw PhocalPoint Data'!A:A = 2009,
        'Raw PhocalPoint Data'!D:D = D149,
        'Raw PhocalPoint Data'!E:E = E149,
        'Raw PhocalPoint Data'!F:F = F149
      ) /
      PRODUC"&amp;"T(
        ARRAYFORMULA(
          (
            FILTER('Raw PhocalPoint Data'!G:G,
              'Raw PhocalPoint Data'!A:A = 2012,
              'Raw PhocalPoint Data'!D:D = D149,
              'Raw PhocalPoint Data'!E:E = E149,
              'Raw Phoca"&amp;"lPoint Data'!F:F = F149
            ) /
            FILTER('Raw PhocalPoint Data'!G:G,
              'Raw PhocalPoint Data'!A:A = 2011,
              'Raw PhocalPoint Data'!D:D = D149,
              'Raw PhocalPoint Data'!E:E = E149,
              'Raw Ph"&amp;"ocalPoint Data'!F:F = F149
            ) -
            (ROW(INDIRECT(""1:"" &amp; (2010 - A149))) - 1) *
            (
              (
                FILTER('Raw PhocalPoint Data'!G:G,
                  'Raw PhocalPoint Data'!A:A = 2012,
                  'R"&amp;"aw PhocalPoint Data'!D:D = D149,
                  'Raw PhocalPoint Data'!E:E = E149,
                  'Raw PhocalPoint Data'!F:F = F149
                ) /
                FILTER('Raw PhocalPoint Data'!G:G,
                  'Raw PhocalPoint Data'!A:A ="&amp;" 2011,
                  'Raw PhocalPoint Data'!D:D = D149,
                  'Raw PhocalPoint Data'!E:E = E149,
                  'Raw PhocalPoint Data'!F:F = F149
                ) - 1
              ) / 5
            )
          )
        )
      )
    "&amp;") *
    INDEX('Raw GDP data'!$I$2:$M$100,
      MATCH(D149, 'Raw GDP data'!$H$2:$H$100, 0),
      MATCH(A149, 'Raw GDP data'!$I$1:$M$1, 0)
    )
  )),
  """"
)
"),1017576798.13102)</f>
        <v>1017576798.1310199</v>
      </c>
      <c r="H149" s="86"/>
      <c r="I149" s="87">
        <f ca="1">IFERROR(__xludf.DUMMYFUNCTION("""COMPUTED_VALUE"""),2008)</f>
        <v>2008</v>
      </c>
      <c r="J149" s="88" t="str">
        <f ca="1">IFERROR(__xludf.DUMMYFUNCTION("""COMPUTED_VALUE"""),"U.K.")</f>
        <v>U.K.</v>
      </c>
      <c r="K149" s="89">
        <f ca="1">IFERROR(
  SUMIFS(
    'New Backfilled Data'!G:G,
    'New Backfilled Data'!A:A, I149,
    'New Backfilled Data'!D:D, J149,
    'New Backfilled Data'!E:E, "Online"
  ) /
  SUMIFS(
    'New Backfilled Data'!G:G,
    'New Backfilled Data'!A:A, I149,
    'New Backfilled Data'!D:D, J149
  ),
  ""
)</f>
        <v>0.27049624041377912</v>
      </c>
      <c r="L149" s="90"/>
      <c r="M149" s="90"/>
    </row>
    <row r="150" spans="1:13" ht="17" x14ac:dyDescent="0.2">
      <c r="A150" s="37">
        <v>2006</v>
      </c>
      <c r="B150" s="38" t="s">
        <v>66</v>
      </c>
      <c r="C150" s="38" t="s">
        <v>4</v>
      </c>
      <c r="D150" s="38" t="s">
        <v>13</v>
      </c>
      <c r="E150" s="38" t="s">
        <v>67</v>
      </c>
      <c r="F150" s="38" t="s">
        <v>67</v>
      </c>
      <c r="G150" s="79">
        <f ca="1">IFERROR(__xludf.DUMMYFUNCTION("IFERROR(
  IF(A150 = 2008,
    IF(E150 = ""Online"",
      FILTER('Raw PhocalPoint Data'!G:G,
        'Raw PhocalPoint Data'!A:A = 2009,
        'Raw PhocalPoint Data'!D:D = D150,
        'Raw PhocalPoint Data'!E:E = E150,
        'Raw PhocalPoint Data'!F"&amp;":F = F150
      ) /
      (
        FILTER('Raw PhocalPoint Data'!G:G,
          'Raw PhocalPoint Data'!A:A = 2012,
          'Raw PhocalPoint Data'!D:D = D150,
          'Raw PhocalPoint Data'!E:E = E150,
          'Raw PhocalPoint Data'!F:F = F150
     "&amp;"   ) /
        FILTER('Raw PhocalPoint Data'!G:G,
          'Raw PhocalPoint Data'!A:A = 2011,
          'Raw PhocalPoint Data'!D:D = D150,
          'Raw PhocalPoint Data'!E:E = E150,
          'Raw PhocalPoint Data'!F:F = F150
        )
      ),
      F"&amp;"ILTER('Raw PhocalPoint Data'!G:G,
        'Raw PhocalPoint Data'!A:A = 2009,
        'Raw PhocalPoint Data'!D:D = D150,
        'Raw PhocalPoint Data'!E:E = E150,
        'Raw PhocalPoint Data'!F:F = F150
      ) *
      (
        INDEX('Raw GDP data'!$I$"&amp;"2:$M$100,
          MATCH(D150, 'Raw GDP data'!$H$2:$H$100, 0),
          MATCH(2008, 'Raw GDP data'!$I$1:$M$1, 0)
        ) /
        INDEX('Raw GDP data'!$I$2:$M$100,
          MATCH(D150, 'Raw GDP data'!$H$2:$H$100, 0),
          MATCH(2009, 'Raw GDP d"&amp;"ata'!$I$1:$M$1, 0)
        )
      )
    ),
  IF(A150 &lt; 2008,
    (
      FILTER(G:G,
        A:A = 2008,
        D:D = D150,
        E:E = E150,
        F:F = F150
      ) /
      PRODUCT(
        ARRAYFORMULA(
          (
            (
              FIL"&amp;"TER('Raw PhocalPoint Data'!G:G,
                'Raw PhocalPoint Data'!A:A = 2012,
                'Raw PhocalPoint Data'!D:D = D150,
                'Raw PhocalPoint Data'!E:E = E150,
                'Raw PhocalPoint Data'!F:F = F150
              ) /
  "&amp;"            FILTER('Raw PhocalPoint Data'!G:G,
                'Raw PhocalPoint Data'!A:A = 2011,
                'Raw PhocalPoint Data'!D:D = D150,
                'Raw PhocalPoint Data'!E:E = E150,
                'Raw PhocalPoint Data'!F:F = F150
     "&amp;"         ) -
              ROW(INDIRECT(""1:"" &amp; (2008 - A150))) *
              (
                (
                  FILTER('Raw PhocalPoint Data'!G:G,
                    'Raw PhocalPoint Data'!A:A = 2012,
                    'Raw PhocalPoint Data'!D:D"&amp;" = D150,
                    'Raw PhocalPoint Data'!E:E = E150,
                    'Raw PhocalPoint Data'!F:F = F150
                  ) /
                  FILTER('Raw PhocalPoint Data'!G:G,
                    'Raw PhocalPoint Data'!A:A = 2011,
       "&amp;"             'Raw PhocalPoint Data'!D:D = D150,
                    'Raw PhocalPoint Data'!E:E = E150,
                    'Raw PhocalPoint Data'!F:F = F150
                  ) - 1
                ) / 5
              )
            )
          )
        )
"&amp;"      )
    ),
    (
      FILTER('Raw PhocalPoint Data'!G:G,
        'Raw PhocalPoint Data'!A:A = 2009,
        'Raw PhocalPoint Data'!D:D = D150,
        'Raw PhocalPoint Data'!E:E = E150,
        'Raw PhocalPoint Data'!F:F = F150
      ) /
      PRODUC"&amp;"T(
        ARRAYFORMULA(
          (
            FILTER('Raw PhocalPoint Data'!G:G,
              'Raw PhocalPoint Data'!A:A = 2012,
              'Raw PhocalPoint Data'!D:D = D150,
              'Raw PhocalPoint Data'!E:E = E150,
              'Raw Phoca"&amp;"lPoint Data'!F:F = F150
            ) /
            FILTER('Raw PhocalPoint Data'!G:G,
              'Raw PhocalPoint Data'!A:A = 2011,
              'Raw PhocalPoint Data'!D:D = D150,
              'Raw PhocalPoint Data'!E:E = E150,
              'Raw Ph"&amp;"ocalPoint Data'!F:F = F150
            ) -
            (ROW(INDIRECT(""1:"" &amp; (2010 - A150))) - 1) *
            (
              (
                FILTER('Raw PhocalPoint Data'!G:G,
                  'Raw PhocalPoint Data'!A:A = 2012,
                  'R"&amp;"aw PhocalPoint Data'!D:D = D150,
                  'Raw PhocalPoint Data'!E:E = E150,
                  'Raw PhocalPoint Data'!F:F = F150
                ) /
                FILTER('Raw PhocalPoint Data'!G:G,
                  'Raw PhocalPoint Data'!A:A ="&amp;" 2011,
                  'Raw PhocalPoint Data'!D:D = D150,
                  'Raw PhocalPoint Data'!E:E = E150,
                  'Raw PhocalPoint Data'!F:F = F150
                ) - 1
              ) / 5
            )
          )
        )
      )
    "&amp;") *
    INDEX('Raw GDP data'!$I$2:$M$100,
      MATCH(D150, 'Raw GDP data'!$H$2:$H$100, 0),
      MATCH(A150, 'Raw GDP data'!$I$1:$M$1, 0)
    )
  )),
  """"
)
"),10182678343.6966)</f>
        <v>10182678343.6966</v>
      </c>
      <c r="H150" s="80"/>
      <c r="I150" s="81">
        <f ca="1">IFERROR(__xludf.DUMMYFUNCTION("""COMPUTED_VALUE"""),2008)</f>
        <v>2008</v>
      </c>
      <c r="J150" s="82" t="str">
        <f ca="1">IFERROR(__xludf.DUMMYFUNCTION("""COMPUTED_VALUE"""),"Argentina")</f>
        <v>Argentina</v>
      </c>
      <c r="K150" s="83">
        <f ca="1">IFERROR(
  SUMIFS(
    'New Backfilled Data'!G:G,
    'New Backfilled Data'!A:A, I150,
    'New Backfilled Data'!D:D, J150,
    'New Backfilled Data'!E:E, "Online"
  ) /
  SUMIFS(
    'New Backfilled Data'!G:G,
    'New Backfilled Data'!A:A, I150,
    'New Backfilled Data'!D:D, J150
  ),
  ""
)</f>
        <v>3.2833526785013493E-2</v>
      </c>
      <c r="L150" s="84"/>
      <c r="M150" s="84"/>
    </row>
    <row r="151" spans="1:13" ht="17" x14ac:dyDescent="0.2">
      <c r="A151" s="44">
        <v>2006</v>
      </c>
      <c r="B151" s="45" t="s">
        <v>66</v>
      </c>
      <c r="C151" s="45" t="s">
        <v>4</v>
      </c>
      <c r="D151" s="45" t="s">
        <v>13</v>
      </c>
      <c r="E151" s="45" t="s">
        <v>69</v>
      </c>
      <c r="F151" s="45" t="s">
        <v>71</v>
      </c>
      <c r="G151" s="85">
        <f ca="1">IFERROR(__xludf.DUMMYFUNCTION("IFERROR(
  IF(A151 = 2008,
    IF(E151 = ""Online"",
      FILTER('Raw PhocalPoint Data'!G:G,
        'Raw PhocalPoint Data'!A:A = 2009,
        'Raw PhocalPoint Data'!D:D = D151,
        'Raw PhocalPoint Data'!E:E = E151,
        'Raw PhocalPoint Data'!F"&amp;":F = F151
      ) /
      (
        FILTER('Raw PhocalPoint Data'!G:G,
          'Raw PhocalPoint Data'!A:A = 2012,
          'Raw PhocalPoint Data'!D:D = D151,
          'Raw PhocalPoint Data'!E:E = E151,
          'Raw PhocalPoint Data'!F:F = F151
     "&amp;"   ) /
        FILTER('Raw PhocalPoint Data'!G:G,
          'Raw PhocalPoint Data'!A:A = 2011,
          'Raw PhocalPoint Data'!D:D = D151,
          'Raw PhocalPoint Data'!E:E = E151,
          'Raw PhocalPoint Data'!F:F = F151
        )
      ),
      F"&amp;"ILTER('Raw PhocalPoint Data'!G:G,
        'Raw PhocalPoint Data'!A:A = 2009,
        'Raw PhocalPoint Data'!D:D = D151,
        'Raw PhocalPoint Data'!E:E = E151,
        'Raw PhocalPoint Data'!F:F = F151
      ) *
      (
        INDEX('Raw GDP data'!$I$"&amp;"2:$M$100,
          MATCH(D151, 'Raw GDP data'!$H$2:$H$100, 0),
          MATCH(2008, 'Raw GDP data'!$I$1:$M$1, 0)
        ) /
        INDEX('Raw GDP data'!$I$2:$M$100,
          MATCH(D151, 'Raw GDP data'!$H$2:$H$100, 0),
          MATCH(2009, 'Raw GDP d"&amp;"ata'!$I$1:$M$1, 0)
        )
      )
    ),
  IF(A151 &lt; 2008,
    (
      FILTER(G:G,
        A:A = 2008,
        D:D = D151,
        E:E = E151,
        F:F = F151
      ) /
      PRODUCT(
        ARRAYFORMULA(
          (
            (
              FIL"&amp;"TER('Raw PhocalPoint Data'!G:G,
                'Raw PhocalPoint Data'!A:A = 2012,
                'Raw PhocalPoint Data'!D:D = D151,
                'Raw PhocalPoint Data'!E:E = E151,
                'Raw PhocalPoint Data'!F:F = F151
              ) /
  "&amp;"            FILTER('Raw PhocalPoint Data'!G:G,
                'Raw PhocalPoint Data'!A:A = 2011,
                'Raw PhocalPoint Data'!D:D = D151,
                'Raw PhocalPoint Data'!E:E = E151,
                'Raw PhocalPoint Data'!F:F = F151
     "&amp;"         ) -
              ROW(INDIRECT(""1:"" &amp; (2008 - A151))) *
              (
                (
                  FILTER('Raw PhocalPoint Data'!G:G,
                    'Raw PhocalPoint Data'!A:A = 2012,
                    'Raw PhocalPoint Data'!D:D"&amp;" = D151,
                    'Raw PhocalPoint Data'!E:E = E151,
                    'Raw PhocalPoint Data'!F:F = F151
                  ) /
                  FILTER('Raw PhocalPoint Data'!G:G,
                    'Raw PhocalPoint Data'!A:A = 2011,
       "&amp;"             'Raw PhocalPoint Data'!D:D = D151,
                    'Raw PhocalPoint Data'!E:E = E151,
                    'Raw PhocalPoint Data'!F:F = F151
                  ) - 1
                ) / 5
              )
            )
          )
        )
"&amp;"      )
    ),
    (
      FILTER('Raw PhocalPoint Data'!G:G,
        'Raw PhocalPoint Data'!A:A = 2009,
        'Raw PhocalPoint Data'!D:D = D151,
        'Raw PhocalPoint Data'!E:E = E151,
        'Raw PhocalPoint Data'!F:F = F151
      ) /
      PRODUC"&amp;"T(
        ARRAYFORMULA(
          (
            FILTER('Raw PhocalPoint Data'!G:G,
              'Raw PhocalPoint Data'!A:A = 2012,
              'Raw PhocalPoint Data'!D:D = D151,
              'Raw PhocalPoint Data'!E:E = E151,
              'Raw Phoca"&amp;"lPoint Data'!F:F = F151
            ) /
            FILTER('Raw PhocalPoint Data'!G:G,
              'Raw PhocalPoint Data'!A:A = 2011,
              'Raw PhocalPoint Data'!D:D = D151,
              'Raw PhocalPoint Data'!E:E = E151,
              'Raw Ph"&amp;"ocalPoint Data'!F:F = F151
            ) -
            (ROW(INDIRECT(""1:"" &amp; (2010 - A151))) - 1) *
            (
              (
                FILTER('Raw PhocalPoint Data'!G:G,
                  'Raw PhocalPoint Data'!A:A = 2012,
                  'R"&amp;"aw PhocalPoint Data'!D:D = D151,
                  'Raw PhocalPoint Data'!E:E = E151,
                  'Raw PhocalPoint Data'!F:F = F151
                ) /
                FILTER('Raw PhocalPoint Data'!G:G,
                  'Raw PhocalPoint Data'!A:A ="&amp;" 2011,
                  'Raw PhocalPoint Data'!D:D = D151,
                  'Raw PhocalPoint Data'!E:E = E151,
                  'Raw PhocalPoint Data'!F:F = F151
                ) - 1
              ) / 5
            )
          )
        )
      )
    "&amp;") *
    INDEX('Raw GDP data'!$I$2:$M$100,
      MATCH(D151, 'Raw GDP data'!$H$2:$H$100, 0),
      MATCH(A151, 'Raw GDP data'!$I$1:$M$1, 0)
    )
  )),
  """"
)
"),13114315.6780627)</f>
        <v>13114315.6780627</v>
      </c>
      <c r="H151" s="86"/>
      <c r="I151" s="87">
        <f ca="1">IFERROR(__xludf.DUMMYFUNCTION("""COMPUTED_VALUE"""),2008)</f>
        <v>2008</v>
      </c>
      <c r="J151" s="88" t="str">
        <f ca="1">IFERROR(__xludf.DUMMYFUNCTION("""COMPUTED_VALUE"""),"Brazil")</f>
        <v>Brazil</v>
      </c>
      <c r="K151" s="89">
        <f ca="1">IFERROR(
  SUMIFS(
    'New Backfilled Data'!G:G,
    'New Backfilled Data'!A:A, I151,
    'New Backfilled Data'!D:D, J151,
    'New Backfilled Data'!E:E, "Online"
  ) /
  SUMIFS(
    'New Backfilled Data'!G:G,
    'New Backfilled Data'!A:A, I151,
    'New Backfilled Data'!D:D, J151
  ),
  ""
)</f>
        <v>8.3836064374468722E-2</v>
      </c>
      <c r="L151" s="90"/>
      <c r="M151" s="90"/>
    </row>
    <row r="152" spans="1:13" ht="17" x14ac:dyDescent="0.2">
      <c r="A152" s="37">
        <v>2006</v>
      </c>
      <c r="B152" s="38" t="s">
        <v>66</v>
      </c>
      <c r="C152" s="38" t="s">
        <v>4</v>
      </c>
      <c r="D152" s="38" t="s">
        <v>13</v>
      </c>
      <c r="E152" s="38" t="s">
        <v>69</v>
      </c>
      <c r="F152" s="38" t="s">
        <v>70</v>
      </c>
      <c r="G152" s="79">
        <f ca="1">IFERROR(__xludf.DUMMYFUNCTION("IFERROR(
  IF(A152 = 2008,
    IF(E152 = ""Online"",
      FILTER('Raw PhocalPoint Data'!G:G,
        'Raw PhocalPoint Data'!A:A = 2009,
        'Raw PhocalPoint Data'!D:D = D152,
        'Raw PhocalPoint Data'!E:E = E152,
        'Raw PhocalPoint Data'!F"&amp;":F = F152
      ) /
      (
        FILTER('Raw PhocalPoint Data'!G:G,
          'Raw PhocalPoint Data'!A:A = 2012,
          'Raw PhocalPoint Data'!D:D = D152,
          'Raw PhocalPoint Data'!E:E = E152,
          'Raw PhocalPoint Data'!F:F = F152
     "&amp;"   ) /
        FILTER('Raw PhocalPoint Data'!G:G,
          'Raw PhocalPoint Data'!A:A = 2011,
          'Raw PhocalPoint Data'!D:D = D152,
          'Raw PhocalPoint Data'!E:E = E152,
          'Raw PhocalPoint Data'!F:F = F152
        )
      ),
      F"&amp;"ILTER('Raw PhocalPoint Data'!G:G,
        'Raw PhocalPoint Data'!A:A = 2009,
        'Raw PhocalPoint Data'!D:D = D152,
        'Raw PhocalPoint Data'!E:E = E152,
        'Raw PhocalPoint Data'!F:F = F152
      ) *
      (
        INDEX('Raw GDP data'!$I$"&amp;"2:$M$100,
          MATCH(D152, 'Raw GDP data'!$H$2:$H$100, 0),
          MATCH(2008, 'Raw GDP data'!$I$1:$M$1, 0)
        ) /
        INDEX('Raw GDP data'!$I$2:$M$100,
          MATCH(D152, 'Raw GDP data'!$H$2:$H$100, 0),
          MATCH(2009, 'Raw GDP d"&amp;"ata'!$I$1:$M$1, 0)
        )
      )
    ),
  IF(A152 &lt; 2008,
    (
      FILTER(G:G,
        A:A = 2008,
        D:D = D152,
        E:E = E152,
        F:F = F152
      ) /
      PRODUCT(
        ARRAYFORMULA(
          (
            (
              FIL"&amp;"TER('Raw PhocalPoint Data'!G:G,
                'Raw PhocalPoint Data'!A:A = 2012,
                'Raw PhocalPoint Data'!D:D = D152,
                'Raw PhocalPoint Data'!E:E = E152,
                'Raw PhocalPoint Data'!F:F = F152
              ) /
  "&amp;"            FILTER('Raw PhocalPoint Data'!G:G,
                'Raw PhocalPoint Data'!A:A = 2011,
                'Raw PhocalPoint Data'!D:D = D152,
                'Raw PhocalPoint Data'!E:E = E152,
                'Raw PhocalPoint Data'!F:F = F152
     "&amp;"         ) -
              ROW(INDIRECT(""1:"" &amp; (2008 - A152))) *
              (
                (
                  FILTER('Raw PhocalPoint Data'!G:G,
                    'Raw PhocalPoint Data'!A:A = 2012,
                    'Raw PhocalPoint Data'!D:D"&amp;" = D152,
                    'Raw PhocalPoint Data'!E:E = E152,
                    'Raw PhocalPoint Data'!F:F = F152
                  ) /
                  FILTER('Raw PhocalPoint Data'!G:G,
                    'Raw PhocalPoint Data'!A:A = 2011,
       "&amp;"             'Raw PhocalPoint Data'!D:D = D152,
                    'Raw PhocalPoint Data'!E:E = E152,
                    'Raw PhocalPoint Data'!F:F = F152
                  ) - 1
                ) / 5
              )
            )
          )
        )
"&amp;"      )
    ),
    (
      FILTER('Raw PhocalPoint Data'!G:G,
        'Raw PhocalPoint Data'!A:A = 2009,
        'Raw PhocalPoint Data'!D:D = D152,
        'Raw PhocalPoint Data'!E:E = E152,
        'Raw PhocalPoint Data'!F:F = F152
      ) /
      PRODUC"&amp;"T(
        ARRAYFORMULA(
          (
            FILTER('Raw PhocalPoint Data'!G:G,
              'Raw PhocalPoint Data'!A:A = 2012,
              'Raw PhocalPoint Data'!D:D = D152,
              'Raw PhocalPoint Data'!E:E = E152,
              'Raw Phoca"&amp;"lPoint Data'!F:F = F152
            ) /
            FILTER('Raw PhocalPoint Data'!G:G,
              'Raw PhocalPoint Data'!A:A = 2011,
              'Raw PhocalPoint Data'!D:D = D152,
              'Raw PhocalPoint Data'!E:E = E152,
              'Raw Ph"&amp;"ocalPoint Data'!F:F = F152
            ) -
            (ROW(INDIRECT(""1:"" &amp; (2010 - A152))) - 1) *
            (
              (
                FILTER('Raw PhocalPoint Data'!G:G,
                  'Raw PhocalPoint Data'!A:A = 2012,
                  'R"&amp;"aw PhocalPoint Data'!D:D = D152,
                  'Raw PhocalPoint Data'!E:E = E152,
                  'Raw PhocalPoint Data'!F:F = F152
                ) /
                FILTER('Raw PhocalPoint Data'!G:G,
                  'Raw PhocalPoint Data'!A:A ="&amp;" 2011,
                  'Raw PhocalPoint Data'!D:D = D152,
                  'Raw PhocalPoint Data'!E:E = E152,
                  'Raw PhocalPoint Data'!F:F = F152
                ) - 1
              ) / 5
            )
          )
        )
      )
    "&amp;") *
    INDEX('Raw GDP data'!$I$2:$M$100,
      MATCH(D152, 'Raw GDP data'!$H$2:$H$100, 0),
      MATCH(A152, 'Raw GDP data'!$I$1:$M$1, 0)
    )
  )),
  """"
)
"),535717951.350218)</f>
        <v>535717951.350218</v>
      </c>
      <c r="H152" s="80"/>
      <c r="I152" s="81">
        <f ca="1">IFERROR(__xludf.DUMMYFUNCTION("""COMPUTED_VALUE"""),2008)</f>
        <v>2008</v>
      </c>
      <c r="J152" s="82" t="str">
        <f ca="1">IFERROR(__xludf.DUMMYFUNCTION("""COMPUTED_VALUE"""),"Chile")</f>
        <v>Chile</v>
      </c>
      <c r="K152" s="83">
        <f ca="1">IFERROR(
  SUMIFS(
    'New Backfilled Data'!G:G,
    'New Backfilled Data'!A:A, I152,
    'New Backfilled Data'!D:D, J152,
    'New Backfilled Data'!E:E, "Online"
  ) /
  SUMIFS(
    'New Backfilled Data'!G:G,
    'New Backfilled Data'!A:A, I152,
    'New Backfilled Data'!D:D, J152
  ),
  ""
)</f>
        <v>0.1539515507731983</v>
      </c>
      <c r="L152" s="84"/>
      <c r="M152" s="84"/>
    </row>
    <row r="153" spans="1:13" ht="17" x14ac:dyDescent="0.2">
      <c r="A153" s="44">
        <v>2006</v>
      </c>
      <c r="B153" s="45" t="s">
        <v>66</v>
      </c>
      <c r="C153" s="45" t="s">
        <v>4</v>
      </c>
      <c r="D153" s="45" t="s">
        <v>14</v>
      </c>
      <c r="E153" s="45" t="s">
        <v>67</v>
      </c>
      <c r="F153" s="45" t="s">
        <v>67</v>
      </c>
      <c r="G153" s="85">
        <f ca="1">IFERROR(__xludf.DUMMYFUNCTION("IFERROR(
  IF(A153 = 2008,
    IF(E153 = ""Online"",
      FILTER('Raw PhocalPoint Data'!G:G,
        'Raw PhocalPoint Data'!A:A = 2009,
        'Raw PhocalPoint Data'!D:D = D153,
        'Raw PhocalPoint Data'!E:E = E153,
        'Raw PhocalPoint Data'!F"&amp;":F = F153
      ) /
      (
        FILTER('Raw PhocalPoint Data'!G:G,
          'Raw PhocalPoint Data'!A:A = 2012,
          'Raw PhocalPoint Data'!D:D = D153,
          'Raw PhocalPoint Data'!E:E = E153,
          'Raw PhocalPoint Data'!F:F = F153
     "&amp;"   ) /
        FILTER('Raw PhocalPoint Data'!G:G,
          'Raw PhocalPoint Data'!A:A = 2011,
          'Raw PhocalPoint Data'!D:D = D153,
          'Raw PhocalPoint Data'!E:E = E153,
          'Raw PhocalPoint Data'!F:F = F153
        )
      ),
      F"&amp;"ILTER('Raw PhocalPoint Data'!G:G,
        'Raw PhocalPoint Data'!A:A = 2009,
        'Raw PhocalPoint Data'!D:D = D153,
        'Raw PhocalPoint Data'!E:E = E153,
        'Raw PhocalPoint Data'!F:F = F153
      ) *
      (
        INDEX('Raw GDP data'!$I$"&amp;"2:$M$100,
          MATCH(D153, 'Raw GDP data'!$H$2:$H$100, 0),
          MATCH(2008, 'Raw GDP data'!$I$1:$M$1, 0)
        ) /
        INDEX('Raw GDP data'!$I$2:$M$100,
          MATCH(D153, 'Raw GDP data'!$H$2:$H$100, 0),
          MATCH(2009, 'Raw GDP d"&amp;"ata'!$I$1:$M$1, 0)
        )
      )
    ),
  IF(A153 &lt; 2008,
    (
      FILTER(G:G,
        A:A = 2008,
        D:D = D153,
        E:E = E153,
        F:F = F153
      ) /
      PRODUCT(
        ARRAYFORMULA(
          (
            (
              FIL"&amp;"TER('Raw PhocalPoint Data'!G:G,
                'Raw PhocalPoint Data'!A:A = 2012,
                'Raw PhocalPoint Data'!D:D = D153,
                'Raw PhocalPoint Data'!E:E = E153,
                'Raw PhocalPoint Data'!F:F = F153
              ) /
  "&amp;"            FILTER('Raw PhocalPoint Data'!G:G,
                'Raw PhocalPoint Data'!A:A = 2011,
                'Raw PhocalPoint Data'!D:D = D153,
                'Raw PhocalPoint Data'!E:E = E153,
                'Raw PhocalPoint Data'!F:F = F153
     "&amp;"         ) -
              ROW(INDIRECT(""1:"" &amp; (2008 - A153))) *
              (
                (
                  FILTER('Raw PhocalPoint Data'!G:G,
                    'Raw PhocalPoint Data'!A:A = 2012,
                    'Raw PhocalPoint Data'!D:D"&amp;" = D153,
                    'Raw PhocalPoint Data'!E:E = E153,
                    'Raw PhocalPoint Data'!F:F = F153
                  ) /
                  FILTER('Raw PhocalPoint Data'!G:G,
                    'Raw PhocalPoint Data'!A:A = 2011,
       "&amp;"             'Raw PhocalPoint Data'!D:D = D153,
                    'Raw PhocalPoint Data'!E:E = E153,
                    'Raw PhocalPoint Data'!F:F = F153
                  ) - 1
                ) / 5
              )
            )
          )
        )
"&amp;"      )
    ),
    (
      FILTER('Raw PhocalPoint Data'!G:G,
        'Raw PhocalPoint Data'!A:A = 2009,
        'Raw PhocalPoint Data'!D:D = D153,
        'Raw PhocalPoint Data'!E:E = E153,
        'Raw PhocalPoint Data'!F:F = F153
      ) /
      PRODUC"&amp;"T(
        ARRAYFORMULA(
          (
            FILTER('Raw PhocalPoint Data'!G:G,
              'Raw PhocalPoint Data'!A:A = 2012,
              'Raw PhocalPoint Data'!D:D = D153,
              'Raw PhocalPoint Data'!E:E = E153,
              'Raw Phoca"&amp;"lPoint Data'!F:F = F153
            ) /
            FILTER('Raw PhocalPoint Data'!G:G,
              'Raw PhocalPoint Data'!A:A = 2011,
              'Raw PhocalPoint Data'!D:D = D153,
              'Raw PhocalPoint Data'!E:E = E153,
              'Raw Ph"&amp;"ocalPoint Data'!F:F = F153
            ) -
            (ROW(INDIRECT(""1:"" &amp; (2010 - A153))) - 1) *
            (
              (
                FILTER('Raw PhocalPoint Data'!G:G,
                  'Raw PhocalPoint Data'!A:A = 2012,
                  'R"&amp;"aw PhocalPoint Data'!D:D = D153,
                  'Raw PhocalPoint Data'!E:E = E153,
                  'Raw PhocalPoint Data'!F:F = F153
                ) /
                FILTER('Raw PhocalPoint Data'!G:G,
                  'Raw PhocalPoint Data'!A:A ="&amp;" 2011,
                  'Raw PhocalPoint Data'!D:D = D153,
                  'Raw PhocalPoint Data'!E:E = E153,
                  'Raw PhocalPoint Data'!F:F = F153
                ) - 1
              ) / 5
            )
          )
        )
      )
    "&amp;") *
    INDEX('Raw GDP data'!$I$2:$M$100,
      MATCH(D153, 'Raw GDP data'!$H$2:$H$100, 0),
      MATCH(A153, 'Raw GDP data'!$I$1:$M$1, 0)
    )
  )),
  """"
)
"),3401737527.47935)</f>
        <v>3401737527.4793501</v>
      </c>
      <c r="H153" s="86"/>
      <c r="I153" s="87">
        <f ca="1">IFERROR(__xludf.DUMMYFUNCTION("""COMPUTED_VALUE"""),2008)</f>
        <v>2008</v>
      </c>
      <c r="J153" s="88" t="str">
        <f ca="1">IFERROR(__xludf.DUMMYFUNCTION("""COMPUTED_VALUE"""),"Colombia")</f>
        <v>Colombia</v>
      </c>
      <c r="K153" s="89">
        <f ca="1">IFERROR(
  SUMIFS(
    'New Backfilled Data'!G:G,
    'New Backfilled Data'!A:A, I153,
    'New Backfilled Data'!D:D, J153,
    'New Backfilled Data'!E:E, "Online"
  ) /
  SUMIFS(
    'New Backfilled Data'!G:G,
    'New Backfilled Data'!A:A, I153,
    'New Backfilled Data'!D:D, J153
  ),
  ""
)</f>
        <v>4.8844100857162051E-2</v>
      </c>
      <c r="L153" s="90"/>
      <c r="M153" s="90"/>
    </row>
    <row r="154" spans="1:13" ht="17" x14ac:dyDescent="0.2">
      <c r="A154" s="37">
        <v>2006</v>
      </c>
      <c r="B154" s="38" t="s">
        <v>66</v>
      </c>
      <c r="C154" s="38" t="s">
        <v>4</v>
      </c>
      <c r="D154" s="38" t="s">
        <v>14</v>
      </c>
      <c r="E154" s="38" t="s">
        <v>69</v>
      </c>
      <c r="F154" s="38" t="s">
        <v>71</v>
      </c>
      <c r="G154" s="79">
        <f ca="1">IFERROR(__xludf.DUMMYFUNCTION("IFERROR(
  IF(A154 = 2008,
    IF(E154 = ""Online"",
      FILTER('Raw PhocalPoint Data'!G:G,
        'Raw PhocalPoint Data'!A:A = 2009,
        'Raw PhocalPoint Data'!D:D = D154,
        'Raw PhocalPoint Data'!E:E = E154,
        'Raw PhocalPoint Data'!F"&amp;":F = F154
      ) /
      (
        FILTER('Raw PhocalPoint Data'!G:G,
          'Raw PhocalPoint Data'!A:A = 2012,
          'Raw PhocalPoint Data'!D:D = D154,
          'Raw PhocalPoint Data'!E:E = E154,
          'Raw PhocalPoint Data'!F:F = F154
     "&amp;"   ) /
        FILTER('Raw PhocalPoint Data'!G:G,
          'Raw PhocalPoint Data'!A:A = 2011,
          'Raw PhocalPoint Data'!D:D = D154,
          'Raw PhocalPoint Data'!E:E = E154,
          'Raw PhocalPoint Data'!F:F = F154
        )
      ),
      F"&amp;"ILTER('Raw PhocalPoint Data'!G:G,
        'Raw PhocalPoint Data'!A:A = 2009,
        'Raw PhocalPoint Data'!D:D = D154,
        'Raw PhocalPoint Data'!E:E = E154,
        'Raw PhocalPoint Data'!F:F = F154
      ) *
      (
        INDEX('Raw GDP data'!$I$"&amp;"2:$M$100,
          MATCH(D154, 'Raw GDP data'!$H$2:$H$100, 0),
          MATCH(2008, 'Raw GDP data'!$I$1:$M$1, 0)
        ) /
        INDEX('Raw GDP data'!$I$2:$M$100,
          MATCH(D154, 'Raw GDP data'!$H$2:$H$100, 0),
          MATCH(2009, 'Raw GDP d"&amp;"ata'!$I$1:$M$1, 0)
        )
      )
    ),
  IF(A154 &lt; 2008,
    (
      FILTER(G:G,
        A:A = 2008,
        D:D = D154,
        E:E = E154,
        F:F = F154
      ) /
      PRODUCT(
        ARRAYFORMULA(
          (
            (
              FIL"&amp;"TER('Raw PhocalPoint Data'!G:G,
                'Raw PhocalPoint Data'!A:A = 2012,
                'Raw PhocalPoint Data'!D:D = D154,
                'Raw PhocalPoint Data'!E:E = E154,
                'Raw PhocalPoint Data'!F:F = F154
              ) /
  "&amp;"            FILTER('Raw PhocalPoint Data'!G:G,
                'Raw PhocalPoint Data'!A:A = 2011,
                'Raw PhocalPoint Data'!D:D = D154,
                'Raw PhocalPoint Data'!E:E = E154,
                'Raw PhocalPoint Data'!F:F = F154
     "&amp;"         ) -
              ROW(INDIRECT(""1:"" &amp; (2008 - A154))) *
              (
                (
                  FILTER('Raw PhocalPoint Data'!G:G,
                    'Raw PhocalPoint Data'!A:A = 2012,
                    'Raw PhocalPoint Data'!D:D"&amp;" = D154,
                    'Raw PhocalPoint Data'!E:E = E154,
                    'Raw PhocalPoint Data'!F:F = F154
                  ) /
                  FILTER('Raw PhocalPoint Data'!G:G,
                    'Raw PhocalPoint Data'!A:A = 2011,
       "&amp;"             'Raw PhocalPoint Data'!D:D = D154,
                    'Raw PhocalPoint Data'!E:E = E154,
                    'Raw PhocalPoint Data'!F:F = F154
                  ) - 1
                ) / 5
              )
            )
          )
        )
"&amp;"      )
    ),
    (
      FILTER('Raw PhocalPoint Data'!G:G,
        'Raw PhocalPoint Data'!A:A = 2009,
        'Raw PhocalPoint Data'!D:D = D154,
        'Raw PhocalPoint Data'!E:E = E154,
        'Raw PhocalPoint Data'!F:F = F154
      ) /
      PRODUC"&amp;"T(
        ARRAYFORMULA(
          (
            FILTER('Raw PhocalPoint Data'!G:G,
              'Raw PhocalPoint Data'!A:A = 2012,
              'Raw PhocalPoint Data'!D:D = D154,
              'Raw PhocalPoint Data'!E:E = E154,
              'Raw Phoca"&amp;"lPoint Data'!F:F = F154
            ) /
            FILTER('Raw PhocalPoint Data'!G:G,
              'Raw PhocalPoint Data'!A:A = 2011,
              'Raw PhocalPoint Data'!D:D = D154,
              'Raw PhocalPoint Data'!E:E = E154,
              'Raw Ph"&amp;"ocalPoint Data'!F:F = F154
            ) -
            (ROW(INDIRECT(""1:"" &amp; (2010 - A154))) - 1) *
            (
              (
                FILTER('Raw PhocalPoint Data'!G:G,
                  'Raw PhocalPoint Data'!A:A = 2012,
                  'R"&amp;"aw PhocalPoint Data'!D:D = D154,
                  'Raw PhocalPoint Data'!E:E = E154,
                  'Raw PhocalPoint Data'!F:F = F154
                ) /
                FILTER('Raw PhocalPoint Data'!G:G,
                  'Raw PhocalPoint Data'!A:A ="&amp;" 2011,
                  'Raw PhocalPoint Data'!D:D = D154,
                  'Raw PhocalPoint Data'!E:E = E154,
                  'Raw PhocalPoint Data'!F:F = F154
                ) - 1
              ) / 5
            )
          )
        )
      )
    "&amp;") *
    INDEX('Raw GDP data'!$I$2:$M$100,
      MATCH(D154, 'Raw GDP data'!$H$2:$H$100, 0),
      MATCH(A154, 'Raw GDP data'!$I$1:$M$1, 0)
    )
  )),
  """"
)
"),42637659.2972199)</f>
        <v>42637659.297219902</v>
      </c>
      <c r="H154" s="80"/>
      <c r="I154" s="81">
        <f ca="1">IFERROR(__xludf.DUMMYFUNCTION("""COMPUTED_VALUE"""),2008)</f>
        <v>2008</v>
      </c>
      <c r="J154" s="82" t="str">
        <f ca="1">IFERROR(__xludf.DUMMYFUNCTION("""COMPUTED_VALUE"""),"Mexico")</f>
        <v>Mexico</v>
      </c>
      <c r="K154" s="83">
        <f ca="1">IFERROR(
  SUMIFS(
    'New Backfilled Data'!G:G,
    'New Backfilled Data'!A:A, I154,
    'New Backfilled Data'!D:D, J154,
    'New Backfilled Data'!E:E, "Online"
  ) /
  SUMIFS(
    'New Backfilled Data'!G:G,
    'New Backfilled Data'!A:A, I154,
    'New Backfilled Data'!D:D, J154
  ),
  ""
)</f>
        <v>0.10164042244077631</v>
      </c>
      <c r="L154" s="84"/>
      <c r="M154" s="84"/>
    </row>
    <row r="155" spans="1:13" ht="17" x14ac:dyDescent="0.2">
      <c r="A155" s="44">
        <v>2006</v>
      </c>
      <c r="B155" s="45" t="s">
        <v>66</v>
      </c>
      <c r="C155" s="45" t="s">
        <v>4</v>
      </c>
      <c r="D155" s="45" t="s">
        <v>14</v>
      </c>
      <c r="E155" s="45" t="s">
        <v>69</v>
      </c>
      <c r="F155" s="45" t="s">
        <v>70</v>
      </c>
      <c r="G155" s="85">
        <f ca="1">IFERROR(__xludf.DUMMYFUNCTION("IFERROR(
  IF(A155 = 2008,
    IF(E155 = ""Online"",
      FILTER('Raw PhocalPoint Data'!G:G,
        'Raw PhocalPoint Data'!A:A = 2009,
        'Raw PhocalPoint Data'!D:D = D155,
        'Raw PhocalPoint Data'!E:E = E155,
        'Raw PhocalPoint Data'!F"&amp;":F = F155
      ) /
      (
        FILTER('Raw PhocalPoint Data'!G:G,
          'Raw PhocalPoint Data'!A:A = 2012,
          'Raw PhocalPoint Data'!D:D = D155,
          'Raw PhocalPoint Data'!E:E = E155,
          'Raw PhocalPoint Data'!F:F = F155
     "&amp;"   ) /
        FILTER('Raw PhocalPoint Data'!G:G,
          'Raw PhocalPoint Data'!A:A = 2011,
          'Raw PhocalPoint Data'!D:D = D155,
          'Raw PhocalPoint Data'!E:E = E155,
          'Raw PhocalPoint Data'!F:F = F155
        )
      ),
      F"&amp;"ILTER('Raw PhocalPoint Data'!G:G,
        'Raw PhocalPoint Data'!A:A = 2009,
        'Raw PhocalPoint Data'!D:D = D155,
        'Raw PhocalPoint Data'!E:E = E155,
        'Raw PhocalPoint Data'!F:F = F155
      ) *
      (
        INDEX('Raw GDP data'!$I$"&amp;"2:$M$100,
          MATCH(D155, 'Raw GDP data'!$H$2:$H$100, 0),
          MATCH(2008, 'Raw GDP data'!$I$1:$M$1, 0)
        ) /
        INDEX('Raw GDP data'!$I$2:$M$100,
          MATCH(D155, 'Raw GDP data'!$H$2:$H$100, 0),
          MATCH(2009, 'Raw GDP d"&amp;"ata'!$I$1:$M$1, 0)
        )
      )
    ),
  IF(A155 &lt; 2008,
    (
      FILTER(G:G,
        A:A = 2008,
        D:D = D155,
        E:E = E155,
        F:F = F155
      ) /
      PRODUCT(
        ARRAYFORMULA(
          (
            (
              FIL"&amp;"TER('Raw PhocalPoint Data'!G:G,
                'Raw PhocalPoint Data'!A:A = 2012,
                'Raw PhocalPoint Data'!D:D = D155,
                'Raw PhocalPoint Data'!E:E = E155,
                'Raw PhocalPoint Data'!F:F = F155
              ) /
  "&amp;"            FILTER('Raw PhocalPoint Data'!G:G,
                'Raw PhocalPoint Data'!A:A = 2011,
                'Raw PhocalPoint Data'!D:D = D155,
                'Raw PhocalPoint Data'!E:E = E155,
                'Raw PhocalPoint Data'!F:F = F155
     "&amp;"         ) -
              ROW(INDIRECT(""1:"" &amp; (2008 - A155))) *
              (
                (
                  FILTER('Raw PhocalPoint Data'!G:G,
                    'Raw PhocalPoint Data'!A:A = 2012,
                    'Raw PhocalPoint Data'!D:D"&amp;" = D155,
                    'Raw PhocalPoint Data'!E:E = E155,
                    'Raw PhocalPoint Data'!F:F = F155
                  ) /
                  FILTER('Raw PhocalPoint Data'!G:G,
                    'Raw PhocalPoint Data'!A:A = 2011,
       "&amp;"             'Raw PhocalPoint Data'!D:D = D155,
                    'Raw PhocalPoint Data'!E:E = E155,
                    'Raw PhocalPoint Data'!F:F = F155
                  ) - 1
                ) / 5
              )
            )
          )
        )
"&amp;"      )
    ),
    (
      FILTER('Raw PhocalPoint Data'!G:G,
        'Raw PhocalPoint Data'!A:A = 2009,
        'Raw PhocalPoint Data'!D:D = D155,
        'Raw PhocalPoint Data'!E:E = E155,
        'Raw PhocalPoint Data'!F:F = F155
      ) /
      PRODUC"&amp;"T(
        ARRAYFORMULA(
          (
            FILTER('Raw PhocalPoint Data'!G:G,
              'Raw PhocalPoint Data'!A:A = 2012,
              'Raw PhocalPoint Data'!D:D = D155,
              'Raw PhocalPoint Data'!E:E = E155,
              'Raw Phoca"&amp;"lPoint Data'!F:F = F155
            ) /
            FILTER('Raw PhocalPoint Data'!G:G,
              'Raw PhocalPoint Data'!A:A = 2011,
              'Raw PhocalPoint Data'!D:D = D155,
              'Raw PhocalPoint Data'!E:E = E155,
              'Raw Ph"&amp;"ocalPoint Data'!F:F = F155
            ) -
            (ROW(INDIRECT(""1:"" &amp; (2010 - A155))) - 1) *
            (
              (
                FILTER('Raw PhocalPoint Data'!G:G,
                  'Raw PhocalPoint Data'!A:A = 2012,
                  'R"&amp;"aw PhocalPoint Data'!D:D = D155,
                  'Raw PhocalPoint Data'!E:E = E155,
                  'Raw PhocalPoint Data'!F:F = F155
                ) /
                FILTER('Raw PhocalPoint Data'!G:G,
                  'Raw PhocalPoint Data'!A:A ="&amp;" 2011,
                  'Raw PhocalPoint Data'!D:D = D155,
                  'Raw PhocalPoint Data'!E:E = E155,
                  'Raw PhocalPoint Data'!F:F = F155
                ) - 1
              ) / 5
            )
          )
        )
      )
    "&amp;") *
    INDEX('Raw GDP data'!$I$2:$M$100,
      MATCH(D155, 'Raw GDP data'!$H$2:$H$100, 0),
      MATCH(A155, 'Raw GDP data'!$I$1:$M$1, 0)
    )
  )),
  """"
)
"),150335416.265661)</f>
        <v>150335416.265661</v>
      </c>
      <c r="H155" s="86"/>
      <c r="I155" s="87">
        <f ca="1">IFERROR(__xludf.DUMMYFUNCTION("""COMPUTED_VALUE"""),2008)</f>
        <v>2008</v>
      </c>
      <c r="J155" s="88" t="str">
        <f ca="1">IFERROR(__xludf.DUMMYFUNCTION("""COMPUTED_VALUE"""),"Egypt")</f>
        <v>Egypt</v>
      </c>
      <c r="K155" s="89">
        <f ca="1">IFERROR(
  SUMIFS(
    'New Backfilled Data'!G:G,
    'New Backfilled Data'!A:A, I155,
    'New Backfilled Data'!D:D, J155,
    'New Backfilled Data'!E:E, "Online"
  ) /
  SUMIFS(
    'New Backfilled Data'!G:G,
    'New Backfilled Data'!A:A, I155,
    'New Backfilled Data'!D:D, J155
  ),
  ""
)</f>
        <v>5.1115886814140685E-2</v>
      </c>
      <c r="L155" s="90"/>
      <c r="M155" s="90"/>
    </row>
    <row r="156" spans="1:13" ht="17" x14ac:dyDescent="0.2">
      <c r="A156" s="37">
        <v>2006</v>
      </c>
      <c r="B156" s="38" t="s">
        <v>66</v>
      </c>
      <c r="C156" s="38" t="s">
        <v>4</v>
      </c>
      <c r="D156" s="38" t="s">
        <v>15</v>
      </c>
      <c r="E156" s="38" t="s">
        <v>67</v>
      </c>
      <c r="F156" s="38" t="s">
        <v>67</v>
      </c>
      <c r="G156" s="79">
        <f ca="1">IFERROR(__xludf.DUMMYFUNCTION("IFERROR(
  IF(A156 = 2008,
    IF(E156 = ""Online"",
      FILTER('Raw PhocalPoint Data'!G:G,
        'Raw PhocalPoint Data'!A:A = 2009,
        'Raw PhocalPoint Data'!D:D = D156,
        'Raw PhocalPoint Data'!E:E = E156,
        'Raw PhocalPoint Data'!F"&amp;":F = F156
      ) /
      (
        FILTER('Raw PhocalPoint Data'!G:G,
          'Raw PhocalPoint Data'!A:A = 2012,
          'Raw PhocalPoint Data'!D:D = D156,
          'Raw PhocalPoint Data'!E:E = E156,
          'Raw PhocalPoint Data'!F:F = F156
     "&amp;"   ) /
        FILTER('Raw PhocalPoint Data'!G:G,
          'Raw PhocalPoint Data'!A:A = 2011,
          'Raw PhocalPoint Data'!D:D = D156,
          'Raw PhocalPoint Data'!E:E = E156,
          'Raw PhocalPoint Data'!F:F = F156
        )
      ),
      F"&amp;"ILTER('Raw PhocalPoint Data'!G:G,
        'Raw PhocalPoint Data'!A:A = 2009,
        'Raw PhocalPoint Data'!D:D = D156,
        'Raw PhocalPoint Data'!E:E = E156,
        'Raw PhocalPoint Data'!F:F = F156
      ) *
      (
        INDEX('Raw GDP data'!$I$"&amp;"2:$M$100,
          MATCH(D156, 'Raw GDP data'!$H$2:$H$100, 0),
          MATCH(2008, 'Raw GDP data'!$I$1:$M$1, 0)
        ) /
        INDEX('Raw GDP data'!$I$2:$M$100,
          MATCH(D156, 'Raw GDP data'!$H$2:$H$100, 0),
          MATCH(2009, 'Raw GDP d"&amp;"ata'!$I$1:$M$1, 0)
        )
      )
    ),
  IF(A156 &lt; 2008,
    (
      FILTER(G:G,
        A:A = 2008,
        D:D = D156,
        E:E = E156,
        F:F = F156
      ) /
      PRODUCT(
        ARRAYFORMULA(
          (
            (
              FIL"&amp;"TER('Raw PhocalPoint Data'!G:G,
                'Raw PhocalPoint Data'!A:A = 2012,
                'Raw PhocalPoint Data'!D:D = D156,
                'Raw PhocalPoint Data'!E:E = E156,
                'Raw PhocalPoint Data'!F:F = F156
              ) /
  "&amp;"            FILTER('Raw PhocalPoint Data'!G:G,
                'Raw PhocalPoint Data'!A:A = 2011,
                'Raw PhocalPoint Data'!D:D = D156,
                'Raw PhocalPoint Data'!E:E = E156,
                'Raw PhocalPoint Data'!F:F = F156
     "&amp;"         ) -
              ROW(INDIRECT(""1:"" &amp; (2008 - A156))) *
              (
                (
                  FILTER('Raw PhocalPoint Data'!G:G,
                    'Raw PhocalPoint Data'!A:A = 2012,
                    'Raw PhocalPoint Data'!D:D"&amp;" = D156,
                    'Raw PhocalPoint Data'!E:E = E156,
                    'Raw PhocalPoint Data'!F:F = F156
                  ) /
                  FILTER('Raw PhocalPoint Data'!G:G,
                    'Raw PhocalPoint Data'!A:A = 2011,
       "&amp;"             'Raw PhocalPoint Data'!D:D = D156,
                    'Raw PhocalPoint Data'!E:E = E156,
                    'Raw PhocalPoint Data'!F:F = F156
                  ) - 1
                ) / 5
              )
            )
          )
        )
"&amp;"      )
    ),
    (
      FILTER('Raw PhocalPoint Data'!G:G,
        'Raw PhocalPoint Data'!A:A = 2009,
        'Raw PhocalPoint Data'!D:D = D156,
        'Raw PhocalPoint Data'!E:E = E156,
        'Raw PhocalPoint Data'!F:F = F156
      ) /
      PRODUC"&amp;"T(
        ARRAYFORMULA(
          (
            FILTER('Raw PhocalPoint Data'!G:G,
              'Raw PhocalPoint Data'!A:A = 2012,
              'Raw PhocalPoint Data'!D:D = D156,
              'Raw PhocalPoint Data'!E:E = E156,
              'Raw Phoca"&amp;"lPoint Data'!F:F = F156
            ) /
            FILTER('Raw PhocalPoint Data'!G:G,
              'Raw PhocalPoint Data'!A:A = 2011,
              'Raw PhocalPoint Data'!D:D = D156,
              'Raw PhocalPoint Data'!E:E = E156,
              'Raw Ph"&amp;"ocalPoint Data'!F:F = F156
            ) -
            (ROW(INDIRECT(""1:"" &amp; (2010 - A156))) - 1) *
            (
              (
                FILTER('Raw PhocalPoint Data'!G:G,
                  'Raw PhocalPoint Data'!A:A = 2012,
                  'R"&amp;"aw PhocalPoint Data'!D:D = D156,
                  'Raw PhocalPoint Data'!E:E = E156,
                  'Raw PhocalPoint Data'!F:F = F156
                ) /
                FILTER('Raw PhocalPoint Data'!G:G,
                  'Raw PhocalPoint Data'!A:A ="&amp;" 2011,
                  'Raw PhocalPoint Data'!D:D = D156,
                  'Raw PhocalPoint Data'!E:E = E156,
                  'Raw PhocalPoint Data'!F:F = F156
                ) - 1
              ) / 5
            )
          )
        )
      )
    "&amp;") *
    INDEX('Raw GDP data'!$I$2:$M$100,
      MATCH(D156, 'Raw GDP data'!$H$2:$H$100, 0),
      MATCH(A156, 'Raw GDP data'!$I$1:$M$1, 0)
    )
  )),
  """"
)
"),8853149329.30457)</f>
        <v>8853149329.3045692</v>
      </c>
      <c r="H156" s="80"/>
      <c r="I156" s="81">
        <f ca="1">IFERROR(__xludf.DUMMYFUNCTION("""COMPUTED_VALUE"""),2008)</f>
        <v>2008</v>
      </c>
      <c r="J156" s="82" t="str">
        <f ca="1">IFERROR(__xludf.DUMMYFUNCTION("""COMPUTED_VALUE"""),"Qatar")</f>
        <v>Qatar</v>
      </c>
      <c r="K156" s="83">
        <f ca="1">IFERROR(
  SUMIFS(
    'New Backfilled Data'!G:G,
    'New Backfilled Data'!A:A, I156,
    'New Backfilled Data'!D:D, J156,
    'New Backfilled Data'!E:E, "Online"
  ) /
  SUMIFS(
    'New Backfilled Data'!G:G,
    'New Backfilled Data'!A:A, I156,
    'New Backfilled Data'!D:D, J156
  ),
  ""
)</f>
        <v>0.11619907885765296</v>
      </c>
      <c r="L156" s="84"/>
      <c r="M156" s="84"/>
    </row>
    <row r="157" spans="1:13" ht="34" x14ac:dyDescent="0.2">
      <c r="A157" s="44">
        <v>2006</v>
      </c>
      <c r="B157" s="45" t="s">
        <v>66</v>
      </c>
      <c r="C157" s="45" t="s">
        <v>4</v>
      </c>
      <c r="D157" s="45" t="s">
        <v>15</v>
      </c>
      <c r="E157" s="45" t="s">
        <v>69</v>
      </c>
      <c r="F157" s="45" t="s">
        <v>71</v>
      </c>
      <c r="G157" s="85">
        <f ca="1">IFERROR(__xludf.DUMMYFUNCTION("IFERROR(
  IF(A157 = 2008,
    IF(E157 = ""Online"",
      FILTER('Raw PhocalPoint Data'!G:G,
        'Raw PhocalPoint Data'!A:A = 2009,
        'Raw PhocalPoint Data'!D:D = D157,
        'Raw PhocalPoint Data'!E:E = E157,
        'Raw PhocalPoint Data'!F"&amp;":F = F157
      ) /
      (
        FILTER('Raw PhocalPoint Data'!G:G,
          'Raw PhocalPoint Data'!A:A = 2012,
          'Raw PhocalPoint Data'!D:D = D157,
          'Raw PhocalPoint Data'!E:E = E157,
          'Raw PhocalPoint Data'!F:F = F157
     "&amp;"   ) /
        FILTER('Raw PhocalPoint Data'!G:G,
          'Raw PhocalPoint Data'!A:A = 2011,
          'Raw PhocalPoint Data'!D:D = D157,
          'Raw PhocalPoint Data'!E:E = E157,
          'Raw PhocalPoint Data'!F:F = F157
        )
      ),
      F"&amp;"ILTER('Raw PhocalPoint Data'!G:G,
        'Raw PhocalPoint Data'!A:A = 2009,
        'Raw PhocalPoint Data'!D:D = D157,
        'Raw PhocalPoint Data'!E:E = E157,
        'Raw PhocalPoint Data'!F:F = F157
      ) *
      (
        INDEX('Raw GDP data'!$I$"&amp;"2:$M$100,
          MATCH(D157, 'Raw GDP data'!$H$2:$H$100, 0),
          MATCH(2008, 'Raw GDP data'!$I$1:$M$1, 0)
        ) /
        INDEX('Raw GDP data'!$I$2:$M$100,
          MATCH(D157, 'Raw GDP data'!$H$2:$H$100, 0),
          MATCH(2009, 'Raw GDP d"&amp;"ata'!$I$1:$M$1, 0)
        )
      )
    ),
  IF(A157 &lt; 2008,
    (
      FILTER(G:G,
        A:A = 2008,
        D:D = D157,
        E:E = E157,
        F:F = F157
      ) /
      PRODUCT(
        ARRAYFORMULA(
          (
            (
              FIL"&amp;"TER('Raw PhocalPoint Data'!G:G,
                'Raw PhocalPoint Data'!A:A = 2012,
                'Raw PhocalPoint Data'!D:D = D157,
                'Raw PhocalPoint Data'!E:E = E157,
                'Raw PhocalPoint Data'!F:F = F157
              ) /
  "&amp;"            FILTER('Raw PhocalPoint Data'!G:G,
                'Raw PhocalPoint Data'!A:A = 2011,
                'Raw PhocalPoint Data'!D:D = D157,
                'Raw PhocalPoint Data'!E:E = E157,
                'Raw PhocalPoint Data'!F:F = F157
     "&amp;"         ) -
              ROW(INDIRECT(""1:"" &amp; (2008 - A157))) *
              (
                (
                  FILTER('Raw PhocalPoint Data'!G:G,
                    'Raw PhocalPoint Data'!A:A = 2012,
                    'Raw PhocalPoint Data'!D:D"&amp;" = D157,
                    'Raw PhocalPoint Data'!E:E = E157,
                    'Raw PhocalPoint Data'!F:F = F157
                  ) /
                  FILTER('Raw PhocalPoint Data'!G:G,
                    'Raw PhocalPoint Data'!A:A = 2011,
       "&amp;"             'Raw PhocalPoint Data'!D:D = D157,
                    'Raw PhocalPoint Data'!E:E = E157,
                    'Raw PhocalPoint Data'!F:F = F157
                  ) - 1
                ) / 5
              )
            )
          )
        )
"&amp;"      )
    ),
    (
      FILTER('Raw PhocalPoint Data'!G:G,
        'Raw PhocalPoint Data'!A:A = 2009,
        'Raw PhocalPoint Data'!D:D = D157,
        'Raw PhocalPoint Data'!E:E = E157,
        'Raw PhocalPoint Data'!F:F = F157
      ) /
      PRODUC"&amp;"T(
        ARRAYFORMULA(
          (
            FILTER('Raw PhocalPoint Data'!G:G,
              'Raw PhocalPoint Data'!A:A = 2012,
              'Raw PhocalPoint Data'!D:D = D157,
              'Raw PhocalPoint Data'!E:E = E157,
              'Raw Phoca"&amp;"lPoint Data'!F:F = F157
            ) /
            FILTER('Raw PhocalPoint Data'!G:G,
              'Raw PhocalPoint Data'!A:A = 2011,
              'Raw PhocalPoint Data'!D:D = D157,
              'Raw PhocalPoint Data'!E:E = E157,
              'Raw Ph"&amp;"ocalPoint Data'!F:F = F157
            ) -
            (ROW(INDIRECT(""1:"" &amp; (2010 - A157))) - 1) *
            (
              (
                FILTER('Raw PhocalPoint Data'!G:G,
                  'Raw PhocalPoint Data'!A:A = 2012,
                  'R"&amp;"aw PhocalPoint Data'!D:D = D157,
                  'Raw PhocalPoint Data'!E:E = E157,
                  'Raw PhocalPoint Data'!F:F = F157
                ) /
                FILTER('Raw PhocalPoint Data'!G:G,
                  'Raw PhocalPoint Data'!A:A ="&amp;" 2011,
                  'Raw PhocalPoint Data'!D:D = D157,
                  'Raw PhocalPoint Data'!E:E = E157,
                  'Raw PhocalPoint Data'!F:F = F157
                ) - 1
              ) / 5
            )
          )
        )
      )
    "&amp;") *
    INDEX('Raw GDP data'!$I$2:$M$100,
      MATCH(D157, 'Raw GDP data'!$H$2:$H$100, 0),
      MATCH(A157, 'Raw GDP data'!$I$1:$M$1, 0)
    )
  )),
  """"
)
"),316470173.650454)</f>
        <v>316470173.65045398</v>
      </c>
      <c r="H157" s="86"/>
      <c r="I157" s="87">
        <f ca="1">IFERROR(__xludf.DUMMYFUNCTION("""COMPUTED_VALUE"""),2008)</f>
        <v>2008</v>
      </c>
      <c r="J157" s="88" t="str">
        <f ca="1">IFERROR(__xludf.DUMMYFUNCTION("""COMPUTED_VALUE"""),"Rest of Middle East")</f>
        <v>Rest of Middle East</v>
      </c>
      <c r="K157" s="89">
        <f ca="1">IFERROR(
  SUMIFS(
    'New Backfilled Data'!G:G,
    'New Backfilled Data'!A:A, I157,
    'New Backfilled Data'!D:D, J157,
    'New Backfilled Data'!E:E, "Online"
  ) /
  SUMIFS(
    'New Backfilled Data'!G:G,
    'New Backfilled Data'!A:A, I157,
    'New Backfilled Data'!D:D, J157
  ),
  ""
)</f>
        <v>5.2187040736265775E-2</v>
      </c>
      <c r="L157" s="90"/>
      <c r="M157" s="90"/>
    </row>
    <row r="158" spans="1:13" ht="17" x14ac:dyDescent="0.2">
      <c r="A158" s="37">
        <v>2006</v>
      </c>
      <c r="B158" s="38" t="s">
        <v>66</v>
      </c>
      <c r="C158" s="38" t="s">
        <v>4</v>
      </c>
      <c r="D158" s="38" t="s">
        <v>15</v>
      </c>
      <c r="E158" s="38" t="s">
        <v>69</v>
      </c>
      <c r="F158" s="38" t="s">
        <v>70</v>
      </c>
      <c r="G158" s="79">
        <f ca="1">IFERROR(__xludf.DUMMYFUNCTION("IFERROR(
  IF(A158 = 2008,
    IF(E158 = ""Online"",
      FILTER('Raw PhocalPoint Data'!G:G,
        'Raw PhocalPoint Data'!A:A = 2009,
        'Raw PhocalPoint Data'!D:D = D158,
        'Raw PhocalPoint Data'!E:E = E158,
        'Raw PhocalPoint Data'!F"&amp;":F = F158
      ) /
      (
        FILTER('Raw PhocalPoint Data'!G:G,
          'Raw PhocalPoint Data'!A:A = 2012,
          'Raw PhocalPoint Data'!D:D = D158,
          'Raw PhocalPoint Data'!E:E = E158,
          'Raw PhocalPoint Data'!F:F = F158
     "&amp;"   ) /
        FILTER('Raw PhocalPoint Data'!G:G,
          'Raw PhocalPoint Data'!A:A = 2011,
          'Raw PhocalPoint Data'!D:D = D158,
          'Raw PhocalPoint Data'!E:E = E158,
          'Raw PhocalPoint Data'!F:F = F158
        )
      ),
      F"&amp;"ILTER('Raw PhocalPoint Data'!G:G,
        'Raw PhocalPoint Data'!A:A = 2009,
        'Raw PhocalPoint Data'!D:D = D158,
        'Raw PhocalPoint Data'!E:E = E158,
        'Raw PhocalPoint Data'!F:F = F158
      ) *
      (
        INDEX('Raw GDP data'!$I$"&amp;"2:$M$100,
          MATCH(D158, 'Raw GDP data'!$H$2:$H$100, 0),
          MATCH(2008, 'Raw GDP data'!$I$1:$M$1, 0)
        ) /
        INDEX('Raw GDP data'!$I$2:$M$100,
          MATCH(D158, 'Raw GDP data'!$H$2:$H$100, 0),
          MATCH(2009, 'Raw GDP d"&amp;"ata'!$I$1:$M$1, 0)
        )
      )
    ),
  IF(A158 &lt; 2008,
    (
      FILTER(G:G,
        A:A = 2008,
        D:D = D158,
        E:E = E158,
        F:F = F158
      ) /
      PRODUCT(
        ARRAYFORMULA(
          (
            (
              FIL"&amp;"TER('Raw PhocalPoint Data'!G:G,
                'Raw PhocalPoint Data'!A:A = 2012,
                'Raw PhocalPoint Data'!D:D = D158,
                'Raw PhocalPoint Data'!E:E = E158,
                'Raw PhocalPoint Data'!F:F = F158
              ) /
  "&amp;"            FILTER('Raw PhocalPoint Data'!G:G,
                'Raw PhocalPoint Data'!A:A = 2011,
                'Raw PhocalPoint Data'!D:D = D158,
                'Raw PhocalPoint Data'!E:E = E158,
                'Raw PhocalPoint Data'!F:F = F158
     "&amp;"         ) -
              ROW(INDIRECT(""1:"" &amp; (2008 - A158))) *
              (
                (
                  FILTER('Raw PhocalPoint Data'!G:G,
                    'Raw PhocalPoint Data'!A:A = 2012,
                    'Raw PhocalPoint Data'!D:D"&amp;" = D158,
                    'Raw PhocalPoint Data'!E:E = E158,
                    'Raw PhocalPoint Data'!F:F = F158
                  ) /
                  FILTER('Raw PhocalPoint Data'!G:G,
                    'Raw PhocalPoint Data'!A:A = 2011,
       "&amp;"             'Raw PhocalPoint Data'!D:D = D158,
                    'Raw PhocalPoint Data'!E:E = E158,
                    'Raw PhocalPoint Data'!F:F = F158
                  ) - 1
                ) / 5
              )
            )
          )
        )
"&amp;"      )
    ),
    (
      FILTER('Raw PhocalPoint Data'!G:G,
        'Raw PhocalPoint Data'!A:A = 2009,
        'Raw PhocalPoint Data'!D:D = D158,
        'Raw PhocalPoint Data'!E:E = E158,
        'Raw PhocalPoint Data'!F:F = F158
      ) /
      PRODUC"&amp;"T(
        ARRAYFORMULA(
          (
            FILTER('Raw PhocalPoint Data'!G:G,
              'Raw PhocalPoint Data'!A:A = 2012,
              'Raw PhocalPoint Data'!D:D = D158,
              'Raw PhocalPoint Data'!E:E = E158,
              'Raw Phoca"&amp;"lPoint Data'!F:F = F158
            ) /
            FILTER('Raw PhocalPoint Data'!G:G,
              'Raw PhocalPoint Data'!A:A = 2011,
              'Raw PhocalPoint Data'!D:D = D158,
              'Raw PhocalPoint Data'!E:E = E158,
              'Raw Ph"&amp;"ocalPoint Data'!F:F = F158
            ) -
            (ROW(INDIRECT(""1:"" &amp; (2010 - A158))) - 1) *
            (
              (
                FILTER('Raw PhocalPoint Data'!G:G,
                  'Raw PhocalPoint Data'!A:A = 2012,
                  'R"&amp;"aw PhocalPoint Data'!D:D = D158,
                  'Raw PhocalPoint Data'!E:E = E158,
                  'Raw PhocalPoint Data'!F:F = F158
                ) /
                FILTER('Raw PhocalPoint Data'!G:G,
                  'Raw PhocalPoint Data'!A:A ="&amp;" 2011,
                  'Raw PhocalPoint Data'!D:D = D158,
                  'Raw PhocalPoint Data'!E:E = E158,
                  'Raw PhocalPoint Data'!F:F = F158
                ) - 1
              ) / 5
            )
          )
        )
      )
    "&amp;") *
    INDEX('Raw GDP data'!$I$2:$M$100,
      MATCH(D158, 'Raw GDP data'!$H$2:$H$100, 0),
      MATCH(A158, 'Raw GDP data'!$I$1:$M$1, 0)
    )
  )),
  """"
)
"),623658746.796522)</f>
        <v>623658746.79652202</v>
      </c>
      <c r="H158" s="80"/>
      <c r="I158" s="81">
        <f ca="1">IFERROR(__xludf.DUMMYFUNCTION("""COMPUTED_VALUE"""),2008)</f>
        <v>2008</v>
      </c>
      <c r="J158" s="82" t="str">
        <f ca="1">IFERROR(__xludf.DUMMYFUNCTION("""COMPUTED_VALUE"""),"Saudi Arabia")</f>
        <v>Saudi Arabia</v>
      </c>
      <c r="K158" s="83">
        <f ca="1">IFERROR(
  SUMIFS(
    'New Backfilled Data'!G:G,
    'New Backfilled Data'!A:A, I158,
    'New Backfilled Data'!D:D, J158,
    'New Backfilled Data'!E:E, "Online"
  ) /
  SUMIFS(
    'New Backfilled Data'!G:G,
    'New Backfilled Data'!A:A, I158,
    'New Backfilled Data'!D:D, J158
  ),
  ""
)</f>
        <v>7.8949512966181065E-2</v>
      </c>
      <c r="L158" s="84"/>
      <c r="M158" s="84"/>
    </row>
    <row r="159" spans="1:13" ht="17" x14ac:dyDescent="0.2">
      <c r="A159" s="44">
        <v>2006</v>
      </c>
      <c r="B159" s="45" t="s">
        <v>66</v>
      </c>
      <c r="C159" s="45" t="s">
        <v>17</v>
      </c>
      <c r="D159" s="45" t="s">
        <v>16</v>
      </c>
      <c r="E159" s="45" t="s">
        <v>67</v>
      </c>
      <c r="F159" s="45" t="s">
        <v>67</v>
      </c>
      <c r="G159" s="85">
        <f ca="1">IFERROR(__xludf.DUMMYFUNCTION("IFERROR(
  IF(A159 = 2008,
    IF(E159 = ""Online"",
      FILTER('Raw PhocalPoint Data'!G:G,
        'Raw PhocalPoint Data'!A:A = 2009,
        'Raw PhocalPoint Data'!D:D = D159,
        'Raw PhocalPoint Data'!E:E = E159,
        'Raw PhocalPoint Data'!F"&amp;":F = F159
      ) /
      (
        FILTER('Raw PhocalPoint Data'!G:G,
          'Raw PhocalPoint Data'!A:A = 2012,
          'Raw PhocalPoint Data'!D:D = D159,
          'Raw PhocalPoint Data'!E:E = E159,
          'Raw PhocalPoint Data'!F:F = F159
     "&amp;"   ) /
        FILTER('Raw PhocalPoint Data'!G:G,
          'Raw PhocalPoint Data'!A:A = 2011,
          'Raw PhocalPoint Data'!D:D = D159,
          'Raw PhocalPoint Data'!E:E = E159,
          'Raw PhocalPoint Data'!F:F = F159
        )
      ),
      F"&amp;"ILTER('Raw PhocalPoint Data'!G:G,
        'Raw PhocalPoint Data'!A:A = 2009,
        'Raw PhocalPoint Data'!D:D = D159,
        'Raw PhocalPoint Data'!E:E = E159,
        'Raw PhocalPoint Data'!F:F = F159
      ) *
      (
        INDEX('Raw GDP data'!$I$"&amp;"2:$M$100,
          MATCH(D159, 'Raw GDP data'!$H$2:$H$100, 0),
          MATCH(2008, 'Raw GDP data'!$I$1:$M$1, 0)
        ) /
        INDEX('Raw GDP data'!$I$2:$M$100,
          MATCH(D159, 'Raw GDP data'!$H$2:$H$100, 0),
          MATCH(2009, 'Raw GDP d"&amp;"ata'!$I$1:$M$1, 0)
        )
      )
    ),
  IF(A159 &lt; 2008,
    (
      FILTER(G:G,
        A:A = 2008,
        D:D = D159,
        E:E = E159,
        F:F = F159
      ) /
      PRODUCT(
        ARRAYFORMULA(
          (
            (
              FIL"&amp;"TER('Raw PhocalPoint Data'!G:G,
                'Raw PhocalPoint Data'!A:A = 2012,
                'Raw PhocalPoint Data'!D:D = D159,
                'Raw PhocalPoint Data'!E:E = E159,
                'Raw PhocalPoint Data'!F:F = F159
              ) /
  "&amp;"            FILTER('Raw PhocalPoint Data'!G:G,
                'Raw PhocalPoint Data'!A:A = 2011,
                'Raw PhocalPoint Data'!D:D = D159,
                'Raw PhocalPoint Data'!E:E = E159,
                'Raw PhocalPoint Data'!F:F = F159
     "&amp;"         ) -
              ROW(INDIRECT(""1:"" &amp; (2008 - A159))) *
              (
                (
                  FILTER('Raw PhocalPoint Data'!G:G,
                    'Raw PhocalPoint Data'!A:A = 2012,
                    'Raw PhocalPoint Data'!D:D"&amp;" = D159,
                    'Raw PhocalPoint Data'!E:E = E159,
                    'Raw PhocalPoint Data'!F:F = F159
                  ) /
                  FILTER('Raw PhocalPoint Data'!G:G,
                    'Raw PhocalPoint Data'!A:A = 2011,
       "&amp;"             'Raw PhocalPoint Data'!D:D = D159,
                    'Raw PhocalPoint Data'!E:E = E159,
                    'Raw PhocalPoint Data'!F:F = F159
                  ) - 1
                ) / 5
              )
            )
          )
        )
"&amp;"      )
    ),
    (
      FILTER('Raw PhocalPoint Data'!G:G,
        'Raw PhocalPoint Data'!A:A = 2009,
        'Raw PhocalPoint Data'!D:D = D159,
        'Raw PhocalPoint Data'!E:E = E159,
        'Raw PhocalPoint Data'!F:F = F159
      ) /
      PRODUC"&amp;"T(
        ARRAYFORMULA(
          (
            FILTER('Raw PhocalPoint Data'!G:G,
              'Raw PhocalPoint Data'!A:A = 2012,
              'Raw PhocalPoint Data'!D:D = D159,
              'Raw PhocalPoint Data'!E:E = E159,
              'Raw Phoca"&amp;"lPoint Data'!F:F = F159
            ) /
            FILTER('Raw PhocalPoint Data'!G:G,
              'Raw PhocalPoint Data'!A:A = 2011,
              'Raw PhocalPoint Data'!D:D = D159,
              'Raw PhocalPoint Data'!E:E = E159,
              'Raw Ph"&amp;"ocalPoint Data'!F:F = F159
            ) -
            (ROW(INDIRECT(""1:"" &amp; (2010 - A159))) - 1) *
            (
              (
                FILTER('Raw PhocalPoint Data'!G:G,
                  'Raw PhocalPoint Data'!A:A = 2012,
                  'R"&amp;"aw PhocalPoint Data'!D:D = D159,
                  'Raw PhocalPoint Data'!E:E = E159,
                  'Raw PhocalPoint Data'!F:F = F159
                ) /
                FILTER('Raw PhocalPoint Data'!G:G,
                  'Raw PhocalPoint Data'!A:A ="&amp;" 2011,
                  'Raw PhocalPoint Data'!D:D = D159,
                  'Raw PhocalPoint Data'!E:E = E159,
                  'Raw PhocalPoint Data'!F:F = F159
                ) - 1
              ) / 5
            )
          )
        )
      )
    "&amp;") *
    INDEX('Raw GDP data'!$I$2:$M$100,
      MATCH(D159, 'Raw GDP data'!$H$2:$H$100, 0),
      MATCH(A159, 'Raw GDP data'!$I$1:$M$1, 0)
    )
  )),
  """"
)
"),1334300989.05909)</f>
        <v>1334300989.0590899</v>
      </c>
      <c r="H159" s="86"/>
      <c r="I159" s="87">
        <f ca="1">IFERROR(__xludf.DUMMYFUNCTION("""COMPUTED_VALUE"""),2008)</f>
        <v>2008</v>
      </c>
      <c r="J159" s="88" t="str">
        <f ca="1">IFERROR(__xludf.DUMMYFUNCTION("""COMPUTED_VALUE"""),"U.A.E.")</f>
        <v>U.A.E.</v>
      </c>
      <c r="K159" s="89">
        <f ca="1">IFERROR(
  SUMIFS(
    'New Backfilled Data'!G:G,
    'New Backfilled Data'!A:A, I159,
    'New Backfilled Data'!D:D, J159,
    'New Backfilled Data'!E:E, "Online"
  ) /
  SUMIFS(
    'New Backfilled Data'!G:G,
    'New Backfilled Data'!A:A, I159,
    'New Backfilled Data'!D:D, J159
  ),
  ""
)</f>
        <v>9.8734246456881031E-2</v>
      </c>
      <c r="L159" s="90"/>
      <c r="M159" s="90"/>
    </row>
    <row r="160" spans="1:13" ht="17" x14ac:dyDescent="0.2">
      <c r="A160" s="37">
        <v>2006</v>
      </c>
      <c r="B160" s="38" t="s">
        <v>66</v>
      </c>
      <c r="C160" s="38" t="s">
        <v>17</v>
      </c>
      <c r="D160" s="38" t="s">
        <v>16</v>
      </c>
      <c r="E160" s="38" t="s">
        <v>69</v>
      </c>
      <c r="F160" s="38" t="s">
        <v>71</v>
      </c>
      <c r="G160" s="79">
        <f ca="1">IFERROR(__xludf.DUMMYFUNCTION("IFERROR(
  IF(A160 = 2008,
    IF(E160 = ""Online"",
      FILTER('Raw PhocalPoint Data'!G:G,
        'Raw PhocalPoint Data'!A:A = 2009,
        'Raw PhocalPoint Data'!D:D = D160,
        'Raw PhocalPoint Data'!E:E = E160,
        'Raw PhocalPoint Data'!F"&amp;":F = F160
      ) /
      (
        FILTER('Raw PhocalPoint Data'!G:G,
          'Raw PhocalPoint Data'!A:A = 2012,
          'Raw PhocalPoint Data'!D:D = D160,
          'Raw PhocalPoint Data'!E:E = E160,
          'Raw PhocalPoint Data'!F:F = F160
     "&amp;"   ) /
        FILTER('Raw PhocalPoint Data'!G:G,
          'Raw PhocalPoint Data'!A:A = 2011,
          'Raw PhocalPoint Data'!D:D = D160,
          'Raw PhocalPoint Data'!E:E = E160,
          'Raw PhocalPoint Data'!F:F = F160
        )
      ),
      F"&amp;"ILTER('Raw PhocalPoint Data'!G:G,
        'Raw PhocalPoint Data'!A:A = 2009,
        'Raw PhocalPoint Data'!D:D = D160,
        'Raw PhocalPoint Data'!E:E = E160,
        'Raw PhocalPoint Data'!F:F = F160
      ) *
      (
        INDEX('Raw GDP data'!$I$"&amp;"2:$M$100,
          MATCH(D160, 'Raw GDP data'!$H$2:$H$100, 0),
          MATCH(2008, 'Raw GDP data'!$I$1:$M$1, 0)
        ) /
        INDEX('Raw GDP data'!$I$2:$M$100,
          MATCH(D160, 'Raw GDP data'!$H$2:$H$100, 0),
          MATCH(2009, 'Raw GDP d"&amp;"ata'!$I$1:$M$1, 0)
        )
      )
    ),
  IF(A160 &lt; 2008,
    (
      FILTER(G:G,
        A:A = 2008,
        D:D = D160,
        E:E = E160,
        F:F = F160
      ) /
      PRODUCT(
        ARRAYFORMULA(
          (
            (
              FIL"&amp;"TER('Raw PhocalPoint Data'!G:G,
                'Raw PhocalPoint Data'!A:A = 2012,
                'Raw PhocalPoint Data'!D:D = D160,
                'Raw PhocalPoint Data'!E:E = E160,
                'Raw PhocalPoint Data'!F:F = F160
              ) /
  "&amp;"            FILTER('Raw PhocalPoint Data'!G:G,
                'Raw PhocalPoint Data'!A:A = 2011,
                'Raw PhocalPoint Data'!D:D = D160,
                'Raw PhocalPoint Data'!E:E = E160,
                'Raw PhocalPoint Data'!F:F = F160
     "&amp;"         ) -
              ROW(INDIRECT(""1:"" &amp; (2008 - A160))) *
              (
                (
                  FILTER('Raw PhocalPoint Data'!G:G,
                    'Raw PhocalPoint Data'!A:A = 2012,
                    'Raw PhocalPoint Data'!D:D"&amp;" = D160,
                    'Raw PhocalPoint Data'!E:E = E160,
                    'Raw PhocalPoint Data'!F:F = F160
                  ) /
                  FILTER('Raw PhocalPoint Data'!G:G,
                    'Raw PhocalPoint Data'!A:A = 2011,
       "&amp;"             'Raw PhocalPoint Data'!D:D = D160,
                    'Raw PhocalPoint Data'!E:E = E160,
                    'Raw PhocalPoint Data'!F:F = F160
                  ) - 1
                ) / 5
              )
            )
          )
        )
"&amp;"      )
    ),
    (
      FILTER('Raw PhocalPoint Data'!G:G,
        'Raw PhocalPoint Data'!A:A = 2009,
        'Raw PhocalPoint Data'!D:D = D160,
        'Raw PhocalPoint Data'!E:E = E160,
        'Raw PhocalPoint Data'!F:F = F160
      ) /
      PRODUC"&amp;"T(
        ARRAYFORMULA(
          (
            FILTER('Raw PhocalPoint Data'!G:G,
              'Raw PhocalPoint Data'!A:A = 2012,
              'Raw PhocalPoint Data'!D:D = D160,
              'Raw PhocalPoint Data'!E:E = E160,
              'Raw Phoca"&amp;"lPoint Data'!F:F = F160
            ) /
            FILTER('Raw PhocalPoint Data'!G:G,
              'Raw PhocalPoint Data'!A:A = 2011,
              'Raw PhocalPoint Data'!D:D = D160,
              'Raw PhocalPoint Data'!E:E = E160,
              'Raw Ph"&amp;"ocalPoint Data'!F:F = F160
            ) -
            (ROW(INDIRECT(""1:"" &amp; (2010 - A160))) - 1) *
            (
              (
                FILTER('Raw PhocalPoint Data'!G:G,
                  'Raw PhocalPoint Data'!A:A = 2012,
                  'R"&amp;"aw PhocalPoint Data'!D:D = D160,
                  'Raw PhocalPoint Data'!E:E = E160,
                  'Raw PhocalPoint Data'!F:F = F160
                ) /
                FILTER('Raw PhocalPoint Data'!G:G,
                  'Raw PhocalPoint Data'!A:A ="&amp;" 2011,
                  'Raw PhocalPoint Data'!D:D = D160,
                  'Raw PhocalPoint Data'!E:E = E160,
                  'Raw PhocalPoint Data'!F:F = F160
                ) - 1
              ) / 5
            )
          )
        )
      )
    "&amp;") *
    INDEX('Raw GDP data'!$I$2:$M$100,
      MATCH(D160, 'Raw GDP data'!$H$2:$H$100, 0),
      MATCH(A160, 'Raw GDP data'!$I$1:$M$1, 0)
    )
  )),
  """"
)
"),9058481.0218756)</f>
        <v>9058481.0218755994</v>
      </c>
      <c r="H160" s="80"/>
      <c r="I160" s="81">
        <f ca="1">IFERROR(__xludf.DUMMYFUNCTION("""COMPUTED_VALUE"""),2008)</f>
        <v>2008</v>
      </c>
      <c r="J160" s="82" t="str">
        <f ca="1">IFERROR(__xludf.DUMMYFUNCTION("""COMPUTED_VALUE"""),"Canada")</f>
        <v>Canada</v>
      </c>
      <c r="K160" s="83">
        <f ca="1">IFERROR(
  SUMIFS(
    'New Backfilled Data'!G:G,
    'New Backfilled Data'!A:A, I160,
    'New Backfilled Data'!D:D, J160,
    'New Backfilled Data'!E:E, "Online"
  ) /
  SUMIFS(
    'New Backfilled Data'!G:G,
    'New Backfilled Data'!A:A, I160,
    'New Backfilled Data'!D:D, J160
  ),
  ""
)</f>
        <v>0.31357535052269342</v>
      </c>
      <c r="L160" s="84"/>
      <c r="M160" s="84"/>
    </row>
    <row r="161" spans="1:13" ht="17" x14ac:dyDescent="0.2">
      <c r="A161" s="44">
        <v>2006</v>
      </c>
      <c r="B161" s="45" t="s">
        <v>66</v>
      </c>
      <c r="C161" s="45" t="s">
        <v>17</v>
      </c>
      <c r="D161" s="45" t="s">
        <v>16</v>
      </c>
      <c r="E161" s="45" t="s">
        <v>69</v>
      </c>
      <c r="F161" s="45" t="s">
        <v>70</v>
      </c>
      <c r="G161" s="85">
        <f ca="1">IFERROR(__xludf.DUMMYFUNCTION("IFERROR(
  IF(A161 = 2008,
    IF(E161 = ""Online"",
      FILTER('Raw PhocalPoint Data'!G:G,
        'Raw PhocalPoint Data'!A:A = 2009,
        'Raw PhocalPoint Data'!D:D = D161,
        'Raw PhocalPoint Data'!E:E = E161,
        'Raw PhocalPoint Data'!F"&amp;":F = F161
      ) /
      (
        FILTER('Raw PhocalPoint Data'!G:G,
          'Raw PhocalPoint Data'!A:A = 2012,
          'Raw PhocalPoint Data'!D:D = D161,
          'Raw PhocalPoint Data'!E:E = E161,
          'Raw PhocalPoint Data'!F:F = F161
     "&amp;"   ) /
        FILTER('Raw PhocalPoint Data'!G:G,
          'Raw PhocalPoint Data'!A:A = 2011,
          'Raw PhocalPoint Data'!D:D = D161,
          'Raw PhocalPoint Data'!E:E = E161,
          'Raw PhocalPoint Data'!F:F = F161
        )
      ),
      F"&amp;"ILTER('Raw PhocalPoint Data'!G:G,
        'Raw PhocalPoint Data'!A:A = 2009,
        'Raw PhocalPoint Data'!D:D = D161,
        'Raw PhocalPoint Data'!E:E = E161,
        'Raw PhocalPoint Data'!F:F = F161
      ) *
      (
        INDEX('Raw GDP data'!$I$"&amp;"2:$M$100,
          MATCH(D161, 'Raw GDP data'!$H$2:$H$100, 0),
          MATCH(2008, 'Raw GDP data'!$I$1:$M$1, 0)
        ) /
        INDEX('Raw GDP data'!$I$2:$M$100,
          MATCH(D161, 'Raw GDP data'!$H$2:$H$100, 0),
          MATCH(2009, 'Raw GDP d"&amp;"ata'!$I$1:$M$1, 0)
        )
      )
    ),
  IF(A161 &lt; 2008,
    (
      FILTER(G:G,
        A:A = 2008,
        D:D = D161,
        E:E = E161,
        F:F = F161
      ) /
      PRODUCT(
        ARRAYFORMULA(
          (
            (
              FIL"&amp;"TER('Raw PhocalPoint Data'!G:G,
                'Raw PhocalPoint Data'!A:A = 2012,
                'Raw PhocalPoint Data'!D:D = D161,
                'Raw PhocalPoint Data'!E:E = E161,
                'Raw PhocalPoint Data'!F:F = F161
              ) /
  "&amp;"            FILTER('Raw PhocalPoint Data'!G:G,
                'Raw PhocalPoint Data'!A:A = 2011,
                'Raw PhocalPoint Data'!D:D = D161,
                'Raw PhocalPoint Data'!E:E = E161,
                'Raw PhocalPoint Data'!F:F = F161
     "&amp;"         ) -
              ROW(INDIRECT(""1:"" &amp; (2008 - A161))) *
              (
                (
                  FILTER('Raw PhocalPoint Data'!G:G,
                    'Raw PhocalPoint Data'!A:A = 2012,
                    'Raw PhocalPoint Data'!D:D"&amp;" = D161,
                    'Raw PhocalPoint Data'!E:E = E161,
                    'Raw PhocalPoint Data'!F:F = F161
                  ) /
                  FILTER('Raw PhocalPoint Data'!G:G,
                    'Raw PhocalPoint Data'!A:A = 2011,
       "&amp;"             'Raw PhocalPoint Data'!D:D = D161,
                    'Raw PhocalPoint Data'!E:E = E161,
                    'Raw PhocalPoint Data'!F:F = F161
                  ) - 1
                ) / 5
              )
            )
          )
        )
"&amp;"      )
    ),
    (
      FILTER('Raw PhocalPoint Data'!G:G,
        'Raw PhocalPoint Data'!A:A = 2009,
        'Raw PhocalPoint Data'!D:D = D161,
        'Raw PhocalPoint Data'!E:E = E161,
        'Raw PhocalPoint Data'!F:F = F161
      ) /
      PRODUC"&amp;"T(
        ARRAYFORMULA(
          (
            FILTER('Raw PhocalPoint Data'!G:G,
              'Raw PhocalPoint Data'!A:A = 2012,
              'Raw PhocalPoint Data'!D:D = D161,
              'Raw PhocalPoint Data'!E:E = E161,
              'Raw Phoca"&amp;"lPoint Data'!F:F = F161
            ) /
            FILTER('Raw PhocalPoint Data'!G:G,
              'Raw PhocalPoint Data'!A:A = 2011,
              'Raw PhocalPoint Data'!D:D = D161,
              'Raw PhocalPoint Data'!E:E = E161,
              'Raw Ph"&amp;"ocalPoint Data'!F:F = F161
            ) -
            (ROW(INDIRECT(""1:"" &amp; (2010 - A161))) - 1) *
            (
              (
                FILTER('Raw PhocalPoint Data'!G:G,
                  'Raw PhocalPoint Data'!A:A = 2012,
                  'R"&amp;"aw PhocalPoint Data'!D:D = D161,
                  'Raw PhocalPoint Data'!E:E = E161,
                  'Raw PhocalPoint Data'!F:F = F161
                ) /
                FILTER('Raw PhocalPoint Data'!G:G,
                  'Raw PhocalPoint Data'!A:A ="&amp;" 2011,
                  'Raw PhocalPoint Data'!D:D = D161,
                  'Raw PhocalPoint Data'!E:E = E161,
                  'Raw PhocalPoint Data'!F:F = F161
                ) - 1
              ) / 5
            )
          )
        )
      )
    "&amp;") *
    INDEX('Raw GDP data'!$I$2:$M$100,
      MATCH(D161, 'Raw GDP data'!$H$2:$H$100, 0),
      MATCH(A161, 'Raw GDP data'!$I$1:$M$1, 0)
    )
  )),
  """"
)
"),45909502.2271812)</f>
        <v>45909502.227181204</v>
      </c>
      <c r="H161" s="86"/>
      <c r="I161" s="87">
        <f ca="1">IFERROR(__xludf.DUMMYFUNCTION("""COMPUTED_VALUE"""),2008)</f>
        <v>2008</v>
      </c>
      <c r="J161" s="88" t="str">
        <f ca="1">IFERROR(__xludf.DUMMYFUNCTION("""COMPUTED_VALUE"""),"U.S.")</f>
        <v>U.S.</v>
      </c>
      <c r="K161" s="89">
        <f ca="1">IFERROR(
  SUMIFS(
    'New Backfilled Data'!G:G,
    'New Backfilled Data'!A:A, I161,
    'New Backfilled Data'!D:D, J161,
    'New Backfilled Data'!E:E, "Online"
  ) /
  SUMIFS(
    'New Backfilled Data'!G:G,
    'New Backfilled Data'!A:A, I161,
    'New Backfilled Data'!D:D, J161
  ),
  ""
)</f>
        <v>0.18690904885026097</v>
      </c>
      <c r="L161" s="90"/>
      <c r="M161" s="90"/>
    </row>
    <row r="162" spans="1:13" ht="34" x14ac:dyDescent="0.2">
      <c r="A162" s="37">
        <v>2006</v>
      </c>
      <c r="B162" s="38" t="s">
        <v>66</v>
      </c>
      <c r="C162" s="38" t="s">
        <v>17</v>
      </c>
      <c r="D162" s="38" t="s">
        <v>18</v>
      </c>
      <c r="E162" s="38" t="s">
        <v>67</v>
      </c>
      <c r="F162" s="38" t="s">
        <v>67</v>
      </c>
      <c r="G162" s="79">
        <f ca="1">IFERROR(__xludf.DUMMYFUNCTION("IFERROR(
  IF(A162 = 2008,
    IF(E162 = ""Online"",
      FILTER('Raw PhocalPoint Data'!G:G,
        'Raw PhocalPoint Data'!A:A = 2009,
        'Raw PhocalPoint Data'!D:D = D162,
        'Raw PhocalPoint Data'!E:E = E162,
        'Raw PhocalPoint Data'!F"&amp;":F = F162
      ) /
      (
        FILTER('Raw PhocalPoint Data'!G:G,
          'Raw PhocalPoint Data'!A:A = 2012,
          'Raw PhocalPoint Data'!D:D = D162,
          'Raw PhocalPoint Data'!E:E = E162,
          'Raw PhocalPoint Data'!F:F = F162
     "&amp;"   ) /
        FILTER('Raw PhocalPoint Data'!G:G,
          'Raw PhocalPoint Data'!A:A = 2011,
          'Raw PhocalPoint Data'!D:D = D162,
          'Raw PhocalPoint Data'!E:E = E162,
          'Raw PhocalPoint Data'!F:F = F162
        )
      ),
      F"&amp;"ILTER('Raw PhocalPoint Data'!G:G,
        'Raw PhocalPoint Data'!A:A = 2009,
        'Raw PhocalPoint Data'!D:D = D162,
        'Raw PhocalPoint Data'!E:E = E162,
        'Raw PhocalPoint Data'!F:F = F162
      ) *
      (
        INDEX('Raw GDP data'!$I$"&amp;"2:$M$100,
          MATCH(D162, 'Raw GDP data'!$H$2:$H$100, 0),
          MATCH(2008, 'Raw GDP data'!$I$1:$M$1, 0)
        ) /
        INDEX('Raw GDP data'!$I$2:$M$100,
          MATCH(D162, 'Raw GDP data'!$H$2:$H$100, 0),
          MATCH(2009, 'Raw GDP d"&amp;"ata'!$I$1:$M$1, 0)
        )
      )
    ),
  IF(A162 &lt; 2008,
    (
      FILTER(G:G,
        A:A = 2008,
        D:D = D162,
        E:E = E162,
        F:F = F162
      ) /
      PRODUCT(
        ARRAYFORMULA(
          (
            (
              FIL"&amp;"TER('Raw PhocalPoint Data'!G:G,
                'Raw PhocalPoint Data'!A:A = 2012,
                'Raw PhocalPoint Data'!D:D = D162,
                'Raw PhocalPoint Data'!E:E = E162,
                'Raw PhocalPoint Data'!F:F = F162
              ) /
  "&amp;"            FILTER('Raw PhocalPoint Data'!G:G,
                'Raw PhocalPoint Data'!A:A = 2011,
                'Raw PhocalPoint Data'!D:D = D162,
                'Raw PhocalPoint Data'!E:E = E162,
                'Raw PhocalPoint Data'!F:F = F162
     "&amp;"         ) -
              ROW(INDIRECT(""1:"" &amp; (2008 - A162))) *
              (
                (
                  FILTER('Raw PhocalPoint Data'!G:G,
                    'Raw PhocalPoint Data'!A:A = 2012,
                    'Raw PhocalPoint Data'!D:D"&amp;" = D162,
                    'Raw PhocalPoint Data'!E:E = E162,
                    'Raw PhocalPoint Data'!F:F = F162
                  ) /
                  FILTER('Raw PhocalPoint Data'!G:G,
                    'Raw PhocalPoint Data'!A:A = 2011,
       "&amp;"             'Raw PhocalPoint Data'!D:D = D162,
                    'Raw PhocalPoint Data'!E:E = E162,
                    'Raw PhocalPoint Data'!F:F = F162
                  ) - 1
                ) / 5
              )
            )
          )
        )
"&amp;"      )
    ),
    (
      FILTER('Raw PhocalPoint Data'!G:G,
        'Raw PhocalPoint Data'!A:A = 2009,
        'Raw PhocalPoint Data'!D:D = D162,
        'Raw PhocalPoint Data'!E:E = E162,
        'Raw PhocalPoint Data'!F:F = F162
      ) /
      PRODUC"&amp;"T(
        ARRAYFORMULA(
          (
            FILTER('Raw PhocalPoint Data'!G:G,
              'Raw PhocalPoint Data'!A:A = 2012,
              'Raw PhocalPoint Data'!D:D = D162,
              'Raw PhocalPoint Data'!E:E = E162,
              'Raw Phoca"&amp;"lPoint Data'!F:F = F162
            ) /
            FILTER('Raw PhocalPoint Data'!G:G,
              'Raw PhocalPoint Data'!A:A = 2011,
              'Raw PhocalPoint Data'!D:D = D162,
              'Raw PhocalPoint Data'!E:E = E162,
              'Raw Ph"&amp;"ocalPoint Data'!F:F = F162
            ) -
            (ROW(INDIRECT(""1:"" &amp; (2010 - A162))) - 1) *
            (
              (
                FILTER('Raw PhocalPoint Data'!G:G,
                  'Raw PhocalPoint Data'!A:A = 2012,
                  'R"&amp;"aw PhocalPoint Data'!D:D = D162,
                  'Raw PhocalPoint Data'!E:E = E162,
                  'Raw PhocalPoint Data'!F:F = F162
                ) /
                FILTER('Raw PhocalPoint Data'!G:G,
                  'Raw PhocalPoint Data'!A:A ="&amp;" 2011,
                  'Raw PhocalPoint Data'!D:D = D162,
                  'Raw PhocalPoint Data'!E:E = E162,
                  'Raw PhocalPoint Data'!F:F = F162
                ) - 1
              ) / 5
            )
          )
        )
      )
    "&amp;") *
    INDEX('Raw GDP data'!$I$2:$M$100,
      MATCH(D162, 'Raw GDP data'!$H$2:$H$100, 0),
      MATCH(A162, 'Raw GDP data'!$I$1:$M$1, 0)
    )
  )),
  """"
)
"),3091933567.45135)</f>
        <v>3091933567.4513502</v>
      </c>
      <c r="H162" s="80"/>
      <c r="I162" s="81">
        <f ca="1">IFERROR(__xludf.DUMMYFUNCTION("""COMPUTED_VALUE"""),2009)</f>
        <v>2009</v>
      </c>
      <c r="J162" s="82" t="str">
        <f ca="1">IFERROR(__xludf.DUMMYFUNCTION("""COMPUTED_VALUE"""),"Australia-New Zealand")</f>
        <v>Australia-New Zealand</v>
      </c>
      <c r="K162" s="83">
        <f ca="1">IFERROR(
  SUMIFS(
    'New Backfilled Data'!G:G,
    'New Backfilled Data'!A:A, I162,
    'New Backfilled Data'!D:D, J162,
    'New Backfilled Data'!E:E, "Online"
  ) /
  SUMIFS(
    'New Backfilled Data'!G:G,
    'New Backfilled Data'!A:A, I162,
    'New Backfilled Data'!D:D, J162
  ),
  ""
)</f>
        <v>0.3201937226588828</v>
      </c>
      <c r="L162" s="84"/>
      <c r="M162" s="84"/>
    </row>
    <row r="163" spans="1:13" ht="17" x14ac:dyDescent="0.2">
      <c r="A163" s="44">
        <v>2006</v>
      </c>
      <c r="B163" s="45" t="s">
        <v>66</v>
      </c>
      <c r="C163" s="45" t="s">
        <v>17</v>
      </c>
      <c r="D163" s="45" t="s">
        <v>18</v>
      </c>
      <c r="E163" s="45" t="s">
        <v>69</v>
      </c>
      <c r="F163" s="45" t="s">
        <v>71</v>
      </c>
      <c r="G163" s="85">
        <f ca="1">IFERROR(__xludf.DUMMYFUNCTION("IFERROR(
  IF(A163 = 2008,
    IF(E163 = ""Online"",
      FILTER('Raw PhocalPoint Data'!G:G,
        'Raw PhocalPoint Data'!A:A = 2009,
        'Raw PhocalPoint Data'!D:D = D163,
        'Raw PhocalPoint Data'!E:E = E163,
        'Raw PhocalPoint Data'!F"&amp;":F = F163
      ) /
      (
        FILTER('Raw PhocalPoint Data'!G:G,
          'Raw PhocalPoint Data'!A:A = 2012,
          'Raw PhocalPoint Data'!D:D = D163,
          'Raw PhocalPoint Data'!E:E = E163,
          'Raw PhocalPoint Data'!F:F = F163
     "&amp;"   ) /
        FILTER('Raw PhocalPoint Data'!G:G,
          'Raw PhocalPoint Data'!A:A = 2011,
          'Raw PhocalPoint Data'!D:D = D163,
          'Raw PhocalPoint Data'!E:E = E163,
          'Raw PhocalPoint Data'!F:F = F163
        )
      ),
      F"&amp;"ILTER('Raw PhocalPoint Data'!G:G,
        'Raw PhocalPoint Data'!A:A = 2009,
        'Raw PhocalPoint Data'!D:D = D163,
        'Raw PhocalPoint Data'!E:E = E163,
        'Raw PhocalPoint Data'!F:F = F163
      ) *
      (
        INDEX('Raw GDP data'!$I$"&amp;"2:$M$100,
          MATCH(D163, 'Raw GDP data'!$H$2:$H$100, 0),
          MATCH(2008, 'Raw GDP data'!$I$1:$M$1, 0)
        ) /
        INDEX('Raw GDP data'!$I$2:$M$100,
          MATCH(D163, 'Raw GDP data'!$H$2:$H$100, 0),
          MATCH(2009, 'Raw GDP d"&amp;"ata'!$I$1:$M$1, 0)
        )
      )
    ),
  IF(A163 &lt; 2008,
    (
      FILTER(G:G,
        A:A = 2008,
        D:D = D163,
        E:E = E163,
        F:F = F163
      ) /
      PRODUCT(
        ARRAYFORMULA(
          (
            (
              FIL"&amp;"TER('Raw PhocalPoint Data'!G:G,
                'Raw PhocalPoint Data'!A:A = 2012,
                'Raw PhocalPoint Data'!D:D = D163,
                'Raw PhocalPoint Data'!E:E = E163,
                'Raw PhocalPoint Data'!F:F = F163
              ) /
  "&amp;"            FILTER('Raw PhocalPoint Data'!G:G,
                'Raw PhocalPoint Data'!A:A = 2011,
                'Raw PhocalPoint Data'!D:D = D163,
                'Raw PhocalPoint Data'!E:E = E163,
                'Raw PhocalPoint Data'!F:F = F163
     "&amp;"         ) -
              ROW(INDIRECT(""1:"" &amp; (2008 - A163))) *
              (
                (
                  FILTER('Raw PhocalPoint Data'!G:G,
                    'Raw PhocalPoint Data'!A:A = 2012,
                    'Raw PhocalPoint Data'!D:D"&amp;" = D163,
                    'Raw PhocalPoint Data'!E:E = E163,
                    'Raw PhocalPoint Data'!F:F = F163
                  ) /
                  FILTER('Raw PhocalPoint Data'!G:G,
                    'Raw PhocalPoint Data'!A:A = 2011,
       "&amp;"             'Raw PhocalPoint Data'!D:D = D163,
                    'Raw PhocalPoint Data'!E:E = E163,
                    'Raw PhocalPoint Data'!F:F = F163
                  ) - 1
                ) / 5
              )
            )
          )
        )
"&amp;"      )
    ),
    (
      FILTER('Raw PhocalPoint Data'!G:G,
        'Raw PhocalPoint Data'!A:A = 2009,
        'Raw PhocalPoint Data'!D:D = D163,
        'Raw PhocalPoint Data'!E:E = E163,
        'Raw PhocalPoint Data'!F:F = F163
      ) /
      PRODUC"&amp;"T(
        ARRAYFORMULA(
          (
            FILTER('Raw PhocalPoint Data'!G:G,
              'Raw PhocalPoint Data'!A:A = 2012,
              'Raw PhocalPoint Data'!D:D = D163,
              'Raw PhocalPoint Data'!E:E = E163,
              'Raw Phoca"&amp;"lPoint Data'!F:F = F163
            ) /
            FILTER('Raw PhocalPoint Data'!G:G,
              'Raw PhocalPoint Data'!A:A = 2011,
              'Raw PhocalPoint Data'!D:D = D163,
              'Raw PhocalPoint Data'!E:E = E163,
              'Raw Ph"&amp;"ocalPoint Data'!F:F = F163
            ) -
            (ROW(INDIRECT(""1:"" &amp; (2010 - A163))) - 1) *
            (
              (
                FILTER('Raw PhocalPoint Data'!G:G,
                  'Raw PhocalPoint Data'!A:A = 2012,
                  'R"&amp;"aw PhocalPoint Data'!D:D = D163,
                  'Raw PhocalPoint Data'!E:E = E163,
                  'Raw PhocalPoint Data'!F:F = F163
                ) /
                FILTER('Raw PhocalPoint Data'!G:G,
                  'Raw PhocalPoint Data'!A:A ="&amp;" 2011,
                  'Raw PhocalPoint Data'!D:D = D163,
                  'Raw PhocalPoint Data'!E:E = E163,
                  'Raw PhocalPoint Data'!F:F = F163
                ) - 1
              ) / 5
            )
          )
        )
      )
    "&amp;") *
    INDEX('Raw GDP data'!$I$2:$M$100,
      MATCH(D163, 'Raw GDP data'!$H$2:$H$100, 0),
      MATCH(A163, 'Raw GDP data'!$I$1:$M$1, 0)
    )
  )),
  """"
)
"),209727731.802509)</f>
        <v>209727731.80250901</v>
      </c>
      <c r="H163" s="86"/>
      <c r="I163" s="87">
        <f ca="1">IFERROR(__xludf.DUMMYFUNCTION("""COMPUTED_VALUE"""),2009)</f>
        <v>2009</v>
      </c>
      <c r="J163" s="88" t="str">
        <f ca="1">IFERROR(__xludf.DUMMYFUNCTION("""COMPUTED_VALUE"""),"China")</f>
        <v>China</v>
      </c>
      <c r="K163" s="89">
        <f ca="1">IFERROR(
  SUMIFS(
    'New Backfilled Data'!G:G,
    'New Backfilled Data'!A:A, I163,
    'New Backfilled Data'!D:D, J163,
    'New Backfilled Data'!E:E, "Online"
  ) /
  SUMIFS(
    'New Backfilled Data'!G:G,
    'New Backfilled Data'!A:A, I163,
    'New Backfilled Data'!D:D, J163
  ),
  ""
)</f>
        <v>6.3121898975214349E-2</v>
      </c>
      <c r="L163" s="90"/>
      <c r="M163" s="90"/>
    </row>
    <row r="164" spans="1:13" ht="17" x14ac:dyDescent="0.2">
      <c r="A164" s="37">
        <v>2006</v>
      </c>
      <c r="B164" s="38" t="s">
        <v>66</v>
      </c>
      <c r="C164" s="38" t="s">
        <v>17</v>
      </c>
      <c r="D164" s="38" t="s">
        <v>18</v>
      </c>
      <c r="E164" s="38" t="s">
        <v>69</v>
      </c>
      <c r="F164" s="38" t="s">
        <v>70</v>
      </c>
      <c r="G164" s="79">
        <f ca="1">IFERROR(__xludf.DUMMYFUNCTION("IFERROR(
  IF(A164 = 2008,
    IF(E164 = ""Online"",
      FILTER('Raw PhocalPoint Data'!G:G,
        'Raw PhocalPoint Data'!A:A = 2009,
        'Raw PhocalPoint Data'!D:D = D164,
        'Raw PhocalPoint Data'!E:E = E164,
        'Raw PhocalPoint Data'!F"&amp;":F = F164
      ) /
      (
        FILTER('Raw PhocalPoint Data'!G:G,
          'Raw PhocalPoint Data'!A:A = 2012,
          'Raw PhocalPoint Data'!D:D = D164,
          'Raw PhocalPoint Data'!E:E = E164,
          'Raw PhocalPoint Data'!F:F = F164
     "&amp;"   ) /
        FILTER('Raw PhocalPoint Data'!G:G,
          'Raw PhocalPoint Data'!A:A = 2011,
          'Raw PhocalPoint Data'!D:D = D164,
          'Raw PhocalPoint Data'!E:E = E164,
          'Raw PhocalPoint Data'!F:F = F164
        )
      ),
      F"&amp;"ILTER('Raw PhocalPoint Data'!G:G,
        'Raw PhocalPoint Data'!A:A = 2009,
        'Raw PhocalPoint Data'!D:D = D164,
        'Raw PhocalPoint Data'!E:E = E164,
        'Raw PhocalPoint Data'!F:F = F164
      ) *
      (
        INDEX('Raw GDP data'!$I$"&amp;"2:$M$100,
          MATCH(D164, 'Raw GDP data'!$H$2:$H$100, 0),
          MATCH(2008, 'Raw GDP data'!$I$1:$M$1, 0)
        ) /
        INDEX('Raw GDP data'!$I$2:$M$100,
          MATCH(D164, 'Raw GDP data'!$H$2:$H$100, 0),
          MATCH(2009, 'Raw GDP d"&amp;"ata'!$I$1:$M$1, 0)
        )
      )
    ),
  IF(A164 &lt; 2008,
    (
      FILTER(G:G,
        A:A = 2008,
        D:D = D164,
        E:E = E164,
        F:F = F164
      ) /
      PRODUCT(
        ARRAYFORMULA(
          (
            (
              FIL"&amp;"TER('Raw PhocalPoint Data'!G:G,
                'Raw PhocalPoint Data'!A:A = 2012,
                'Raw PhocalPoint Data'!D:D = D164,
                'Raw PhocalPoint Data'!E:E = E164,
                'Raw PhocalPoint Data'!F:F = F164
              ) /
  "&amp;"            FILTER('Raw PhocalPoint Data'!G:G,
                'Raw PhocalPoint Data'!A:A = 2011,
                'Raw PhocalPoint Data'!D:D = D164,
                'Raw PhocalPoint Data'!E:E = E164,
                'Raw PhocalPoint Data'!F:F = F164
     "&amp;"         ) -
              ROW(INDIRECT(""1:"" &amp; (2008 - A164))) *
              (
                (
                  FILTER('Raw PhocalPoint Data'!G:G,
                    'Raw PhocalPoint Data'!A:A = 2012,
                    'Raw PhocalPoint Data'!D:D"&amp;" = D164,
                    'Raw PhocalPoint Data'!E:E = E164,
                    'Raw PhocalPoint Data'!F:F = F164
                  ) /
                  FILTER('Raw PhocalPoint Data'!G:G,
                    'Raw PhocalPoint Data'!A:A = 2011,
       "&amp;"             'Raw PhocalPoint Data'!D:D = D164,
                    'Raw PhocalPoint Data'!E:E = E164,
                    'Raw PhocalPoint Data'!F:F = F164
                  ) - 1
                ) / 5
              )
            )
          )
        )
"&amp;"      )
    ),
    (
      FILTER('Raw PhocalPoint Data'!G:G,
        'Raw PhocalPoint Data'!A:A = 2009,
        'Raw PhocalPoint Data'!D:D = D164,
        'Raw PhocalPoint Data'!E:E = E164,
        'Raw PhocalPoint Data'!F:F = F164
      ) /
      PRODUC"&amp;"T(
        ARRAYFORMULA(
          (
            FILTER('Raw PhocalPoint Data'!G:G,
              'Raw PhocalPoint Data'!A:A = 2012,
              'Raw PhocalPoint Data'!D:D = D164,
              'Raw PhocalPoint Data'!E:E = E164,
              'Raw Phoca"&amp;"lPoint Data'!F:F = F164
            ) /
            FILTER('Raw PhocalPoint Data'!G:G,
              'Raw PhocalPoint Data'!A:A = 2011,
              'Raw PhocalPoint Data'!D:D = D164,
              'Raw PhocalPoint Data'!E:E = E164,
              'Raw Ph"&amp;"ocalPoint Data'!F:F = F164
            ) -
            (ROW(INDIRECT(""1:"" &amp; (2010 - A164))) - 1) *
            (
              (
                FILTER('Raw PhocalPoint Data'!G:G,
                  'Raw PhocalPoint Data'!A:A = 2012,
                  'R"&amp;"aw PhocalPoint Data'!D:D = D164,
                  'Raw PhocalPoint Data'!E:E = E164,
                  'Raw PhocalPoint Data'!F:F = F164
                ) /
                FILTER('Raw PhocalPoint Data'!G:G,
                  'Raw PhocalPoint Data'!A:A ="&amp;" 2011,
                  'Raw PhocalPoint Data'!D:D = D164,
                  'Raw PhocalPoint Data'!E:E = E164,
                  'Raw PhocalPoint Data'!F:F = F164
                ) - 1
              ) / 5
            )
          )
        )
      )
    "&amp;") *
    INDEX('Raw GDP data'!$I$2:$M$100,
      MATCH(D164, 'Raw GDP data'!$H$2:$H$100, 0),
      MATCH(A164, 'Raw GDP data'!$I$1:$M$1, 0)
    )
  )),
  """"
)
"),169003030.558195)</f>
        <v>169003030.55819499</v>
      </c>
      <c r="H164" s="80"/>
      <c r="I164" s="81">
        <f ca="1">IFERROR(__xludf.DUMMYFUNCTION("""COMPUTED_VALUE"""),2009)</f>
        <v>2009</v>
      </c>
      <c r="J164" s="82" t="str">
        <f ca="1">IFERROR(__xludf.DUMMYFUNCTION("""COMPUTED_VALUE"""),"Hong Kong")</f>
        <v>Hong Kong</v>
      </c>
      <c r="K164" s="83">
        <f ca="1">IFERROR(
  SUMIFS(
    'New Backfilled Data'!G:G,
    'New Backfilled Data'!A:A, I164,
    'New Backfilled Data'!D:D, J164,
    'New Backfilled Data'!E:E, "Online"
  ) /
  SUMIFS(
    'New Backfilled Data'!G:G,
    'New Backfilled Data'!A:A, I164,
    'New Backfilled Data'!D:D, J164
  ),
  ""
)</f>
        <v>5.8393762447345579E-2</v>
      </c>
      <c r="L164" s="84"/>
      <c r="M164" s="84"/>
    </row>
    <row r="165" spans="1:13" ht="17" x14ac:dyDescent="0.2">
      <c r="A165" s="44">
        <v>2006</v>
      </c>
      <c r="B165" s="45" t="s">
        <v>66</v>
      </c>
      <c r="C165" s="45" t="s">
        <v>17</v>
      </c>
      <c r="D165" s="45" t="s">
        <v>19</v>
      </c>
      <c r="E165" s="45" t="s">
        <v>67</v>
      </c>
      <c r="F165" s="45" t="s">
        <v>67</v>
      </c>
      <c r="G165" s="85">
        <f ca="1">IFERROR(__xludf.DUMMYFUNCTION("IFERROR(
  IF(A165 = 2008,
    IF(E165 = ""Online"",
      FILTER('Raw PhocalPoint Data'!G:G,
        'Raw PhocalPoint Data'!A:A = 2009,
        'Raw PhocalPoint Data'!D:D = D165,
        'Raw PhocalPoint Data'!E:E = E165,
        'Raw PhocalPoint Data'!F"&amp;":F = F165
      ) /
      (
        FILTER('Raw PhocalPoint Data'!G:G,
          'Raw PhocalPoint Data'!A:A = 2012,
          'Raw PhocalPoint Data'!D:D = D165,
          'Raw PhocalPoint Data'!E:E = E165,
          'Raw PhocalPoint Data'!F:F = F165
     "&amp;"   ) /
        FILTER('Raw PhocalPoint Data'!G:G,
          'Raw PhocalPoint Data'!A:A = 2011,
          'Raw PhocalPoint Data'!D:D = D165,
          'Raw PhocalPoint Data'!E:E = E165,
          'Raw PhocalPoint Data'!F:F = F165
        )
      ),
      F"&amp;"ILTER('Raw PhocalPoint Data'!G:G,
        'Raw PhocalPoint Data'!A:A = 2009,
        'Raw PhocalPoint Data'!D:D = D165,
        'Raw PhocalPoint Data'!E:E = E165,
        'Raw PhocalPoint Data'!F:F = F165
      ) *
      (
        INDEX('Raw GDP data'!$I$"&amp;"2:$M$100,
          MATCH(D165, 'Raw GDP data'!$H$2:$H$100, 0),
          MATCH(2008, 'Raw GDP data'!$I$1:$M$1, 0)
        ) /
        INDEX('Raw GDP data'!$I$2:$M$100,
          MATCH(D165, 'Raw GDP data'!$H$2:$H$100, 0),
          MATCH(2009, 'Raw GDP d"&amp;"ata'!$I$1:$M$1, 0)
        )
      )
    ),
  IF(A165 &lt; 2008,
    (
      FILTER(G:G,
        A:A = 2008,
        D:D = D165,
        E:E = E165,
        F:F = F165
      ) /
      PRODUCT(
        ARRAYFORMULA(
          (
            (
              FIL"&amp;"TER('Raw PhocalPoint Data'!G:G,
                'Raw PhocalPoint Data'!A:A = 2012,
                'Raw PhocalPoint Data'!D:D = D165,
                'Raw PhocalPoint Data'!E:E = E165,
                'Raw PhocalPoint Data'!F:F = F165
              ) /
  "&amp;"            FILTER('Raw PhocalPoint Data'!G:G,
                'Raw PhocalPoint Data'!A:A = 2011,
                'Raw PhocalPoint Data'!D:D = D165,
                'Raw PhocalPoint Data'!E:E = E165,
                'Raw PhocalPoint Data'!F:F = F165
     "&amp;"         ) -
              ROW(INDIRECT(""1:"" &amp; (2008 - A165))) *
              (
                (
                  FILTER('Raw PhocalPoint Data'!G:G,
                    'Raw PhocalPoint Data'!A:A = 2012,
                    'Raw PhocalPoint Data'!D:D"&amp;" = D165,
                    'Raw PhocalPoint Data'!E:E = E165,
                    'Raw PhocalPoint Data'!F:F = F165
                  ) /
                  FILTER('Raw PhocalPoint Data'!G:G,
                    'Raw PhocalPoint Data'!A:A = 2011,
       "&amp;"             'Raw PhocalPoint Data'!D:D = D165,
                    'Raw PhocalPoint Data'!E:E = E165,
                    'Raw PhocalPoint Data'!F:F = F165
                  ) - 1
                ) / 5
              )
            )
          )
        )
"&amp;"      )
    ),
    (
      FILTER('Raw PhocalPoint Data'!G:G,
        'Raw PhocalPoint Data'!A:A = 2009,
        'Raw PhocalPoint Data'!D:D = D165,
        'Raw PhocalPoint Data'!E:E = E165,
        'Raw PhocalPoint Data'!F:F = F165
      ) /
      PRODUC"&amp;"T(
        ARRAYFORMULA(
          (
            FILTER('Raw PhocalPoint Data'!G:G,
              'Raw PhocalPoint Data'!A:A = 2012,
              'Raw PhocalPoint Data'!D:D = D165,
              'Raw PhocalPoint Data'!E:E = E165,
              'Raw Phoca"&amp;"lPoint Data'!F:F = F165
            ) /
            FILTER('Raw PhocalPoint Data'!G:G,
              'Raw PhocalPoint Data'!A:A = 2011,
              'Raw PhocalPoint Data'!D:D = D165,
              'Raw PhocalPoint Data'!E:E = E165,
              'Raw Ph"&amp;"ocalPoint Data'!F:F = F165
            ) -
            (ROW(INDIRECT(""1:"" &amp; (2010 - A165))) - 1) *
            (
              (
                FILTER('Raw PhocalPoint Data'!G:G,
                  'Raw PhocalPoint Data'!A:A = 2012,
                  'R"&amp;"aw PhocalPoint Data'!D:D = D165,
                  'Raw PhocalPoint Data'!E:E = E165,
                  'Raw PhocalPoint Data'!F:F = F165
                ) /
                FILTER('Raw PhocalPoint Data'!G:G,
                  'Raw PhocalPoint Data'!A:A ="&amp;" 2011,
                  'Raw PhocalPoint Data'!D:D = D165,
                  'Raw PhocalPoint Data'!E:E = E165,
                  'Raw PhocalPoint Data'!F:F = F165
                ) - 1
              ) / 5
            )
          )
        )
      )
    "&amp;") *
    INDEX('Raw GDP data'!$I$2:$M$100,
      MATCH(D165, 'Raw GDP data'!$H$2:$H$100, 0),
      MATCH(A165, 'Raw GDP data'!$I$1:$M$1, 0)
    )
  )),
  """"
)
"),9467012761.1125)</f>
        <v>9467012761.1124992</v>
      </c>
      <c r="H165" s="86"/>
      <c r="I165" s="87">
        <f ca="1">IFERROR(__xludf.DUMMYFUNCTION("""COMPUTED_VALUE"""),2009)</f>
        <v>2009</v>
      </c>
      <c r="J165" s="88" t="str">
        <f ca="1">IFERROR(__xludf.DUMMYFUNCTION("""COMPUTED_VALUE"""),"India")</f>
        <v>India</v>
      </c>
      <c r="K165" s="89">
        <f ca="1">IFERROR(
  SUMIFS(
    'New Backfilled Data'!G:G,
    'New Backfilled Data'!A:A, I165,
    'New Backfilled Data'!D:D, J165,
    'New Backfilled Data'!E:E, "Online"
  ) /
  SUMIFS(
    'New Backfilled Data'!G:G,
    'New Backfilled Data'!A:A, I165,
    'New Backfilled Data'!D:D, J165
  ),
  ""
)</f>
        <v>0.20288611098436901</v>
      </c>
      <c r="L165" s="90"/>
      <c r="M165" s="90"/>
    </row>
    <row r="166" spans="1:13" ht="17" x14ac:dyDescent="0.2">
      <c r="A166" s="37">
        <v>2006</v>
      </c>
      <c r="B166" s="38" t="s">
        <v>66</v>
      </c>
      <c r="C166" s="38" t="s">
        <v>17</v>
      </c>
      <c r="D166" s="38" t="s">
        <v>19</v>
      </c>
      <c r="E166" s="38" t="s">
        <v>69</v>
      </c>
      <c r="F166" s="38" t="s">
        <v>71</v>
      </c>
      <c r="G166" s="79">
        <f ca="1">IFERROR(__xludf.DUMMYFUNCTION("IFERROR(
  IF(A166 = 2008,
    IF(E166 = ""Online"",
      FILTER('Raw PhocalPoint Data'!G:G,
        'Raw PhocalPoint Data'!A:A = 2009,
        'Raw PhocalPoint Data'!D:D = D166,
        'Raw PhocalPoint Data'!E:E = E166,
        'Raw PhocalPoint Data'!F"&amp;":F = F166
      ) /
      (
        FILTER('Raw PhocalPoint Data'!G:G,
          'Raw PhocalPoint Data'!A:A = 2012,
          'Raw PhocalPoint Data'!D:D = D166,
          'Raw PhocalPoint Data'!E:E = E166,
          'Raw PhocalPoint Data'!F:F = F166
     "&amp;"   ) /
        FILTER('Raw PhocalPoint Data'!G:G,
          'Raw PhocalPoint Data'!A:A = 2011,
          'Raw PhocalPoint Data'!D:D = D166,
          'Raw PhocalPoint Data'!E:E = E166,
          'Raw PhocalPoint Data'!F:F = F166
        )
      ),
      F"&amp;"ILTER('Raw PhocalPoint Data'!G:G,
        'Raw PhocalPoint Data'!A:A = 2009,
        'Raw PhocalPoint Data'!D:D = D166,
        'Raw PhocalPoint Data'!E:E = E166,
        'Raw PhocalPoint Data'!F:F = F166
      ) *
      (
        INDEX('Raw GDP data'!$I$"&amp;"2:$M$100,
          MATCH(D166, 'Raw GDP data'!$H$2:$H$100, 0),
          MATCH(2008, 'Raw GDP data'!$I$1:$M$1, 0)
        ) /
        INDEX('Raw GDP data'!$I$2:$M$100,
          MATCH(D166, 'Raw GDP data'!$H$2:$H$100, 0),
          MATCH(2009, 'Raw GDP d"&amp;"ata'!$I$1:$M$1, 0)
        )
      )
    ),
  IF(A166 &lt; 2008,
    (
      FILTER(G:G,
        A:A = 2008,
        D:D = D166,
        E:E = E166,
        F:F = F166
      ) /
      PRODUCT(
        ARRAYFORMULA(
          (
            (
              FIL"&amp;"TER('Raw PhocalPoint Data'!G:G,
                'Raw PhocalPoint Data'!A:A = 2012,
                'Raw PhocalPoint Data'!D:D = D166,
                'Raw PhocalPoint Data'!E:E = E166,
                'Raw PhocalPoint Data'!F:F = F166
              ) /
  "&amp;"            FILTER('Raw PhocalPoint Data'!G:G,
                'Raw PhocalPoint Data'!A:A = 2011,
                'Raw PhocalPoint Data'!D:D = D166,
                'Raw PhocalPoint Data'!E:E = E166,
                'Raw PhocalPoint Data'!F:F = F166
     "&amp;"         ) -
              ROW(INDIRECT(""1:"" &amp; (2008 - A166))) *
              (
                (
                  FILTER('Raw PhocalPoint Data'!G:G,
                    'Raw PhocalPoint Data'!A:A = 2012,
                    'Raw PhocalPoint Data'!D:D"&amp;" = D166,
                    'Raw PhocalPoint Data'!E:E = E166,
                    'Raw PhocalPoint Data'!F:F = F166
                  ) /
                  FILTER('Raw PhocalPoint Data'!G:G,
                    'Raw PhocalPoint Data'!A:A = 2011,
       "&amp;"             'Raw PhocalPoint Data'!D:D = D166,
                    'Raw PhocalPoint Data'!E:E = E166,
                    'Raw PhocalPoint Data'!F:F = F166
                  ) - 1
                ) / 5
              )
            )
          )
        )
"&amp;"      )
    ),
    (
      FILTER('Raw PhocalPoint Data'!G:G,
        'Raw PhocalPoint Data'!A:A = 2009,
        'Raw PhocalPoint Data'!D:D = D166,
        'Raw PhocalPoint Data'!E:E = E166,
        'Raw PhocalPoint Data'!F:F = F166
      ) /
      PRODUC"&amp;"T(
        ARRAYFORMULA(
          (
            FILTER('Raw PhocalPoint Data'!G:G,
              'Raw PhocalPoint Data'!A:A = 2012,
              'Raw PhocalPoint Data'!D:D = D166,
              'Raw PhocalPoint Data'!E:E = E166,
              'Raw Phoca"&amp;"lPoint Data'!F:F = F166
            ) /
            FILTER('Raw PhocalPoint Data'!G:G,
              'Raw PhocalPoint Data'!A:A = 2011,
              'Raw PhocalPoint Data'!D:D = D166,
              'Raw PhocalPoint Data'!E:E = E166,
              'Raw Ph"&amp;"ocalPoint Data'!F:F = F166
            ) -
            (ROW(INDIRECT(""1:"" &amp; (2010 - A166))) - 1) *
            (
              (
                FILTER('Raw PhocalPoint Data'!G:G,
                  'Raw PhocalPoint Data'!A:A = 2012,
                  'R"&amp;"aw PhocalPoint Data'!D:D = D166,
                  'Raw PhocalPoint Data'!E:E = E166,
                  'Raw PhocalPoint Data'!F:F = F166
                ) /
                FILTER('Raw PhocalPoint Data'!G:G,
                  'Raw PhocalPoint Data'!A:A ="&amp;" 2011,
                  'Raw PhocalPoint Data'!D:D = D166,
                  'Raw PhocalPoint Data'!E:E = E166,
                  'Raw PhocalPoint Data'!F:F = F166
                ) - 1
              ) / 5
            )
          )
        )
      )
    "&amp;") *
    INDEX('Raw GDP data'!$I$2:$M$100,
      MATCH(D166, 'Raw GDP data'!$H$2:$H$100, 0),
      MATCH(A166, 'Raw GDP data'!$I$1:$M$1, 0)
    )
  )),
  """"
)
"),341946790.082064)</f>
        <v>341946790.08206397</v>
      </c>
      <c r="H166" s="80"/>
      <c r="I166" s="81">
        <f ca="1">IFERROR(__xludf.DUMMYFUNCTION("""COMPUTED_VALUE"""),2009)</f>
        <v>2009</v>
      </c>
      <c r="J166" s="82" t="str">
        <f ca="1">IFERROR(__xludf.DUMMYFUNCTION("""COMPUTED_VALUE"""),"Indonesia")</f>
        <v>Indonesia</v>
      </c>
      <c r="K166" s="83">
        <f ca="1">IFERROR(
  SUMIFS(
    'New Backfilled Data'!G:G,
    'New Backfilled Data'!A:A, I166,
    'New Backfilled Data'!D:D, J166,
    'New Backfilled Data'!E:E, "Online"
  ) /
  SUMIFS(
    'New Backfilled Data'!G:G,
    'New Backfilled Data'!A:A, I166,
    'New Backfilled Data'!D:D, J166
  ),
  ""
)</f>
        <v>3.0201882827570102E-2</v>
      </c>
      <c r="L166" s="84"/>
      <c r="M166" s="84"/>
    </row>
    <row r="167" spans="1:13" ht="17" x14ac:dyDescent="0.2">
      <c r="A167" s="44">
        <v>2006</v>
      </c>
      <c r="B167" s="45" t="s">
        <v>66</v>
      </c>
      <c r="C167" s="45" t="s">
        <v>17</v>
      </c>
      <c r="D167" s="45" t="s">
        <v>19</v>
      </c>
      <c r="E167" s="45" t="s">
        <v>69</v>
      </c>
      <c r="F167" s="45" t="s">
        <v>70</v>
      </c>
      <c r="G167" s="85">
        <f ca="1">IFERROR(__xludf.DUMMYFUNCTION("IFERROR(
  IF(A167 = 2008,
    IF(E167 = ""Online"",
      FILTER('Raw PhocalPoint Data'!G:G,
        'Raw PhocalPoint Data'!A:A = 2009,
        'Raw PhocalPoint Data'!D:D = D167,
        'Raw PhocalPoint Data'!E:E = E167,
        'Raw PhocalPoint Data'!F"&amp;":F = F167
      ) /
      (
        FILTER('Raw PhocalPoint Data'!G:G,
          'Raw PhocalPoint Data'!A:A = 2012,
          'Raw PhocalPoint Data'!D:D = D167,
          'Raw PhocalPoint Data'!E:E = E167,
          'Raw PhocalPoint Data'!F:F = F167
     "&amp;"   ) /
        FILTER('Raw PhocalPoint Data'!G:G,
          'Raw PhocalPoint Data'!A:A = 2011,
          'Raw PhocalPoint Data'!D:D = D167,
          'Raw PhocalPoint Data'!E:E = E167,
          'Raw PhocalPoint Data'!F:F = F167
        )
      ),
      F"&amp;"ILTER('Raw PhocalPoint Data'!G:G,
        'Raw PhocalPoint Data'!A:A = 2009,
        'Raw PhocalPoint Data'!D:D = D167,
        'Raw PhocalPoint Data'!E:E = E167,
        'Raw PhocalPoint Data'!F:F = F167
      ) *
      (
        INDEX('Raw GDP data'!$I$"&amp;"2:$M$100,
          MATCH(D167, 'Raw GDP data'!$H$2:$H$100, 0),
          MATCH(2008, 'Raw GDP data'!$I$1:$M$1, 0)
        ) /
        INDEX('Raw GDP data'!$I$2:$M$100,
          MATCH(D167, 'Raw GDP data'!$H$2:$H$100, 0),
          MATCH(2009, 'Raw GDP d"&amp;"ata'!$I$1:$M$1, 0)
        )
      )
    ),
  IF(A167 &lt; 2008,
    (
      FILTER(G:G,
        A:A = 2008,
        D:D = D167,
        E:E = E167,
        F:F = F167
      ) /
      PRODUCT(
        ARRAYFORMULA(
          (
            (
              FIL"&amp;"TER('Raw PhocalPoint Data'!G:G,
                'Raw PhocalPoint Data'!A:A = 2012,
                'Raw PhocalPoint Data'!D:D = D167,
                'Raw PhocalPoint Data'!E:E = E167,
                'Raw PhocalPoint Data'!F:F = F167
              ) /
  "&amp;"            FILTER('Raw PhocalPoint Data'!G:G,
                'Raw PhocalPoint Data'!A:A = 2011,
                'Raw PhocalPoint Data'!D:D = D167,
                'Raw PhocalPoint Data'!E:E = E167,
                'Raw PhocalPoint Data'!F:F = F167
     "&amp;"         ) -
              ROW(INDIRECT(""1:"" &amp; (2008 - A167))) *
              (
                (
                  FILTER('Raw PhocalPoint Data'!G:G,
                    'Raw PhocalPoint Data'!A:A = 2012,
                    'Raw PhocalPoint Data'!D:D"&amp;" = D167,
                    'Raw PhocalPoint Data'!E:E = E167,
                    'Raw PhocalPoint Data'!F:F = F167
                  ) /
                  FILTER('Raw PhocalPoint Data'!G:G,
                    'Raw PhocalPoint Data'!A:A = 2011,
       "&amp;"             'Raw PhocalPoint Data'!D:D = D167,
                    'Raw PhocalPoint Data'!E:E = E167,
                    'Raw PhocalPoint Data'!F:F = F167
                  ) - 1
                ) / 5
              )
            )
          )
        )
"&amp;"      )
    ),
    (
      FILTER('Raw PhocalPoint Data'!G:G,
        'Raw PhocalPoint Data'!A:A = 2009,
        'Raw PhocalPoint Data'!D:D = D167,
        'Raw PhocalPoint Data'!E:E = E167,
        'Raw PhocalPoint Data'!F:F = F167
      ) /
      PRODUC"&amp;"T(
        ARRAYFORMULA(
          (
            FILTER('Raw PhocalPoint Data'!G:G,
              'Raw PhocalPoint Data'!A:A = 2012,
              'Raw PhocalPoint Data'!D:D = D167,
              'Raw PhocalPoint Data'!E:E = E167,
              'Raw Phoca"&amp;"lPoint Data'!F:F = F167
            ) /
            FILTER('Raw PhocalPoint Data'!G:G,
              'Raw PhocalPoint Data'!A:A = 2011,
              'Raw PhocalPoint Data'!D:D = D167,
              'Raw PhocalPoint Data'!E:E = E167,
              'Raw Ph"&amp;"ocalPoint Data'!F:F = F167
            ) -
            (ROW(INDIRECT(""1:"" &amp; (2010 - A167))) - 1) *
            (
              (
                FILTER('Raw PhocalPoint Data'!G:G,
                  'Raw PhocalPoint Data'!A:A = 2012,
                  'R"&amp;"aw PhocalPoint Data'!D:D = D167,
                  'Raw PhocalPoint Data'!E:E = E167,
                  'Raw PhocalPoint Data'!F:F = F167
                ) /
                FILTER('Raw PhocalPoint Data'!G:G,
                  'Raw PhocalPoint Data'!A:A ="&amp;" 2011,
                  'Raw PhocalPoint Data'!D:D = D167,
                  'Raw PhocalPoint Data'!E:E = E167,
                  'Raw PhocalPoint Data'!F:F = F167
                ) - 1
              ) / 5
            )
          )
        )
      )
    "&amp;") *
    INDEX('Raw GDP data'!$I$2:$M$100,
      MATCH(D167, 'Raw GDP data'!$H$2:$H$100, 0),
      MATCH(A167, 'Raw GDP data'!$I$1:$M$1, 0)
    )
  )),
  """"
)
"),1552913949.76471)</f>
        <v>1552913949.7647099</v>
      </c>
      <c r="H167" s="86"/>
      <c r="I167" s="87">
        <f ca="1">IFERROR(__xludf.DUMMYFUNCTION("""COMPUTED_VALUE"""),2009)</f>
        <v>2009</v>
      </c>
      <c r="J167" s="88" t="str">
        <f ca="1">IFERROR(__xludf.DUMMYFUNCTION("""COMPUTED_VALUE"""),"Japan")</f>
        <v>Japan</v>
      </c>
      <c r="K167" s="89">
        <f ca="1">IFERROR(
  SUMIFS(
    'New Backfilled Data'!G:G,
    'New Backfilled Data'!A:A, I167,
    'New Backfilled Data'!D:D, J167,
    'New Backfilled Data'!E:E, "Online"
  ) /
  SUMIFS(
    'New Backfilled Data'!G:G,
    'New Backfilled Data'!A:A, I167,
    'New Backfilled Data'!D:D, J167
  ),
  ""
)</f>
        <v>0.23552887673669162</v>
      </c>
      <c r="L167" s="90"/>
      <c r="M167" s="90"/>
    </row>
    <row r="168" spans="1:13" ht="17" x14ac:dyDescent="0.2">
      <c r="A168" s="37">
        <v>2006</v>
      </c>
      <c r="B168" s="38" t="s">
        <v>66</v>
      </c>
      <c r="C168" s="38" t="s">
        <v>17</v>
      </c>
      <c r="D168" s="38" t="s">
        <v>20</v>
      </c>
      <c r="E168" s="38" t="s">
        <v>67</v>
      </c>
      <c r="F168" s="38" t="s">
        <v>67</v>
      </c>
      <c r="G168" s="79">
        <f ca="1">IFERROR(__xludf.DUMMYFUNCTION("IFERROR(
  IF(A168 = 2008,
    IF(E168 = ""Online"",
      FILTER('Raw PhocalPoint Data'!G:G,
        'Raw PhocalPoint Data'!A:A = 2009,
        'Raw PhocalPoint Data'!D:D = D168,
        'Raw PhocalPoint Data'!E:E = E168,
        'Raw PhocalPoint Data'!F"&amp;":F = F168
      ) /
      (
        FILTER('Raw PhocalPoint Data'!G:G,
          'Raw PhocalPoint Data'!A:A = 2012,
          'Raw PhocalPoint Data'!D:D = D168,
          'Raw PhocalPoint Data'!E:E = E168,
          'Raw PhocalPoint Data'!F:F = F168
     "&amp;"   ) /
        FILTER('Raw PhocalPoint Data'!G:G,
          'Raw PhocalPoint Data'!A:A = 2011,
          'Raw PhocalPoint Data'!D:D = D168,
          'Raw PhocalPoint Data'!E:E = E168,
          'Raw PhocalPoint Data'!F:F = F168
        )
      ),
      F"&amp;"ILTER('Raw PhocalPoint Data'!G:G,
        'Raw PhocalPoint Data'!A:A = 2009,
        'Raw PhocalPoint Data'!D:D = D168,
        'Raw PhocalPoint Data'!E:E = E168,
        'Raw PhocalPoint Data'!F:F = F168
      ) *
      (
        INDEX('Raw GDP data'!$I$"&amp;"2:$M$100,
          MATCH(D168, 'Raw GDP data'!$H$2:$H$100, 0),
          MATCH(2008, 'Raw GDP data'!$I$1:$M$1, 0)
        ) /
        INDEX('Raw GDP data'!$I$2:$M$100,
          MATCH(D168, 'Raw GDP data'!$H$2:$H$100, 0),
          MATCH(2009, 'Raw GDP d"&amp;"ata'!$I$1:$M$1, 0)
        )
      )
    ),
  IF(A168 &lt; 2008,
    (
      FILTER(G:G,
        A:A = 2008,
        D:D = D168,
        E:E = E168,
        F:F = F168
      ) /
      PRODUCT(
        ARRAYFORMULA(
          (
            (
              FIL"&amp;"TER('Raw PhocalPoint Data'!G:G,
                'Raw PhocalPoint Data'!A:A = 2012,
                'Raw PhocalPoint Data'!D:D = D168,
                'Raw PhocalPoint Data'!E:E = E168,
                'Raw PhocalPoint Data'!F:F = F168
              ) /
  "&amp;"            FILTER('Raw PhocalPoint Data'!G:G,
                'Raw PhocalPoint Data'!A:A = 2011,
                'Raw PhocalPoint Data'!D:D = D168,
                'Raw PhocalPoint Data'!E:E = E168,
                'Raw PhocalPoint Data'!F:F = F168
     "&amp;"         ) -
              ROW(INDIRECT(""1:"" &amp; (2008 - A168))) *
              (
                (
                  FILTER('Raw PhocalPoint Data'!G:G,
                    'Raw PhocalPoint Data'!A:A = 2012,
                    'Raw PhocalPoint Data'!D:D"&amp;" = D168,
                    'Raw PhocalPoint Data'!E:E = E168,
                    'Raw PhocalPoint Data'!F:F = F168
                  ) /
                  FILTER('Raw PhocalPoint Data'!G:G,
                    'Raw PhocalPoint Data'!A:A = 2011,
       "&amp;"             'Raw PhocalPoint Data'!D:D = D168,
                    'Raw PhocalPoint Data'!E:E = E168,
                    'Raw PhocalPoint Data'!F:F = F168
                  ) - 1
                ) / 5
              )
            )
          )
        )
"&amp;"      )
    ),
    (
      FILTER('Raw PhocalPoint Data'!G:G,
        'Raw PhocalPoint Data'!A:A = 2009,
        'Raw PhocalPoint Data'!D:D = D168,
        'Raw PhocalPoint Data'!E:E = E168,
        'Raw PhocalPoint Data'!F:F = F168
      ) /
      PRODUC"&amp;"T(
        ARRAYFORMULA(
          (
            FILTER('Raw PhocalPoint Data'!G:G,
              'Raw PhocalPoint Data'!A:A = 2012,
              'Raw PhocalPoint Data'!D:D = D168,
              'Raw PhocalPoint Data'!E:E = E168,
              'Raw Phoca"&amp;"lPoint Data'!F:F = F168
            ) /
            FILTER('Raw PhocalPoint Data'!G:G,
              'Raw PhocalPoint Data'!A:A = 2011,
              'Raw PhocalPoint Data'!D:D = D168,
              'Raw PhocalPoint Data'!E:E = E168,
              'Raw Ph"&amp;"ocalPoint Data'!F:F = F168
            ) -
            (ROW(INDIRECT(""1:"" &amp; (2010 - A168))) - 1) *
            (
              (
                FILTER('Raw PhocalPoint Data'!G:G,
                  'Raw PhocalPoint Data'!A:A = 2012,
                  'R"&amp;"aw PhocalPoint Data'!D:D = D168,
                  'Raw PhocalPoint Data'!E:E = E168,
                  'Raw PhocalPoint Data'!F:F = F168
                ) /
                FILTER('Raw PhocalPoint Data'!G:G,
                  'Raw PhocalPoint Data'!A:A ="&amp;" 2011,
                  'Raw PhocalPoint Data'!D:D = D168,
                  'Raw PhocalPoint Data'!E:E = E168,
                  'Raw PhocalPoint Data'!F:F = F168
                ) - 1
              ) / 5
            )
          )
        )
      )
    "&amp;") *
    INDEX('Raw GDP data'!$I$2:$M$100,
      MATCH(D168, 'Raw GDP data'!$H$2:$H$100, 0),
      MATCH(A168, 'Raw GDP data'!$I$1:$M$1, 0)
    )
  )),
  """"
)
"),3502909790.45407)</f>
        <v>3502909790.4540701</v>
      </c>
      <c r="H168" s="80"/>
      <c r="I168" s="81">
        <f ca="1">IFERROR(__xludf.DUMMYFUNCTION("""COMPUTED_VALUE"""),2009)</f>
        <v>2009</v>
      </c>
      <c r="J168" s="82" t="str">
        <f ca="1">IFERROR(__xludf.DUMMYFUNCTION("""COMPUTED_VALUE"""),"Macau")</f>
        <v>Macau</v>
      </c>
      <c r="K168" s="83">
        <f ca="1">IFERROR(
  SUMIFS(
    'New Backfilled Data'!G:G,
    'New Backfilled Data'!A:A, I168,
    'New Backfilled Data'!D:D, J168,
    'New Backfilled Data'!E:E, "Online"
  ) /
  SUMIFS(
    'New Backfilled Data'!G:G,
    'New Backfilled Data'!A:A, I168,
    'New Backfilled Data'!D:D, J168
  ),
  ""
)</f>
        <v>2.2989553867231043E-2</v>
      </c>
      <c r="L168" s="84"/>
      <c r="M168" s="84"/>
    </row>
    <row r="169" spans="1:13" ht="17" x14ac:dyDescent="0.2">
      <c r="A169" s="44">
        <v>2006</v>
      </c>
      <c r="B169" s="45" t="s">
        <v>66</v>
      </c>
      <c r="C169" s="45" t="s">
        <v>17</v>
      </c>
      <c r="D169" s="45" t="s">
        <v>20</v>
      </c>
      <c r="E169" s="45" t="s">
        <v>69</v>
      </c>
      <c r="F169" s="45" t="s">
        <v>71</v>
      </c>
      <c r="G169" s="85">
        <f ca="1">IFERROR(__xludf.DUMMYFUNCTION("IFERROR(
  IF(A169 = 2008,
    IF(E169 = ""Online"",
      FILTER('Raw PhocalPoint Data'!G:G,
        'Raw PhocalPoint Data'!A:A = 2009,
        'Raw PhocalPoint Data'!D:D = D169,
        'Raw PhocalPoint Data'!E:E = E169,
        'Raw PhocalPoint Data'!F"&amp;":F = F169
      ) /
      (
        FILTER('Raw PhocalPoint Data'!G:G,
          'Raw PhocalPoint Data'!A:A = 2012,
          'Raw PhocalPoint Data'!D:D = D169,
          'Raw PhocalPoint Data'!E:E = E169,
          'Raw PhocalPoint Data'!F:F = F169
     "&amp;"   ) /
        FILTER('Raw PhocalPoint Data'!G:G,
          'Raw PhocalPoint Data'!A:A = 2011,
          'Raw PhocalPoint Data'!D:D = D169,
          'Raw PhocalPoint Data'!E:E = E169,
          'Raw PhocalPoint Data'!F:F = F169
        )
      ),
      F"&amp;"ILTER('Raw PhocalPoint Data'!G:G,
        'Raw PhocalPoint Data'!A:A = 2009,
        'Raw PhocalPoint Data'!D:D = D169,
        'Raw PhocalPoint Data'!E:E = E169,
        'Raw PhocalPoint Data'!F:F = F169
      ) *
      (
        INDEX('Raw GDP data'!$I$"&amp;"2:$M$100,
          MATCH(D169, 'Raw GDP data'!$H$2:$H$100, 0),
          MATCH(2008, 'Raw GDP data'!$I$1:$M$1, 0)
        ) /
        INDEX('Raw GDP data'!$I$2:$M$100,
          MATCH(D169, 'Raw GDP data'!$H$2:$H$100, 0),
          MATCH(2009, 'Raw GDP d"&amp;"ata'!$I$1:$M$1, 0)
        )
      )
    ),
  IF(A169 &lt; 2008,
    (
      FILTER(G:G,
        A:A = 2008,
        D:D = D169,
        E:E = E169,
        F:F = F169
      ) /
      PRODUCT(
        ARRAYFORMULA(
          (
            (
              FIL"&amp;"TER('Raw PhocalPoint Data'!G:G,
                'Raw PhocalPoint Data'!A:A = 2012,
                'Raw PhocalPoint Data'!D:D = D169,
                'Raw PhocalPoint Data'!E:E = E169,
                'Raw PhocalPoint Data'!F:F = F169
              ) /
  "&amp;"            FILTER('Raw PhocalPoint Data'!G:G,
                'Raw PhocalPoint Data'!A:A = 2011,
                'Raw PhocalPoint Data'!D:D = D169,
                'Raw PhocalPoint Data'!E:E = E169,
                'Raw PhocalPoint Data'!F:F = F169
     "&amp;"         ) -
              ROW(INDIRECT(""1:"" &amp; (2008 - A169))) *
              (
                (
                  FILTER('Raw PhocalPoint Data'!G:G,
                    'Raw PhocalPoint Data'!A:A = 2012,
                    'Raw PhocalPoint Data'!D:D"&amp;" = D169,
                    'Raw PhocalPoint Data'!E:E = E169,
                    'Raw PhocalPoint Data'!F:F = F169
                  ) /
                  FILTER('Raw PhocalPoint Data'!G:G,
                    'Raw PhocalPoint Data'!A:A = 2011,
       "&amp;"             'Raw PhocalPoint Data'!D:D = D169,
                    'Raw PhocalPoint Data'!E:E = E169,
                    'Raw PhocalPoint Data'!F:F = F169
                  ) - 1
                ) / 5
              )
            )
          )
        )
"&amp;"      )
    ),
    (
      FILTER('Raw PhocalPoint Data'!G:G,
        'Raw PhocalPoint Data'!A:A = 2009,
        'Raw PhocalPoint Data'!D:D = D169,
        'Raw PhocalPoint Data'!E:E = E169,
        'Raw PhocalPoint Data'!F:F = F169
      ) /
      PRODUC"&amp;"T(
        ARRAYFORMULA(
          (
            FILTER('Raw PhocalPoint Data'!G:G,
              'Raw PhocalPoint Data'!A:A = 2012,
              'Raw PhocalPoint Data'!D:D = D169,
              'Raw PhocalPoint Data'!E:E = E169,
              'Raw Phoca"&amp;"lPoint Data'!F:F = F169
            ) /
            FILTER('Raw PhocalPoint Data'!G:G,
              'Raw PhocalPoint Data'!A:A = 2011,
              'Raw PhocalPoint Data'!D:D = D169,
              'Raw PhocalPoint Data'!E:E = E169,
              'Raw Ph"&amp;"ocalPoint Data'!F:F = F169
            ) -
            (ROW(INDIRECT(""1:"" &amp; (2010 - A169))) - 1) *
            (
              (
                FILTER('Raw PhocalPoint Data'!G:G,
                  'Raw PhocalPoint Data'!A:A = 2012,
                  'R"&amp;"aw PhocalPoint Data'!D:D = D169,
                  'Raw PhocalPoint Data'!E:E = E169,
                  'Raw PhocalPoint Data'!F:F = F169
                ) /
                FILTER('Raw PhocalPoint Data'!G:G,
                  'Raw PhocalPoint Data'!A:A ="&amp;" 2011,
                  'Raw PhocalPoint Data'!D:D = D169,
                  'Raw PhocalPoint Data'!E:E = E169,
                  'Raw PhocalPoint Data'!F:F = F169
                ) - 1
              ) / 5
            )
          )
        )
      )
    "&amp;") *
    INDEX('Raw GDP data'!$I$2:$M$100,
      MATCH(D169, 'Raw GDP data'!$H$2:$H$100, 0),
      MATCH(A169, 'Raw GDP data'!$I$1:$M$1, 0)
    )
  )),
  """"
)
"),159282918.032005)</f>
        <v>159282918.03200501</v>
      </c>
      <c r="H169" s="86"/>
      <c r="I169" s="87">
        <f ca="1">IFERROR(__xludf.DUMMYFUNCTION("""COMPUTED_VALUE"""),2009)</f>
        <v>2009</v>
      </c>
      <c r="J169" s="88" t="str">
        <f ca="1">IFERROR(__xludf.DUMMYFUNCTION("""COMPUTED_VALUE"""),"Malaysia")</f>
        <v>Malaysia</v>
      </c>
      <c r="K169" s="89">
        <f ca="1">IFERROR(
  SUMIFS(
    'New Backfilled Data'!G:G,
    'New Backfilled Data'!A:A, I169,
    'New Backfilled Data'!D:D, J169,
    'New Backfilled Data'!E:E, "Online"
  ) /
  SUMIFS(
    'New Backfilled Data'!G:G,
    'New Backfilled Data'!A:A, I169,
    'New Backfilled Data'!D:D, J169
  ),
  ""
)</f>
        <v>0.24821504581118128</v>
      </c>
      <c r="L169" s="90"/>
      <c r="M169" s="90"/>
    </row>
    <row r="170" spans="1:13" ht="17" x14ac:dyDescent="0.2">
      <c r="A170" s="37">
        <v>2006</v>
      </c>
      <c r="B170" s="38" t="s">
        <v>66</v>
      </c>
      <c r="C170" s="38" t="s">
        <v>17</v>
      </c>
      <c r="D170" s="38" t="s">
        <v>20</v>
      </c>
      <c r="E170" s="38" t="s">
        <v>69</v>
      </c>
      <c r="F170" s="38" t="s">
        <v>70</v>
      </c>
      <c r="G170" s="79">
        <f ca="1">IFERROR(__xludf.DUMMYFUNCTION("IFERROR(
  IF(A170 = 2008,
    IF(E170 = ""Online"",
      FILTER('Raw PhocalPoint Data'!G:G,
        'Raw PhocalPoint Data'!A:A = 2009,
        'Raw PhocalPoint Data'!D:D = D170,
        'Raw PhocalPoint Data'!E:E = E170,
        'Raw PhocalPoint Data'!F"&amp;":F = F170
      ) /
      (
        FILTER('Raw PhocalPoint Data'!G:G,
          'Raw PhocalPoint Data'!A:A = 2012,
          'Raw PhocalPoint Data'!D:D = D170,
          'Raw PhocalPoint Data'!E:E = E170,
          'Raw PhocalPoint Data'!F:F = F170
     "&amp;"   ) /
        FILTER('Raw PhocalPoint Data'!G:G,
          'Raw PhocalPoint Data'!A:A = 2011,
          'Raw PhocalPoint Data'!D:D = D170,
          'Raw PhocalPoint Data'!E:E = E170,
          'Raw PhocalPoint Data'!F:F = F170
        )
      ),
      F"&amp;"ILTER('Raw PhocalPoint Data'!G:G,
        'Raw PhocalPoint Data'!A:A = 2009,
        'Raw PhocalPoint Data'!D:D = D170,
        'Raw PhocalPoint Data'!E:E = E170,
        'Raw PhocalPoint Data'!F:F = F170
      ) *
      (
        INDEX('Raw GDP data'!$I$"&amp;"2:$M$100,
          MATCH(D170, 'Raw GDP data'!$H$2:$H$100, 0),
          MATCH(2008, 'Raw GDP data'!$I$1:$M$1, 0)
        ) /
        INDEX('Raw GDP data'!$I$2:$M$100,
          MATCH(D170, 'Raw GDP data'!$H$2:$H$100, 0),
          MATCH(2009, 'Raw GDP d"&amp;"ata'!$I$1:$M$1, 0)
        )
      )
    ),
  IF(A170 &lt; 2008,
    (
      FILTER(G:G,
        A:A = 2008,
        D:D = D170,
        E:E = E170,
        F:F = F170
      ) /
      PRODUCT(
        ARRAYFORMULA(
          (
            (
              FIL"&amp;"TER('Raw PhocalPoint Data'!G:G,
                'Raw PhocalPoint Data'!A:A = 2012,
                'Raw PhocalPoint Data'!D:D = D170,
                'Raw PhocalPoint Data'!E:E = E170,
                'Raw PhocalPoint Data'!F:F = F170
              ) /
  "&amp;"            FILTER('Raw PhocalPoint Data'!G:G,
                'Raw PhocalPoint Data'!A:A = 2011,
                'Raw PhocalPoint Data'!D:D = D170,
                'Raw PhocalPoint Data'!E:E = E170,
                'Raw PhocalPoint Data'!F:F = F170
     "&amp;"         ) -
              ROW(INDIRECT(""1:"" &amp; (2008 - A170))) *
              (
                (
                  FILTER('Raw PhocalPoint Data'!G:G,
                    'Raw PhocalPoint Data'!A:A = 2012,
                    'Raw PhocalPoint Data'!D:D"&amp;" = D170,
                    'Raw PhocalPoint Data'!E:E = E170,
                    'Raw PhocalPoint Data'!F:F = F170
                  ) /
                  FILTER('Raw PhocalPoint Data'!G:G,
                    'Raw PhocalPoint Data'!A:A = 2011,
       "&amp;"             'Raw PhocalPoint Data'!D:D = D170,
                    'Raw PhocalPoint Data'!E:E = E170,
                    'Raw PhocalPoint Data'!F:F = F170
                  ) - 1
                ) / 5
              )
            )
          )
        )
"&amp;"      )
    ),
    (
      FILTER('Raw PhocalPoint Data'!G:G,
        'Raw PhocalPoint Data'!A:A = 2009,
        'Raw PhocalPoint Data'!D:D = D170,
        'Raw PhocalPoint Data'!E:E = E170,
        'Raw PhocalPoint Data'!F:F = F170
      ) /
      PRODUC"&amp;"T(
        ARRAYFORMULA(
          (
            FILTER('Raw PhocalPoint Data'!G:G,
              'Raw PhocalPoint Data'!A:A = 2012,
              'Raw PhocalPoint Data'!D:D = D170,
              'Raw PhocalPoint Data'!E:E = E170,
              'Raw Phoca"&amp;"lPoint Data'!F:F = F170
            ) /
            FILTER('Raw PhocalPoint Data'!G:G,
              'Raw PhocalPoint Data'!A:A = 2011,
              'Raw PhocalPoint Data'!D:D = D170,
              'Raw PhocalPoint Data'!E:E = E170,
              'Raw Ph"&amp;"ocalPoint Data'!F:F = F170
            ) -
            (ROW(INDIRECT(""1:"" &amp; (2010 - A170))) - 1) *
            (
              (
                FILTER('Raw PhocalPoint Data'!G:G,
                  'Raw PhocalPoint Data'!A:A = 2012,
                  'R"&amp;"aw PhocalPoint Data'!D:D = D170,
                  'Raw PhocalPoint Data'!E:E = E170,
                  'Raw PhocalPoint Data'!F:F = F170
                ) /
                FILTER('Raw PhocalPoint Data'!G:G,
                  'Raw PhocalPoint Data'!A:A ="&amp;" 2011,
                  'Raw PhocalPoint Data'!D:D = D170,
                  'Raw PhocalPoint Data'!E:E = E170,
                  'Raw PhocalPoint Data'!F:F = F170
                ) - 1
              ) / 5
            )
          )
        )
      )
    "&amp;") *
    INDEX('Raw GDP data'!$I$2:$M$100,
      MATCH(D170, 'Raw GDP data'!$H$2:$H$100, 0),
      MATCH(A170, 'Raw GDP data'!$I$1:$M$1, 0)
    )
  )),
  """"
)
"),314262787.419292)</f>
        <v>314262787.41929197</v>
      </c>
      <c r="H170" s="80"/>
      <c r="I170" s="81">
        <f ca="1">IFERROR(__xludf.DUMMYFUNCTION("""COMPUTED_VALUE"""),2009)</f>
        <v>2009</v>
      </c>
      <c r="J170" s="82" t="str">
        <f ca="1">IFERROR(__xludf.DUMMYFUNCTION("""COMPUTED_VALUE"""),"Singapore")</f>
        <v>Singapore</v>
      </c>
      <c r="K170" s="83">
        <f ca="1">IFERROR(
  SUMIFS(
    'New Backfilled Data'!G:G,
    'New Backfilled Data'!A:A, I170,
    'New Backfilled Data'!D:D, J170,
    'New Backfilled Data'!E:E, "Online"
  ) /
  SUMIFS(
    'New Backfilled Data'!G:G,
    'New Backfilled Data'!A:A, I170,
    'New Backfilled Data'!D:D, J170
  ),
  ""
)</f>
        <v>0.23144269537503229</v>
      </c>
      <c r="L170" s="84"/>
      <c r="M170" s="84"/>
    </row>
    <row r="171" spans="1:13" ht="17" x14ac:dyDescent="0.2">
      <c r="A171" s="44">
        <v>2006</v>
      </c>
      <c r="B171" s="45" t="s">
        <v>66</v>
      </c>
      <c r="C171" s="45" t="s">
        <v>17</v>
      </c>
      <c r="D171" s="45" t="s">
        <v>21</v>
      </c>
      <c r="E171" s="45" t="s">
        <v>67</v>
      </c>
      <c r="F171" s="45" t="s">
        <v>67</v>
      </c>
      <c r="G171" s="85">
        <f ca="1">IFERROR(__xludf.DUMMYFUNCTION("IFERROR(
  IF(A171 = 2008,
    IF(E171 = ""Online"",
      FILTER('Raw PhocalPoint Data'!G:G,
        'Raw PhocalPoint Data'!A:A = 2009,
        'Raw PhocalPoint Data'!D:D = D171,
        'Raw PhocalPoint Data'!E:E = E171,
        'Raw PhocalPoint Data'!F"&amp;":F = F171
      ) /
      (
        FILTER('Raw PhocalPoint Data'!G:G,
          'Raw PhocalPoint Data'!A:A = 2012,
          'Raw PhocalPoint Data'!D:D = D171,
          'Raw PhocalPoint Data'!E:E = E171,
          'Raw PhocalPoint Data'!F:F = F171
     "&amp;"   ) /
        FILTER('Raw PhocalPoint Data'!G:G,
          'Raw PhocalPoint Data'!A:A = 2011,
          'Raw PhocalPoint Data'!D:D = D171,
          'Raw PhocalPoint Data'!E:E = E171,
          'Raw PhocalPoint Data'!F:F = F171
        )
      ),
      F"&amp;"ILTER('Raw PhocalPoint Data'!G:G,
        'Raw PhocalPoint Data'!A:A = 2009,
        'Raw PhocalPoint Data'!D:D = D171,
        'Raw PhocalPoint Data'!E:E = E171,
        'Raw PhocalPoint Data'!F:F = F171
      ) *
      (
        INDEX('Raw GDP data'!$I$"&amp;"2:$M$100,
          MATCH(D171, 'Raw GDP data'!$H$2:$H$100, 0),
          MATCH(2008, 'Raw GDP data'!$I$1:$M$1, 0)
        ) /
        INDEX('Raw GDP data'!$I$2:$M$100,
          MATCH(D171, 'Raw GDP data'!$H$2:$H$100, 0),
          MATCH(2009, 'Raw GDP d"&amp;"ata'!$I$1:$M$1, 0)
        )
      )
    ),
  IF(A171 &lt; 2008,
    (
      FILTER(G:G,
        A:A = 2008,
        D:D = D171,
        E:E = E171,
        F:F = F171
      ) /
      PRODUCT(
        ARRAYFORMULA(
          (
            (
              FIL"&amp;"TER('Raw PhocalPoint Data'!G:G,
                'Raw PhocalPoint Data'!A:A = 2012,
                'Raw PhocalPoint Data'!D:D = D171,
                'Raw PhocalPoint Data'!E:E = E171,
                'Raw PhocalPoint Data'!F:F = F171
              ) /
  "&amp;"            FILTER('Raw PhocalPoint Data'!G:G,
                'Raw PhocalPoint Data'!A:A = 2011,
                'Raw PhocalPoint Data'!D:D = D171,
                'Raw PhocalPoint Data'!E:E = E171,
                'Raw PhocalPoint Data'!F:F = F171
     "&amp;"         ) -
              ROW(INDIRECT(""1:"" &amp; (2008 - A171))) *
              (
                (
                  FILTER('Raw PhocalPoint Data'!G:G,
                    'Raw PhocalPoint Data'!A:A = 2012,
                    'Raw PhocalPoint Data'!D:D"&amp;" = D171,
                    'Raw PhocalPoint Data'!E:E = E171,
                    'Raw PhocalPoint Data'!F:F = F171
                  ) /
                  FILTER('Raw PhocalPoint Data'!G:G,
                    'Raw PhocalPoint Data'!A:A = 2011,
       "&amp;"             'Raw PhocalPoint Data'!D:D = D171,
                    'Raw PhocalPoint Data'!E:E = E171,
                    'Raw PhocalPoint Data'!F:F = F171
                  ) - 1
                ) / 5
              )
            )
          )
        )
"&amp;"      )
    ),
    (
      FILTER('Raw PhocalPoint Data'!G:G,
        'Raw PhocalPoint Data'!A:A = 2009,
        'Raw PhocalPoint Data'!D:D = D171,
        'Raw PhocalPoint Data'!E:E = E171,
        'Raw PhocalPoint Data'!F:F = F171
      ) /
      PRODUC"&amp;"T(
        ARRAYFORMULA(
          (
            FILTER('Raw PhocalPoint Data'!G:G,
              'Raw PhocalPoint Data'!A:A = 2012,
              'Raw PhocalPoint Data'!D:D = D171,
              'Raw PhocalPoint Data'!E:E = E171,
              'Raw Phoca"&amp;"lPoint Data'!F:F = F171
            ) /
            FILTER('Raw PhocalPoint Data'!G:G,
              'Raw PhocalPoint Data'!A:A = 2011,
              'Raw PhocalPoint Data'!D:D = D171,
              'Raw PhocalPoint Data'!E:E = E171,
              'Raw Ph"&amp;"ocalPoint Data'!F:F = F171
            ) -
            (ROW(INDIRECT(""1:"" &amp; (2010 - A171))) - 1) *
            (
              (
                FILTER('Raw PhocalPoint Data'!G:G,
                  'Raw PhocalPoint Data'!A:A = 2012,
                  'R"&amp;"aw PhocalPoint Data'!D:D = D171,
                  'Raw PhocalPoint Data'!E:E = E171,
                  'Raw PhocalPoint Data'!F:F = F171
                ) /
                FILTER('Raw PhocalPoint Data'!G:G,
                  'Raw PhocalPoint Data'!A:A ="&amp;" 2011,
                  'Raw PhocalPoint Data'!D:D = D171,
                  'Raw PhocalPoint Data'!E:E = E171,
                  'Raw PhocalPoint Data'!F:F = F171
                ) - 1
              ) / 5
            )
          )
        )
      )
    "&amp;") *
    INDEX('Raw GDP data'!$I$2:$M$100,
      MATCH(D171, 'Raw GDP data'!$H$2:$H$100, 0),
      MATCH(A171, 'Raw GDP data'!$I$1:$M$1, 0)
    )
  )),
  """"
)
"),3578975538.99958)</f>
        <v>3578975538.9995799</v>
      </c>
      <c r="H171" s="86"/>
      <c r="I171" s="87">
        <f ca="1">IFERROR(__xludf.DUMMYFUNCTION("""COMPUTED_VALUE"""),2009)</f>
        <v>2009</v>
      </c>
      <c r="J171" s="88" t="str">
        <f ca="1">IFERROR(__xludf.DUMMYFUNCTION("""COMPUTED_VALUE"""),"South Korea")</f>
        <v>South Korea</v>
      </c>
      <c r="K171" s="89">
        <f ca="1">IFERROR(
  SUMIFS(
    'New Backfilled Data'!G:G,
    'New Backfilled Data'!A:A, I171,
    'New Backfilled Data'!D:D, J171,
    'New Backfilled Data'!E:E, "Online"
  ) /
  SUMIFS(
    'New Backfilled Data'!G:G,
    'New Backfilled Data'!A:A, I171,
    'New Backfilled Data'!D:D, J171
  ),
  ""
)</f>
        <v>0.11884969715940906</v>
      </c>
      <c r="L171" s="90"/>
      <c r="M171" s="90"/>
    </row>
    <row r="172" spans="1:13" ht="17" x14ac:dyDescent="0.2">
      <c r="A172" s="37">
        <v>2006</v>
      </c>
      <c r="B172" s="38" t="s">
        <v>66</v>
      </c>
      <c r="C172" s="38" t="s">
        <v>17</v>
      </c>
      <c r="D172" s="38" t="s">
        <v>21</v>
      </c>
      <c r="E172" s="38" t="s">
        <v>69</v>
      </c>
      <c r="F172" s="38" t="s">
        <v>71</v>
      </c>
      <c r="G172" s="79">
        <f ca="1">IFERROR(__xludf.DUMMYFUNCTION("IFERROR(
  IF(A172 = 2008,
    IF(E172 = ""Online"",
      FILTER('Raw PhocalPoint Data'!G:G,
        'Raw PhocalPoint Data'!A:A = 2009,
        'Raw PhocalPoint Data'!D:D = D172,
        'Raw PhocalPoint Data'!E:E = E172,
        'Raw PhocalPoint Data'!F"&amp;":F = F172
      ) /
      (
        FILTER('Raw PhocalPoint Data'!G:G,
          'Raw PhocalPoint Data'!A:A = 2012,
          'Raw PhocalPoint Data'!D:D = D172,
          'Raw PhocalPoint Data'!E:E = E172,
          'Raw PhocalPoint Data'!F:F = F172
     "&amp;"   ) /
        FILTER('Raw PhocalPoint Data'!G:G,
          'Raw PhocalPoint Data'!A:A = 2011,
          'Raw PhocalPoint Data'!D:D = D172,
          'Raw PhocalPoint Data'!E:E = E172,
          'Raw PhocalPoint Data'!F:F = F172
        )
      ),
      F"&amp;"ILTER('Raw PhocalPoint Data'!G:G,
        'Raw PhocalPoint Data'!A:A = 2009,
        'Raw PhocalPoint Data'!D:D = D172,
        'Raw PhocalPoint Data'!E:E = E172,
        'Raw PhocalPoint Data'!F:F = F172
      ) *
      (
        INDEX('Raw GDP data'!$I$"&amp;"2:$M$100,
          MATCH(D172, 'Raw GDP data'!$H$2:$H$100, 0),
          MATCH(2008, 'Raw GDP data'!$I$1:$M$1, 0)
        ) /
        INDEX('Raw GDP data'!$I$2:$M$100,
          MATCH(D172, 'Raw GDP data'!$H$2:$H$100, 0),
          MATCH(2009, 'Raw GDP d"&amp;"ata'!$I$1:$M$1, 0)
        )
      )
    ),
  IF(A172 &lt; 2008,
    (
      FILTER(G:G,
        A:A = 2008,
        D:D = D172,
        E:E = E172,
        F:F = F172
      ) /
      PRODUCT(
        ARRAYFORMULA(
          (
            (
              FIL"&amp;"TER('Raw PhocalPoint Data'!G:G,
                'Raw PhocalPoint Data'!A:A = 2012,
                'Raw PhocalPoint Data'!D:D = D172,
                'Raw PhocalPoint Data'!E:E = E172,
                'Raw PhocalPoint Data'!F:F = F172
              ) /
  "&amp;"            FILTER('Raw PhocalPoint Data'!G:G,
                'Raw PhocalPoint Data'!A:A = 2011,
                'Raw PhocalPoint Data'!D:D = D172,
                'Raw PhocalPoint Data'!E:E = E172,
                'Raw PhocalPoint Data'!F:F = F172
     "&amp;"         ) -
              ROW(INDIRECT(""1:"" &amp; (2008 - A172))) *
              (
                (
                  FILTER('Raw PhocalPoint Data'!G:G,
                    'Raw PhocalPoint Data'!A:A = 2012,
                    'Raw PhocalPoint Data'!D:D"&amp;" = D172,
                    'Raw PhocalPoint Data'!E:E = E172,
                    'Raw PhocalPoint Data'!F:F = F172
                  ) /
                  FILTER('Raw PhocalPoint Data'!G:G,
                    'Raw PhocalPoint Data'!A:A = 2011,
       "&amp;"             'Raw PhocalPoint Data'!D:D = D172,
                    'Raw PhocalPoint Data'!E:E = E172,
                    'Raw PhocalPoint Data'!F:F = F172
                  ) - 1
                ) / 5
              )
            )
          )
        )
"&amp;"      )
    ),
    (
      FILTER('Raw PhocalPoint Data'!G:G,
        'Raw PhocalPoint Data'!A:A = 2009,
        'Raw PhocalPoint Data'!D:D = D172,
        'Raw PhocalPoint Data'!E:E = E172,
        'Raw PhocalPoint Data'!F:F = F172
      ) /
      PRODUC"&amp;"T(
        ARRAYFORMULA(
          (
            FILTER('Raw PhocalPoint Data'!G:G,
              'Raw PhocalPoint Data'!A:A = 2012,
              'Raw PhocalPoint Data'!D:D = D172,
              'Raw PhocalPoint Data'!E:E = E172,
              'Raw Phoca"&amp;"lPoint Data'!F:F = F172
            ) /
            FILTER('Raw PhocalPoint Data'!G:G,
              'Raw PhocalPoint Data'!A:A = 2011,
              'Raw PhocalPoint Data'!D:D = D172,
              'Raw PhocalPoint Data'!E:E = E172,
              'Raw Ph"&amp;"ocalPoint Data'!F:F = F172
            ) -
            (ROW(INDIRECT(""1:"" &amp; (2010 - A172))) - 1) *
            (
              (
                FILTER('Raw PhocalPoint Data'!G:G,
                  'Raw PhocalPoint Data'!A:A = 2012,
                  'R"&amp;"aw PhocalPoint Data'!D:D = D172,
                  'Raw PhocalPoint Data'!E:E = E172,
                  'Raw PhocalPoint Data'!F:F = F172
                ) /
                FILTER('Raw PhocalPoint Data'!G:G,
                  'Raw PhocalPoint Data'!A:A ="&amp;" 2011,
                  'Raw PhocalPoint Data'!D:D = D172,
                  'Raw PhocalPoint Data'!E:E = E172,
                  'Raw PhocalPoint Data'!F:F = F172
                ) - 1
              ) / 5
            )
          )
        )
      )
    "&amp;") *
    INDEX('Raw GDP data'!$I$2:$M$100,
      MATCH(D172, 'Raw GDP data'!$H$2:$H$100, 0),
      MATCH(A172, 'Raw GDP data'!$I$1:$M$1, 0)
    )
  )),
  """"
)
"),150248682.537007)</f>
        <v>150248682.537007</v>
      </c>
      <c r="H172" s="80"/>
      <c r="I172" s="81">
        <f ca="1">IFERROR(__xludf.DUMMYFUNCTION("""COMPUTED_VALUE"""),2009)</f>
        <v>2009</v>
      </c>
      <c r="J172" s="82" t="str">
        <f ca="1">IFERROR(__xludf.DUMMYFUNCTION("""COMPUTED_VALUE"""),"Taiwan")</f>
        <v>Taiwan</v>
      </c>
      <c r="K172" s="83">
        <f ca="1">IFERROR(
  SUMIFS(
    'New Backfilled Data'!G:G,
    'New Backfilled Data'!A:A, I172,
    'New Backfilled Data'!D:D, J172,
    'New Backfilled Data'!E:E, "Online"
  ) /
  SUMIFS(
    'New Backfilled Data'!G:G,
    'New Backfilled Data'!A:A, I172,
    'New Backfilled Data'!D:D, J172
  ),
  ""
)</f>
        <v>9.3686571919635878E-2</v>
      </c>
      <c r="L172" s="84"/>
      <c r="M172" s="84"/>
    </row>
    <row r="173" spans="1:13" ht="17" x14ac:dyDescent="0.2">
      <c r="A173" s="44">
        <v>2006</v>
      </c>
      <c r="B173" s="45" t="s">
        <v>66</v>
      </c>
      <c r="C173" s="45" t="s">
        <v>17</v>
      </c>
      <c r="D173" s="45" t="s">
        <v>21</v>
      </c>
      <c r="E173" s="45" t="s">
        <v>69</v>
      </c>
      <c r="F173" s="45" t="s">
        <v>70</v>
      </c>
      <c r="G173" s="85">
        <f ca="1">IFERROR(__xludf.DUMMYFUNCTION("IFERROR(
  IF(A173 = 2008,
    IF(E173 = ""Online"",
      FILTER('Raw PhocalPoint Data'!G:G,
        'Raw PhocalPoint Data'!A:A = 2009,
        'Raw PhocalPoint Data'!D:D = D173,
        'Raw PhocalPoint Data'!E:E = E173,
        'Raw PhocalPoint Data'!F"&amp;":F = F173
      ) /
      (
        FILTER('Raw PhocalPoint Data'!G:G,
          'Raw PhocalPoint Data'!A:A = 2012,
          'Raw PhocalPoint Data'!D:D = D173,
          'Raw PhocalPoint Data'!E:E = E173,
          'Raw PhocalPoint Data'!F:F = F173
     "&amp;"   ) /
        FILTER('Raw PhocalPoint Data'!G:G,
          'Raw PhocalPoint Data'!A:A = 2011,
          'Raw PhocalPoint Data'!D:D = D173,
          'Raw PhocalPoint Data'!E:E = E173,
          'Raw PhocalPoint Data'!F:F = F173
        )
      ),
      F"&amp;"ILTER('Raw PhocalPoint Data'!G:G,
        'Raw PhocalPoint Data'!A:A = 2009,
        'Raw PhocalPoint Data'!D:D = D173,
        'Raw PhocalPoint Data'!E:E = E173,
        'Raw PhocalPoint Data'!F:F = F173
      ) *
      (
        INDEX('Raw GDP data'!$I$"&amp;"2:$M$100,
          MATCH(D173, 'Raw GDP data'!$H$2:$H$100, 0),
          MATCH(2008, 'Raw GDP data'!$I$1:$M$1, 0)
        ) /
        INDEX('Raw GDP data'!$I$2:$M$100,
          MATCH(D173, 'Raw GDP data'!$H$2:$H$100, 0),
          MATCH(2009, 'Raw GDP d"&amp;"ata'!$I$1:$M$1, 0)
        )
      )
    ),
  IF(A173 &lt; 2008,
    (
      FILTER(G:G,
        A:A = 2008,
        D:D = D173,
        E:E = E173,
        F:F = F173
      ) /
      PRODUCT(
        ARRAYFORMULA(
          (
            (
              FIL"&amp;"TER('Raw PhocalPoint Data'!G:G,
                'Raw PhocalPoint Data'!A:A = 2012,
                'Raw PhocalPoint Data'!D:D = D173,
                'Raw PhocalPoint Data'!E:E = E173,
                'Raw PhocalPoint Data'!F:F = F173
              ) /
  "&amp;"            FILTER('Raw PhocalPoint Data'!G:G,
                'Raw PhocalPoint Data'!A:A = 2011,
                'Raw PhocalPoint Data'!D:D = D173,
                'Raw PhocalPoint Data'!E:E = E173,
                'Raw PhocalPoint Data'!F:F = F173
     "&amp;"         ) -
              ROW(INDIRECT(""1:"" &amp; (2008 - A173))) *
              (
                (
                  FILTER('Raw PhocalPoint Data'!G:G,
                    'Raw PhocalPoint Data'!A:A = 2012,
                    'Raw PhocalPoint Data'!D:D"&amp;" = D173,
                    'Raw PhocalPoint Data'!E:E = E173,
                    'Raw PhocalPoint Data'!F:F = F173
                  ) /
                  FILTER('Raw PhocalPoint Data'!G:G,
                    'Raw PhocalPoint Data'!A:A = 2011,
       "&amp;"             'Raw PhocalPoint Data'!D:D = D173,
                    'Raw PhocalPoint Data'!E:E = E173,
                    'Raw PhocalPoint Data'!F:F = F173
                  ) - 1
                ) / 5
              )
            )
          )
        )
"&amp;"      )
    ),
    (
      FILTER('Raw PhocalPoint Data'!G:G,
        'Raw PhocalPoint Data'!A:A = 2009,
        'Raw PhocalPoint Data'!D:D = D173,
        'Raw PhocalPoint Data'!E:E = E173,
        'Raw PhocalPoint Data'!F:F = F173
      ) /
      PRODUC"&amp;"T(
        ARRAYFORMULA(
          (
            FILTER('Raw PhocalPoint Data'!G:G,
              'Raw PhocalPoint Data'!A:A = 2012,
              'Raw PhocalPoint Data'!D:D = D173,
              'Raw PhocalPoint Data'!E:E = E173,
              'Raw Phoca"&amp;"lPoint Data'!F:F = F173
            ) /
            FILTER('Raw PhocalPoint Data'!G:G,
              'Raw PhocalPoint Data'!A:A = 2011,
              'Raw PhocalPoint Data'!D:D = D173,
              'Raw PhocalPoint Data'!E:E = E173,
              'Raw Ph"&amp;"ocalPoint Data'!F:F = F173
            ) -
            (ROW(INDIRECT(""1:"" &amp; (2010 - A173))) - 1) *
            (
              (
                FILTER('Raw PhocalPoint Data'!G:G,
                  'Raw PhocalPoint Data'!A:A = 2012,
                  'R"&amp;"aw PhocalPoint Data'!D:D = D173,
                  'Raw PhocalPoint Data'!E:E = E173,
                  'Raw PhocalPoint Data'!F:F = F173
                ) /
                FILTER('Raw PhocalPoint Data'!G:G,
                  'Raw PhocalPoint Data'!A:A ="&amp;" 2011,
                  'Raw PhocalPoint Data'!D:D = D173,
                  'Raw PhocalPoint Data'!E:E = E173,
                  'Raw PhocalPoint Data'!F:F = F173
                ) - 1
              ) / 5
            )
          )
        )
      )
    "&amp;") *
    INDEX('Raw GDP data'!$I$2:$M$100,
      MATCH(D173, 'Raw GDP data'!$H$2:$H$100, 0),
      MATCH(A173, 'Raw GDP data'!$I$1:$M$1, 0)
    )
  )),
  """"
)
"),260262719.404384)</f>
        <v>260262719.40438399</v>
      </c>
      <c r="H173" s="86"/>
      <c r="I173" s="87">
        <f ca="1">IFERROR(__xludf.DUMMYFUNCTION("""COMPUTED_VALUE"""),2009)</f>
        <v>2009</v>
      </c>
      <c r="J173" s="88" t="str">
        <f ca="1">IFERROR(__xludf.DUMMYFUNCTION("""COMPUTED_VALUE"""),"Thailand")</f>
        <v>Thailand</v>
      </c>
      <c r="K173" s="89">
        <f ca="1">IFERROR(
  SUMIFS(
    'New Backfilled Data'!G:G,
    'New Backfilled Data'!A:A, I173,
    'New Backfilled Data'!D:D, J173,
    'New Backfilled Data'!E:E, "Online"
  ) /
  SUMIFS(
    'New Backfilled Data'!G:G,
    'New Backfilled Data'!A:A, I173,
    'New Backfilled Data'!D:D, J173
  ),
  ""
)</f>
        <v>0.13117474805507429</v>
      </c>
      <c r="L173" s="90"/>
      <c r="M173" s="90"/>
    </row>
    <row r="174" spans="1:13" ht="17" x14ac:dyDescent="0.2">
      <c r="A174" s="37">
        <v>2006</v>
      </c>
      <c r="B174" s="38" t="s">
        <v>66</v>
      </c>
      <c r="C174" s="38" t="s">
        <v>17</v>
      </c>
      <c r="D174" s="38" t="s">
        <v>22</v>
      </c>
      <c r="E174" s="38" t="s">
        <v>67</v>
      </c>
      <c r="F174" s="38" t="s">
        <v>67</v>
      </c>
      <c r="G174" s="79">
        <f ca="1">IFERROR(__xludf.DUMMYFUNCTION("IFERROR(
  IF(A174 = 2008,
    IF(E174 = ""Online"",
      FILTER('Raw PhocalPoint Data'!G:G,
        'Raw PhocalPoint Data'!A:A = 2009,
        'Raw PhocalPoint Data'!D:D = D174,
        'Raw PhocalPoint Data'!E:E = E174,
        'Raw PhocalPoint Data'!F"&amp;":F = F174
      ) /
      (
        FILTER('Raw PhocalPoint Data'!G:G,
          'Raw PhocalPoint Data'!A:A = 2012,
          'Raw PhocalPoint Data'!D:D = D174,
          'Raw PhocalPoint Data'!E:E = E174,
          'Raw PhocalPoint Data'!F:F = F174
     "&amp;"   ) /
        FILTER('Raw PhocalPoint Data'!G:G,
          'Raw PhocalPoint Data'!A:A = 2011,
          'Raw PhocalPoint Data'!D:D = D174,
          'Raw PhocalPoint Data'!E:E = E174,
          'Raw PhocalPoint Data'!F:F = F174
        )
      ),
      F"&amp;"ILTER('Raw PhocalPoint Data'!G:G,
        'Raw PhocalPoint Data'!A:A = 2009,
        'Raw PhocalPoint Data'!D:D = D174,
        'Raw PhocalPoint Data'!E:E = E174,
        'Raw PhocalPoint Data'!F:F = F174
      ) *
      (
        INDEX('Raw GDP data'!$I$"&amp;"2:$M$100,
          MATCH(D174, 'Raw GDP data'!$H$2:$H$100, 0),
          MATCH(2008, 'Raw GDP data'!$I$1:$M$1, 0)
        ) /
        INDEX('Raw GDP data'!$I$2:$M$100,
          MATCH(D174, 'Raw GDP data'!$H$2:$H$100, 0),
          MATCH(2009, 'Raw GDP d"&amp;"ata'!$I$1:$M$1, 0)
        )
      )
    ),
  IF(A174 &lt; 2008,
    (
      FILTER(G:G,
        A:A = 2008,
        D:D = D174,
        E:E = E174,
        F:F = F174
      ) /
      PRODUCT(
        ARRAYFORMULA(
          (
            (
              FIL"&amp;"TER('Raw PhocalPoint Data'!G:G,
                'Raw PhocalPoint Data'!A:A = 2012,
                'Raw PhocalPoint Data'!D:D = D174,
                'Raw PhocalPoint Data'!E:E = E174,
                'Raw PhocalPoint Data'!F:F = F174
              ) /
  "&amp;"            FILTER('Raw PhocalPoint Data'!G:G,
                'Raw PhocalPoint Data'!A:A = 2011,
                'Raw PhocalPoint Data'!D:D = D174,
                'Raw PhocalPoint Data'!E:E = E174,
                'Raw PhocalPoint Data'!F:F = F174
     "&amp;"         ) -
              ROW(INDIRECT(""1:"" &amp; (2008 - A174))) *
              (
                (
                  FILTER('Raw PhocalPoint Data'!G:G,
                    'Raw PhocalPoint Data'!A:A = 2012,
                    'Raw PhocalPoint Data'!D:D"&amp;" = D174,
                    'Raw PhocalPoint Data'!E:E = E174,
                    'Raw PhocalPoint Data'!F:F = F174
                  ) /
                  FILTER('Raw PhocalPoint Data'!G:G,
                    'Raw PhocalPoint Data'!A:A = 2011,
       "&amp;"             'Raw PhocalPoint Data'!D:D = D174,
                    'Raw PhocalPoint Data'!E:E = E174,
                    'Raw PhocalPoint Data'!F:F = F174
                  ) - 1
                ) / 5
              )
            )
          )
        )
"&amp;"      )
    ),
    (
      FILTER('Raw PhocalPoint Data'!G:G,
        'Raw PhocalPoint Data'!A:A = 2009,
        'Raw PhocalPoint Data'!D:D = D174,
        'Raw PhocalPoint Data'!E:E = E174,
        'Raw PhocalPoint Data'!F:F = F174
      ) /
      PRODUC"&amp;"T(
        ARRAYFORMULA(
          (
            FILTER('Raw PhocalPoint Data'!G:G,
              'Raw PhocalPoint Data'!A:A = 2012,
              'Raw PhocalPoint Data'!D:D = D174,
              'Raw PhocalPoint Data'!E:E = E174,
              'Raw Phoca"&amp;"lPoint Data'!F:F = F174
            ) /
            FILTER('Raw PhocalPoint Data'!G:G,
              'Raw PhocalPoint Data'!A:A = 2011,
              'Raw PhocalPoint Data'!D:D = D174,
              'Raw PhocalPoint Data'!E:E = E174,
              'Raw Ph"&amp;"ocalPoint Data'!F:F = F174
            ) -
            (ROW(INDIRECT(""1:"" &amp; (2010 - A174))) - 1) *
            (
              (
                FILTER('Raw PhocalPoint Data'!G:G,
                  'Raw PhocalPoint Data'!A:A = 2012,
                  'R"&amp;"aw PhocalPoint Data'!D:D = D174,
                  'Raw PhocalPoint Data'!E:E = E174,
                  'Raw PhocalPoint Data'!F:F = F174
                ) /
                FILTER('Raw PhocalPoint Data'!G:G,
                  'Raw PhocalPoint Data'!A:A ="&amp;" 2011,
                  'Raw PhocalPoint Data'!D:D = D174,
                  'Raw PhocalPoint Data'!E:E = E174,
                  'Raw PhocalPoint Data'!F:F = F174
                ) - 1
              ) / 5
            )
          )
        )
      )
    "&amp;") *
    INDEX('Raw GDP data'!$I$2:$M$100,
      MATCH(D174, 'Raw GDP data'!$H$2:$H$100, 0),
      MATCH(A174, 'Raw GDP data'!$I$1:$M$1, 0)
    )
  )),
  """"
)
"),7452646760.09609)</f>
        <v>7452646760.0960903</v>
      </c>
      <c r="H174" s="80"/>
      <c r="I174" s="81">
        <f ca="1">IFERROR(__xludf.DUMMYFUNCTION("""COMPUTED_VALUE"""),2009)</f>
        <v>2009</v>
      </c>
      <c r="J174" s="82" t="str">
        <f ca="1">IFERROR(__xludf.DUMMYFUNCTION("""COMPUTED_VALUE"""),"Bulgaria")</f>
        <v>Bulgaria</v>
      </c>
      <c r="K174" s="83">
        <f ca="1">IFERROR(
  SUMIFS(
    'New Backfilled Data'!G:G,
    'New Backfilled Data'!A:A, I174,
    'New Backfilled Data'!D:D, J174,
    'New Backfilled Data'!E:E, "Online"
  ) /
  SUMIFS(
    'New Backfilled Data'!G:G,
    'New Backfilled Data'!A:A, I174,
    'New Backfilled Data'!D:D, J174
  ),
  ""
)</f>
        <v>7.0187312817624081E-2</v>
      </c>
      <c r="L174" s="84"/>
      <c r="M174" s="84"/>
    </row>
    <row r="175" spans="1:13" ht="17" x14ac:dyDescent="0.2">
      <c r="A175" s="44">
        <v>2006</v>
      </c>
      <c r="B175" s="45" t="s">
        <v>66</v>
      </c>
      <c r="C175" s="45" t="s">
        <v>17</v>
      </c>
      <c r="D175" s="45" t="s">
        <v>22</v>
      </c>
      <c r="E175" s="45" t="s">
        <v>69</v>
      </c>
      <c r="F175" s="45" t="s">
        <v>71</v>
      </c>
      <c r="G175" s="85">
        <f ca="1">IFERROR(__xludf.DUMMYFUNCTION("IFERROR(
  IF(A175 = 2008,
    IF(E175 = ""Online"",
      FILTER('Raw PhocalPoint Data'!G:G,
        'Raw PhocalPoint Data'!A:A = 2009,
        'Raw PhocalPoint Data'!D:D = D175,
        'Raw PhocalPoint Data'!E:E = E175,
        'Raw PhocalPoint Data'!F"&amp;":F = F175
      ) /
      (
        FILTER('Raw PhocalPoint Data'!G:G,
          'Raw PhocalPoint Data'!A:A = 2012,
          'Raw PhocalPoint Data'!D:D = D175,
          'Raw PhocalPoint Data'!E:E = E175,
          'Raw PhocalPoint Data'!F:F = F175
     "&amp;"   ) /
        FILTER('Raw PhocalPoint Data'!G:G,
          'Raw PhocalPoint Data'!A:A = 2011,
          'Raw PhocalPoint Data'!D:D = D175,
          'Raw PhocalPoint Data'!E:E = E175,
          'Raw PhocalPoint Data'!F:F = F175
        )
      ),
      F"&amp;"ILTER('Raw PhocalPoint Data'!G:G,
        'Raw PhocalPoint Data'!A:A = 2009,
        'Raw PhocalPoint Data'!D:D = D175,
        'Raw PhocalPoint Data'!E:E = E175,
        'Raw PhocalPoint Data'!F:F = F175
      ) *
      (
        INDEX('Raw GDP data'!$I$"&amp;"2:$M$100,
          MATCH(D175, 'Raw GDP data'!$H$2:$H$100, 0),
          MATCH(2008, 'Raw GDP data'!$I$1:$M$1, 0)
        ) /
        INDEX('Raw GDP data'!$I$2:$M$100,
          MATCH(D175, 'Raw GDP data'!$H$2:$H$100, 0),
          MATCH(2009, 'Raw GDP d"&amp;"ata'!$I$1:$M$1, 0)
        )
      )
    ),
  IF(A175 &lt; 2008,
    (
      FILTER(G:G,
        A:A = 2008,
        D:D = D175,
        E:E = E175,
        F:F = F175
      ) /
      PRODUCT(
        ARRAYFORMULA(
          (
            (
              FIL"&amp;"TER('Raw PhocalPoint Data'!G:G,
                'Raw PhocalPoint Data'!A:A = 2012,
                'Raw PhocalPoint Data'!D:D = D175,
                'Raw PhocalPoint Data'!E:E = E175,
                'Raw PhocalPoint Data'!F:F = F175
              ) /
  "&amp;"            FILTER('Raw PhocalPoint Data'!G:G,
                'Raw PhocalPoint Data'!A:A = 2011,
                'Raw PhocalPoint Data'!D:D = D175,
                'Raw PhocalPoint Data'!E:E = E175,
                'Raw PhocalPoint Data'!F:F = F175
     "&amp;"         ) -
              ROW(INDIRECT(""1:"" &amp; (2008 - A175))) *
              (
                (
                  FILTER('Raw PhocalPoint Data'!G:G,
                    'Raw PhocalPoint Data'!A:A = 2012,
                    'Raw PhocalPoint Data'!D:D"&amp;" = D175,
                    'Raw PhocalPoint Data'!E:E = E175,
                    'Raw PhocalPoint Data'!F:F = F175
                  ) /
                  FILTER('Raw PhocalPoint Data'!G:G,
                    'Raw PhocalPoint Data'!A:A = 2011,
       "&amp;"             'Raw PhocalPoint Data'!D:D = D175,
                    'Raw PhocalPoint Data'!E:E = E175,
                    'Raw PhocalPoint Data'!F:F = F175
                  ) - 1
                ) / 5
              )
            )
          )
        )
"&amp;"      )
    ),
    (
      FILTER('Raw PhocalPoint Data'!G:G,
        'Raw PhocalPoint Data'!A:A = 2009,
        'Raw PhocalPoint Data'!D:D = D175,
        'Raw PhocalPoint Data'!E:E = E175,
        'Raw PhocalPoint Data'!F:F = F175
      ) /
      PRODUC"&amp;"T(
        ARRAYFORMULA(
          (
            FILTER('Raw PhocalPoint Data'!G:G,
              'Raw PhocalPoint Data'!A:A = 2012,
              'Raw PhocalPoint Data'!D:D = D175,
              'Raw PhocalPoint Data'!E:E = E175,
              'Raw Phoca"&amp;"lPoint Data'!F:F = F175
            ) /
            FILTER('Raw PhocalPoint Data'!G:G,
              'Raw PhocalPoint Data'!A:A = 2011,
              'Raw PhocalPoint Data'!D:D = D175,
              'Raw PhocalPoint Data'!E:E = E175,
              'Raw Ph"&amp;"ocalPoint Data'!F:F = F175
            ) -
            (ROW(INDIRECT(""1:"" &amp; (2010 - A175))) - 1) *
            (
              (
                FILTER('Raw PhocalPoint Data'!G:G,
                  'Raw PhocalPoint Data'!A:A = 2012,
                  'R"&amp;"aw PhocalPoint Data'!D:D = D175,
                  'Raw PhocalPoint Data'!E:E = E175,
                  'Raw PhocalPoint Data'!F:F = F175
                ) /
                FILTER('Raw PhocalPoint Data'!G:G,
                  'Raw PhocalPoint Data'!A:A ="&amp;" 2011,
                  'Raw PhocalPoint Data'!D:D = D175,
                  'Raw PhocalPoint Data'!E:E = E175,
                  'Raw PhocalPoint Data'!F:F = F175
                ) - 1
              ) / 5
            )
          )
        )
      )
    "&amp;") *
    INDEX('Raw GDP data'!$I$2:$M$100,
      MATCH(D175, 'Raw GDP data'!$H$2:$H$100, 0),
      MATCH(A175, 'Raw GDP data'!$I$1:$M$1, 0)
    )
  )),
  """"
)
"),591115207.22558)</f>
        <v>591115207.22557998</v>
      </c>
      <c r="H175" s="86"/>
      <c r="I175" s="87">
        <f ca="1">IFERROR(__xludf.DUMMYFUNCTION("""COMPUTED_VALUE"""),2009)</f>
        <v>2009</v>
      </c>
      <c r="J175" s="88" t="str">
        <f ca="1">IFERROR(__xludf.DUMMYFUNCTION("""COMPUTED_VALUE"""),"Czech Republic")</f>
        <v>Czech Republic</v>
      </c>
      <c r="K175" s="89">
        <f ca="1">IFERROR(
  SUMIFS(
    'New Backfilled Data'!G:G,
    'New Backfilled Data'!A:A, I175,
    'New Backfilled Data'!D:D, J175,
    'New Backfilled Data'!E:E, "Online"
  ) /
  SUMIFS(
    'New Backfilled Data'!G:G,
    'New Backfilled Data'!A:A, I175,
    'New Backfilled Data'!D:D, J175
  ),
  ""
)</f>
        <v>0.15364899876360538</v>
      </c>
      <c r="L175" s="90"/>
      <c r="M175" s="90"/>
    </row>
    <row r="176" spans="1:13" ht="17" x14ac:dyDescent="0.2">
      <c r="A176" s="37">
        <v>2006</v>
      </c>
      <c r="B176" s="38" t="s">
        <v>66</v>
      </c>
      <c r="C176" s="38" t="s">
        <v>17</v>
      </c>
      <c r="D176" s="38" t="s">
        <v>22</v>
      </c>
      <c r="E176" s="38" t="s">
        <v>69</v>
      </c>
      <c r="F176" s="38" t="s">
        <v>70</v>
      </c>
      <c r="G176" s="79">
        <f ca="1">IFERROR(__xludf.DUMMYFUNCTION("IFERROR(
  IF(A176 = 2008,
    IF(E176 = ""Online"",
      FILTER('Raw PhocalPoint Data'!G:G,
        'Raw PhocalPoint Data'!A:A = 2009,
        'Raw PhocalPoint Data'!D:D = D176,
        'Raw PhocalPoint Data'!E:E = E176,
        'Raw PhocalPoint Data'!F"&amp;":F = F176
      ) /
      (
        FILTER('Raw PhocalPoint Data'!G:G,
          'Raw PhocalPoint Data'!A:A = 2012,
          'Raw PhocalPoint Data'!D:D = D176,
          'Raw PhocalPoint Data'!E:E = E176,
          'Raw PhocalPoint Data'!F:F = F176
     "&amp;"   ) /
        FILTER('Raw PhocalPoint Data'!G:G,
          'Raw PhocalPoint Data'!A:A = 2011,
          'Raw PhocalPoint Data'!D:D = D176,
          'Raw PhocalPoint Data'!E:E = E176,
          'Raw PhocalPoint Data'!F:F = F176
        )
      ),
      F"&amp;"ILTER('Raw PhocalPoint Data'!G:G,
        'Raw PhocalPoint Data'!A:A = 2009,
        'Raw PhocalPoint Data'!D:D = D176,
        'Raw PhocalPoint Data'!E:E = E176,
        'Raw PhocalPoint Data'!F:F = F176
      ) *
      (
        INDEX('Raw GDP data'!$I$"&amp;"2:$M$100,
          MATCH(D176, 'Raw GDP data'!$H$2:$H$100, 0),
          MATCH(2008, 'Raw GDP data'!$I$1:$M$1, 0)
        ) /
        INDEX('Raw GDP data'!$I$2:$M$100,
          MATCH(D176, 'Raw GDP data'!$H$2:$H$100, 0),
          MATCH(2009, 'Raw GDP d"&amp;"ata'!$I$1:$M$1, 0)
        )
      )
    ),
  IF(A176 &lt; 2008,
    (
      FILTER(G:G,
        A:A = 2008,
        D:D = D176,
        E:E = E176,
        F:F = F176
      ) /
      PRODUCT(
        ARRAYFORMULA(
          (
            (
              FIL"&amp;"TER('Raw PhocalPoint Data'!G:G,
                'Raw PhocalPoint Data'!A:A = 2012,
                'Raw PhocalPoint Data'!D:D = D176,
                'Raw PhocalPoint Data'!E:E = E176,
                'Raw PhocalPoint Data'!F:F = F176
              ) /
  "&amp;"            FILTER('Raw PhocalPoint Data'!G:G,
                'Raw PhocalPoint Data'!A:A = 2011,
                'Raw PhocalPoint Data'!D:D = D176,
                'Raw PhocalPoint Data'!E:E = E176,
                'Raw PhocalPoint Data'!F:F = F176
     "&amp;"         ) -
              ROW(INDIRECT(""1:"" &amp; (2008 - A176))) *
              (
                (
                  FILTER('Raw PhocalPoint Data'!G:G,
                    'Raw PhocalPoint Data'!A:A = 2012,
                    'Raw PhocalPoint Data'!D:D"&amp;" = D176,
                    'Raw PhocalPoint Data'!E:E = E176,
                    'Raw PhocalPoint Data'!F:F = F176
                  ) /
                  FILTER('Raw PhocalPoint Data'!G:G,
                    'Raw PhocalPoint Data'!A:A = 2011,
       "&amp;"             'Raw PhocalPoint Data'!D:D = D176,
                    'Raw PhocalPoint Data'!E:E = E176,
                    'Raw PhocalPoint Data'!F:F = F176
                  ) - 1
                ) / 5
              )
            )
          )
        )
"&amp;"      )
    ),
    (
      FILTER('Raw PhocalPoint Data'!G:G,
        'Raw PhocalPoint Data'!A:A = 2009,
        'Raw PhocalPoint Data'!D:D = D176,
        'Raw PhocalPoint Data'!E:E = E176,
        'Raw PhocalPoint Data'!F:F = F176
      ) /
      PRODUC"&amp;"T(
        ARRAYFORMULA(
          (
            FILTER('Raw PhocalPoint Data'!G:G,
              'Raw PhocalPoint Data'!A:A = 2012,
              'Raw PhocalPoint Data'!D:D = D176,
              'Raw PhocalPoint Data'!E:E = E176,
              'Raw Phoca"&amp;"lPoint Data'!F:F = F176
            ) /
            FILTER('Raw PhocalPoint Data'!G:G,
              'Raw PhocalPoint Data'!A:A = 2011,
              'Raw PhocalPoint Data'!D:D = D176,
              'Raw PhocalPoint Data'!E:E = E176,
              'Raw Ph"&amp;"ocalPoint Data'!F:F = F176
            ) -
            (ROW(INDIRECT(""1:"" &amp; (2010 - A176))) - 1) *
            (
              (
                FILTER('Raw PhocalPoint Data'!G:G,
                  'Raw PhocalPoint Data'!A:A = 2012,
                  'R"&amp;"aw PhocalPoint Data'!D:D = D176,
                  'Raw PhocalPoint Data'!E:E = E176,
                  'Raw PhocalPoint Data'!F:F = F176
                ) /
                FILTER('Raw PhocalPoint Data'!G:G,
                  'Raw PhocalPoint Data'!A:A ="&amp;" 2011,
                  'Raw PhocalPoint Data'!D:D = D176,
                  'Raw PhocalPoint Data'!E:E = E176,
                  'Raw PhocalPoint Data'!F:F = F176
                ) - 1
              ) / 5
            )
          )
        )
      )
    "&amp;") *
    INDEX('Raw GDP data'!$I$2:$M$100,
      MATCH(D176, 'Raw GDP data'!$H$2:$H$100, 0),
      MATCH(A176, 'Raw GDP data'!$I$1:$M$1, 0)
    )
  )),
  """"
)
"),340489689.921281)</f>
        <v>340489689.92128098</v>
      </c>
      <c r="H176" s="80"/>
      <c r="I176" s="81">
        <f ca="1">IFERROR(__xludf.DUMMYFUNCTION("""COMPUTED_VALUE"""),2009)</f>
        <v>2009</v>
      </c>
      <c r="J176" s="82" t="str">
        <f ca="1">IFERROR(__xludf.DUMMYFUNCTION("""COMPUTED_VALUE"""),"Greece")</f>
        <v>Greece</v>
      </c>
      <c r="K176" s="83">
        <f ca="1">IFERROR(
  SUMIFS(
    'New Backfilled Data'!G:G,
    'New Backfilled Data'!A:A, I176,
    'New Backfilled Data'!D:D, J176,
    'New Backfilled Data'!E:E, "Online"
  ) /
  SUMIFS(
    'New Backfilled Data'!G:G,
    'New Backfilled Data'!A:A, I176,
    'New Backfilled Data'!D:D, J176
  ),
  ""
)</f>
        <v>0.20127793689076939</v>
      </c>
      <c r="L176" s="84"/>
      <c r="M176" s="84"/>
    </row>
    <row r="177" spans="1:13" ht="17" x14ac:dyDescent="0.2">
      <c r="A177" s="44">
        <v>2006</v>
      </c>
      <c r="B177" s="45" t="s">
        <v>66</v>
      </c>
      <c r="C177" s="45" t="s">
        <v>17</v>
      </c>
      <c r="D177" s="45" t="s">
        <v>23</v>
      </c>
      <c r="E177" s="45" t="s">
        <v>67</v>
      </c>
      <c r="F177" s="45" t="s">
        <v>67</v>
      </c>
      <c r="G177" s="85">
        <f ca="1">IFERROR(__xludf.DUMMYFUNCTION("IFERROR(
  IF(A177 = 2008,
    IF(E177 = ""Online"",
      FILTER('Raw PhocalPoint Data'!G:G,
        'Raw PhocalPoint Data'!A:A = 2009,
        'Raw PhocalPoint Data'!D:D = D177,
        'Raw PhocalPoint Data'!E:E = E177,
        'Raw PhocalPoint Data'!F"&amp;":F = F177
      ) /
      (
        FILTER('Raw PhocalPoint Data'!G:G,
          'Raw PhocalPoint Data'!A:A = 2012,
          'Raw PhocalPoint Data'!D:D = D177,
          'Raw PhocalPoint Data'!E:E = E177,
          'Raw PhocalPoint Data'!F:F = F177
     "&amp;"   ) /
        FILTER('Raw PhocalPoint Data'!G:G,
          'Raw PhocalPoint Data'!A:A = 2011,
          'Raw PhocalPoint Data'!D:D = D177,
          'Raw PhocalPoint Data'!E:E = E177,
          'Raw PhocalPoint Data'!F:F = F177
        )
      ),
      F"&amp;"ILTER('Raw PhocalPoint Data'!G:G,
        'Raw PhocalPoint Data'!A:A = 2009,
        'Raw PhocalPoint Data'!D:D = D177,
        'Raw PhocalPoint Data'!E:E = E177,
        'Raw PhocalPoint Data'!F:F = F177
      ) *
      (
        INDEX('Raw GDP data'!$I$"&amp;"2:$M$100,
          MATCH(D177, 'Raw GDP data'!$H$2:$H$100, 0),
          MATCH(2008, 'Raw GDP data'!$I$1:$M$1, 0)
        ) /
        INDEX('Raw GDP data'!$I$2:$M$100,
          MATCH(D177, 'Raw GDP data'!$H$2:$H$100, 0),
          MATCH(2009, 'Raw GDP d"&amp;"ata'!$I$1:$M$1, 0)
        )
      )
    ),
  IF(A177 &lt; 2008,
    (
      FILTER(G:G,
        A:A = 2008,
        D:D = D177,
        E:E = E177,
        F:F = F177
      ) /
      PRODUCT(
        ARRAYFORMULA(
          (
            (
              FIL"&amp;"TER('Raw PhocalPoint Data'!G:G,
                'Raw PhocalPoint Data'!A:A = 2012,
                'Raw PhocalPoint Data'!D:D = D177,
                'Raw PhocalPoint Data'!E:E = E177,
                'Raw PhocalPoint Data'!F:F = F177
              ) /
  "&amp;"            FILTER('Raw PhocalPoint Data'!G:G,
                'Raw PhocalPoint Data'!A:A = 2011,
                'Raw PhocalPoint Data'!D:D = D177,
                'Raw PhocalPoint Data'!E:E = E177,
                'Raw PhocalPoint Data'!F:F = F177
     "&amp;"         ) -
              ROW(INDIRECT(""1:"" &amp; (2008 - A177))) *
              (
                (
                  FILTER('Raw PhocalPoint Data'!G:G,
                    'Raw PhocalPoint Data'!A:A = 2012,
                    'Raw PhocalPoint Data'!D:D"&amp;" = D177,
                    'Raw PhocalPoint Data'!E:E = E177,
                    'Raw PhocalPoint Data'!F:F = F177
                  ) /
                  FILTER('Raw PhocalPoint Data'!G:G,
                    'Raw PhocalPoint Data'!A:A = 2011,
       "&amp;"             'Raw PhocalPoint Data'!D:D = D177,
                    'Raw PhocalPoint Data'!E:E = E177,
                    'Raw PhocalPoint Data'!F:F = F177
                  ) - 1
                ) / 5
              )
            )
          )
        )
"&amp;"      )
    ),
    (
      FILTER('Raw PhocalPoint Data'!G:G,
        'Raw PhocalPoint Data'!A:A = 2009,
        'Raw PhocalPoint Data'!D:D = D177,
        'Raw PhocalPoint Data'!E:E = E177,
        'Raw PhocalPoint Data'!F:F = F177
      ) /
      PRODUC"&amp;"T(
        ARRAYFORMULA(
          (
            FILTER('Raw PhocalPoint Data'!G:G,
              'Raw PhocalPoint Data'!A:A = 2012,
              'Raw PhocalPoint Data'!D:D = D177,
              'Raw PhocalPoint Data'!E:E = E177,
              'Raw Phoca"&amp;"lPoint Data'!F:F = F177
            ) /
            FILTER('Raw PhocalPoint Data'!G:G,
              'Raw PhocalPoint Data'!A:A = 2011,
              'Raw PhocalPoint Data'!D:D = D177,
              'Raw PhocalPoint Data'!E:E = E177,
              'Raw Ph"&amp;"ocalPoint Data'!F:F = F177
            ) -
            (ROW(INDIRECT(""1:"" &amp; (2010 - A177))) - 1) *
            (
              (
                FILTER('Raw PhocalPoint Data'!G:G,
                  'Raw PhocalPoint Data'!A:A = 2012,
                  'R"&amp;"aw PhocalPoint Data'!D:D = D177,
                  'Raw PhocalPoint Data'!E:E = E177,
                  'Raw PhocalPoint Data'!F:F = F177
                ) /
                FILTER('Raw PhocalPoint Data'!G:G,
                  'Raw PhocalPoint Data'!A:A ="&amp;" 2011,
                  'Raw PhocalPoint Data'!D:D = D177,
                  'Raw PhocalPoint Data'!E:E = E177,
                  'Raw PhocalPoint Data'!F:F = F177
                ) - 1
              ) / 5
            )
          )
        )
      )
    "&amp;") *
    INDEX('Raw GDP data'!$I$2:$M$100,
      MATCH(D177, 'Raw GDP data'!$H$2:$H$100, 0),
      MATCH(A177, 'Raw GDP data'!$I$1:$M$1, 0)
    )
  )),
  """"
)
"),4217012304.60134)</f>
        <v>4217012304.6013398</v>
      </c>
      <c r="H177" s="86"/>
      <c r="I177" s="87">
        <f ca="1">IFERROR(__xludf.DUMMYFUNCTION("""COMPUTED_VALUE"""),2009)</f>
        <v>2009</v>
      </c>
      <c r="J177" s="88" t="str">
        <f ca="1">IFERROR(__xludf.DUMMYFUNCTION("""COMPUTED_VALUE"""),"Hungary")</f>
        <v>Hungary</v>
      </c>
      <c r="K177" s="89">
        <f ca="1">IFERROR(
  SUMIFS(
    'New Backfilled Data'!G:G,
    'New Backfilled Data'!A:A, I177,
    'New Backfilled Data'!D:D, J177,
    'New Backfilled Data'!E:E, "Online"
  ) /
  SUMIFS(
    'New Backfilled Data'!G:G,
    'New Backfilled Data'!A:A, I177,
    'New Backfilled Data'!D:D, J177
  ),
  ""
)</f>
        <v>0.18370438561595853</v>
      </c>
      <c r="L177" s="90"/>
      <c r="M177" s="90"/>
    </row>
    <row r="178" spans="1:13" ht="17" x14ac:dyDescent="0.2">
      <c r="A178" s="37">
        <v>2006</v>
      </c>
      <c r="B178" s="38" t="s">
        <v>66</v>
      </c>
      <c r="C178" s="38" t="s">
        <v>17</v>
      </c>
      <c r="D178" s="38" t="s">
        <v>23</v>
      </c>
      <c r="E178" s="38" t="s">
        <v>69</v>
      </c>
      <c r="F178" s="38" t="s">
        <v>71</v>
      </c>
      <c r="G178" s="79">
        <f ca="1">IFERROR(__xludf.DUMMYFUNCTION("IFERROR(
  IF(A178 = 2008,
    IF(E178 = ""Online"",
      FILTER('Raw PhocalPoint Data'!G:G,
        'Raw PhocalPoint Data'!A:A = 2009,
        'Raw PhocalPoint Data'!D:D = D178,
        'Raw PhocalPoint Data'!E:E = E178,
        'Raw PhocalPoint Data'!F"&amp;":F = F178
      ) /
      (
        FILTER('Raw PhocalPoint Data'!G:G,
          'Raw PhocalPoint Data'!A:A = 2012,
          'Raw PhocalPoint Data'!D:D = D178,
          'Raw PhocalPoint Data'!E:E = E178,
          'Raw PhocalPoint Data'!F:F = F178
     "&amp;"   ) /
        FILTER('Raw PhocalPoint Data'!G:G,
          'Raw PhocalPoint Data'!A:A = 2011,
          'Raw PhocalPoint Data'!D:D = D178,
          'Raw PhocalPoint Data'!E:E = E178,
          'Raw PhocalPoint Data'!F:F = F178
        )
      ),
      F"&amp;"ILTER('Raw PhocalPoint Data'!G:G,
        'Raw PhocalPoint Data'!A:A = 2009,
        'Raw PhocalPoint Data'!D:D = D178,
        'Raw PhocalPoint Data'!E:E = E178,
        'Raw PhocalPoint Data'!F:F = F178
      ) *
      (
        INDEX('Raw GDP data'!$I$"&amp;"2:$M$100,
          MATCH(D178, 'Raw GDP data'!$H$2:$H$100, 0),
          MATCH(2008, 'Raw GDP data'!$I$1:$M$1, 0)
        ) /
        INDEX('Raw GDP data'!$I$2:$M$100,
          MATCH(D178, 'Raw GDP data'!$H$2:$H$100, 0),
          MATCH(2009, 'Raw GDP d"&amp;"ata'!$I$1:$M$1, 0)
        )
      )
    ),
  IF(A178 &lt; 2008,
    (
      FILTER(G:G,
        A:A = 2008,
        D:D = D178,
        E:E = E178,
        F:F = F178
      ) /
      PRODUCT(
        ARRAYFORMULA(
          (
            (
              FIL"&amp;"TER('Raw PhocalPoint Data'!G:G,
                'Raw PhocalPoint Data'!A:A = 2012,
                'Raw PhocalPoint Data'!D:D = D178,
                'Raw PhocalPoint Data'!E:E = E178,
                'Raw PhocalPoint Data'!F:F = F178
              ) /
  "&amp;"            FILTER('Raw PhocalPoint Data'!G:G,
                'Raw PhocalPoint Data'!A:A = 2011,
                'Raw PhocalPoint Data'!D:D = D178,
                'Raw PhocalPoint Data'!E:E = E178,
                'Raw PhocalPoint Data'!F:F = F178
     "&amp;"         ) -
              ROW(INDIRECT(""1:"" &amp; (2008 - A178))) *
              (
                (
                  FILTER('Raw PhocalPoint Data'!G:G,
                    'Raw PhocalPoint Data'!A:A = 2012,
                    'Raw PhocalPoint Data'!D:D"&amp;" = D178,
                    'Raw PhocalPoint Data'!E:E = E178,
                    'Raw PhocalPoint Data'!F:F = F178
                  ) /
                  FILTER('Raw PhocalPoint Data'!G:G,
                    'Raw PhocalPoint Data'!A:A = 2011,
       "&amp;"             'Raw PhocalPoint Data'!D:D = D178,
                    'Raw PhocalPoint Data'!E:E = E178,
                    'Raw PhocalPoint Data'!F:F = F178
                  ) - 1
                ) / 5
              )
            )
          )
        )
"&amp;"      )
    ),
    (
      FILTER('Raw PhocalPoint Data'!G:G,
        'Raw PhocalPoint Data'!A:A = 2009,
        'Raw PhocalPoint Data'!D:D = D178,
        'Raw PhocalPoint Data'!E:E = E178,
        'Raw PhocalPoint Data'!F:F = F178
      ) /
      PRODUC"&amp;"T(
        ARRAYFORMULA(
          (
            FILTER('Raw PhocalPoint Data'!G:G,
              'Raw PhocalPoint Data'!A:A = 2012,
              'Raw PhocalPoint Data'!D:D = D178,
              'Raw PhocalPoint Data'!E:E = E178,
              'Raw Phoca"&amp;"lPoint Data'!F:F = F178
            ) /
            FILTER('Raw PhocalPoint Data'!G:G,
              'Raw PhocalPoint Data'!A:A = 2011,
              'Raw PhocalPoint Data'!D:D = D178,
              'Raw PhocalPoint Data'!E:E = E178,
              'Raw Ph"&amp;"ocalPoint Data'!F:F = F178
            ) -
            (ROW(INDIRECT(""1:"" &amp; (2010 - A178))) - 1) *
            (
              (
                FILTER('Raw PhocalPoint Data'!G:G,
                  'Raw PhocalPoint Data'!A:A = 2012,
                  'R"&amp;"aw PhocalPoint Data'!D:D = D178,
                  'Raw PhocalPoint Data'!E:E = E178,
                  'Raw PhocalPoint Data'!F:F = F178
                ) /
                FILTER('Raw PhocalPoint Data'!G:G,
                  'Raw PhocalPoint Data'!A:A ="&amp;" 2011,
                  'Raw PhocalPoint Data'!D:D = D178,
                  'Raw PhocalPoint Data'!E:E = E178,
                  'Raw PhocalPoint Data'!F:F = F178
                ) - 1
              ) / 5
            )
          )
        )
      )
    "&amp;") *
    INDEX('Raw GDP data'!$I$2:$M$100,
      MATCH(D178, 'Raw GDP data'!$H$2:$H$100, 0),
      MATCH(A178, 'Raw GDP data'!$I$1:$M$1, 0)
    )
  )),
  """"
)
"),83931616.6014485)</f>
        <v>83931616.601448506</v>
      </c>
      <c r="H178" s="80"/>
      <c r="I178" s="81">
        <f ca="1">IFERROR(__xludf.DUMMYFUNCTION("""COMPUTED_VALUE"""),2009)</f>
        <v>2009</v>
      </c>
      <c r="J178" s="82" t="str">
        <f ca="1">IFERROR(__xludf.DUMMYFUNCTION("""COMPUTED_VALUE"""),"Poland")</f>
        <v>Poland</v>
      </c>
      <c r="K178" s="83">
        <f ca="1">IFERROR(
  SUMIFS(
    'New Backfilled Data'!G:G,
    'New Backfilled Data'!A:A, I178,
    'New Backfilled Data'!D:D, J178,
    'New Backfilled Data'!E:E, "Online"
  ) /
  SUMIFS(
    'New Backfilled Data'!G:G,
    'New Backfilled Data'!A:A, I178,
    'New Backfilled Data'!D:D, J178
  ),
  ""
)</f>
        <v>0.16092874127069698</v>
      </c>
      <c r="L178" s="84"/>
      <c r="M178" s="84"/>
    </row>
    <row r="179" spans="1:13" ht="34" x14ac:dyDescent="0.2">
      <c r="A179" s="44">
        <v>2006</v>
      </c>
      <c r="B179" s="45" t="s">
        <v>66</v>
      </c>
      <c r="C179" s="45" t="s">
        <v>17</v>
      </c>
      <c r="D179" s="45" t="s">
        <v>23</v>
      </c>
      <c r="E179" s="45" t="s">
        <v>69</v>
      </c>
      <c r="F179" s="45" t="s">
        <v>70</v>
      </c>
      <c r="G179" s="85">
        <f ca="1">IFERROR(__xludf.DUMMYFUNCTION("IFERROR(
  IF(A179 = 2008,
    IF(E179 = ""Online"",
      FILTER('Raw PhocalPoint Data'!G:G,
        'Raw PhocalPoint Data'!A:A = 2009,
        'Raw PhocalPoint Data'!D:D = D179,
        'Raw PhocalPoint Data'!E:E = E179,
        'Raw PhocalPoint Data'!F"&amp;":F = F179
      ) /
      (
        FILTER('Raw PhocalPoint Data'!G:G,
          'Raw PhocalPoint Data'!A:A = 2012,
          'Raw PhocalPoint Data'!D:D = D179,
          'Raw PhocalPoint Data'!E:E = E179,
          'Raw PhocalPoint Data'!F:F = F179
     "&amp;"   ) /
        FILTER('Raw PhocalPoint Data'!G:G,
          'Raw PhocalPoint Data'!A:A = 2011,
          'Raw PhocalPoint Data'!D:D = D179,
          'Raw PhocalPoint Data'!E:E = E179,
          'Raw PhocalPoint Data'!F:F = F179
        )
      ),
      F"&amp;"ILTER('Raw PhocalPoint Data'!G:G,
        'Raw PhocalPoint Data'!A:A = 2009,
        'Raw PhocalPoint Data'!D:D = D179,
        'Raw PhocalPoint Data'!E:E = E179,
        'Raw PhocalPoint Data'!F:F = F179
      ) *
      (
        INDEX('Raw GDP data'!$I$"&amp;"2:$M$100,
          MATCH(D179, 'Raw GDP data'!$H$2:$H$100, 0),
          MATCH(2008, 'Raw GDP data'!$I$1:$M$1, 0)
        ) /
        INDEX('Raw GDP data'!$I$2:$M$100,
          MATCH(D179, 'Raw GDP data'!$H$2:$H$100, 0),
          MATCH(2009, 'Raw GDP d"&amp;"ata'!$I$1:$M$1, 0)
        )
      )
    ),
  IF(A179 &lt; 2008,
    (
      FILTER(G:G,
        A:A = 2008,
        D:D = D179,
        E:E = E179,
        F:F = F179
      ) /
      PRODUCT(
        ARRAYFORMULA(
          (
            (
              FIL"&amp;"TER('Raw PhocalPoint Data'!G:G,
                'Raw PhocalPoint Data'!A:A = 2012,
                'Raw PhocalPoint Data'!D:D = D179,
                'Raw PhocalPoint Data'!E:E = E179,
                'Raw PhocalPoint Data'!F:F = F179
              ) /
  "&amp;"            FILTER('Raw PhocalPoint Data'!G:G,
                'Raw PhocalPoint Data'!A:A = 2011,
                'Raw PhocalPoint Data'!D:D = D179,
                'Raw PhocalPoint Data'!E:E = E179,
                'Raw PhocalPoint Data'!F:F = F179
     "&amp;"         ) -
              ROW(INDIRECT(""1:"" &amp; (2008 - A179))) *
              (
                (
                  FILTER('Raw PhocalPoint Data'!G:G,
                    'Raw PhocalPoint Data'!A:A = 2012,
                    'Raw PhocalPoint Data'!D:D"&amp;" = D179,
                    'Raw PhocalPoint Data'!E:E = E179,
                    'Raw PhocalPoint Data'!F:F = F179
                  ) /
                  FILTER('Raw PhocalPoint Data'!G:G,
                    'Raw PhocalPoint Data'!A:A = 2011,
       "&amp;"             'Raw PhocalPoint Data'!D:D = D179,
                    'Raw PhocalPoint Data'!E:E = E179,
                    'Raw PhocalPoint Data'!F:F = F179
                  ) - 1
                ) / 5
              )
            )
          )
        )
"&amp;"      )
    ),
    (
      FILTER('Raw PhocalPoint Data'!G:G,
        'Raw PhocalPoint Data'!A:A = 2009,
        'Raw PhocalPoint Data'!D:D = D179,
        'Raw PhocalPoint Data'!E:E = E179,
        'Raw PhocalPoint Data'!F:F = F179
      ) /
      PRODUC"&amp;"T(
        ARRAYFORMULA(
          (
            FILTER('Raw PhocalPoint Data'!G:G,
              'Raw PhocalPoint Data'!A:A = 2012,
              'Raw PhocalPoint Data'!D:D = D179,
              'Raw PhocalPoint Data'!E:E = E179,
              'Raw Phoca"&amp;"lPoint Data'!F:F = F179
            ) /
            FILTER('Raw PhocalPoint Data'!G:G,
              'Raw PhocalPoint Data'!A:A = 2011,
              'Raw PhocalPoint Data'!D:D = D179,
              'Raw PhocalPoint Data'!E:E = E179,
              'Raw Ph"&amp;"ocalPoint Data'!F:F = F179
            ) -
            (ROW(INDIRECT(""1:"" &amp; (2010 - A179))) - 1) *
            (
              (
                FILTER('Raw PhocalPoint Data'!G:G,
                  'Raw PhocalPoint Data'!A:A = 2012,
                  'R"&amp;"aw PhocalPoint Data'!D:D = D179,
                  'Raw PhocalPoint Data'!E:E = E179,
                  'Raw PhocalPoint Data'!F:F = F179
                ) /
                FILTER('Raw PhocalPoint Data'!G:G,
                  'Raw PhocalPoint Data'!A:A ="&amp;" 2011,
                  'Raw PhocalPoint Data'!D:D = D179,
                  'Raw PhocalPoint Data'!E:E = E179,
                  'Raw PhocalPoint Data'!F:F = F179
                ) - 1
              ) / 5
            )
          )
        )
      )
    "&amp;") *
    INDEX('Raw GDP data'!$I$2:$M$100,
      MATCH(D179, 'Raw GDP data'!$H$2:$H$100, 0),
      MATCH(A179, 'Raw GDP data'!$I$1:$M$1, 0)
    )
  )),
  """"
)
"),173413673.826656)</f>
        <v>173413673.82665601</v>
      </c>
      <c r="H179" s="86"/>
      <c r="I179" s="87">
        <f ca="1">IFERROR(__xludf.DUMMYFUNCTION("""COMPUTED_VALUE"""),2009)</f>
        <v>2009</v>
      </c>
      <c r="J179" s="88" t="str">
        <f ca="1">IFERROR(__xludf.DUMMYFUNCTION("""COMPUTED_VALUE"""),"Rest of Eastern Europe")</f>
        <v>Rest of Eastern Europe</v>
      </c>
      <c r="K179" s="89">
        <f ca="1">IFERROR(
  SUMIFS(
    'New Backfilled Data'!G:G,
    'New Backfilled Data'!A:A, I179,
    'New Backfilled Data'!D:D, J179,
    'New Backfilled Data'!E:E, "Online"
  ) /
  SUMIFS(
    'New Backfilled Data'!G:G,
    'New Backfilled Data'!A:A, I179,
    'New Backfilled Data'!D:D, J179
  ),
  ""
)</f>
        <v>9.3583537565468458E-2</v>
      </c>
      <c r="L179" s="90"/>
      <c r="M179" s="90"/>
    </row>
    <row r="180" spans="1:13" ht="17" x14ac:dyDescent="0.2">
      <c r="A180" s="37">
        <v>2006</v>
      </c>
      <c r="B180" s="38" t="s">
        <v>66</v>
      </c>
      <c r="C180" s="38" t="s">
        <v>17</v>
      </c>
      <c r="D180" s="38" t="s">
        <v>24</v>
      </c>
      <c r="E180" s="38" t="s">
        <v>67</v>
      </c>
      <c r="F180" s="38" t="s">
        <v>67</v>
      </c>
      <c r="G180" s="79">
        <f ca="1">IFERROR(__xludf.DUMMYFUNCTION("IFERROR(
  IF(A180 = 2008,
    IF(E180 = ""Online"",
      FILTER('Raw PhocalPoint Data'!G:G,
        'Raw PhocalPoint Data'!A:A = 2009,
        'Raw PhocalPoint Data'!D:D = D180,
        'Raw PhocalPoint Data'!E:E = E180,
        'Raw PhocalPoint Data'!F"&amp;":F = F180
      ) /
      (
        FILTER('Raw PhocalPoint Data'!G:G,
          'Raw PhocalPoint Data'!A:A = 2012,
          'Raw PhocalPoint Data'!D:D = D180,
          'Raw PhocalPoint Data'!E:E = E180,
          'Raw PhocalPoint Data'!F:F = F180
     "&amp;"   ) /
        FILTER('Raw PhocalPoint Data'!G:G,
          'Raw PhocalPoint Data'!A:A = 2011,
          'Raw PhocalPoint Data'!D:D = D180,
          'Raw PhocalPoint Data'!E:E = E180,
          'Raw PhocalPoint Data'!F:F = F180
        )
      ),
      F"&amp;"ILTER('Raw PhocalPoint Data'!G:G,
        'Raw PhocalPoint Data'!A:A = 2009,
        'Raw PhocalPoint Data'!D:D = D180,
        'Raw PhocalPoint Data'!E:E = E180,
        'Raw PhocalPoint Data'!F:F = F180
      ) *
      (
        INDEX('Raw GDP data'!$I$"&amp;"2:$M$100,
          MATCH(D180, 'Raw GDP data'!$H$2:$H$100, 0),
          MATCH(2008, 'Raw GDP data'!$I$1:$M$1, 0)
        ) /
        INDEX('Raw GDP data'!$I$2:$M$100,
          MATCH(D180, 'Raw GDP data'!$H$2:$H$100, 0),
          MATCH(2009, 'Raw GDP d"&amp;"ata'!$I$1:$M$1, 0)
        )
      )
    ),
  IF(A180 &lt; 2008,
    (
      FILTER(G:G,
        A:A = 2008,
        D:D = D180,
        E:E = E180,
        F:F = F180
      ) /
      PRODUCT(
        ARRAYFORMULA(
          (
            (
              FIL"&amp;"TER('Raw PhocalPoint Data'!G:G,
                'Raw PhocalPoint Data'!A:A = 2012,
                'Raw PhocalPoint Data'!D:D = D180,
                'Raw PhocalPoint Data'!E:E = E180,
                'Raw PhocalPoint Data'!F:F = F180
              ) /
  "&amp;"            FILTER('Raw PhocalPoint Data'!G:G,
                'Raw PhocalPoint Data'!A:A = 2011,
                'Raw PhocalPoint Data'!D:D = D180,
                'Raw PhocalPoint Data'!E:E = E180,
                'Raw PhocalPoint Data'!F:F = F180
     "&amp;"         ) -
              ROW(INDIRECT(""1:"" &amp; (2008 - A180))) *
              (
                (
                  FILTER('Raw PhocalPoint Data'!G:G,
                    'Raw PhocalPoint Data'!A:A = 2012,
                    'Raw PhocalPoint Data'!D:D"&amp;" = D180,
                    'Raw PhocalPoint Data'!E:E = E180,
                    'Raw PhocalPoint Data'!F:F = F180
                  ) /
                  FILTER('Raw PhocalPoint Data'!G:G,
                    'Raw PhocalPoint Data'!A:A = 2011,
       "&amp;"             'Raw PhocalPoint Data'!D:D = D180,
                    'Raw PhocalPoint Data'!E:E = E180,
                    'Raw PhocalPoint Data'!F:F = F180
                  ) - 1
                ) / 5
              )
            )
          )
        )
"&amp;"      )
    ),
    (
      FILTER('Raw PhocalPoint Data'!G:G,
        'Raw PhocalPoint Data'!A:A = 2009,
        'Raw PhocalPoint Data'!D:D = D180,
        'Raw PhocalPoint Data'!E:E = E180,
        'Raw PhocalPoint Data'!F:F = F180
      ) /
      PRODUC"&amp;"T(
        ARRAYFORMULA(
          (
            FILTER('Raw PhocalPoint Data'!G:G,
              'Raw PhocalPoint Data'!A:A = 2012,
              'Raw PhocalPoint Data'!D:D = D180,
              'Raw PhocalPoint Data'!E:E = E180,
              'Raw Phoca"&amp;"lPoint Data'!F:F = F180
            ) /
            FILTER('Raw PhocalPoint Data'!G:G,
              'Raw PhocalPoint Data'!A:A = 2011,
              'Raw PhocalPoint Data'!D:D = D180,
              'Raw PhocalPoint Data'!E:E = E180,
              'Raw Ph"&amp;"ocalPoint Data'!F:F = F180
            ) -
            (ROW(INDIRECT(""1:"" &amp; (2010 - A180))) - 1) *
            (
              (
                FILTER('Raw PhocalPoint Data'!G:G,
                  'Raw PhocalPoint Data'!A:A = 2012,
                  'R"&amp;"aw PhocalPoint Data'!D:D = D180,
                  'Raw PhocalPoint Data'!E:E = E180,
                  'Raw PhocalPoint Data'!F:F = F180
                ) /
                FILTER('Raw PhocalPoint Data'!G:G,
                  'Raw PhocalPoint Data'!A:A ="&amp;" 2011,
                  'Raw PhocalPoint Data'!D:D = D180,
                  'Raw PhocalPoint Data'!E:E = E180,
                  'Raw PhocalPoint Data'!F:F = F180
                ) - 1
              ) / 5
            )
          )
        )
      )
    "&amp;") *
    INDEX('Raw GDP data'!$I$2:$M$100,
      MATCH(D180, 'Raw GDP data'!$H$2:$H$100, 0),
      MATCH(A180, 'Raw GDP data'!$I$1:$M$1, 0)
    )
  )),
  """"
)
"),46809592866.5211)</f>
        <v>46809592866.521103</v>
      </c>
      <c r="H180" s="80"/>
      <c r="I180" s="81">
        <f ca="1">IFERROR(__xludf.DUMMYFUNCTION("""COMPUTED_VALUE"""),2009)</f>
        <v>2009</v>
      </c>
      <c r="J180" s="82" t="str">
        <f ca="1">IFERROR(__xludf.DUMMYFUNCTION("""COMPUTED_VALUE"""),"Romania")</f>
        <v>Romania</v>
      </c>
      <c r="K180" s="83">
        <f ca="1">IFERROR(
  SUMIFS(
    'New Backfilled Data'!G:G,
    'New Backfilled Data'!A:A, I180,
    'New Backfilled Data'!D:D, J180,
    'New Backfilled Data'!E:E, "Online"
  ) /
  SUMIFS(
    'New Backfilled Data'!G:G,
    'New Backfilled Data'!A:A, I180,
    'New Backfilled Data'!D:D, J180
  ),
  ""
)</f>
        <v>0.11393012115895497</v>
      </c>
      <c r="L180" s="84"/>
      <c r="M180" s="84"/>
    </row>
    <row r="181" spans="1:13" ht="17" x14ac:dyDescent="0.2">
      <c r="A181" s="44">
        <v>2006</v>
      </c>
      <c r="B181" s="45" t="s">
        <v>66</v>
      </c>
      <c r="C181" s="45" t="s">
        <v>17</v>
      </c>
      <c r="D181" s="45" t="s">
        <v>24</v>
      </c>
      <c r="E181" s="45" t="s">
        <v>69</v>
      </c>
      <c r="F181" s="45" t="s">
        <v>71</v>
      </c>
      <c r="G181" s="85">
        <f ca="1">IFERROR(__xludf.DUMMYFUNCTION("IFERROR(
  IF(A181 = 2008,
    IF(E181 = ""Online"",
      FILTER('Raw PhocalPoint Data'!G:G,
        'Raw PhocalPoint Data'!A:A = 2009,
        'Raw PhocalPoint Data'!D:D = D181,
        'Raw PhocalPoint Data'!E:E = E181,
        'Raw PhocalPoint Data'!F"&amp;":F = F181
      ) /
      (
        FILTER('Raw PhocalPoint Data'!G:G,
          'Raw PhocalPoint Data'!A:A = 2012,
          'Raw PhocalPoint Data'!D:D = D181,
          'Raw PhocalPoint Data'!E:E = E181,
          'Raw PhocalPoint Data'!F:F = F181
     "&amp;"   ) /
        FILTER('Raw PhocalPoint Data'!G:G,
          'Raw PhocalPoint Data'!A:A = 2011,
          'Raw PhocalPoint Data'!D:D = D181,
          'Raw PhocalPoint Data'!E:E = E181,
          'Raw PhocalPoint Data'!F:F = F181
        )
      ),
      F"&amp;"ILTER('Raw PhocalPoint Data'!G:G,
        'Raw PhocalPoint Data'!A:A = 2009,
        'Raw PhocalPoint Data'!D:D = D181,
        'Raw PhocalPoint Data'!E:E = E181,
        'Raw PhocalPoint Data'!F:F = F181
      ) *
      (
        INDEX('Raw GDP data'!$I$"&amp;"2:$M$100,
          MATCH(D181, 'Raw GDP data'!$H$2:$H$100, 0),
          MATCH(2008, 'Raw GDP data'!$I$1:$M$1, 0)
        ) /
        INDEX('Raw GDP data'!$I$2:$M$100,
          MATCH(D181, 'Raw GDP data'!$H$2:$H$100, 0),
          MATCH(2009, 'Raw GDP d"&amp;"ata'!$I$1:$M$1, 0)
        )
      )
    ),
  IF(A181 &lt; 2008,
    (
      FILTER(G:G,
        A:A = 2008,
        D:D = D181,
        E:E = E181,
        F:F = F181
      ) /
      PRODUCT(
        ARRAYFORMULA(
          (
            (
              FIL"&amp;"TER('Raw PhocalPoint Data'!G:G,
                'Raw PhocalPoint Data'!A:A = 2012,
                'Raw PhocalPoint Data'!D:D = D181,
                'Raw PhocalPoint Data'!E:E = E181,
                'Raw PhocalPoint Data'!F:F = F181
              ) /
  "&amp;"            FILTER('Raw PhocalPoint Data'!G:G,
                'Raw PhocalPoint Data'!A:A = 2011,
                'Raw PhocalPoint Data'!D:D = D181,
                'Raw PhocalPoint Data'!E:E = E181,
                'Raw PhocalPoint Data'!F:F = F181
     "&amp;"         ) -
              ROW(INDIRECT(""1:"" &amp; (2008 - A181))) *
              (
                (
                  FILTER('Raw PhocalPoint Data'!G:G,
                    'Raw PhocalPoint Data'!A:A = 2012,
                    'Raw PhocalPoint Data'!D:D"&amp;" = D181,
                    'Raw PhocalPoint Data'!E:E = E181,
                    'Raw PhocalPoint Data'!F:F = F181
                  ) /
                  FILTER('Raw PhocalPoint Data'!G:G,
                    'Raw PhocalPoint Data'!A:A = 2011,
       "&amp;"             'Raw PhocalPoint Data'!D:D = D181,
                    'Raw PhocalPoint Data'!E:E = E181,
                    'Raw PhocalPoint Data'!F:F = F181
                  ) - 1
                ) / 5
              )
            )
          )
        )
"&amp;"      )
    ),
    (
      FILTER('Raw PhocalPoint Data'!G:G,
        'Raw PhocalPoint Data'!A:A = 2009,
        'Raw PhocalPoint Data'!D:D = D181,
        'Raw PhocalPoint Data'!E:E = E181,
        'Raw PhocalPoint Data'!F:F = F181
      ) /
      PRODUC"&amp;"T(
        ARRAYFORMULA(
          (
            FILTER('Raw PhocalPoint Data'!G:G,
              'Raw PhocalPoint Data'!A:A = 2012,
              'Raw PhocalPoint Data'!D:D = D181,
              'Raw PhocalPoint Data'!E:E = E181,
              'Raw Phoca"&amp;"lPoint Data'!F:F = F181
            ) /
            FILTER('Raw PhocalPoint Data'!G:G,
              'Raw PhocalPoint Data'!A:A = 2011,
              'Raw PhocalPoint Data'!D:D = D181,
              'Raw PhocalPoint Data'!E:E = E181,
              'Raw Ph"&amp;"ocalPoint Data'!F:F = F181
            ) -
            (ROW(INDIRECT(""1:"" &amp; (2010 - A181))) - 1) *
            (
              (
                FILTER('Raw PhocalPoint Data'!G:G,
                  'Raw PhocalPoint Data'!A:A = 2012,
                  'R"&amp;"aw PhocalPoint Data'!D:D = D181,
                  'Raw PhocalPoint Data'!E:E = E181,
                  'Raw PhocalPoint Data'!F:F = F181
                ) /
                FILTER('Raw PhocalPoint Data'!G:G,
                  'Raw PhocalPoint Data'!A:A ="&amp;" 2011,
                  'Raw PhocalPoint Data'!D:D = D181,
                  'Raw PhocalPoint Data'!E:E = E181,
                  'Raw PhocalPoint Data'!F:F = F181
                ) - 1
              ) / 5
            )
          )
        )
      )
    "&amp;") *
    INDEX('Raw GDP data'!$I$2:$M$100,
      MATCH(D181, 'Raw GDP data'!$H$2:$H$100, 0),
      MATCH(A181, 'Raw GDP data'!$I$1:$M$1, 0)
    )
  )),
  """"
)
"),367103785.325231)</f>
        <v>367103785.32523102</v>
      </c>
      <c r="H181" s="86"/>
      <c r="I181" s="87">
        <f ca="1">IFERROR(__xludf.DUMMYFUNCTION("""COMPUTED_VALUE"""),2009)</f>
        <v>2009</v>
      </c>
      <c r="J181" s="88" t="str">
        <f ca="1">IFERROR(__xludf.DUMMYFUNCTION("""COMPUTED_VALUE"""),"Russia")</f>
        <v>Russia</v>
      </c>
      <c r="K181" s="89">
        <f ca="1">IFERROR(
  SUMIFS(
    'New Backfilled Data'!G:G,
    'New Backfilled Data'!A:A, I181,
    'New Backfilled Data'!D:D, J181,
    'New Backfilled Data'!E:E, "Online"
  ) /
  SUMIFS(
    'New Backfilled Data'!G:G,
    'New Backfilled Data'!A:A, I181,
    'New Backfilled Data'!D:D, J181
  ),
  ""
)</f>
        <v>5.7279494926876402E-2</v>
      </c>
      <c r="L181" s="90"/>
      <c r="M181" s="90"/>
    </row>
    <row r="182" spans="1:13" ht="17" x14ac:dyDescent="0.2">
      <c r="A182" s="37">
        <v>2006</v>
      </c>
      <c r="B182" s="38" t="s">
        <v>66</v>
      </c>
      <c r="C182" s="38" t="s">
        <v>17</v>
      </c>
      <c r="D182" s="38" t="s">
        <v>24</v>
      </c>
      <c r="E182" s="38" t="s">
        <v>69</v>
      </c>
      <c r="F182" s="38" t="s">
        <v>70</v>
      </c>
      <c r="G182" s="79">
        <f ca="1">IFERROR(__xludf.DUMMYFUNCTION("IFERROR(
  IF(A182 = 2008,
    IF(E182 = ""Online"",
      FILTER('Raw PhocalPoint Data'!G:G,
        'Raw PhocalPoint Data'!A:A = 2009,
        'Raw PhocalPoint Data'!D:D = D182,
        'Raw PhocalPoint Data'!E:E = E182,
        'Raw PhocalPoint Data'!F"&amp;":F = F182
      ) /
      (
        FILTER('Raw PhocalPoint Data'!G:G,
          'Raw PhocalPoint Data'!A:A = 2012,
          'Raw PhocalPoint Data'!D:D = D182,
          'Raw PhocalPoint Data'!E:E = E182,
          'Raw PhocalPoint Data'!F:F = F182
     "&amp;"   ) /
        FILTER('Raw PhocalPoint Data'!G:G,
          'Raw PhocalPoint Data'!A:A = 2011,
          'Raw PhocalPoint Data'!D:D = D182,
          'Raw PhocalPoint Data'!E:E = E182,
          'Raw PhocalPoint Data'!F:F = F182
        )
      ),
      F"&amp;"ILTER('Raw PhocalPoint Data'!G:G,
        'Raw PhocalPoint Data'!A:A = 2009,
        'Raw PhocalPoint Data'!D:D = D182,
        'Raw PhocalPoint Data'!E:E = E182,
        'Raw PhocalPoint Data'!F:F = F182
      ) *
      (
        INDEX('Raw GDP data'!$I$"&amp;"2:$M$100,
          MATCH(D182, 'Raw GDP data'!$H$2:$H$100, 0),
          MATCH(2008, 'Raw GDP data'!$I$1:$M$1, 0)
        ) /
        INDEX('Raw GDP data'!$I$2:$M$100,
          MATCH(D182, 'Raw GDP data'!$H$2:$H$100, 0),
          MATCH(2009, 'Raw GDP d"&amp;"ata'!$I$1:$M$1, 0)
        )
      )
    ),
  IF(A182 &lt; 2008,
    (
      FILTER(G:G,
        A:A = 2008,
        D:D = D182,
        E:E = E182,
        F:F = F182
      ) /
      PRODUCT(
        ARRAYFORMULA(
          (
            (
              FIL"&amp;"TER('Raw PhocalPoint Data'!G:G,
                'Raw PhocalPoint Data'!A:A = 2012,
                'Raw PhocalPoint Data'!D:D = D182,
                'Raw PhocalPoint Data'!E:E = E182,
                'Raw PhocalPoint Data'!F:F = F182
              ) /
  "&amp;"            FILTER('Raw PhocalPoint Data'!G:G,
                'Raw PhocalPoint Data'!A:A = 2011,
                'Raw PhocalPoint Data'!D:D = D182,
                'Raw PhocalPoint Data'!E:E = E182,
                'Raw PhocalPoint Data'!F:F = F182
     "&amp;"         ) -
              ROW(INDIRECT(""1:"" &amp; (2008 - A182))) *
              (
                (
                  FILTER('Raw PhocalPoint Data'!G:G,
                    'Raw PhocalPoint Data'!A:A = 2012,
                    'Raw PhocalPoint Data'!D:D"&amp;" = D182,
                    'Raw PhocalPoint Data'!E:E = E182,
                    'Raw PhocalPoint Data'!F:F = F182
                  ) /
                  FILTER('Raw PhocalPoint Data'!G:G,
                    'Raw PhocalPoint Data'!A:A = 2011,
       "&amp;"             'Raw PhocalPoint Data'!D:D = D182,
                    'Raw PhocalPoint Data'!E:E = E182,
                    'Raw PhocalPoint Data'!F:F = F182
                  ) - 1
                ) / 5
              )
            )
          )
        )
"&amp;"      )
    ),
    (
      FILTER('Raw PhocalPoint Data'!G:G,
        'Raw PhocalPoint Data'!A:A = 2009,
        'Raw PhocalPoint Data'!D:D = D182,
        'Raw PhocalPoint Data'!E:E = E182,
        'Raw PhocalPoint Data'!F:F = F182
      ) /
      PRODUC"&amp;"T(
        ARRAYFORMULA(
          (
            FILTER('Raw PhocalPoint Data'!G:G,
              'Raw PhocalPoint Data'!A:A = 2012,
              'Raw PhocalPoint Data'!D:D = D182,
              'Raw PhocalPoint Data'!E:E = E182,
              'Raw Phoca"&amp;"lPoint Data'!F:F = F182
            ) /
            FILTER('Raw PhocalPoint Data'!G:G,
              'Raw PhocalPoint Data'!A:A = 2011,
              'Raw PhocalPoint Data'!D:D = D182,
              'Raw PhocalPoint Data'!E:E = E182,
              'Raw Ph"&amp;"ocalPoint Data'!F:F = F182
            ) -
            (ROW(INDIRECT(""1:"" &amp; (2010 - A182))) - 1) *
            (
              (
                FILTER('Raw PhocalPoint Data'!G:G,
                  'Raw PhocalPoint Data'!A:A = 2012,
                  'R"&amp;"aw PhocalPoint Data'!D:D = D182,
                  'Raw PhocalPoint Data'!E:E = E182,
                  'Raw PhocalPoint Data'!F:F = F182
                ) /
                FILTER('Raw PhocalPoint Data'!G:G,
                  'Raw PhocalPoint Data'!A:A ="&amp;" 2011,
                  'Raw PhocalPoint Data'!D:D = D182,
                  'Raw PhocalPoint Data'!E:E = E182,
                  'Raw PhocalPoint Data'!F:F = F182
                ) - 1
              ) / 5
            )
          )
        )
      )
    "&amp;") *
    INDEX('Raw GDP data'!$I$2:$M$100,
      MATCH(D182, 'Raw GDP data'!$H$2:$H$100, 0),
      MATCH(A182, 'Raw GDP data'!$I$1:$M$1, 0)
    )
  )),
  """"
)
"),415723900.278724)</f>
        <v>415723900.27872401</v>
      </c>
      <c r="H182" s="80"/>
      <c r="I182" s="81">
        <f ca="1">IFERROR(__xludf.DUMMYFUNCTION("""COMPUTED_VALUE"""),2009)</f>
        <v>2009</v>
      </c>
      <c r="J182" s="82" t="str">
        <f ca="1">IFERROR(__xludf.DUMMYFUNCTION("""COMPUTED_VALUE"""),"Ukraine")</f>
        <v>Ukraine</v>
      </c>
      <c r="K182" s="83">
        <f ca="1">IFERROR(
  SUMIFS(
    'New Backfilled Data'!G:G,
    'New Backfilled Data'!A:A, I182,
    'New Backfilled Data'!D:D, J182,
    'New Backfilled Data'!E:E, "Online"
  ) /
  SUMIFS(
    'New Backfilled Data'!G:G,
    'New Backfilled Data'!A:A, I182,
    'New Backfilled Data'!D:D, J182
  ),
  ""
)</f>
        <v>0.12368621470547854</v>
      </c>
      <c r="L182" s="84"/>
      <c r="M182" s="84"/>
    </row>
    <row r="183" spans="1:13" ht="17" x14ac:dyDescent="0.2">
      <c r="A183" s="44">
        <v>2006</v>
      </c>
      <c r="B183" s="45" t="s">
        <v>66</v>
      </c>
      <c r="C183" s="45" t="s">
        <v>17</v>
      </c>
      <c r="D183" s="45" t="s">
        <v>25</v>
      </c>
      <c r="E183" s="45" t="s">
        <v>67</v>
      </c>
      <c r="F183" s="45" t="s">
        <v>67</v>
      </c>
      <c r="G183" s="85">
        <f ca="1">IFERROR(__xludf.DUMMYFUNCTION("IFERROR(
  IF(A183 = 2008,
    IF(E183 = ""Online"",
      FILTER('Raw PhocalPoint Data'!G:G,
        'Raw PhocalPoint Data'!A:A = 2009,
        'Raw PhocalPoint Data'!D:D = D183,
        'Raw PhocalPoint Data'!E:E = E183,
        'Raw PhocalPoint Data'!F"&amp;":F = F183
      ) /
      (
        FILTER('Raw PhocalPoint Data'!G:G,
          'Raw PhocalPoint Data'!A:A = 2012,
          'Raw PhocalPoint Data'!D:D = D183,
          'Raw PhocalPoint Data'!E:E = E183,
          'Raw PhocalPoint Data'!F:F = F183
     "&amp;"   ) /
        FILTER('Raw PhocalPoint Data'!G:G,
          'Raw PhocalPoint Data'!A:A = 2011,
          'Raw PhocalPoint Data'!D:D = D183,
          'Raw PhocalPoint Data'!E:E = E183,
          'Raw PhocalPoint Data'!F:F = F183
        )
      ),
      F"&amp;"ILTER('Raw PhocalPoint Data'!G:G,
        'Raw PhocalPoint Data'!A:A = 2009,
        'Raw PhocalPoint Data'!D:D = D183,
        'Raw PhocalPoint Data'!E:E = E183,
        'Raw PhocalPoint Data'!F:F = F183
      ) *
      (
        INDEX('Raw GDP data'!$I$"&amp;"2:$M$100,
          MATCH(D183, 'Raw GDP data'!$H$2:$H$100, 0),
          MATCH(2008, 'Raw GDP data'!$I$1:$M$1, 0)
        ) /
        INDEX('Raw GDP data'!$I$2:$M$100,
          MATCH(D183, 'Raw GDP data'!$H$2:$H$100, 0),
          MATCH(2009, 'Raw GDP d"&amp;"ata'!$I$1:$M$1, 0)
        )
      )
    ),
  IF(A183 &lt; 2008,
    (
      FILTER(G:G,
        A:A = 2008,
        D:D = D183,
        E:E = E183,
        F:F = F183
      ) /
      PRODUCT(
        ARRAYFORMULA(
          (
            (
              FIL"&amp;"TER('Raw PhocalPoint Data'!G:G,
                'Raw PhocalPoint Data'!A:A = 2012,
                'Raw PhocalPoint Data'!D:D = D183,
                'Raw PhocalPoint Data'!E:E = E183,
                'Raw PhocalPoint Data'!F:F = F183
              ) /
  "&amp;"            FILTER('Raw PhocalPoint Data'!G:G,
                'Raw PhocalPoint Data'!A:A = 2011,
                'Raw PhocalPoint Data'!D:D = D183,
                'Raw PhocalPoint Data'!E:E = E183,
                'Raw PhocalPoint Data'!F:F = F183
     "&amp;"         ) -
              ROW(INDIRECT(""1:"" &amp; (2008 - A183))) *
              (
                (
                  FILTER('Raw PhocalPoint Data'!G:G,
                    'Raw PhocalPoint Data'!A:A = 2012,
                    'Raw PhocalPoint Data'!D:D"&amp;" = D183,
                    'Raw PhocalPoint Data'!E:E = E183,
                    'Raw PhocalPoint Data'!F:F = F183
                  ) /
                  FILTER('Raw PhocalPoint Data'!G:G,
                    'Raw PhocalPoint Data'!A:A = 2011,
       "&amp;"             'Raw PhocalPoint Data'!D:D = D183,
                    'Raw PhocalPoint Data'!E:E = E183,
                    'Raw PhocalPoint Data'!F:F = F183
                  ) - 1
                ) / 5
              )
            )
          )
        )
"&amp;"      )
    ),
    (
      FILTER('Raw PhocalPoint Data'!G:G,
        'Raw PhocalPoint Data'!A:A = 2009,
        'Raw PhocalPoint Data'!D:D = D183,
        'Raw PhocalPoint Data'!E:E = E183,
        'Raw PhocalPoint Data'!F:F = F183
      ) /
      PRODUC"&amp;"T(
        ARRAYFORMULA(
          (
            FILTER('Raw PhocalPoint Data'!G:G,
              'Raw PhocalPoint Data'!A:A = 2012,
              'Raw PhocalPoint Data'!D:D = D183,
              'Raw PhocalPoint Data'!E:E = E183,
              'Raw Phoca"&amp;"lPoint Data'!F:F = F183
            ) /
            FILTER('Raw PhocalPoint Data'!G:G,
              'Raw PhocalPoint Data'!A:A = 2011,
              'Raw PhocalPoint Data'!D:D = D183,
              'Raw PhocalPoint Data'!E:E = E183,
              'Raw Ph"&amp;"ocalPoint Data'!F:F = F183
            ) -
            (ROW(INDIRECT(""1:"" &amp; (2010 - A183))) - 1) *
            (
              (
                FILTER('Raw PhocalPoint Data'!G:G,
                  'Raw PhocalPoint Data'!A:A = 2012,
                  'R"&amp;"aw PhocalPoint Data'!D:D = D183,
                  'Raw PhocalPoint Data'!E:E = E183,
                  'Raw PhocalPoint Data'!F:F = F183
                ) /
                FILTER('Raw PhocalPoint Data'!G:G,
                  'Raw PhocalPoint Data'!A:A ="&amp;" 2011,
                  'Raw PhocalPoint Data'!D:D = D183,
                  'Raw PhocalPoint Data'!E:E = E183,
                  'Raw PhocalPoint Data'!F:F = F183
                ) - 1
              ) / 5
            )
          )
        )
      )
    "&amp;") *
    INDEX('Raw GDP data'!$I$2:$M$100,
      MATCH(D183, 'Raw GDP data'!$H$2:$H$100, 0),
      MATCH(A183, 'Raw GDP data'!$I$1:$M$1, 0)
    )
  )),
  """"
)
"),5181871906.72734)</f>
        <v>5181871906.7273397</v>
      </c>
      <c r="H183" s="86"/>
      <c r="I183" s="87">
        <f ca="1">IFERROR(__xludf.DUMMYFUNCTION("""COMPUTED_VALUE"""),2009)</f>
        <v>2009</v>
      </c>
      <c r="J183" s="88" t="str">
        <f ca="1">IFERROR(__xludf.DUMMYFUNCTION("""COMPUTED_VALUE"""),"France")</f>
        <v>France</v>
      </c>
      <c r="K183" s="89">
        <f ca="1">IFERROR(
  SUMIFS(
    'New Backfilled Data'!G:G,
    'New Backfilled Data'!A:A, I183,
    'New Backfilled Data'!D:D, J183,
    'New Backfilled Data'!E:E, "Online"
  ) /
  SUMIFS(
    'New Backfilled Data'!G:G,
    'New Backfilled Data'!A:A, I183,
    'New Backfilled Data'!D:D, J183
  ),
  ""
)</f>
        <v>0.28973150189783997</v>
      </c>
      <c r="L183" s="90"/>
      <c r="M183" s="90"/>
    </row>
    <row r="184" spans="1:13" ht="17" x14ac:dyDescent="0.2">
      <c r="A184" s="37">
        <v>2006</v>
      </c>
      <c r="B184" s="38" t="s">
        <v>66</v>
      </c>
      <c r="C184" s="38" t="s">
        <v>17</v>
      </c>
      <c r="D184" s="38" t="s">
        <v>25</v>
      </c>
      <c r="E184" s="38" t="s">
        <v>69</v>
      </c>
      <c r="F184" s="38" t="s">
        <v>71</v>
      </c>
      <c r="G184" s="79">
        <f ca="1">IFERROR(__xludf.DUMMYFUNCTION("IFERROR(
  IF(A184 = 2008,
    IF(E184 = ""Online"",
      FILTER('Raw PhocalPoint Data'!G:G,
        'Raw PhocalPoint Data'!A:A = 2009,
        'Raw PhocalPoint Data'!D:D = D184,
        'Raw PhocalPoint Data'!E:E = E184,
        'Raw PhocalPoint Data'!F"&amp;":F = F184
      ) /
      (
        FILTER('Raw PhocalPoint Data'!G:G,
          'Raw PhocalPoint Data'!A:A = 2012,
          'Raw PhocalPoint Data'!D:D = D184,
          'Raw PhocalPoint Data'!E:E = E184,
          'Raw PhocalPoint Data'!F:F = F184
     "&amp;"   ) /
        FILTER('Raw PhocalPoint Data'!G:G,
          'Raw PhocalPoint Data'!A:A = 2011,
          'Raw PhocalPoint Data'!D:D = D184,
          'Raw PhocalPoint Data'!E:E = E184,
          'Raw PhocalPoint Data'!F:F = F184
        )
      ),
      F"&amp;"ILTER('Raw PhocalPoint Data'!G:G,
        'Raw PhocalPoint Data'!A:A = 2009,
        'Raw PhocalPoint Data'!D:D = D184,
        'Raw PhocalPoint Data'!E:E = E184,
        'Raw PhocalPoint Data'!F:F = F184
      ) *
      (
        INDEX('Raw GDP data'!$I$"&amp;"2:$M$100,
          MATCH(D184, 'Raw GDP data'!$H$2:$H$100, 0),
          MATCH(2008, 'Raw GDP data'!$I$1:$M$1, 0)
        ) /
        INDEX('Raw GDP data'!$I$2:$M$100,
          MATCH(D184, 'Raw GDP data'!$H$2:$H$100, 0),
          MATCH(2009, 'Raw GDP d"&amp;"ata'!$I$1:$M$1, 0)
        )
      )
    ),
  IF(A184 &lt; 2008,
    (
      FILTER(G:G,
        A:A = 2008,
        D:D = D184,
        E:E = E184,
        F:F = F184
      ) /
      PRODUCT(
        ARRAYFORMULA(
          (
            (
              FIL"&amp;"TER('Raw PhocalPoint Data'!G:G,
                'Raw PhocalPoint Data'!A:A = 2012,
                'Raw PhocalPoint Data'!D:D = D184,
                'Raw PhocalPoint Data'!E:E = E184,
                'Raw PhocalPoint Data'!F:F = F184
              ) /
  "&amp;"            FILTER('Raw PhocalPoint Data'!G:G,
                'Raw PhocalPoint Data'!A:A = 2011,
                'Raw PhocalPoint Data'!D:D = D184,
                'Raw PhocalPoint Data'!E:E = E184,
                'Raw PhocalPoint Data'!F:F = F184
     "&amp;"         ) -
              ROW(INDIRECT(""1:"" &amp; (2008 - A184))) *
              (
                (
                  FILTER('Raw PhocalPoint Data'!G:G,
                    'Raw PhocalPoint Data'!A:A = 2012,
                    'Raw PhocalPoint Data'!D:D"&amp;" = D184,
                    'Raw PhocalPoint Data'!E:E = E184,
                    'Raw PhocalPoint Data'!F:F = F184
                  ) /
                  FILTER('Raw PhocalPoint Data'!G:G,
                    'Raw PhocalPoint Data'!A:A = 2011,
       "&amp;"             'Raw PhocalPoint Data'!D:D = D184,
                    'Raw PhocalPoint Data'!E:E = E184,
                    'Raw PhocalPoint Data'!F:F = F184
                  ) - 1
                ) / 5
              )
            )
          )
        )
"&amp;"      )
    ),
    (
      FILTER('Raw PhocalPoint Data'!G:G,
        'Raw PhocalPoint Data'!A:A = 2009,
        'Raw PhocalPoint Data'!D:D = D184,
        'Raw PhocalPoint Data'!E:E = E184,
        'Raw PhocalPoint Data'!F:F = F184
      ) /
      PRODUC"&amp;"T(
        ARRAYFORMULA(
          (
            FILTER('Raw PhocalPoint Data'!G:G,
              'Raw PhocalPoint Data'!A:A = 2012,
              'Raw PhocalPoint Data'!D:D = D184,
              'Raw PhocalPoint Data'!E:E = E184,
              'Raw Phoca"&amp;"lPoint Data'!F:F = F184
            ) /
            FILTER('Raw PhocalPoint Data'!G:G,
              'Raw PhocalPoint Data'!A:A = 2011,
              'Raw PhocalPoint Data'!D:D = D184,
              'Raw PhocalPoint Data'!E:E = E184,
              'Raw Ph"&amp;"ocalPoint Data'!F:F = F184
            ) -
            (ROW(INDIRECT(""1:"" &amp; (2010 - A184))) - 1) *
            (
              (
                FILTER('Raw PhocalPoint Data'!G:G,
                  'Raw PhocalPoint Data'!A:A = 2012,
                  'R"&amp;"aw PhocalPoint Data'!D:D = D184,
                  'Raw PhocalPoint Data'!E:E = E184,
                  'Raw PhocalPoint Data'!F:F = F184
                ) /
                FILTER('Raw PhocalPoint Data'!G:G,
                  'Raw PhocalPoint Data'!A:A ="&amp;" 2011,
                  'Raw PhocalPoint Data'!D:D = D184,
                  'Raw PhocalPoint Data'!E:E = E184,
                  'Raw PhocalPoint Data'!F:F = F184
                ) - 1
              ) / 5
            )
          )
        )
      )
    "&amp;") *
    INDEX('Raw GDP data'!$I$2:$M$100,
      MATCH(D184, 'Raw GDP data'!$H$2:$H$100, 0),
      MATCH(A184, 'Raw GDP data'!$I$1:$M$1, 0)
    )
  )),
  """"
)
"),143395816.751146)</f>
        <v>143395816.75114599</v>
      </c>
      <c r="H184" s="80"/>
      <c r="I184" s="81">
        <f ca="1">IFERROR(__xludf.DUMMYFUNCTION("""COMPUTED_VALUE"""),2009)</f>
        <v>2009</v>
      </c>
      <c r="J184" s="82" t="str">
        <f ca="1">IFERROR(__xludf.DUMMYFUNCTION("""COMPUTED_VALUE"""),"Germany")</f>
        <v>Germany</v>
      </c>
      <c r="K184" s="83">
        <f ca="1">IFERROR(
  SUMIFS(
    'New Backfilled Data'!G:G,
    'New Backfilled Data'!A:A, I184,
    'New Backfilled Data'!D:D, J184,
    'New Backfilled Data'!E:E, "Online"
  ) /
  SUMIFS(
    'New Backfilled Data'!G:G,
    'New Backfilled Data'!A:A, I184,
    'New Backfilled Data'!D:D, J184
  ),
  ""
)</f>
        <v>0.28099840118891933</v>
      </c>
      <c r="L184" s="84"/>
      <c r="M184" s="84"/>
    </row>
    <row r="185" spans="1:13" ht="17" x14ac:dyDescent="0.2">
      <c r="A185" s="44">
        <v>2006</v>
      </c>
      <c r="B185" s="45" t="s">
        <v>66</v>
      </c>
      <c r="C185" s="45" t="s">
        <v>17</v>
      </c>
      <c r="D185" s="45" t="s">
        <v>25</v>
      </c>
      <c r="E185" s="45" t="s">
        <v>69</v>
      </c>
      <c r="F185" s="45" t="s">
        <v>70</v>
      </c>
      <c r="G185" s="85">
        <f ca="1">IFERROR(__xludf.DUMMYFUNCTION("IFERROR(
  IF(A185 = 2008,
    IF(E185 = ""Online"",
      FILTER('Raw PhocalPoint Data'!G:G,
        'Raw PhocalPoint Data'!A:A = 2009,
        'Raw PhocalPoint Data'!D:D = D185,
        'Raw PhocalPoint Data'!E:E = E185,
        'Raw PhocalPoint Data'!F"&amp;":F = F185
      ) /
      (
        FILTER('Raw PhocalPoint Data'!G:G,
          'Raw PhocalPoint Data'!A:A = 2012,
          'Raw PhocalPoint Data'!D:D = D185,
          'Raw PhocalPoint Data'!E:E = E185,
          'Raw PhocalPoint Data'!F:F = F185
     "&amp;"   ) /
        FILTER('Raw PhocalPoint Data'!G:G,
          'Raw PhocalPoint Data'!A:A = 2011,
          'Raw PhocalPoint Data'!D:D = D185,
          'Raw PhocalPoint Data'!E:E = E185,
          'Raw PhocalPoint Data'!F:F = F185
        )
      ),
      F"&amp;"ILTER('Raw PhocalPoint Data'!G:G,
        'Raw PhocalPoint Data'!A:A = 2009,
        'Raw PhocalPoint Data'!D:D = D185,
        'Raw PhocalPoint Data'!E:E = E185,
        'Raw PhocalPoint Data'!F:F = F185
      ) *
      (
        INDEX('Raw GDP data'!$I$"&amp;"2:$M$100,
          MATCH(D185, 'Raw GDP data'!$H$2:$H$100, 0),
          MATCH(2008, 'Raw GDP data'!$I$1:$M$1, 0)
        ) /
        INDEX('Raw GDP data'!$I$2:$M$100,
          MATCH(D185, 'Raw GDP data'!$H$2:$H$100, 0),
          MATCH(2009, 'Raw GDP d"&amp;"ata'!$I$1:$M$1, 0)
        )
      )
    ),
  IF(A185 &lt; 2008,
    (
      FILTER(G:G,
        A:A = 2008,
        D:D = D185,
        E:E = E185,
        F:F = F185
      ) /
      PRODUCT(
        ARRAYFORMULA(
          (
            (
              FIL"&amp;"TER('Raw PhocalPoint Data'!G:G,
                'Raw PhocalPoint Data'!A:A = 2012,
                'Raw PhocalPoint Data'!D:D = D185,
                'Raw PhocalPoint Data'!E:E = E185,
                'Raw PhocalPoint Data'!F:F = F185
              ) /
  "&amp;"            FILTER('Raw PhocalPoint Data'!G:G,
                'Raw PhocalPoint Data'!A:A = 2011,
                'Raw PhocalPoint Data'!D:D = D185,
                'Raw PhocalPoint Data'!E:E = E185,
                'Raw PhocalPoint Data'!F:F = F185
     "&amp;"         ) -
              ROW(INDIRECT(""1:"" &amp; (2008 - A185))) *
              (
                (
                  FILTER('Raw PhocalPoint Data'!G:G,
                    'Raw PhocalPoint Data'!A:A = 2012,
                    'Raw PhocalPoint Data'!D:D"&amp;" = D185,
                    'Raw PhocalPoint Data'!E:E = E185,
                    'Raw PhocalPoint Data'!F:F = F185
                  ) /
                  FILTER('Raw PhocalPoint Data'!G:G,
                    'Raw PhocalPoint Data'!A:A = 2011,
       "&amp;"             'Raw PhocalPoint Data'!D:D = D185,
                    'Raw PhocalPoint Data'!E:E = E185,
                    'Raw PhocalPoint Data'!F:F = F185
                  ) - 1
                ) / 5
              )
            )
          )
        )
"&amp;"      )
    ),
    (
      FILTER('Raw PhocalPoint Data'!G:G,
        'Raw PhocalPoint Data'!A:A = 2009,
        'Raw PhocalPoint Data'!D:D = D185,
        'Raw PhocalPoint Data'!E:E = E185,
        'Raw PhocalPoint Data'!F:F = F185
      ) /
      PRODUC"&amp;"T(
        ARRAYFORMULA(
          (
            FILTER('Raw PhocalPoint Data'!G:G,
              'Raw PhocalPoint Data'!A:A = 2012,
              'Raw PhocalPoint Data'!D:D = D185,
              'Raw PhocalPoint Data'!E:E = E185,
              'Raw Phoca"&amp;"lPoint Data'!F:F = F185
            ) /
            FILTER('Raw PhocalPoint Data'!G:G,
              'Raw PhocalPoint Data'!A:A = 2011,
              'Raw PhocalPoint Data'!D:D = D185,
              'Raw PhocalPoint Data'!E:E = E185,
              'Raw Ph"&amp;"ocalPoint Data'!F:F = F185
            ) -
            (ROW(INDIRECT(""1:"" &amp; (2010 - A185))) - 1) *
            (
              (
                FILTER('Raw PhocalPoint Data'!G:G,
                  'Raw PhocalPoint Data'!A:A = 2012,
                  'R"&amp;"aw PhocalPoint Data'!D:D = D185,
                  'Raw PhocalPoint Data'!E:E = E185,
                  'Raw PhocalPoint Data'!F:F = F185
                ) /
                FILTER('Raw PhocalPoint Data'!G:G,
                  'Raw PhocalPoint Data'!A:A ="&amp;" 2011,
                  'Raw PhocalPoint Data'!D:D = D185,
                  'Raw PhocalPoint Data'!E:E = E185,
                  'Raw PhocalPoint Data'!F:F = F185
                ) - 1
              ) / 5
            )
          )
        )
      )
    "&amp;") *
    INDEX('Raw GDP data'!$I$2:$M$100,
      MATCH(D185, 'Raw GDP data'!$H$2:$H$100, 0),
      MATCH(A185, 'Raw GDP data'!$I$1:$M$1, 0)
    )
  )),
  """"
)
"),179912449.170311)</f>
        <v>179912449.170311</v>
      </c>
      <c r="H185" s="86"/>
      <c r="I185" s="87">
        <f ca="1">IFERROR(__xludf.DUMMYFUNCTION("""COMPUTED_VALUE"""),2009)</f>
        <v>2009</v>
      </c>
      <c r="J185" s="88" t="str">
        <f ca="1">IFERROR(__xludf.DUMMYFUNCTION("""COMPUTED_VALUE"""),"Italy")</f>
        <v>Italy</v>
      </c>
      <c r="K185" s="89">
        <f ca="1">IFERROR(
  SUMIFS(
    'New Backfilled Data'!G:G,
    'New Backfilled Data'!A:A, I185,
    'New Backfilled Data'!D:D, J185,
    'New Backfilled Data'!E:E, "Online"
  ) /
  SUMIFS(
    'New Backfilled Data'!G:G,
    'New Backfilled Data'!A:A, I185,
    'New Backfilled Data'!D:D, J185
  ),
  ""
)</f>
        <v>0.20453809749315074</v>
      </c>
      <c r="L185" s="90"/>
      <c r="M185" s="90"/>
    </row>
    <row r="186" spans="1:13" ht="17" x14ac:dyDescent="0.2">
      <c r="A186" s="37">
        <v>2006</v>
      </c>
      <c r="B186" s="38" t="s">
        <v>66</v>
      </c>
      <c r="C186" s="38" t="s">
        <v>27</v>
      </c>
      <c r="D186" s="38" t="s">
        <v>26</v>
      </c>
      <c r="E186" s="38" t="s">
        <v>67</v>
      </c>
      <c r="F186" s="38" t="s">
        <v>67</v>
      </c>
      <c r="G186" s="79">
        <f ca="1">IFERROR(__xludf.DUMMYFUNCTION("IFERROR(
  IF(A186 = 2008,
    IF(E186 = ""Online"",
      FILTER('Raw PhocalPoint Data'!G:G,
        'Raw PhocalPoint Data'!A:A = 2009,
        'Raw PhocalPoint Data'!D:D = D186,
        'Raw PhocalPoint Data'!E:E = E186,
        'Raw PhocalPoint Data'!F"&amp;":F = F186
      ) /
      (
        FILTER('Raw PhocalPoint Data'!G:G,
          'Raw PhocalPoint Data'!A:A = 2012,
          'Raw PhocalPoint Data'!D:D = D186,
          'Raw PhocalPoint Data'!E:E = E186,
          'Raw PhocalPoint Data'!F:F = F186
     "&amp;"   ) /
        FILTER('Raw PhocalPoint Data'!G:G,
          'Raw PhocalPoint Data'!A:A = 2011,
          'Raw PhocalPoint Data'!D:D = D186,
          'Raw PhocalPoint Data'!E:E = E186,
          'Raw PhocalPoint Data'!F:F = F186
        )
      ),
      F"&amp;"ILTER('Raw PhocalPoint Data'!G:G,
        'Raw PhocalPoint Data'!A:A = 2009,
        'Raw PhocalPoint Data'!D:D = D186,
        'Raw PhocalPoint Data'!E:E = E186,
        'Raw PhocalPoint Data'!F:F = F186
      ) *
      (
        INDEX('Raw GDP data'!$I$"&amp;"2:$M$100,
          MATCH(D186, 'Raw GDP data'!$H$2:$H$100, 0),
          MATCH(2008, 'Raw GDP data'!$I$1:$M$1, 0)
        ) /
        INDEX('Raw GDP data'!$I$2:$M$100,
          MATCH(D186, 'Raw GDP data'!$H$2:$H$100, 0),
          MATCH(2009, 'Raw GDP d"&amp;"ata'!$I$1:$M$1, 0)
        )
      )
    ),
  IF(A186 &lt; 2008,
    (
      FILTER(G:G,
        A:A = 2008,
        D:D = D186,
        E:E = E186,
        F:F = F186
      ) /
      PRODUCT(
        ARRAYFORMULA(
          (
            (
              FIL"&amp;"TER('Raw PhocalPoint Data'!G:G,
                'Raw PhocalPoint Data'!A:A = 2012,
                'Raw PhocalPoint Data'!D:D = D186,
                'Raw PhocalPoint Data'!E:E = E186,
                'Raw PhocalPoint Data'!F:F = F186
              ) /
  "&amp;"            FILTER('Raw PhocalPoint Data'!G:G,
                'Raw PhocalPoint Data'!A:A = 2011,
                'Raw PhocalPoint Data'!D:D = D186,
                'Raw PhocalPoint Data'!E:E = E186,
                'Raw PhocalPoint Data'!F:F = F186
     "&amp;"         ) -
              ROW(INDIRECT(""1:"" &amp; (2008 - A186))) *
              (
                (
                  FILTER('Raw PhocalPoint Data'!G:G,
                    'Raw PhocalPoint Data'!A:A = 2012,
                    'Raw PhocalPoint Data'!D:D"&amp;" = D186,
                    'Raw PhocalPoint Data'!E:E = E186,
                    'Raw PhocalPoint Data'!F:F = F186
                  ) /
                  FILTER('Raw PhocalPoint Data'!G:G,
                    'Raw PhocalPoint Data'!A:A = 2011,
       "&amp;"             'Raw PhocalPoint Data'!D:D = D186,
                    'Raw PhocalPoint Data'!E:E = E186,
                    'Raw PhocalPoint Data'!F:F = F186
                  ) - 1
                ) / 5
              )
            )
          )
        )
"&amp;"      )
    ),
    (
      FILTER('Raw PhocalPoint Data'!G:G,
        'Raw PhocalPoint Data'!A:A = 2009,
        'Raw PhocalPoint Data'!D:D = D186,
        'Raw PhocalPoint Data'!E:E = E186,
        'Raw PhocalPoint Data'!F:F = F186
      ) /
      PRODUC"&amp;"T(
        ARRAYFORMULA(
          (
            FILTER('Raw PhocalPoint Data'!G:G,
              'Raw PhocalPoint Data'!A:A = 2012,
              'Raw PhocalPoint Data'!D:D = D186,
              'Raw PhocalPoint Data'!E:E = E186,
              'Raw Phoca"&amp;"lPoint Data'!F:F = F186
            ) /
            FILTER('Raw PhocalPoint Data'!G:G,
              'Raw PhocalPoint Data'!A:A = 2011,
              'Raw PhocalPoint Data'!D:D = D186,
              'Raw PhocalPoint Data'!E:E = E186,
              'Raw Ph"&amp;"ocalPoint Data'!F:F = F186
            ) -
            (ROW(INDIRECT(""1:"" &amp; (2010 - A186))) - 1) *
            (
              (
                FILTER('Raw PhocalPoint Data'!G:G,
                  'Raw PhocalPoint Data'!A:A = 2012,
                  'R"&amp;"aw PhocalPoint Data'!D:D = D186,
                  'Raw PhocalPoint Data'!E:E = E186,
                  'Raw PhocalPoint Data'!F:F = F186
                ) /
                FILTER('Raw PhocalPoint Data'!G:G,
                  'Raw PhocalPoint Data'!A:A ="&amp;" 2011,
                  'Raw PhocalPoint Data'!D:D = D186,
                  'Raw PhocalPoint Data'!E:E = E186,
                  'Raw PhocalPoint Data'!F:F = F186
                ) - 1
              ) / 5
            )
          )
        )
      )
    "&amp;") *
    INDEX('Raw GDP data'!$I$2:$M$100,
      MATCH(D186, 'Raw GDP data'!$H$2:$H$100, 0),
      MATCH(A186, 'Raw GDP data'!$I$1:$M$1, 0)
    )
  )),
  """"
)
"),43623443933.2978)</f>
        <v>43623443933.297798</v>
      </c>
      <c r="H186" s="80"/>
      <c r="I186" s="81">
        <f ca="1">IFERROR(__xludf.DUMMYFUNCTION("""COMPUTED_VALUE"""),2009)</f>
        <v>2009</v>
      </c>
      <c r="J186" s="82" t="str">
        <f ca="1">IFERROR(__xludf.DUMMYFUNCTION("""COMPUTED_VALUE"""),"Rest of Europe")</f>
        <v>Rest of Europe</v>
      </c>
      <c r="K186" s="83">
        <f ca="1">IFERROR(
  SUMIFS(
    'New Backfilled Data'!G:G,
    'New Backfilled Data'!A:A, I186,
    'New Backfilled Data'!D:D, J186,
    'New Backfilled Data'!E:E, "Online"
  ) /
  SUMIFS(
    'New Backfilled Data'!G:G,
    'New Backfilled Data'!A:A, I186,
    'New Backfilled Data'!D:D, J186
  ),
  ""
)</f>
        <v>0.24413836539344411</v>
      </c>
      <c r="L186" s="84"/>
      <c r="M186" s="84"/>
    </row>
    <row r="187" spans="1:13" ht="17" x14ac:dyDescent="0.2">
      <c r="A187" s="44">
        <v>2006</v>
      </c>
      <c r="B187" s="45" t="s">
        <v>66</v>
      </c>
      <c r="C187" s="45" t="s">
        <v>27</v>
      </c>
      <c r="D187" s="45" t="s">
        <v>26</v>
      </c>
      <c r="E187" s="45" t="s">
        <v>69</v>
      </c>
      <c r="F187" s="45" t="s">
        <v>71</v>
      </c>
      <c r="G187" s="85">
        <f ca="1">IFERROR(__xludf.DUMMYFUNCTION("IFERROR(
  IF(A187 = 2008,
    IF(E187 = ""Online"",
      FILTER('Raw PhocalPoint Data'!G:G,
        'Raw PhocalPoint Data'!A:A = 2009,
        'Raw PhocalPoint Data'!D:D = D187,
        'Raw PhocalPoint Data'!E:E = E187,
        'Raw PhocalPoint Data'!F"&amp;":F = F187
      ) /
      (
        FILTER('Raw PhocalPoint Data'!G:G,
          'Raw PhocalPoint Data'!A:A = 2012,
          'Raw PhocalPoint Data'!D:D = D187,
          'Raw PhocalPoint Data'!E:E = E187,
          'Raw PhocalPoint Data'!F:F = F187
     "&amp;"   ) /
        FILTER('Raw PhocalPoint Data'!G:G,
          'Raw PhocalPoint Data'!A:A = 2011,
          'Raw PhocalPoint Data'!D:D = D187,
          'Raw PhocalPoint Data'!E:E = E187,
          'Raw PhocalPoint Data'!F:F = F187
        )
      ),
      F"&amp;"ILTER('Raw PhocalPoint Data'!G:G,
        'Raw PhocalPoint Data'!A:A = 2009,
        'Raw PhocalPoint Data'!D:D = D187,
        'Raw PhocalPoint Data'!E:E = E187,
        'Raw PhocalPoint Data'!F:F = F187
      ) *
      (
        INDEX('Raw GDP data'!$I$"&amp;"2:$M$100,
          MATCH(D187, 'Raw GDP data'!$H$2:$H$100, 0),
          MATCH(2008, 'Raw GDP data'!$I$1:$M$1, 0)
        ) /
        INDEX('Raw GDP data'!$I$2:$M$100,
          MATCH(D187, 'Raw GDP data'!$H$2:$H$100, 0),
          MATCH(2009, 'Raw GDP d"&amp;"ata'!$I$1:$M$1, 0)
        )
      )
    ),
  IF(A187 &lt; 2008,
    (
      FILTER(G:G,
        A:A = 2008,
        D:D = D187,
        E:E = E187,
        F:F = F187
      ) /
      PRODUCT(
        ARRAYFORMULA(
          (
            (
              FIL"&amp;"TER('Raw PhocalPoint Data'!G:G,
                'Raw PhocalPoint Data'!A:A = 2012,
                'Raw PhocalPoint Data'!D:D = D187,
                'Raw PhocalPoint Data'!E:E = E187,
                'Raw PhocalPoint Data'!F:F = F187
              ) /
  "&amp;"            FILTER('Raw PhocalPoint Data'!G:G,
                'Raw PhocalPoint Data'!A:A = 2011,
                'Raw PhocalPoint Data'!D:D = D187,
                'Raw PhocalPoint Data'!E:E = E187,
                'Raw PhocalPoint Data'!F:F = F187
     "&amp;"         ) -
              ROW(INDIRECT(""1:"" &amp; (2008 - A187))) *
              (
                (
                  FILTER('Raw PhocalPoint Data'!G:G,
                    'Raw PhocalPoint Data'!A:A = 2012,
                    'Raw PhocalPoint Data'!D:D"&amp;" = D187,
                    'Raw PhocalPoint Data'!E:E = E187,
                    'Raw PhocalPoint Data'!F:F = F187
                  ) /
                  FILTER('Raw PhocalPoint Data'!G:G,
                    'Raw PhocalPoint Data'!A:A = 2011,
       "&amp;"             'Raw PhocalPoint Data'!D:D = D187,
                    'Raw PhocalPoint Data'!E:E = E187,
                    'Raw PhocalPoint Data'!F:F = F187
                  ) - 1
                ) / 5
              )
            )
          )
        )
"&amp;"      )
    ),
    (
      FILTER('Raw PhocalPoint Data'!G:G,
        'Raw PhocalPoint Data'!A:A = 2009,
        'Raw PhocalPoint Data'!D:D = D187,
        'Raw PhocalPoint Data'!E:E = E187,
        'Raw PhocalPoint Data'!F:F = F187
      ) /
      PRODUC"&amp;"T(
        ARRAYFORMULA(
          (
            FILTER('Raw PhocalPoint Data'!G:G,
              'Raw PhocalPoint Data'!A:A = 2012,
              'Raw PhocalPoint Data'!D:D = D187,
              'Raw PhocalPoint Data'!E:E = E187,
              'Raw Phoca"&amp;"lPoint Data'!F:F = F187
            ) /
            FILTER('Raw PhocalPoint Data'!G:G,
              'Raw PhocalPoint Data'!A:A = 2011,
              'Raw PhocalPoint Data'!D:D = D187,
              'Raw PhocalPoint Data'!E:E = E187,
              'Raw Ph"&amp;"ocalPoint Data'!F:F = F187
            ) -
            (ROW(INDIRECT(""1:"" &amp; (2010 - A187))) - 1) *
            (
              (
                FILTER('Raw PhocalPoint Data'!G:G,
                  'Raw PhocalPoint Data'!A:A = 2012,
                  'R"&amp;"aw PhocalPoint Data'!D:D = D187,
                  'Raw PhocalPoint Data'!E:E = E187,
                  'Raw PhocalPoint Data'!F:F = F187
                ) /
                FILTER('Raw PhocalPoint Data'!G:G,
                  'Raw PhocalPoint Data'!A:A ="&amp;" 2011,
                  'Raw PhocalPoint Data'!D:D = D187,
                  'Raw PhocalPoint Data'!E:E = E187,
                  'Raw PhocalPoint Data'!F:F = F187
                ) - 1
              ) / 5
            )
          )
        )
      )
    "&amp;") *
    INDEX('Raw GDP data'!$I$2:$M$100,
      MATCH(D187, 'Raw GDP data'!$H$2:$H$100, 0),
      MATCH(A187, 'Raw GDP data'!$I$1:$M$1, 0)
    )
  )),
  """"
)
"),5550564159.36392)</f>
        <v>5550564159.3639202</v>
      </c>
      <c r="H187" s="86"/>
      <c r="I187" s="87">
        <f ca="1">IFERROR(__xludf.DUMMYFUNCTION("""COMPUTED_VALUE"""),2009)</f>
        <v>2009</v>
      </c>
      <c r="J187" s="88" t="str">
        <f ca="1">IFERROR(__xludf.DUMMYFUNCTION("""COMPUTED_VALUE"""),"Scandinavia")</f>
        <v>Scandinavia</v>
      </c>
      <c r="K187" s="89">
        <f ca="1">IFERROR(
  SUMIFS(
    'New Backfilled Data'!G:G,
    'New Backfilled Data'!A:A, I187,
    'New Backfilled Data'!D:D, J187,
    'New Backfilled Data'!E:E, "Online"
  ) /
  SUMIFS(
    'New Backfilled Data'!G:G,
    'New Backfilled Data'!A:A, I187,
    'New Backfilled Data'!D:D, J187
  ),
  ""
)</f>
        <v>0.36210271248758169</v>
      </c>
      <c r="L187" s="90"/>
      <c r="M187" s="90"/>
    </row>
    <row r="188" spans="1:13" ht="17" x14ac:dyDescent="0.2">
      <c r="A188" s="37">
        <v>2006</v>
      </c>
      <c r="B188" s="38" t="s">
        <v>66</v>
      </c>
      <c r="C188" s="38" t="s">
        <v>27</v>
      </c>
      <c r="D188" s="38" t="s">
        <v>26</v>
      </c>
      <c r="E188" s="38" t="s">
        <v>69</v>
      </c>
      <c r="F188" s="38" t="s">
        <v>70</v>
      </c>
      <c r="G188" s="79">
        <f ca="1">IFERROR(__xludf.DUMMYFUNCTION("IFERROR(
  IF(A188 = 2008,
    IF(E188 = ""Online"",
      FILTER('Raw PhocalPoint Data'!G:G,
        'Raw PhocalPoint Data'!A:A = 2009,
        'Raw PhocalPoint Data'!D:D = D188,
        'Raw PhocalPoint Data'!E:E = E188,
        'Raw PhocalPoint Data'!F"&amp;":F = F188
      ) /
      (
        FILTER('Raw PhocalPoint Data'!G:G,
          'Raw PhocalPoint Data'!A:A = 2012,
          'Raw PhocalPoint Data'!D:D = D188,
          'Raw PhocalPoint Data'!E:E = E188,
          'Raw PhocalPoint Data'!F:F = F188
     "&amp;"   ) /
        FILTER('Raw PhocalPoint Data'!G:G,
          'Raw PhocalPoint Data'!A:A = 2011,
          'Raw PhocalPoint Data'!D:D = D188,
          'Raw PhocalPoint Data'!E:E = E188,
          'Raw PhocalPoint Data'!F:F = F188
        )
      ),
      F"&amp;"ILTER('Raw PhocalPoint Data'!G:G,
        'Raw PhocalPoint Data'!A:A = 2009,
        'Raw PhocalPoint Data'!D:D = D188,
        'Raw PhocalPoint Data'!E:E = E188,
        'Raw PhocalPoint Data'!F:F = F188
      ) *
      (
        INDEX('Raw GDP data'!$I$"&amp;"2:$M$100,
          MATCH(D188, 'Raw GDP data'!$H$2:$H$100, 0),
          MATCH(2008, 'Raw GDP data'!$I$1:$M$1, 0)
        ) /
        INDEX('Raw GDP data'!$I$2:$M$100,
          MATCH(D188, 'Raw GDP data'!$H$2:$H$100, 0),
          MATCH(2009, 'Raw GDP d"&amp;"ata'!$I$1:$M$1, 0)
        )
      )
    ),
  IF(A188 &lt; 2008,
    (
      FILTER(G:G,
        A:A = 2008,
        D:D = D188,
        E:E = E188,
        F:F = F188
      ) /
      PRODUCT(
        ARRAYFORMULA(
          (
            (
              FIL"&amp;"TER('Raw PhocalPoint Data'!G:G,
                'Raw PhocalPoint Data'!A:A = 2012,
                'Raw PhocalPoint Data'!D:D = D188,
                'Raw PhocalPoint Data'!E:E = E188,
                'Raw PhocalPoint Data'!F:F = F188
              ) /
  "&amp;"            FILTER('Raw PhocalPoint Data'!G:G,
                'Raw PhocalPoint Data'!A:A = 2011,
                'Raw PhocalPoint Data'!D:D = D188,
                'Raw PhocalPoint Data'!E:E = E188,
                'Raw PhocalPoint Data'!F:F = F188
     "&amp;"         ) -
              ROW(INDIRECT(""1:"" &amp; (2008 - A188))) *
              (
                (
                  FILTER('Raw PhocalPoint Data'!G:G,
                    'Raw PhocalPoint Data'!A:A = 2012,
                    'Raw PhocalPoint Data'!D:D"&amp;" = D188,
                    'Raw PhocalPoint Data'!E:E = E188,
                    'Raw PhocalPoint Data'!F:F = F188
                  ) /
                  FILTER('Raw PhocalPoint Data'!G:G,
                    'Raw PhocalPoint Data'!A:A = 2011,
       "&amp;"             'Raw PhocalPoint Data'!D:D = D188,
                    'Raw PhocalPoint Data'!E:E = E188,
                    'Raw PhocalPoint Data'!F:F = F188
                  ) - 1
                ) / 5
              )
            )
          )
        )
"&amp;"      )
    ),
    (
      FILTER('Raw PhocalPoint Data'!G:G,
        'Raw PhocalPoint Data'!A:A = 2009,
        'Raw PhocalPoint Data'!D:D = D188,
        'Raw PhocalPoint Data'!E:E = E188,
        'Raw PhocalPoint Data'!F:F = F188
      ) /
      PRODUC"&amp;"T(
        ARRAYFORMULA(
          (
            FILTER('Raw PhocalPoint Data'!G:G,
              'Raw PhocalPoint Data'!A:A = 2012,
              'Raw PhocalPoint Data'!D:D = D188,
              'Raw PhocalPoint Data'!E:E = E188,
              'Raw Phoca"&amp;"lPoint Data'!F:F = F188
            ) /
            FILTER('Raw PhocalPoint Data'!G:G,
              'Raw PhocalPoint Data'!A:A = 2011,
              'Raw PhocalPoint Data'!D:D = D188,
              'Raw PhocalPoint Data'!E:E = E188,
              'Raw Ph"&amp;"ocalPoint Data'!F:F = F188
            ) -
            (ROW(INDIRECT(""1:"" &amp; (2010 - A188))) - 1) *
            (
              (
                FILTER('Raw PhocalPoint Data'!G:G,
                  'Raw PhocalPoint Data'!A:A = 2012,
                  'R"&amp;"aw PhocalPoint Data'!D:D = D188,
                  'Raw PhocalPoint Data'!E:E = E188,
                  'Raw PhocalPoint Data'!F:F = F188
                ) /
                FILTER('Raw PhocalPoint Data'!G:G,
                  'Raw PhocalPoint Data'!A:A ="&amp;" 2011,
                  'Raw PhocalPoint Data'!D:D = D188,
                  'Raw PhocalPoint Data'!E:E = E188,
                  'Raw PhocalPoint Data'!F:F = F188
                ) - 1
              ) / 5
            )
          )
        )
      )
    "&amp;") *
    INDEX('Raw GDP data'!$I$2:$M$100,
      MATCH(D188, 'Raw GDP data'!$H$2:$H$100, 0),
      MATCH(A188, 'Raw GDP data'!$I$1:$M$1, 0)
    )
  )),
  """"
)
"),8678809039.31944)</f>
        <v>8678809039.3194408</v>
      </c>
      <c r="H188" s="80"/>
      <c r="I188" s="81">
        <f ca="1">IFERROR(__xludf.DUMMYFUNCTION("""COMPUTED_VALUE"""),2009)</f>
        <v>2009</v>
      </c>
      <c r="J188" s="82" t="str">
        <f ca="1">IFERROR(__xludf.DUMMYFUNCTION("""COMPUTED_VALUE"""),"Spain")</f>
        <v>Spain</v>
      </c>
      <c r="K188" s="83">
        <f ca="1">IFERROR(
  SUMIFS(
    'New Backfilled Data'!G:G,
    'New Backfilled Data'!A:A, I188,
    'New Backfilled Data'!D:D, J188,
    'New Backfilled Data'!E:E, "Online"
  ) /
  SUMIFS(
    'New Backfilled Data'!G:G,
    'New Backfilled Data'!A:A, I188,
    'New Backfilled Data'!D:D, J188
  ),
  ""
)</f>
        <v>0.2081904432471727</v>
      </c>
      <c r="L188" s="84"/>
      <c r="M188" s="84"/>
    </row>
    <row r="189" spans="1:13" ht="17" x14ac:dyDescent="0.2">
      <c r="A189" s="44">
        <v>2006</v>
      </c>
      <c r="B189" s="45" t="s">
        <v>66</v>
      </c>
      <c r="C189" s="45" t="s">
        <v>27</v>
      </c>
      <c r="D189" s="45" t="s">
        <v>28</v>
      </c>
      <c r="E189" s="45" t="s">
        <v>67</v>
      </c>
      <c r="F189" s="45" t="s">
        <v>67</v>
      </c>
      <c r="G189" s="85">
        <f ca="1">IFERROR(__xludf.DUMMYFUNCTION("IFERROR(
  IF(A189 = 2008,
    IF(E189 = ""Online"",
      FILTER('Raw PhocalPoint Data'!G:G,
        'Raw PhocalPoint Data'!A:A = 2009,
        'Raw PhocalPoint Data'!D:D = D189,
        'Raw PhocalPoint Data'!E:E = E189,
        'Raw PhocalPoint Data'!F"&amp;":F = F189
      ) /
      (
        FILTER('Raw PhocalPoint Data'!G:G,
          'Raw PhocalPoint Data'!A:A = 2012,
          'Raw PhocalPoint Data'!D:D = D189,
          'Raw PhocalPoint Data'!E:E = E189,
          'Raw PhocalPoint Data'!F:F = F189
     "&amp;"   ) /
        FILTER('Raw PhocalPoint Data'!G:G,
          'Raw PhocalPoint Data'!A:A = 2011,
          'Raw PhocalPoint Data'!D:D = D189,
          'Raw PhocalPoint Data'!E:E = E189,
          'Raw PhocalPoint Data'!F:F = F189
        )
      ),
      F"&amp;"ILTER('Raw PhocalPoint Data'!G:G,
        'Raw PhocalPoint Data'!A:A = 2009,
        'Raw PhocalPoint Data'!D:D = D189,
        'Raw PhocalPoint Data'!E:E = E189,
        'Raw PhocalPoint Data'!F:F = F189
      ) *
      (
        INDEX('Raw GDP data'!$I$"&amp;"2:$M$100,
          MATCH(D189, 'Raw GDP data'!$H$2:$H$100, 0),
          MATCH(2008, 'Raw GDP data'!$I$1:$M$1, 0)
        ) /
        INDEX('Raw GDP data'!$I$2:$M$100,
          MATCH(D189, 'Raw GDP data'!$H$2:$H$100, 0),
          MATCH(2009, 'Raw GDP d"&amp;"ata'!$I$1:$M$1, 0)
        )
      )
    ),
  IF(A189 &lt; 2008,
    (
      FILTER(G:G,
        A:A = 2008,
        D:D = D189,
        E:E = E189,
        F:F = F189
      ) /
      PRODUCT(
        ARRAYFORMULA(
          (
            (
              FIL"&amp;"TER('Raw PhocalPoint Data'!G:G,
                'Raw PhocalPoint Data'!A:A = 2012,
                'Raw PhocalPoint Data'!D:D = D189,
                'Raw PhocalPoint Data'!E:E = E189,
                'Raw PhocalPoint Data'!F:F = F189
              ) /
  "&amp;"            FILTER('Raw PhocalPoint Data'!G:G,
                'Raw PhocalPoint Data'!A:A = 2011,
                'Raw PhocalPoint Data'!D:D = D189,
                'Raw PhocalPoint Data'!E:E = E189,
                'Raw PhocalPoint Data'!F:F = F189
     "&amp;"         ) -
              ROW(INDIRECT(""1:"" &amp; (2008 - A189))) *
              (
                (
                  FILTER('Raw PhocalPoint Data'!G:G,
                    'Raw PhocalPoint Data'!A:A = 2012,
                    'Raw PhocalPoint Data'!D:D"&amp;" = D189,
                    'Raw PhocalPoint Data'!E:E = E189,
                    'Raw PhocalPoint Data'!F:F = F189
                  ) /
                  FILTER('Raw PhocalPoint Data'!G:G,
                    'Raw PhocalPoint Data'!A:A = 2011,
       "&amp;"             'Raw PhocalPoint Data'!D:D = D189,
                    'Raw PhocalPoint Data'!E:E = E189,
                    'Raw PhocalPoint Data'!F:F = F189
                  ) - 1
                ) / 5
              )
            )
          )
        )
"&amp;"      )
    ),
    (
      FILTER('Raw PhocalPoint Data'!G:G,
        'Raw PhocalPoint Data'!A:A = 2009,
        'Raw PhocalPoint Data'!D:D = D189,
        'Raw PhocalPoint Data'!E:E = E189,
        'Raw PhocalPoint Data'!F:F = F189
      ) /
      PRODUC"&amp;"T(
        ARRAYFORMULA(
          (
            FILTER('Raw PhocalPoint Data'!G:G,
              'Raw PhocalPoint Data'!A:A = 2012,
              'Raw PhocalPoint Data'!D:D = D189,
              'Raw PhocalPoint Data'!E:E = E189,
              'Raw Phoca"&amp;"lPoint Data'!F:F = F189
            ) /
            FILTER('Raw PhocalPoint Data'!G:G,
              'Raw PhocalPoint Data'!A:A = 2011,
              'Raw PhocalPoint Data'!D:D = D189,
              'Raw PhocalPoint Data'!E:E = E189,
              'Raw Ph"&amp;"ocalPoint Data'!F:F = F189
            ) -
            (ROW(INDIRECT(""1:"" &amp; (2010 - A189))) - 1) *
            (
              (
                FILTER('Raw PhocalPoint Data'!G:G,
                  'Raw PhocalPoint Data'!A:A = 2012,
                  'R"&amp;"aw PhocalPoint Data'!D:D = D189,
                  'Raw PhocalPoint Data'!E:E = E189,
                  'Raw PhocalPoint Data'!F:F = F189
                ) /
                FILTER('Raw PhocalPoint Data'!G:G,
                  'Raw PhocalPoint Data'!A:A ="&amp;" 2011,
                  'Raw PhocalPoint Data'!D:D = D189,
                  'Raw PhocalPoint Data'!E:E = E189,
                  'Raw PhocalPoint Data'!F:F = F189
                ) - 1
              ) / 5
            )
          )
        )
      )
    "&amp;") *
    INDEX('Raw GDP data'!$I$2:$M$100,
      MATCH(D189, 'Raw GDP data'!$H$2:$H$100, 0),
      MATCH(A189, 'Raw GDP data'!$I$1:$M$1, 0)
    )
  )),
  """"
)
"),53112343476.8726)</f>
        <v>53112343476.872597</v>
      </c>
      <c r="H189" s="86"/>
      <c r="I189" s="87">
        <f ca="1">IFERROR(__xludf.DUMMYFUNCTION("""COMPUTED_VALUE"""),2009)</f>
        <v>2009</v>
      </c>
      <c r="J189" s="88" t="str">
        <f ca="1">IFERROR(__xludf.DUMMYFUNCTION("""COMPUTED_VALUE"""),"U.K.")</f>
        <v>U.K.</v>
      </c>
      <c r="K189" s="89">
        <f ca="1">IFERROR(
  SUMIFS(
    'New Backfilled Data'!G:G,
    'New Backfilled Data'!A:A, I189,
    'New Backfilled Data'!D:D, J189,
    'New Backfilled Data'!E:E, "Online"
  ) /
  SUMIFS(
    'New Backfilled Data'!G:G,
    'New Backfilled Data'!A:A, I189,
    'New Backfilled Data'!D:D, J189
  ),
  ""
)</f>
        <v>0.33220908446791914</v>
      </c>
      <c r="L189" s="90"/>
      <c r="M189" s="90"/>
    </row>
    <row r="190" spans="1:13" ht="17" x14ac:dyDescent="0.2">
      <c r="A190" s="37">
        <v>2006</v>
      </c>
      <c r="B190" s="38" t="s">
        <v>66</v>
      </c>
      <c r="C190" s="38" t="s">
        <v>27</v>
      </c>
      <c r="D190" s="38" t="s">
        <v>28</v>
      </c>
      <c r="E190" s="38" t="s">
        <v>69</v>
      </c>
      <c r="F190" s="38" t="s">
        <v>71</v>
      </c>
      <c r="G190" s="79">
        <f ca="1">IFERROR(__xludf.DUMMYFUNCTION("IFERROR(
  IF(A190 = 2008,
    IF(E190 = ""Online"",
      FILTER('Raw PhocalPoint Data'!G:G,
        'Raw PhocalPoint Data'!A:A = 2009,
        'Raw PhocalPoint Data'!D:D = D190,
        'Raw PhocalPoint Data'!E:E = E190,
        'Raw PhocalPoint Data'!F"&amp;":F = F190
      ) /
      (
        FILTER('Raw PhocalPoint Data'!G:G,
          'Raw PhocalPoint Data'!A:A = 2012,
          'Raw PhocalPoint Data'!D:D = D190,
          'Raw PhocalPoint Data'!E:E = E190,
          'Raw PhocalPoint Data'!F:F = F190
     "&amp;"   ) /
        FILTER('Raw PhocalPoint Data'!G:G,
          'Raw PhocalPoint Data'!A:A = 2011,
          'Raw PhocalPoint Data'!D:D = D190,
          'Raw PhocalPoint Data'!E:E = E190,
          'Raw PhocalPoint Data'!F:F = F190
        )
      ),
      F"&amp;"ILTER('Raw PhocalPoint Data'!G:G,
        'Raw PhocalPoint Data'!A:A = 2009,
        'Raw PhocalPoint Data'!D:D = D190,
        'Raw PhocalPoint Data'!E:E = E190,
        'Raw PhocalPoint Data'!F:F = F190
      ) *
      (
        INDEX('Raw GDP data'!$I$"&amp;"2:$M$100,
          MATCH(D190, 'Raw GDP data'!$H$2:$H$100, 0),
          MATCH(2008, 'Raw GDP data'!$I$1:$M$1, 0)
        ) /
        INDEX('Raw GDP data'!$I$2:$M$100,
          MATCH(D190, 'Raw GDP data'!$H$2:$H$100, 0),
          MATCH(2009, 'Raw GDP d"&amp;"ata'!$I$1:$M$1, 0)
        )
      )
    ),
  IF(A190 &lt; 2008,
    (
      FILTER(G:G,
        A:A = 2008,
        D:D = D190,
        E:E = E190,
        F:F = F190
      ) /
      PRODUCT(
        ARRAYFORMULA(
          (
            (
              FIL"&amp;"TER('Raw PhocalPoint Data'!G:G,
                'Raw PhocalPoint Data'!A:A = 2012,
                'Raw PhocalPoint Data'!D:D = D190,
                'Raw PhocalPoint Data'!E:E = E190,
                'Raw PhocalPoint Data'!F:F = F190
              ) /
  "&amp;"            FILTER('Raw PhocalPoint Data'!G:G,
                'Raw PhocalPoint Data'!A:A = 2011,
                'Raw PhocalPoint Data'!D:D = D190,
                'Raw PhocalPoint Data'!E:E = E190,
                'Raw PhocalPoint Data'!F:F = F190
     "&amp;"         ) -
              ROW(INDIRECT(""1:"" &amp; (2008 - A190))) *
              (
                (
                  FILTER('Raw PhocalPoint Data'!G:G,
                    'Raw PhocalPoint Data'!A:A = 2012,
                    'Raw PhocalPoint Data'!D:D"&amp;" = D190,
                    'Raw PhocalPoint Data'!E:E = E190,
                    'Raw PhocalPoint Data'!F:F = F190
                  ) /
                  FILTER('Raw PhocalPoint Data'!G:G,
                    'Raw PhocalPoint Data'!A:A = 2011,
       "&amp;"             'Raw PhocalPoint Data'!D:D = D190,
                    'Raw PhocalPoint Data'!E:E = E190,
                    'Raw PhocalPoint Data'!F:F = F190
                  ) - 1
                ) / 5
              )
            )
          )
        )
"&amp;"      )
    ),
    (
      FILTER('Raw PhocalPoint Data'!G:G,
        'Raw PhocalPoint Data'!A:A = 2009,
        'Raw PhocalPoint Data'!D:D = D190,
        'Raw PhocalPoint Data'!E:E = E190,
        'Raw PhocalPoint Data'!F:F = F190
      ) /
      PRODUC"&amp;"T(
        ARRAYFORMULA(
          (
            FILTER('Raw PhocalPoint Data'!G:G,
              'Raw PhocalPoint Data'!A:A = 2012,
              'Raw PhocalPoint Data'!D:D = D190,
              'Raw PhocalPoint Data'!E:E = E190,
              'Raw Phoca"&amp;"lPoint Data'!F:F = F190
            ) /
            FILTER('Raw PhocalPoint Data'!G:G,
              'Raw PhocalPoint Data'!A:A = 2011,
              'Raw PhocalPoint Data'!D:D = D190,
              'Raw PhocalPoint Data'!E:E = E190,
              'Raw Ph"&amp;"ocalPoint Data'!F:F = F190
            ) -
            (ROW(INDIRECT(""1:"" &amp; (2010 - A190))) - 1) *
            (
              (
                FILTER('Raw PhocalPoint Data'!G:G,
                  'Raw PhocalPoint Data'!A:A = 2012,
                  'R"&amp;"aw PhocalPoint Data'!D:D = D190,
                  'Raw PhocalPoint Data'!E:E = E190,
                  'Raw PhocalPoint Data'!F:F = F190
                ) /
                FILTER('Raw PhocalPoint Data'!G:G,
                  'Raw PhocalPoint Data'!A:A ="&amp;" 2011,
                  'Raw PhocalPoint Data'!D:D = D190,
                  'Raw PhocalPoint Data'!E:E = E190,
                  'Raw PhocalPoint Data'!F:F = F190
                ) - 1
              ) / 5
            )
          )
        )
      )
    "&amp;") *
    INDEX('Raw GDP data'!$I$2:$M$100,
      MATCH(D190, 'Raw GDP data'!$H$2:$H$100, 0),
      MATCH(A190, 'Raw GDP data'!$I$1:$M$1, 0)
    )
  )),
  """"
)
"),8558267072.2291)</f>
        <v>8558267072.2291002</v>
      </c>
      <c r="H190" s="80"/>
      <c r="I190" s="81">
        <f ca="1">IFERROR(__xludf.DUMMYFUNCTION("""COMPUTED_VALUE"""),2009)</f>
        <v>2009</v>
      </c>
      <c r="J190" s="82" t="str">
        <f ca="1">IFERROR(__xludf.DUMMYFUNCTION("""COMPUTED_VALUE"""),"Argentina")</f>
        <v>Argentina</v>
      </c>
      <c r="K190" s="83">
        <f ca="1">IFERROR(
  SUMIFS(
    'New Backfilled Data'!G:G,
    'New Backfilled Data'!A:A, I190,
    'New Backfilled Data'!D:D, J190,
    'New Backfilled Data'!E:E, "Online"
  ) /
  SUMIFS(
    'New Backfilled Data'!G:G,
    'New Backfilled Data'!A:A, I190,
    'New Backfilled Data'!D:D, J190
  ),
  ""
)</f>
        <v>4.5097199913244325E-2</v>
      </c>
      <c r="L190" s="84"/>
      <c r="M190" s="84"/>
    </row>
    <row r="191" spans="1:13" ht="17" x14ac:dyDescent="0.2">
      <c r="A191" s="44">
        <v>2006</v>
      </c>
      <c r="B191" s="45" t="s">
        <v>66</v>
      </c>
      <c r="C191" s="45" t="s">
        <v>27</v>
      </c>
      <c r="D191" s="45" t="s">
        <v>28</v>
      </c>
      <c r="E191" s="45" t="s">
        <v>69</v>
      </c>
      <c r="F191" s="45" t="s">
        <v>70</v>
      </c>
      <c r="G191" s="85">
        <f ca="1">IFERROR(__xludf.DUMMYFUNCTION("IFERROR(
  IF(A191 = 2008,
    IF(E191 = ""Online"",
      FILTER('Raw PhocalPoint Data'!G:G,
        'Raw PhocalPoint Data'!A:A = 2009,
        'Raw PhocalPoint Data'!D:D = D191,
        'Raw PhocalPoint Data'!E:E = E191,
        'Raw PhocalPoint Data'!F"&amp;":F = F191
      ) /
      (
        FILTER('Raw PhocalPoint Data'!G:G,
          'Raw PhocalPoint Data'!A:A = 2012,
          'Raw PhocalPoint Data'!D:D = D191,
          'Raw PhocalPoint Data'!E:E = E191,
          'Raw PhocalPoint Data'!F:F = F191
     "&amp;"   ) /
        FILTER('Raw PhocalPoint Data'!G:G,
          'Raw PhocalPoint Data'!A:A = 2011,
          'Raw PhocalPoint Data'!D:D = D191,
          'Raw PhocalPoint Data'!E:E = E191,
          'Raw PhocalPoint Data'!F:F = F191
        )
      ),
      F"&amp;"ILTER('Raw PhocalPoint Data'!G:G,
        'Raw PhocalPoint Data'!A:A = 2009,
        'Raw PhocalPoint Data'!D:D = D191,
        'Raw PhocalPoint Data'!E:E = E191,
        'Raw PhocalPoint Data'!F:F = F191
      ) *
      (
        INDEX('Raw GDP data'!$I$"&amp;"2:$M$100,
          MATCH(D191, 'Raw GDP data'!$H$2:$H$100, 0),
          MATCH(2008, 'Raw GDP data'!$I$1:$M$1, 0)
        ) /
        INDEX('Raw GDP data'!$I$2:$M$100,
          MATCH(D191, 'Raw GDP data'!$H$2:$H$100, 0),
          MATCH(2009, 'Raw GDP d"&amp;"ata'!$I$1:$M$1, 0)
        )
      )
    ),
  IF(A191 &lt; 2008,
    (
      FILTER(G:G,
        A:A = 2008,
        D:D = D191,
        E:E = E191,
        F:F = F191
      ) /
      PRODUCT(
        ARRAYFORMULA(
          (
            (
              FIL"&amp;"TER('Raw PhocalPoint Data'!G:G,
                'Raw PhocalPoint Data'!A:A = 2012,
                'Raw PhocalPoint Data'!D:D = D191,
                'Raw PhocalPoint Data'!E:E = E191,
                'Raw PhocalPoint Data'!F:F = F191
              ) /
  "&amp;"            FILTER('Raw PhocalPoint Data'!G:G,
                'Raw PhocalPoint Data'!A:A = 2011,
                'Raw PhocalPoint Data'!D:D = D191,
                'Raw PhocalPoint Data'!E:E = E191,
                'Raw PhocalPoint Data'!F:F = F191
     "&amp;"         ) -
              ROW(INDIRECT(""1:"" &amp; (2008 - A191))) *
              (
                (
                  FILTER('Raw PhocalPoint Data'!G:G,
                    'Raw PhocalPoint Data'!A:A = 2012,
                    'Raw PhocalPoint Data'!D:D"&amp;" = D191,
                    'Raw PhocalPoint Data'!E:E = E191,
                    'Raw PhocalPoint Data'!F:F = F191
                  ) /
                  FILTER('Raw PhocalPoint Data'!G:G,
                    'Raw PhocalPoint Data'!A:A = 2011,
       "&amp;"             'Raw PhocalPoint Data'!D:D = D191,
                    'Raw PhocalPoint Data'!E:E = E191,
                    'Raw PhocalPoint Data'!F:F = F191
                  ) - 1
                ) / 5
              )
            )
          )
        )
"&amp;"      )
    ),
    (
      FILTER('Raw PhocalPoint Data'!G:G,
        'Raw PhocalPoint Data'!A:A = 2009,
        'Raw PhocalPoint Data'!D:D = D191,
        'Raw PhocalPoint Data'!E:E = E191,
        'Raw PhocalPoint Data'!F:F = F191
      ) /
      PRODUC"&amp;"T(
        ARRAYFORMULA(
          (
            FILTER('Raw PhocalPoint Data'!G:G,
              'Raw PhocalPoint Data'!A:A = 2012,
              'Raw PhocalPoint Data'!D:D = D191,
              'Raw PhocalPoint Data'!E:E = E191,
              'Raw Phoca"&amp;"lPoint Data'!F:F = F191
            ) /
            FILTER('Raw PhocalPoint Data'!G:G,
              'Raw PhocalPoint Data'!A:A = 2011,
              'Raw PhocalPoint Data'!D:D = D191,
              'Raw PhocalPoint Data'!E:E = E191,
              'Raw Ph"&amp;"ocalPoint Data'!F:F = F191
            ) -
            (ROW(INDIRECT(""1:"" &amp; (2010 - A191))) - 1) *
            (
              (
                FILTER('Raw PhocalPoint Data'!G:G,
                  'Raw PhocalPoint Data'!A:A = 2012,
                  'R"&amp;"aw PhocalPoint Data'!D:D = D191,
                  'Raw PhocalPoint Data'!E:E = E191,
                  'Raw PhocalPoint Data'!F:F = F191
                ) /
                FILTER('Raw PhocalPoint Data'!G:G,
                  'Raw PhocalPoint Data'!A:A ="&amp;" 2011,
                  'Raw PhocalPoint Data'!D:D = D191,
                  'Raw PhocalPoint Data'!E:E = E191,
                  'Raw PhocalPoint Data'!F:F = F191
                ) - 1
              ) / 5
            )
          )
        )
      )
    "&amp;") *
    INDEX('Raw GDP data'!$I$2:$M$100,
      MATCH(D191, 'Raw GDP data'!$H$2:$H$100, 0),
      MATCH(A191, 'Raw GDP data'!$I$1:$M$1, 0)
    )
  )),
  """"
)
"),9991048385.1394)</f>
        <v>9991048385.1394005</v>
      </c>
      <c r="H191" s="86"/>
      <c r="I191" s="87">
        <f ca="1">IFERROR(__xludf.DUMMYFUNCTION("""COMPUTED_VALUE"""),2009)</f>
        <v>2009</v>
      </c>
      <c r="J191" s="88" t="str">
        <f ca="1">IFERROR(__xludf.DUMMYFUNCTION("""COMPUTED_VALUE"""),"Brazil")</f>
        <v>Brazil</v>
      </c>
      <c r="K191" s="89">
        <f ca="1">IFERROR(
  SUMIFS(
    'New Backfilled Data'!G:G,
    'New Backfilled Data'!A:A, I191,
    'New Backfilled Data'!D:D, J191,
    'New Backfilled Data'!E:E, "Online"
  ) /
  SUMIFS(
    'New Backfilled Data'!G:G,
    'New Backfilled Data'!A:A, I191,
    'New Backfilled Data'!D:D, J191
  ),
  ""
)</f>
        <v>0.10186837877869663</v>
      </c>
      <c r="L191" s="90"/>
      <c r="M191" s="90"/>
    </row>
    <row r="192" spans="1:13" ht="17" x14ac:dyDescent="0.2">
      <c r="A192" s="37">
        <v>2006</v>
      </c>
      <c r="B192" s="38" t="s">
        <v>66</v>
      </c>
      <c r="C192" s="38" t="s">
        <v>27</v>
      </c>
      <c r="D192" s="38" t="s">
        <v>29</v>
      </c>
      <c r="E192" s="38" t="s">
        <v>67</v>
      </c>
      <c r="F192" s="38" t="s">
        <v>67</v>
      </c>
      <c r="G192" s="79">
        <f ca="1">IFERROR(__xludf.DUMMYFUNCTION("IFERROR(
  IF(A192 = 2008,
    IF(E192 = ""Online"",
      FILTER('Raw PhocalPoint Data'!G:G,
        'Raw PhocalPoint Data'!A:A = 2009,
        'Raw PhocalPoint Data'!D:D = D192,
        'Raw PhocalPoint Data'!E:E = E192,
        'Raw PhocalPoint Data'!F"&amp;":F = F192
      ) /
      (
        FILTER('Raw PhocalPoint Data'!G:G,
          'Raw PhocalPoint Data'!A:A = 2012,
          'Raw PhocalPoint Data'!D:D = D192,
          'Raw PhocalPoint Data'!E:E = E192,
          'Raw PhocalPoint Data'!F:F = F192
     "&amp;"   ) /
        FILTER('Raw PhocalPoint Data'!G:G,
          'Raw PhocalPoint Data'!A:A = 2011,
          'Raw PhocalPoint Data'!D:D = D192,
          'Raw PhocalPoint Data'!E:E = E192,
          'Raw PhocalPoint Data'!F:F = F192
        )
      ),
      F"&amp;"ILTER('Raw PhocalPoint Data'!G:G,
        'Raw PhocalPoint Data'!A:A = 2009,
        'Raw PhocalPoint Data'!D:D = D192,
        'Raw PhocalPoint Data'!E:E = E192,
        'Raw PhocalPoint Data'!F:F = F192
      ) *
      (
        INDEX('Raw GDP data'!$I$"&amp;"2:$M$100,
          MATCH(D192, 'Raw GDP data'!$H$2:$H$100, 0),
          MATCH(2008, 'Raw GDP data'!$I$1:$M$1, 0)
        ) /
        INDEX('Raw GDP data'!$I$2:$M$100,
          MATCH(D192, 'Raw GDP data'!$H$2:$H$100, 0),
          MATCH(2009, 'Raw GDP d"&amp;"ata'!$I$1:$M$1, 0)
        )
      )
    ),
  IF(A192 &lt; 2008,
    (
      FILTER(G:G,
        A:A = 2008,
        D:D = D192,
        E:E = E192,
        F:F = F192
      ) /
      PRODUCT(
        ARRAYFORMULA(
          (
            (
              FIL"&amp;"TER('Raw PhocalPoint Data'!G:G,
                'Raw PhocalPoint Data'!A:A = 2012,
                'Raw PhocalPoint Data'!D:D = D192,
                'Raw PhocalPoint Data'!E:E = E192,
                'Raw PhocalPoint Data'!F:F = F192
              ) /
  "&amp;"            FILTER('Raw PhocalPoint Data'!G:G,
                'Raw PhocalPoint Data'!A:A = 2011,
                'Raw PhocalPoint Data'!D:D = D192,
                'Raw PhocalPoint Data'!E:E = E192,
                'Raw PhocalPoint Data'!F:F = F192
     "&amp;"         ) -
              ROW(INDIRECT(""1:"" &amp; (2008 - A192))) *
              (
                (
                  FILTER('Raw PhocalPoint Data'!G:G,
                    'Raw PhocalPoint Data'!A:A = 2012,
                    'Raw PhocalPoint Data'!D:D"&amp;" = D192,
                    'Raw PhocalPoint Data'!E:E = E192,
                    'Raw PhocalPoint Data'!F:F = F192
                  ) /
                  FILTER('Raw PhocalPoint Data'!G:G,
                    'Raw PhocalPoint Data'!A:A = 2011,
       "&amp;"             'Raw PhocalPoint Data'!D:D = D192,
                    'Raw PhocalPoint Data'!E:E = E192,
                    'Raw PhocalPoint Data'!F:F = F192
                  ) - 1
                ) / 5
              )
            )
          )
        )
"&amp;"      )
    ),
    (
      FILTER('Raw PhocalPoint Data'!G:G,
        'Raw PhocalPoint Data'!A:A = 2009,
        'Raw PhocalPoint Data'!D:D = D192,
        'Raw PhocalPoint Data'!E:E = E192,
        'Raw PhocalPoint Data'!F:F = F192
      ) /
      PRODUC"&amp;"T(
        ARRAYFORMULA(
          (
            FILTER('Raw PhocalPoint Data'!G:G,
              'Raw PhocalPoint Data'!A:A = 2012,
              'Raw PhocalPoint Data'!D:D = D192,
              'Raw PhocalPoint Data'!E:E = E192,
              'Raw Phoca"&amp;"lPoint Data'!F:F = F192
            ) /
            FILTER('Raw PhocalPoint Data'!G:G,
              'Raw PhocalPoint Data'!A:A = 2011,
              'Raw PhocalPoint Data'!D:D = D192,
              'Raw PhocalPoint Data'!E:E = E192,
              'Raw Ph"&amp;"ocalPoint Data'!F:F = F192
            ) -
            (ROW(INDIRECT(""1:"" &amp; (2010 - A192))) - 1) *
            (
              (
                FILTER('Raw PhocalPoint Data'!G:G,
                  'Raw PhocalPoint Data'!A:A = 2012,
                  'R"&amp;"aw PhocalPoint Data'!D:D = D192,
                  'Raw PhocalPoint Data'!E:E = E192,
                  'Raw PhocalPoint Data'!F:F = F192
                ) /
                FILTER('Raw PhocalPoint Data'!G:G,
                  'Raw PhocalPoint Data'!A:A ="&amp;" 2011,
                  'Raw PhocalPoint Data'!D:D = D192,
                  'Raw PhocalPoint Data'!E:E = E192,
                  'Raw PhocalPoint Data'!F:F = F192
                ) - 1
              ) / 5
            )
          )
        )
      )
    "&amp;") *
    INDEX('Raw GDP data'!$I$2:$M$100,
      MATCH(D192, 'Raw GDP data'!$H$2:$H$100, 0),
      MATCH(A192, 'Raw GDP data'!$I$1:$M$1, 0)
    )
  )),
  """"
)
"),25122971801.8638)</f>
        <v>25122971801.8638</v>
      </c>
      <c r="H192" s="80"/>
      <c r="I192" s="81">
        <f ca="1">IFERROR(__xludf.DUMMYFUNCTION("""COMPUTED_VALUE"""),2009)</f>
        <v>2009</v>
      </c>
      <c r="J192" s="82" t="str">
        <f ca="1">IFERROR(__xludf.DUMMYFUNCTION("""COMPUTED_VALUE"""),"Chile")</f>
        <v>Chile</v>
      </c>
      <c r="K192" s="83">
        <f ca="1">IFERROR(
  SUMIFS(
    'New Backfilled Data'!G:G,
    'New Backfilled Data'!A:A, I192,
    'New Backfilled Data'!D:D, J192,
    'New Backfilled Data'!E:E, "Online"
  ) /
  SUMIFS(
    'New Backfilled Data'!G:G,
    'New Backfilled Data'!A:A, I192,
    'New Backfilled Data'!D:D, J192
  ),
  ""
)</f>
        <v>0.16963872122698923</v>
      </c>
      <c r="L192" s="84"/>
      <c r="M192" s="84"/>
    </row>
    <row r="193" spans="1:13" ht="17" x14ac:dyDescent="0.2">
      <c r="A193" s="44">
        <v>2006</v>
      </c>
      <c r="B193" s="45" t="s">
        <v>66</v>
      </c>
      <c r="C193" s="45" t="s">
        <v>27</v>
      </c>
      <c r="D193" s="45" t="s">
        <v>29</v>
      </c>
      <c r="E193" s="45" t="s">
        <v>69</v>
      </c>
      <c r="F193" s="45" t="s">
        <v>71</v>
      </c>
      <c r="G193" s="85">
        <f ca="1">IFERROR(__xludf.DUMMYFUNCTION("IFERROR(
  IF(A193 = 2008,
    IF(E193 = ""Online"",
      FILTER('Raw PhocalPoint Data'!G:G,
        'Raw PhocalPoint Data'!A:A = 2009,
        'Raw PhocalPoint Data'!D:D = D193,
        'Raw PhocalPoint Data'!E:E = E193,
        'Raw PhocalPoint Data'!F"&amp;":F = F193
      ) /
      (
        FILTER('Raw PhocalPoint Data'!G:G,
          'Raw PhocalPoint Data'!A:A = 2012,
          'Raw PhocalPoint Data'!D:D = D193,
          'Raw PhocalPoint Data'!E:E = E193,
          'Raw PhocalPoint Data'!F:F = F193
     "&amp;"   ) /
        FILTER('Raw PhocalPoint Data'!G:G,
          'Raw PhocalPoint Data'!A:A = 2011,
          'Raw PhocalPoint Data'!D:D = D193,
          'Raw PhocalPoint Data'!E:E = E193,
          'Raw PhocalPoint Data'!F:F = F193
        )
      ),
      F"&amp;"ILTER('Raw PhocalPoint Data'!G:G,
        'Raw PhocalPoint Data'!A:A = 2009,
        'Raw PhocalPoint Data'!D:D = D193,
        'Raw PhocalPoint Data'!E:E = E193,
        'Raw PhocalPoint Data'!F:F = F193
      ) *
      (
        INDEX('Raw GDP data'!$I$"&amp;"2:$M$100,
          MATCH(D193, 'Raw GDP data'!$H$2:$H$100, 0),
          MATCH(2008, 'Raw GDP data'!$I$1:$M$1, 0)
        ) /
        INDEX('Raw GDP data'!$I$2:$M$100,
          MATCH(D193, 'Raw GDP data'!$H$2:$H$100, 0),
          MATCH(2009, 'Raw GDP d"&amp;"ata'!$I$1:$M$1, 0)
        )
      )
    ),
  IF(A193 &lt; 2008,
    (
      FILTER(G:G,
        A:A = 2008,
        D:D = D193,
        E:E = E193,
        F:F = F193
      ) /
      PRODUCT(
        ARRAYFORMULA(
          (
            (
              FIL"&amp;"TER('Raw PhocalPoint Data'!G:G,
                'Raw PhocalPoint Data'!A:A = 2012,
                'Raw PhocalPoint Data'!D:D = D193,
                'Raw PhocalPoint Data'!E:E = E193,
                'Raw PhocalPoint Data'!F:F = F193
              ) /
  "&amp;"            FILTER('Raw PhocalPoint Data'!G:G,
                'Raw PhocalPoint Data'!A:A = 2011,
                'Raw PhocalPoint Data'!D:D = D193,
                'Raw PhocalPoint Data'!E:E = E193,
                'Raw PhocalPoint Data'!F:F = F193
     "&amp;"         ) -
              ROW(INDIRECT(""1:"" &amp; (2008 - A193))) *
              (
                (
                  FILTER('Raw PhocalPoint Data'!G:G,
                    'Raw PhocalPoint Data'!A:A = 2012,
                    'Raw PhocalPoint Data'!D:D"&amp;" = D193,
                    'Raw PhocalPoint Data'!E:E = E193,
                    'Raw PhocalPoint Data'!F:F = F193
                  ) /
                  FILTER('Raw PhocalPoint Data'!G:G,
                    'Raw PhocalPoint Data'!A:A = 2011,
       "&amp;"             'Raw PhocalPoint Data'!D:D = D193,
                    'Raw PhocalPoint Data'!E:E = E193,
                    'Raw PhocalPoint Data'!F:F = F193
                  ) - 1
                ) / 5
              )
            )
          )
        )
"&amp;"      )
    ),
    (
      FILTER('Raw PhocalPoint Data'!G:G,
        'Raw PhocalPoint Data'!A:A = 2009,
        'Raw PhocalPoint Data'!D:D = D193,
        'Raw PhocalPoint Data'!E:E = E193,
        'Raw PhocalPoint Data'!F:F = F193
      ) /
      PRODUC"&amp;"T(
        ARRAYFORMULA(
          (
            FILTER('Raw PhocalPoint Data'!G:G,
              'Raw PhocalPoint Data'!A:A = 2012,
              'Raw PhocalPoint Data'!D:D = D193,
              'Raw PhocalPoint Data'!E:E = E193,
              'Raw Phoca"&amp;"lPoint Data'!F:F = F193
            ) /
            FILTER('Raw PhocalPoint Data'!G:G,
              'Raw PhocalPoint Data'!A:A = 2011,
              'Raw PhocalPoint Data'!D:D = D193,
              'Raw PhocalPoint Data'!E:E = E193,
              'Raw Ph"&amp;"ocalPoint Data'!F:F = F193
            ) -
            (ROW(INDIRECT(""1:"" &amp; (2010 - A193))) - 1) *
            (
              (
                FILTER('Raw PhocalPoint Data'!G:G,
                  'Raw PhocalPoint Data'!A:A = 2012,
                  'R"&amp;"aw PhocalPoint Data'!D:D = D193,
                  'Raw PhocalPoint Data'!E:E = E193,
                  'Raw PhocalPoint Data'!F:F = F193
                ) /
                FILTER('Raw PhocalPoint Data'!G:G,
                  'Raw PhocalPoint Data'!A:A ="&amp;" 2011,
                  'Raw PhocalPoint Data'!D:D = D193,
                  'Raw PhocalPoint Data'!E:E = E193,
                  'Raw PhocalPoint Data'!F:F = F193
                ) - 1
              ) / 5
            )
          )
        )
      )
    "&amp;") *
    INDEX('Raw GDP data'!$I$2:$M$100,
      MATCH(D193, 'Raw GDP data'!$H$2:$H$100, 0),
      MATCH(A193, 'Raw GDP data'!$I$1:$M$1, 0)
    )
  )),
  """"
)
"),2522540227.72527)</f>
        <v>2522540227.7252698</v>
      </c>
      <c r="H193" s="86"/>
      <c r="I193" s="87">
        <f ca="1">IFERROR(__xludf.DUMMYFUNCTION("""COMPUTED_VALUE"""),2009)</f>
        <v>2009</v>
      </c>
      <c r="J193" s="88" t="str">
        <f ca="1">IFERROR(__xludf.DUMMYFUNCTION("""COMPUTED_VALUE"""),"Colombia")</f>
        <v>Colombia</v>
      </c>
      <c r="K193" s="89">
        <f ca="1">IFERROR(
  SUMIFS(
    'New Backfilled Data'!G:G,
    'New Backfilled Data'!A:A, I193,
    'New Backfilled Data'!D:D, J193,
    'New Backfilled Data'!E:E, "Online"
  ) /
  SUMIFS(
    'New Backfilled Data'!G:G,
    'New Backfilled Data'!A:A, I193,
    'New Backfilled Data'!D:D, J193
  ),
  ""
)</f>
        <v>6.661627629915394E-2</v>
      </c>
      <c r="L193" s="90"/>
      <c r="M193" s="90"/>
    </row>
    <row r="194" spans="1:13" ht="17" x14ac:dyDescent="0.2">
      <c r="A194" s="37">
        <v>2006</v>
      </c>
      <c r="B194" s="38" t="s">
        <v>66</v>
      </c>
      <c r="C194" s="38" t="s">
        <v>27</v>
      </c>
      <c r="D194" s="38" t="s">
        <v>29</v>
      </c>
      <c r="E194" s="38" t="s">
        <v>69</v>
      </c>
      <c r="F194" s="38" t="s">
        <v>70</v>
      </c>
      <c r="G194" s="79">
        <f ca="1">IFERROR(__xludf.DUMMYFUNCTION("IFERROR(
  IF(A194 = 2008,
    IF(E194 = ""Online"",
      FILTER('Raw PhocalPoint Data'!G:G,
        'Raw PhocalPoint Data'!A:A = 2009,
        'Raw PhocalPoint Data'!D:D = D194,
        'Raw PhocalPoint Data'!E:E = E194,
        'Raw PhocalPoint Data'!F"&amp;":F = F194
      ) /
      (
        FILTER('Raw PhocalPoint Data'!G:G,
          'Raw PhocalPoint Data'!A:A = 2012,
          'Raw PhocalPoint Data'!D:D = D194,
          'Raw PhocalPoint Data'!E:E = E194,
          'Raw PhocalPoint Data'!F:F = F194
     "&amp;"   ) /
        FILTER('Raw PhocalPoint Data'!G:G,
          'Raw PhocalPoint Data'!A:A = 2011,
          'Raw PhocalPoint Data'!D:D = D194,
          'Raw PhocalPoint Data'!E:E = E194,
          'Raw PhocalPoint Data'!F:F = F194
        )
      ),
      F"&amp;"ILTER('Raw PhocalPoint Data'!G:G,
        'Raw PhocalPoint Data'!A:A = 2009,
        'Raw PhocalPoint Data'!D:D = D194,
        'Raw PhocalPoint Data'!E:E = E194,
        'Raw PhocalPoint Data'!F:F = F194
      ) *
      (
        INDEX('Raw GDP data'!$I$"&amp;"2:$M$100,
          MATCH(D194, 'Raw GDP data'!$H$2:$H$100, 0),
          MATCH(2008, 'Raw GDP data'!$I$1:$M$1, 0)
        ) /
        INDEX('Raw GDP data'!$I$2:$M$100,
          MATCH(D194, 'Raw GDP data'!$H$2:$H$100, 0),
          MATCH(2009, 'Raw GDP d"&amp;"ata'!$I$1:$M$1, 0)
        )
      )
    ),
  IF(A194 &lt; 2008,
    (
      FILTER(G:G,
        A:A = 2008,
        D:D = D194,
        E:E = E194,
        F:F = F194
      ) /
      PRODUCT(
        ARRAYFORMULA(
          (
            (
              FIL"&amp;"TER('Raw PhocalPoint Data'!G:G,
                'Raw PhocalPoint Data'!A:A = 2012,
                'Raw PhocalPoint Data'!D:D = D194,
                'Raw PhocalPoint Data'!E:E = E194,
                'Raw PhocalPoint Data'!F:F = F194
              ) /
  "&amp;"            FILTER('Raw PhocalPoint Data'!G:G,
                'Raw PhocalPoint Data'!A:A = 2011,
                'Raw PhocalPoint Data'!D:D = D194,
                'Raw PhocalPoint Data'!E:E = E194,
                'Raw PhocalPoint Data'!F:F = F194
     "&amp;"         ) -
              ROW(INDIRECT(""1:"" &amp; (2008 - A194))) *
              (
                (
                  FILTER('Raw PhocalPoint Data'!G:G,
                    'Raw PhocalPoint Data'!A:A = 2012,
                    'Raw PhocalPoint Data'!D:D"&amp;" = D194,
                    'Raw PhocalPoint Data'!E:E = E194,
                    'Raw PhocalPoint Data'!F:F = F194
                  ) /
                  FILTER('Raw PhocalPoint Data'!G:G,
                    'Raw PhocalPoint Data'!A:A = 2011,
       "&amp;"             'Raw PhocalPoint Data'!D:D = D194,
                    'Raw PhocalPoint Data'!E:E = E194,
                    'Raw PhocalPoint Data'!F:F = F194
                  ) - 1
                ) / 5
              )
            )
          )
        )
"&amp;"      )
    ),
    (
      FILTER('Raw PhocalPoint Data'!G:G,
        'Raw PhocalPoint Data'!A:A = 2009,
        'Raw PhocalPoint Data'!D:D = D194,
        'Raw PhocalPoint Data'!E:E = E194,
        'Raw PhocalPoint Data'!F:F = F194
      ) /
      PRODUC"&amp;"T(
        ARRAYFORMULA(
          (
            FILTER('Raw PhocalPoint Data'!G:G,
              'Raw PhocalPoint Data'!A:A = 2012,
              'Raw PhocalPoint Data'!D:D = D194,
              'Raw PhocalPoint Data'!E:E = E194,
              'Raw Phoca"&amp;"lPoint Data'!F:F = F194
            ) /
            FILTER('Raw PhocalPoint Data'!G:G,
              'Raw PhocalPoint Data'!A:A = 2011,
              'Raw PhocalPoint Data'!D:D = D194,
              'Raw PhocalPoint Data'!E:E = E194,
              'Raw Ph"&amp;"ocalPoint Data'!F:F = F194
            ) -
            (ROW(INDIRECT(""1:"" &amp; (2010 - A194))) - 1) *
            (
              (
                FILTER('Raw PhocalPoint Data'!G:G,
                  'Raw PhocalPoint Data'!A:A = 2012,
                  'R"&amp;"aw PhocalPoint Data'!D:D = D194,
                  'Raw PhocalPoint Data'!E:E = E194,
                  'Raw PhocalPoint Data'!F:F = F194
                ) /
                FILTER('Raw PhocalPoint Data'!G:G,
                  'Raw PhocalPoint Data'!A:A ="&amp;" 2011,
                  'Raw PhocalPoint Data'!D:D = D194,
                  'Raw PhocalPoint Data'!E:E = E194,
                  'Raw PhocalPoint Data'!F:F = F194
                ) - 1
              ) / 5
            )
          )
        )
      )
    "&amp;") *
    INDEX('Raw GDP data'!$I$2:$M$100,
      MATCH(D194, 'Raw GDP data'!$H$2:$H$100, 0),
      MATCH(A194, 'Raw GDP data'!$I$1:$M$1, 0)
    )
  )),
  """"
)
"),2744707639.23112)</f>
        <v>2744707639.2311201</v>
      </c>
      <c r="H194" s="80"/>
      <c r="I194" s="81">
        <f ca="1">IFERROR(__xludf.DUMMYFUNCTION("""COMPUTED_VALUE"""),2009)</f>
        <v>2009</v>
      </c>
      <c r="J194" s="82" t="str">
        <f ca="1">IFERROR(__xludf.DUMMYFUNCTION("""COMPUTED_VALUE"""),"Mexico")</f>
        <v>Mexico</v>
      </c>
      <c r="K194" s="83">
        <f ca="1">IFERROR(
  SUMIFS(
    'New Backfilled Data'!G:G,
    'New Backfilled Data'!A:A, I194,
    'New Backfilled Data'!D:D, J194,
    'New Backfilled Data'!E:E, "Online"
  ) /
  SUMIFS(
    'New Backfilled Data'!G:G,
    'New Backfilled Data'!A:A, I194,
    'New Backfilled Data'!D:D, J194
  ),
  ""
)</f>
        <v>0.14237470588478543</v>
      </c>
      <c r="L194" s="84"/>
      <c r="M194" s="84"/>
    </row>
    <row r="195" spans="1:13" ht="17" x14ac:dyDescent="0.2">
      <c r="A195" s="44">
        <v>2006</v>
      </c>
      <c r="B195" s="45" t="s">
        <v>66</v>
      </c>
      <c r="C195" s="45" t="s">
        <v>27</v>
      </c>
      <c r="D195" s="45" t="s">
        <v>30</v>
      </c>
      <c r="E195" s="45" t="s">
        <v>67</v>
      </c>
      <c r="F195" s="45" t="s">
        <v>67</v>
      </c>
      <c r="G195" s="85">
        <f ca="1">IFERROR(__xludf.DUMMYFUNCTION("IFERROR(
  IF(A195 = 2008,
    IF(E195 = ""Online"",
      FILTER('Raw PhocalPoint Data'!G:G,
        'Raw PhocalPoint Data'!A:A = 2009,
        'Raw PhocalPoint Data'!D:D = D195,
        'Raw PhocalPoint Data'!E:E = E195,
        'Raw PhocalPoint Data'!F"&amp;":F = F195
      ) /
      (
        FILTER('Raw PhocalPoint Data'!G:G,
          'Raw PhocalPoint Data'!A:A = 2012,
          'Raw PhocalPoint Data'!D:D = D195,
          'Raw PhocalPoint Data'!E:E = E195,
          'Raw PhocalPoint Data'!F:F = F195
     "&amp;"   ) /
        FILTER('Raw PhocalPoint Data'!G:G,
          'Raw PhocalPoint Data'!A:A = 2011,
          'Raw PhocalPoint Data'!D:D = D195,
          'Raw PhocalPoint Data'!E:E = E195,
          'Raw PhocalPoint Data'!F:F = F195
        )
      ),
      F"&amp;"ILTER('Raw PhocalPoint Data'!G:G,
        'Raw PhocalPoint Data'!A:A = 2009,
        'Raw PhocalPoint Data'!D:D = D195,
        'Raw PhocalPoint Data'!E:E = E195,
        'Raw PhocalPoint Data'!F:F = F195
      ) *
      (
        INDEX('Raw GDP data'!$I$"&amp;"2:$M$100,
          MATCH(D195, 'Raw GDP data'!$H$2:$H$100, 0),
          MATCH(2008, 'Raw GDP data'!$I$1:$M$1, 0)
        ) /
        INDEX('Raw GDP data'!$I$2:$M$100,
          MATCH(D195, 'Raw GDP data'!$H$2:$H$100, 0),
          MATCH(2009, 'Raw GDP d"&amp;"ata'!$I$1:$M$1, 0)
        )
      )
    ),
  IF(A195 &lt; 2008,
    (
      FILTER(G:G,
        A:A = 2008,
        D:D = D195,
        E:E = E195,
        F:F = F195
      ) /
      PRODUCT(
        ARRAYFORMULA(
          (
            (
              FIL"&amp;"TER('Raw PhocalPoint Data'!G:G,
                'Raw PhocalPoint Data'!A:A = 2012,
                'Raw PhocalPoint Data'!D:D = D195,
                'Raw PhocalPoint Data'!E:E = E195,
                'Raw PhocalPoint Data'!F:F = F195
              ) /
  "&amp;"            FILTER('Raw PhocalPoint Data'!G:G,
                'Raw PhocalPoint Data'!A:A = 2011,
                'Raw PhocalPoint Data'!D:D = D195,
                'Raw PhocalPoint Data'!E:E = E195,
                'Raw PhocalPoint Data'!F:F = F195
     "&amp;"         ) -
              ROW(INDIRECT(""1:"" &amp; (2008 - A195))) *
              (
                (
                  FILTER('Raw PhocalPoint Data'!G:G,
                    'Raw PhocalPoint Data'!A:A = 2012,
                    'Raw PhocalPoint Data'!D:D"&amp;" = D195,
                    'Raw PhocalPoint Data'!E:E = E195,
                    'Raw PhocalPoint Data'!F:F = F195
                  ) /
                  FILTER('Raw PhocalPoint Data'!G:G,
                    'Raw PhocalPoint Data'!A:A = 2011,
       "&amp;"             'Raw PhocalPoint Data'!D:D = D195,
                    'Raw PhocalPoint Data'!E:E = E195,
                    'Raw PhocalPoint Data'!F:F = F195
                  ) - 1
                ) / 5
              )
            )
          )
        )
"&amp;"      )
    ),
    (
      FILTER('Raw PhocalPoint Data'!G:G,
        'Raw PhocalPoint Data'!A:A = 2009,
        'Raw PhocalPoint Data'!D:D = D195,
        'Raw PhocalPoint Data'!E:E = E195,
        'Raw PhocalPoint Data'!F:F = F195
      ) /
      PRODUC"&amp;"T(
        ARRAYFORMULA(
          (
            FILTER('Raw PhocalPoint Data'!G:G,
              'Raw PhocalPoint Data'!A:A = 2012,
              'Raw PhocalPoint Data'!D:D = D195,
              'Raw PhocalPoint Data'!E:E = E195,
              'Raw Phoca"&amp;"lPoint Data'!F:F = F195
            ) /
            FILTER('Raw PhocalPoint Data'!G:G,
              'Raw PhocalPoint Data'!A:A = 2011,
              'Raw PhocalPoint Data'!D:D = D195,
              'Raw PhocalPoint Data'!E:E = E195,
              'Raw Ph"&amp;"ocalPoint Data'!F:F = F195
            ) -
            (ROW(INDIRECT(""1:"" &amp; (2010 - A195))) - 1) *
            (
              (
                FILTER('Raw PhocalPoint Data'!G:G,
                  'Raw PhocalPoint Data'!A:A = 2012,
                  'R"&amp;"aw PhocalPoint Data'!D:D = D195,
                  'Raw PhocalPoint Data'!E:E = E195,
                  'Raw PhocalPoint Data'!F:F = F195
                ) /
                FILTER('Raw PhocalPoint Data'!G:G,
                  'Raw PhocalPoint Data'!A:A ="&amp;" 2011,
                  'Raw PhocalPoint Data'!D:D = D195,
                  'Raw PhocalPoint Data'!E:E = E195,
                  'Raw PhocalPoint Data'!F:F = F195
                ) - 1
              ) / 5
            )
          )
        )
      )
    "&amp;") *
    INDEX('Raw GDP data'!$I$2:$M$100,
      MATCH(D195, 'Raw GDP data'!$H$2:$H$100, 0),
      MATCH(A195, 'Raw GDP data'!$I$1:$M$1, 0)
    )
  )),
  """"
)
"),54757105581.5461)</f>
        <v>54757105581.546097</v>
      </c>
      <c r="H195" s="86"/>
      <c r="I195" s="87">
        <f ca="1">IFERROR(__xludf.DUMMYFUNCTION("""COMPUTED_VALUE"""),2009)</f>
        <v>2009</v>
      </c>
      <c r="J195" s="88" t="str">
        <f ca="1">IFERROR(__xludf.DUMMYFUNCTION("""COMPUTED_VALUE"""),"Egypt")</f>
        <v>Egypt</v>
      </c>
      <c r="K195" s="89">
        <f ca="1">IFERROR(
  SUMIFS(
    'New Backfilled Data'!G:G,
    'New Backfilled Data'!A:A, I195,
    'New Backfilled Data'!D:D, J195,
    'New Backfilled Data'!E:E, "Online"
  ) /
  SUMIFS(
    'New Backfilled Data'!G:G,
    'New Backfilled Data'!A:A, I195,
    'New Backfilled Data'!D:D, J195
  ),
  ""
)</f>
        <v>5.562016675649329E-2</v>
      </c>
      <c r="L195" s="90"/>
      <c r="M195" s="90"/>
    </row>
    <row r="196" spans="1:13" ht="17" x14ac:dyDescent="0.2">
      <c r="A196" s="37">
        <v>2006</v>
      </c>
      <c r="B196" s="38" t="s">
        <v>66</v>
      </c>
      <c r="C196" s="38" t="s">
        <v>27</v>
      </c>
      <c r="D196" s="38" t="s">
        <v>30</v>
      </c>
      <c r="E196" s="38" t="s">
        <v>69</v>
      </c>
      <c r="F196" s="38" t="s">
        <v>71</v>
      </c>
      <c r="G196" s="79">
        <f ca="1">IFERROR(__xludf.DUMMYFUNCTION("IFERROR(
  IF(A196 = 2008,
    IF(E196 = ""Online"",
      FILTER('Raw PhocalPoint Data'!G:G,
        'Raw PhocalPoint Data'!A:A = 2009,
        'Raw PhocalPoint Data'!D:D = D196,
        'Raw PhocalPoint Data'!E:E = E196,
        'Raw PhocalPoint Data'!F"&amp;":F = F196
      ) /
      (
        FILTER('Raw PhocalPoint Data'!G:G,
          'Raw PhocalPoint Data'!A:A = 2012,
          'Raw PhocalPoint Data'!D:D = D196,
          'Raw PhocalPoint Data'!E:E = E196,
          'Raw PhocalPoint Data'!F:F = F196
     "&amp;"   ) /
        FILTER('Raw PhocalPoint Data'!G:G,
          'Raw PhocalPoint Data'!A:A = 2011,
          'Raw PhocalPoint Data'!D:D = D196,
          'Raw PhocalPoint Data'!E:E = E196,
          'Raw PhocalPoint Data'!F:F = F196
        )
      ),
      F"&amp;"ILTER('Raw PhocalPoint Data'!G:G,
        'Raw PhocalPoint Data'!A:A = 2009,
        'Raw PhocalPoint Data'!D:D = D196,
        'Raw PhocalPoint Data'!E:E = E196,
        'Raw PhocalPoint Data'!F:F = F196
      ) *
      (
        INDEX('Raw GDP data'!$I$"&amp;"2:$M$100,
          MATCH(D196, 'Raw GDP data'!$H$2:$H$100, 0),
          MATCH(2008, 'Raw GDP data'!$I$1:$M$1, 0)
        ) /
        INDEX('Raw GDP data'!$I$2:$M$100,
          MATCH(D196, 'Raw GDP data'!$H$2:$H$100, 0),
          MATCH(2009, 'Raw GDP d"&amp;"ata'!$I$1:$M$1, 0)
        )
      )
    ),
  IF(A196 &lt; 2008,
    (
      FILTER(G:G,
        A:A = 2008,
        D:D = D196,
        E:E = E196,
        F:F = F196
      ) /
      PRODUCT(
        ARRAYFORMULA(
          (
            (
              FIL"&amp;"TER('Raw PhocalPoint Data'!G:G,
                'Raw PhocalPoint Data'!A:A = 2012,
                'Raw PhocalPoint Data'!D:D = D196,
                'Raw PhocalPoint Data'!E:E = E196,
                'Raw PhocalPoint Data'!F:F = F196
              ) /
  "&amp;"            FILTER('Raw PhocalPoint Data'!G:G,
                'Raw PhocalPoint Data'!A:A = 2011,
                'Raw PhocalPoint Data'!D:D = D196,
                'Raw PhocalPoint Data'!E:E = E196,
                'Raw PhocalPoint Data'!F:F = F196
     "&amp;"         ) -
              ROW(INDIRECT(""1:"" &amp; (2008 - A196))) *
              (
                (
                  FILTER('Raw PhocalPoint Data'!G:G,
                    'Raw PhocalPoint Data'!A:A = 2012,
                    'Raw PhocalPoint Data'!D:D"&amp;" = D196,
                    'Raw PhocalPoint Data'!E:E = E196,
                    'Raw PhocalPoint Data'!F:F = F196
                  ) /
                  FILTER('Raw PhocalPoint Data'!G:G,
                    'Raw PhocalPoint Data'!A:A = 2011,
       "&amp;"             'Raw PhocalPoint Data'!D:D = D196,
                    'Raw PhocalPoint Data'!E:E = E196,
                    'Raw PhocalPoint Data'!F:F = F196
                  ) - 1
                ) / 5
              )
            )
          )
        )
"&amp;"      )
    ),
    (
      FILTER('Raw PhocalPoint Data'!G:G,
        'Raw PhocalPoint Data'!A:A = 2009,
        'Raw PhocalPoint Data'!D:D = D196,
        'Raw PhocalPoint Data'!E:E = E196,
        'Raw PhocalPoint Data'!F:F = F196
      ) /
      PRODUC"&amp;"T(
        ARRAYFORMULA(
          (
            FILTER('Raw PhocalPoint Data'!G:G,
              'Raw PhocalPoint Data'!A:A = 2012,
              'Raw PhocalPoint Data'!D:D = D196,
              'Raw PhocalPoint Data'!E:E = E196,
              'Raw Phoca"&amp;"lPoint Data'!F:F = F196
            ) /
            FILTER('Raw PhocalPoint Data'!G:G,
              'Raw PhocalPoint Data'!A:A = 2011,
              'Raw PhocalPoint Data'!D:D = D196,
              'Raw PhocalPoint Data'!E:E = E196,
              'Raw Ph"&amp;"ocalPoint Data'!F:F = F196
            ) -
            (ROW(INDIRECT(""1:"" &amp; (2010 - A196))) - 1) *
            (
              (
                FILTER('Raw PhocalPoint Data'!G:G,
                  'Raw PhocalPoint Data'!A:A = 2012,
                  'R"&amp;"aw PhocalPoint Data'!D:D = D196,
                  'Raw PhocalPoint Data'!E:E = E196,
                  'Raw PhocalPoint Data'!F:F = F196
                ) /
                FILTER('Raw PhocalPoint Data'!G:G,
                  'Raw PhocalPoint Data'!A:A ="&amp;" 2011,
                  'Raw PhocalPoint Data'!D:D = D196,
                  'Raw PhocalPoint Data'!E:E = E196,
                  'Raw PhocalPoint Data'!F:F = F196
                ) - 1
              ) / 5
            )
          )
        )
      )
    "&amp;") *
    INDEX('Raw GDP data'!$I$2:$M$100,
      MATCH(D196, 'Raw GDP data'!$H$2:$H$100, 0),
      MATCH(A196, 'Raw GDP data'!$I$1:$M$1, 0)
    )
  )),
  """"
)
"),3889775494.97847)</f>
        <v>3889775494.9784698</v>
      </c>
      <c r="H196" s="80"/>
      <c r="I196" s="81">
        <f ca="1">IFERROR(__xludf.DUMMYFUNCTION("""COMPUTED_VALUE"""),2009)</f>
        <v>2009</v>
      </c>
      <c r="J196" s="82" t="str">
        <f ca="1">IFERROR(__xludf.DUMMYFUNCTION("""COMPUTED_VALUE"""),"Qatar")</f>
        <v>Qatar</v>
      </c>
      <c r="K196" s="83">
        <f ca="1">IFERROR(
  SUMIFS(
    'New Backfilled Data'!G:G,
    'New Backfilled Data'!A:A, I196,
    'New Backfilled Data'!D:D, J196,
    'New Backfilled Data'!E:E, "Online"
  ) /
  SUMIFS(
    'New Backfilled Data'!G:G,
    'New Backfilled Data'!A:A, I196,
    'New Backfilled Data'!D:D, J196
  ),
  ""
)</f>
        <v>0.15483729977049465</v>
      </c>
      <c r="L196" s="84"/>
      <c r="M196" s="84"/>
    </row>
    <row r="197" spans="1:13" ht="34" x14ac:dyDescent="0.2">
      <c r="A197" s="44">
        <v>2006</v>
      </c>
      <c r="B197" s="45" t="s">
        <v>66</v>
      </c>
      <c r="C197" s="45" t="s">
        <v>27</v>
      </c>
      <c r="D197" s="45" t="s">
        <v>30</v>
      </c>
      <c r="E197" s="45" t="s">
        <v>69</v>
      </c>
      <c r="F197" s="45" t="s">
        <v>70</v>
      </c>
      <c r="G197" s="85">
        <f ca="1">IFERROR(__xludf.DUMMYFUNCTION("IFERROR(
  IF(A197 = 2008,
    IF(E197 = ""Online"",
      FILTER('Raw PhocalPoint Data'!G:G,
        'Raw PhocalPoint Data'!A:A = 2009,
        'Raw PhocalPoint Data'!D:D = D197,
        'Raw PhocalPoint Data'!E:E = E197,
        'Raw PhocalPoint Data'!F"&amp;":F = F197
      ) /
      (
        FILTER('Raw PhocalPoint Data'!G:G,
          'Raw PhocalPoint Data'!A:A = 2012,
          'Raw PhocalPoint Data'!D:D = D197,
          'Raw PhocalPoint Data'!E:E = E197,
          'Raw PhocalPoint Data'!F:F = F197
     "&amp;"   ) /
        FILTER('Raw PhocalPoint Data'!G:G,
          'Raw PhocalPoint Data'!A:A = 2011,
          'Raw PhocalPoint Data'!D:D = D197,
          'Raw PhocalPoint Data'!E:E = E197,
          'Raw PhocalPoint Data'!F:F = F197
        )
      ),
      F"&amp;"ILTER('Raw PhocalPoint Data'!G:G,
        'Raw PhocalPoint Data'!A:A = 2009,
        'Raw PhocalPoint Data'!D:D = D197,
        'Raw PhocalPoint Data'!E:E = E197,
        'Raw PhocalPoint Data'!F:F = F197
      ) *
      (
        INDEX('Raw GDP data'!$I$"&amp;"2:$M$100,
          MATCH(D197, 'Raw GDP data'!$H$2:$H$100, 0),
          MATCH(2008, 'Raw GDP data'!$I$1:$M$1, 0)
        ) /
        INDEX('Raw GDP data'!$I$2:$M$100,
          MATCH(D197, 'Raw GDP data'!$H$2:$H$100, 0),
          MATCH(2009, 'Raw GDP d"&amp;"ata'!$I$1:$M$1, 0)
        )
      )
    ),
  IF(A197 &lt; 2008,
    (
      FILTER(G:G,
        A:A = 2008,
        D:D = D197,
        E:E = E197,
        F:F = F197
      ) /
      PRODUCT(
        ARRAYFORMULA(
          (
            (
              FIL"&amp;"TER('Raw PhocalPoint Data'!G:G,
                'Raw PhocalPoint Data'!A:A = 2012,
                'Raw PhocalPoint Data'!D:D = D197,
                'Raw PhocalPoint Data'!E:E = E197,
                'Raw PhocalPoint Data'!F:F = F197
              ) /
  "&amp;"            FILTER('Raw PhocalPoint Data'!G:G,
                'Raw PhocalPoint Data'!A:A = 2011,
                'Raw PhocalPoint Data'!D:D = D197,
                'Raw PhocalPoint Data'!E:E = E197,
                'Raw PhocalPoint Data'!F:F = F197
     "&amp;"         ) -
              ROW(INDIRECT(""1:"" &amp; (2008 - A197))) *
              (
                (
                  FILTER('Raw PhocalPoint Data'!G:G,
                    'Raw PhocalPoint Data'!A:A = 2012,
                    'Raw PhocalPoint Data'!D:D"&amp;" = D197,
                    'Raw PhocalPoint Data'!E:E = E197,
                    'Raw PhocalPoint Data'!F:F = F197
                  ) /
                  FILTER('Raw PhocalPoint Data'!G:G,
                    'Raw PhocalPoint Data'!A:A = 2011,
       "&amp;"             'Raw PhocalPoint Data'!D:D = D197,
                    'Raw PhocalPoint Data'!E:E = E197,
                    'Raw PhocalPoint Data'!F:F = F197
                  ) - 1
                ) / 5
              )
            )
          )
        )
"&amp;"      )
    ),
    (
      FILTER('Raw PhocalPoint Data'!G:G,
        'Raw PhocalPoint Data'!A:A = 2009,
        'Raw PhocalPoint Data'!D:D = D197,
        'Raw PhocalPoint Data'!E:E = E197,
        'Raw PhocalPoint Data'!F:F = F197
      ) /
      PRODUC"&amp;"T(
        ARRAYFORMULA(
          (
            FILTER('Raw PhocalPoint Data'!G:G,
              'Raw PhocalPoint Data'!A:A = 2012,
              'Raw PhocalPoint Data'!D:D = D197,
              'Raw PhocalPoint Data'!E:E = E197,
              'Raw Phoca"&amp;"lPoint Data'!F:F = F197
            ) /
            FILTER('Raw PhocalPoint Data'!G:G,
              'Raw PhocalPoint Data'!A:A = 2011,
              'Raw PhocalPoint Data'!D:D = D197,
              'Raw PhocalPoint Data'!E:E = E197,
              'Raw Ph"&amp;"ocalPoint Data'!F:F = F197
            ) -
            (ROW(INDIRECT(""1:"" &amp; (2010 - A197))) - 1) *
            (
              (
                FILTER('Raw PhocalPoint Data'!G:G,
                  'Raw PhocalPoint Data'!A:A = 2012,
                  'R"&amp;"aw PhocalPoint Data'!D:D = D197,
                  'Raw PhocalPoint Data'!E:E = E197,
                  'Raw PhocalPoint Data'!F:F = F197
                ) /
                FILTER('Raw PhocalPoint Data'!G:G,
                  'Raw PhocalPoint Data'!A:A ="&amp;" 2011,
                  'Raw PhocalPoint Data'!D:D = D197,
                  'Raw PhocalPoint Data'!E:E = E197,
                  'Raw PhocalPoint Data'!F:F = F197
                ) - 1
              ) / 5
            )
          )
        )
      )
    "&amp;") *
    INDEX('Raw GDP data'!$I$2:$M$100,
      MATCH(D197, 'Raw GDP data'!$H$2:$H$100, 0),
      MATCH(A197, 'Raw GDP data'!$I$1:$M$1, 0)
    )
  )),
  """"
)
"),7826685778.93451)</f>
        <v>7826685778.9345102</v>
      </c>
      <c r="H197" s="86"/>
      <c r="I197" s="87">
        <f ca="1">IFERROR(__xludf.DUMMYFUNCTION("""COMPUTED_VALUE"""),2009)</f>
        <v>2009</v>
      </c>
      <c r="J197" s="88" t="str">
        <f ca="1">IFERROR(__xludf.DUMMYFUNCTION("""COMPUTED_VALUE"""),"Rest of Middle East")</f>
        <v>Rest of Middle East</v>
      </c>
      <c r="K197" s="89">
        <f ca="1">IFERROR(
  SUMIFS(
    'New Backfilled Data'!G:G,
    'New Backfilled Data'!A:A, I197,
    'New Backfilled Data'!D:D, J197,
    'New Backfilled Data'!E:E, "Online"
  ) /
  SUMIFS(
    'New Backfilled Data'!G:G,
    'New Backfilled Data'!A:A, I197,
    'New Backfilled Data'!D:D, J197
  ),
  ""
)</f>
        <v>7.5472326961527808E-2</v>
      </c>
      <c r="L197" s="90"/>
      <c r="M197" s="90"/>
    </row>
    <row r="198" spans="1:13" ht="17" x14ac:dyDescent="0.2">
      <c r="A198" s="37">
        <v>2006</v>
      </c>
      <c r="B198" s="38" t="s">
        <v>66</v>
      </c>
      <c r="C198" s="38" t="s">
        <v>27</v>
      </c>
      <c r="D198" s="38" t="s">
        <v>31</v>
      </c>
      <c r="E198" s="38" t="s">
        <v>67</v>
      </c>
      <c r="F198" s="38" t="s">
        <v>67</v>
      </c>
      <c r="G198" s="79">
        <f ca="1">IFERROR(__xludf.DUMMYFUNCTION("IFERROR(
  IF(A198 = 2008,
    IF(E198 = ""Online"",
      FILTER('Raw PhocalPoint Data'!G:G,
        'Raw PhocalPoint Data'!A:A = 2009,
        'Raw PhocalPoint Data'!D:D = D198,
        'Raw PhocalPoint Data'!E:E = E198,
        'Raw PhocalPoint Data'!F"&amp;":F = F198
      ) /
      (
        FILTER('Raw PhocalPoint Data'!G:G,
          'Raw PhocalPoint Data'!A:A = 2012,
          'Raw PhocalPoint Data'!D:D = D198,
          'Raw PhocalPoint Data'!E:E = E198,
          'Raw PhocalPoint Data'!F:F = F198
     "&amp;"   ) /
        FILTER('Raw PhocalPoint Data'!G:G,
          'Raw PhocalPoint Data'!A:A = 2011,
          'Raw PhocalPoint Data'!D:D = D198,
          'Raw PhocalPoint Data'!E:E = E198,
          'Raw PhocalPoint Data'!F:F = F198
        )
      ),
      F"&amp;"ILTER('Raw PhocalPoint Data'!G:G,
        'Raw PhocalPoint Data'!A:A = 2009,
        'Raw PhocalPoint Data'!D:D = D198,
        'Raw PhocalPoint Data'!E:E = E198,
        'Raw PhocalPoint Data'!F:F = F198
      ) *
      (
        INDEX('Raw GDP data'!$I$"&amp;"2:$M$100,
          MATCH(D198, 'Raw GDP data'!$H$2:$H$100, 0),
          MATCH(2008, 'Raw GDP data'!$I$1:$M$1, 0)
        ) /
        INDEX('Raw GDP data'!$I$2:$M$100,
          MATCH(D198, 'Raw GDP data'!$H$2:$H$100, 0),
          MATCH(2009, 'Raw GDP d"&amp;"ata'!$I$1:$M$1, 0)
        )
      )
    ),
  IF(A198 &lt; 2008,
    (
      FILTER(G:G,
        A:A = 2008,
        D:D = D198,
        E:E = E198,
        F:F = F198
      ) /
      PRODUCT(
        ARRAYFORMULA(
          (
            (
              FIL"&amp;"TER('Raw PhocalPoint Data'!G:G,
                'Raw PhocalPoint Data'!A:A = 2012,
                'Raw PhocalPoint Data'!D:D = D198,
                'Raw PhocalPoint Data'!E:E = E198,
                'Raw PhocalPoint Data'!F:F = F198
              ) /
  "&amp;"            FILTER('Raw PhocalPoint Data'!G:G,
                'Raw PhocalPoint Data'!A:A = 2011,
                'Raw PhocalPoint Data'!D:D = D198,
                'Raw PhocalPoint Data'!E:E = E198,
                'Raw PhocalPoint Data'!F:F = F198
     "&amp;"         ) -
              ROW(INDIRECT(""1:"" &amp; (2008 - A198))) *
              (
                (
                  FILTER('Raw PhocalPoint Data'!G:G,
                    'Raw PhocalPoint Data'!A:A = 2012,
                    'Raw PhocalPoint Data'!D:D"&amp;" = D198,
                    'Raw PhocalPoint Data'!E:E = E198,
                    'Raw PhocalPoint Data'!F:F = F198
                  ) /
                  FILTER('Raw PhocalPoint Data'!G:G,
                    'Raw PhocalPoint Data'!A:A = 2011,
       "&amp;"             'Raw PhocalPoint Data'!D:D = D198,
                    'Raw PhocalPoint Data'!E:E = E198,
                    'Raw PhocalPoint Data'!F:F = F198
                  ) - 1
                ) / 5
              )
            )
          )
        )
"&amp;"      )
    ),
    (
      FILTER('Raw PhocalPoint Data'!G:G,
        'Raw PhocalPoint Data'!A:A = 2009,
        'Raw PhocalPoint Data'!D:D = D198,
        'Raw PhocalPoint Data'!E:E = E198,
        'Raw PhocalPoint Data'!F:F = F198
      ) /
      PRODUC"&amp;"T(
        ARRAYFORMULA(
          (
            FILTER('Raw PhocalPoint Data'!G:G,
              'Raw PhocalPoint Data'!A:A = 2012,
              'Raw PhocalPoint Data'!D:D = D198,
              'Raw PhocalPoint Data'!E:E = E198,
              'Raw Phoca"&amp;"lPoint Data'!F:F = F198
            ) /
            FILTER('Raw PhocalPoint Data'!G:G,
              'Raw PhocalPoint Data'!A:A = 2011,
              'Raw PhocalPoint Data'!D:D = D198,
              'Raw PhocalPoint Data'!E:E = E198,
              'Raw Ph"&amp;"ocalPoint Data'!F:F = F198
            ) -
            (ROW(INDIRECT(""1:"" &amp; (2010 - A198))) - 1) *
            (
              (
                FILTER('Raw PhocalPoint Data'!G:G,
                  'Raw PhocalPoint Data'!A:A = 2012,
                  'R"&amp;"aw PhocalPoint Data'!D:D = D198,
                  'Raw PhocalPoint Data'!E:E = E198,
                  'Raw PhocalPoint Data'!F:F = F198
                ) /
                FILTER('Raw PhocalPoint Data'!G:G,
                  'Raw PhocalPoint Data'!A:A ="&amp;" 2011,
                  'Raw PhocalPoint Data'!D:D = D198,
                  'Raw PhocalPoint Data'!E:E = E198,
                  'Raw PhocalPoint Data'!F:F = F198
                ) - 1
              ) / 5
            )
          )
        )
      )
    "&amp;") *
    INDEX('Raw GDP data'!$I$2:$M$100,
      MATCH(D198, 'Raw GDP data'!$H$2:$H$100, 0),
      MATCH(A198, 'Raw GDP data'!$I$1:$M$1, 0)
    )
  )),
  """"
)
"),13782386003.1914)</f>
        <v>13782386003.191401</v>
      </c>
      <c r="H198" s="80"/>
      <c r="I198" s="81">
        <f ca="1">IFERROR(__xludf.DUMMYFUNCTION("""COMPUTED_VALUE"""),2009)</f>
        <v>2009</v>
      </c>
      <c r="J198" s="82" t="str">
        <f ca="1">IFERROR(__xludf.DUMMYFUNCTION("""COMPUTED_VALUE"""),"Saudi Arabia")</f>
        <v>Saudi Arabia</v>
      </c>
      <c r="K198" s="83">
        <f ca="1">IFERROR(
  SUMIFS(
    'New Backfilled Data'!G:G,
    'New Backfilled Data'!A:A, I198,
    'New Backfilled Data'!D:D, J198,
    'New Backfilled Data'!E:E, "Online"
  ) /
  SUMIFS(
    'New Backfilled Data'!G:G,
    'New Backfilled Data'!A:A, I198,
    'New Backfilled Data'!D:D, J198
  ),
  ""
)</f>
        <v>0.10828246293355873</v>
      </c>
      <c r="L198" s="84"/>
      <c r="M198" s="84"/>
    </row>
    <row r="199" spans="1:13" ht="17" x14ac:dyDescent="0.2">
      <c r="A199" s="44">
        <v>2006</v>
      </c>
      <c r="B199" s="45" t="s">
        <v>66</v>
      </c>
      <c r="C199" s="45" t="s">
        <v>27</v>
      </c>
      <c r="D199" s="45" t="s">
        <v>31</v>
      </c>
      <c r="E199" s="45" t="s">
        <v>69</v>
      </c>
      <c r="F199" s="45" t="s">
        <v>71</v>
      </c>
      <c r="G199" s="85">
        <f ca="1">IFERROR(__xludf.DUMMYFUNCTION("IFERROR(
  IF(A199 = 2008,
    IF(E199 = ""Online"",
      FILTER('Raw PhocalPoint Data'!G:G,
        'Raw PhocalPoint Data'!A:A = 2009,
        'Raw PhocalPoint Data'!D:D = D199,
        'Raw PhocalPoint Data'!E:E = E199,
        'Raw PhocalPoint Data'!F"&amp;":F = F199
      ) /
      (
        FILTER('Raw PhocalPoint Data'!G:G,
          'Raw PhocalPoint Data'!A:A = 2012,
          'Raw PhocalPoint Data'!D:D = D199,
          'Raw PhocalPoint Data'!E:E = E199,
          'Raw PhocalPoint Data'!F:F = F199
     "&amp;"   ) /
        FILTER('Raw PhocalPoint Data'!G:G,
          'Raw PhocalPoint Data'!A:A = 2011,
          'Raw PhocalPoint Data'!D:D = D199,
          'Raw PhocalPoint Data'!E:E = E199,
          'Raw PhocalPoint Data'!F:F = F199
        )
      ),
      F"&amp;"ILTER('Raw PhocalPoint Data'!G:G,
        'Raw PhocalPoint Data'!A:A = 2009,
        'Raw PhocalPoint Data'!D:D = D199,
        'Raw PhocalPoint Data'!E:E = E199,
        'Raw PhocalPoint Data'!F:F = F199
      ) *
      (
        INDEX('Raw GDP data'!$I$"&amp;"2:$M$100,
          MATCH(D199, 'Raw GDP data'!$H$2:$H$100, 0),
          MATCH(2008, 'Raw GDP data'!$I$1:$M$1, 0)
        ) /
        INDEX('Raw GDP data'!$I$2:$M$100,
          MATCH(D199, 'Raw GDP data'!$H$2:$H$100, 0),
          MATCH(2009, 'Raw GDP d"&amp;"ata'!$I$1:$M$1, 0)
        )
      )
    ),
  IF(A199 &lt; 2008,
    (
      FILTER(G:G,
        A:A = 2008,
        D:D = D199,
        E:E = E199,
        F:F = F199
      ) /
      PRODUCT(
        ARRAYFORMULA(
          (
            (
              FIL"&amp;"TER('Raw PhocalPoint Data'!G:G,
                'Raw PhocalPoint Data'!A:A = 2012,
                'Raw PhocalPoint Data'!D:D = D199,
                'Raw PhocalPoint Data'!E:E = E199,
                'Raw PhocalPoint Data'!F:F = F199
              ) /
  "&amp;"            FILTER('Raw PhocalPoint Data'!G:G,
                'Raw PhocalPoint Data'!A:A = 2011,
                'Raw PhocalPoint Data'!D:D = D199,
                'Raw PhocalPoint Data'!E:E = E199,
                'Raw PhocalPoint Data'!F:F = F199
     "&amp;"         ) -
              ROW(INDIRECT(""1:"" &amp; (2008 - A199))) *
              (
                (
                  FILTER('Raw PhocalPoint Data'!G:G,
                    'Raw PhocalPoint Data'!A:A = 2012,
                    'Raw PhocalPoint Data'!D:D"&amp;" = D199,
                    'Raw PhocalPoint Data'!E:E = E199,
                    'Raw PhocalPoint Data'!F:F = F199
                  ) /
                  FILTER('Raw PhocalPoint Data'!G:G,
                    'Raw PhocalPoint Data'!A:A = 2011,
       "&amp;"             'Raw PhocalPoint Data'!D:D = D199,
                    'Raw PhocalPoint Data'!E:E = E199,
                    'Raw PhocalPoint Data'!F:F = F199
                  ) - 1
                ) / 5
              )
            )
          )
        )
"&amp;"      )
    ),
    (
      FILTER('Raw PhocalPoint Data'!G:G,
        'Raw PhocalPoint Data'!A:A = 2009,
        'Raw PhocalPoint Data'!D:D = D199,
        'Raw PhocalPoint Data'!E:E = E199,
        'Raw PhocalPoint Data'!F:F = F199
      ) /
      PRODUC"&amp;"T(
        ARRAYFORMULA(
          (
            FILTER('Raw PhocalPoint Data'!G:G,
              'Raw PhocalPoint Data'!A:A = 2012,
              'Raw PhocalPoint Data'!D:D = D199,
              'Raw PhocalPoint Data'!E:E = E199,
              'Raw Phoca"&amp;"lPoint Data'!F:F = F199
            ) /
            FILTER('Raw PhocalPoint Data'!G:G,
              'Raw PhocalPoint Data'!A:A = 2011,
              'Raw PhocalPoint Data'!D:D = D199,
              'Raw PhocalPoint Data'!E:E = E199,
              'Raw Ph"&amp;"ocalPoint Data'!F:F = F199
            ) -
            (ROW(INDIRECT(""1:"" &amp; (2010 - A199))) - 1) *
            (
              (
                FILTER('Raw PhocalPoint Data'!G:G,
                  'Raw PhocalPoint Data'!A:A = 2012,
                  'R"&amp;"aw PhocalPoint Data'!D:D = D199,
                  'Raw PhocalPoint Data'!E:E = E199,
                  'Raw PhocalPoint Data'!F:F = F199
                ) /
                FILTER('Raw PhocalPoint Data'!G:G,
                  'Raw PhocalPoint Data'!A:A ="&amp;" 2011,
                  'Raw PhocalPoint Data'!D:D = D199,
                  'Raw PhocalPoint Data'!E:E = E199,
                  'Raw PhocalPoint Data'!F:F = F199
                ) - 1
              ) / 5
            )
          )
        )
      )
    "&amp;") *
    INDEX('Raw GDP data'!$I$2:$M$100,
      MATCH(D199, 'Raw GDP data'!$H$2:$H$100, 0),
      MATCH(A199, 'Raw GDP data'!$I$1:$M$1, 0)
    )
  )),
  """"
)
"),1548839552.35157)</f>
        <v>1548839552.3515699</v>
      </c>
      <c r="H199" s="86"/>
      <c r="I199" s="87">
        <f ca="1">IFERROR(__xludf.DUMMYFUNCTION("""COMPUTED_VALUE"""),2009)</f>
        <v>2009</v>
      </c>
      <c r="J199" s="88" t="str">
        <f ca="1">IFERROR(__xludf.DUMMYFUNCTION("""COMPUTED_VALUE"""),"U.A.E.")</f>
        <v>U.A.E.</v>
      </c>
      <c r="K199" s="89">
        <f ca="1">IFERROR(
  SUMIFS(
    'New Backfilled Data'!G:G,
    'New Backfilled Data'!A:A, I199,
    'New Backfilled Data'!D:D, J199,
    'New Backfilled Data'!E:E, "Online"
  ) /
  SUMIFS(
    'New Backfilled Data'!G:G,
    'New Backfilled Data'!A:A, I199,
    'New Backfilled Data'!D:D, J199
  ),
  ""
)</f>
        <v>0.1447955799592445</v>
      </c>
      <c r="L199" s="90"/>
      <c r="M199" s="90"/>
    </row>
    <row r="200" spans="1:13" ht="17" x14ac:dyDescent="0.2">
      <c r="A200" s="37">
        <v>2006</v>
      </c>
      <c r="B200" s="38" t="s">
        <v>66</v>
      </c>
      <c r="C200" s="38" t="s">
        <v>27</v>
      </c>
      <c r="D200" s="38" t="s">
        <v>31</v>
      </c>
      <c r="E200" s="38" t="s">
        <v>69</v>
      </c>
      <c r="F200" s="38" t="s">
        <v>70</v>
      </c>
      <c r="G200" s="79">
        <f ca="1">IFERROR(__xludf.DUMMYFUNCTION("IFERROR(
  IF(A200 = 2008,
    IF(E200 = ""Online"",
      FILTER('Raw PhocalPoint Data'!G:G,
        'Raw PhocalPoint Data'!A:A = 2009,
        'Raw PhocalPoint Data'!D:D = D200,
        'Raw PhocalPoint Data'!E:E = E200,
        'Raw PhocalPoint Data'!F"&amp;":F = F200
      ) /
      (
        FILTER('Raw PhocalPoint Data'!G:G,
          'Raw PhocalPoint Data'!A:A = 2012,
          'Raw PhocalPoint Data'!D:D = D200,
          'Raw PhocalPoint Data'!E:E = E200,
          'Raw PhocalPoint Data'!F:F = F200
     "&amp;"   ) /
        FILTER('Raw PhocalPoint Data'!G:G,
          'Raw PhocalPoint Data'!A:A = 2011,
          'Raw PhocalPoint Data'!D:D = D200,
          'Raw PhocalPoint Data'!E:E = E200,
          'Raw PhocalPoint Data'!F:F = F200
        )
      ),
      F"&amp;"ILTER('Raw PhocalPoint Data'!G:G,
        'Raw PhocalPoint Data'!A:A = 2009,
        'Raw PhocalPoint Data'!D:D = D200,
        'Raw PhocalPoint Data'!E:E = E200,
        'Raw PhocalPoint Data'!F:F = F200
      ) *
      (
        INDEX('Raw GDP data'!$I$"&amp;"2:$M$100,
          MATCH(D200, 'Raw GDP data'!$H$2:$H$100, 0),
          MATCH(2008, 'Raw GDP data'!$I$1:$M$1, 0)
        ) /
        INDEX('Raw GDP data'!$I$2:$M$100,
          MATCH(D200, 'Raw GDP data'!$H$2:$H$100, 0),
          MATCH(2009, 'Raw GDP d"&amp;"ata'!$I$1:$M$1, 0)
        )
      )
    ),
  IF(A200 &lt; 2008,
    (
      FILTER(G:G,
        A:A = 2008,
        D:D = D200,
        E:E = E200,
        F:F = F200
      ) /
      PRODUCT(
        ARRAYFORMULA(
          (
            (
              FIL"&amp;"TER('Raw PhocalPoint Data'!G:G,
                'Raw PhocalPoint Data'!A:A = 2012,
                'Raw PhocalPoint Data'!D:D = D200,
                'Raw PhocalPoint Data'!E:E = E200,
                'Raw PhocalPoint Data'!F:F = F200
              ) /
  "&amp;"            FILTER('Raw PhocalPoint Data'!G:G,
                'Raw PhocalPoint Data'!A:A = 2011,
                'Raw PhocalPoint Data'!D:D = D200,
                'Raw PhocalPoint Data'!E:E = E200,
                'Raw PhocalPoint Data'!F:F = F200
     "&amp;"         ) -
              ROW(INDIRECT(""1:"" &amp; (2008 - A200))) *
              (
                (
                  FILTER('Raw PhocalPoint Data'!G:G,
                    'Raw PhocalPoint Data'!A:A = 2012,
                    'Raw PhocalPoint Data'!D:D"&amp;" = D200,
                    'Raw PhocalPoint Data'!E:E = E200,
                    'Raw PhocalPoint Data'!F:F = F200
                  ) /
                  FILTER('Raw PhocalPoint Data'!G:G,
                    'Raw PhocalPoint Data'!A:A = 2011,
       "&amp;"             'Raw PhocalPoint Data'!D:D = D200,
                    'Raw PhocalPoint Data'!E:E = E200,
                    'Raw PhocalPoint Data'!F:F = F200
                  ) - 1
                ) / 5
              )
            )
          )
        )
"&amp;"      )
    ),
    (
      FILTER('Raw PhocalPoint Data'!G:G,
        'Raw PhocalPoint Data'!A:A = 2009,
        'Raw PhocalPoint Data'!D:D = D200,
        'Raw PhocalPoint Data'!E:E = E200,
        'Raw PhocalPoint Data'!F:F = F200
      ) /
      PRODUC"&amp;"T(
        ARRAYFORMULA(
          (
            FILTER('Raw PhocalPoint Data'!G:G,
              'Raw PhocalPoint Data'!A:A = 2012,
              'Raw PhocalPoint Data'!D:D = D200,
              'Raw PhocalPoint Data'!E:E = E200,
              'Raw Phoca"&amp;"lPoint Data'!F:F = F200
            ) /
            FILTER('Raw PhocalPoint Data'!G:G,
              'Raw PhocalPoint Data'!A:A = 2011,
              'Raw PhocalPoint Data'!D:D = D200,
              'Raw PhocalPoint Data'!E:E = E200,
              'Raw Ph"&amp;"ocalPoint Data'!F:F = F200
            ) -
            (ROW(INDIRECT(""1:"" &amp; (2010 - A200))) - 1) *
            (
              (
                FILTER('Raw PhocalPoint Data'!G:G,
                  'Raw PhocalPoint Data'!A:A = 2012,
                  'R"&amp;"aw PhocalPoint Data'!D:D = D200,
                  'Raw PhocalPoint Data'!E:E = E200,
                  'Raw PhocalPoint Data'!F:F = F200
                ) /
                FILTER('Raw PhocalPoint Data'!G:G,
                  'Raw PhocalPoint Data'!A:A ="&amp;" 2011,
                  'Raw PhocalPoint Data'!D:D = D200,
                  'Raw PhocalPoint Data'!E:E = E200,
                  'Raw PhocalPoint Data'!F:F = F200
                ) - 1
              ) / 5
            )
          )
        )
      )
    "&amp;") *
    INDEX('Raw GDP data'!$I$2:$M$100,
      MATCH(D200, 'Raw GDP data'!$H$2:$H$100, 0),
      MATCH(A200, 'Raw GDP data'!$I$1:$M$1, 0)
    )
  )),
  """"
)
"),3961065376.26084)</f>
        <v>3961065376.2608399</v>
      </c>
      <c r="H200" s="80"/>
      <c r="I200" s="81">
        <f ca="1">IFERROR(__xludf.DUMMYFUNCTION("""COMPUTED_VALUE"""),2009)</f>
        <v>2009</v>
      </c>
      <c r="J200" s="82" t="str">
        <f ca="1">IFERROR(__xludf.DUMMYFUNCTION("""COMPUTED_VALUE"""),"Canada")</f>
        <v>Canada</v>
      </c>
      <c r="K200" s="83">
        <f ca="1">IFERROR(
  SUMIFS(
    'New Backfilled Data'!G:G,
    'New Backfilled Data'!A:A, I200,
    'New Backfilled Data'!D:D, J200,
    'New Backfilled Data'!E:E, "Online"
  ) /
  SUMIFS(
    'New Backfilled Data'!G:G,
    'New Backfilled Data'!A:A, I200,
    'New Backfilled Data'!D:D, J200
  ),
  ""
)</f>
        <v>0.36031819483392041</v>
      </c>
      <c r="L200" s="84"/>
      <c r="M200" s="84"/>
    </row>
    <row r="201" spans="1:13" ht="17" x14ac:dyDescent="0.2">
      <c r="A201" s="44">
        <v>2006</v>
      </c>
      <c r="B201" s="45" t="s">
        <v>66</v>
      </c>
      <c r="C201" s="45" t="s">
        <v>27</v>
      </c>
      <c r="D201" s="45" t="s">
        <v>32</v>
      </c>
      <c r="E201" s="45" t="s">
        <v>67</v>
      </c>
      <c r="F201" s="45" t="s">
        <v>67</v>
      </c>
      <c r="G201" s="85">
        <f ca="1">IFERROR(__xludf.DUMMYFUNCTION("IFERROR(
  IF(A201 = 2008,
    IF(E201 = ""Online"",
      FILTER('Raw PhocalPoint Data'!G:G,
        'Raw PhocalPoint Data'!A:A = 2009,
        'Raw PhocalPoint Data'!D:D = D201,
        'Raw PhocalPoint Data'!E:E = E201,
        'Raw PhocalPoint Data'!F"&amp;":F = F201
      ) /
      (
        FILTER('Raw PhocalPoint Data'!G:G,
          'Raw PhocalPoint Data'!A:A = 2012,
          'Raw PhocalPoint Data'!D:D = D201,
          'Raw PhocalPoint Data'!E:E = E201,
          'Raw PhocalPoint Data'!F:F = F201
     "&amp;"   ) /
        FILTER('Raw PhocalPoint Data'!G:G,
          'Raw PhocalPoint Data'!A:A = 2011,
          'Raw PhocalPoint Data'!D:D = D201,
          'Raw PhocalPoint Data'!E:E = E201,
          'Raw PhocalPoint Data'!F:F = F201
        )
      ),
      F"&amp;"ILTER('Raw PhocalPoint Data'!G:G,
        'Raw PhocalPoint Data'!A:A = 2009,
        'Raw PhocalPoint Data'!D:D = D201,
        'Raw PhocalPoint Data'!E:E = E201,
        'Raw PhocalPoint Data'!F:F = F201
      ) *
      (
        INDEX('Raw GDP data'!$I$"&amp;"2:$M$100,
          MATCH(D201, 'Raw GDP data'!$H$2:$H$100, 0),
          MATCH(2008, 'Raw GDP data'!$I$1:$M$1, 0)
        ) /
        INDEX('Raw GDP data'!$I$2:$M$100,
          MATCH(D201, 'Raw GDP data'!$H$2:$H$100, 0),
          MATCH(2009, 'Raw GDP d"&amp;"ata'!$I$1:$M$1, 0)
        )
      )
    ),
  IF(A201 &lt; 2008,
    (
      FILTER(G:G,
        A:A = 2008,
        D:D = D201,
        E:E = E201,
        F:F = F201
      ) /
      PRODUCT(
        ARRAYFORMULA(
          (
            (
              FIL"&amp;"TER('Raw PhocalPoint Data'!G:G,
                'Raw PhocalPoint Data'!A:A = 2012,
                'Raw PhocalPoint Data'!D:D = D201,
                'Raw PhocalPoint Data'!E:E = E201,
                'Raw PhocalPoint Data'!F:F = F201
              ) /
  "&amp;"            FILTER('Raw PhocalPoint Data'!G:G,
                'Raw PhocalPoint Data'!A:A = 2011,
                'Raw PhocalPoint Data'!D:D = D201,
                'Raw PhocalPoint Data'!E:E = E201,
                'Raw PhocalPoint Data'!F:F = F201
     "&amp;"         ) -
              ROW(INDIRECT(""1:"" &amp; (2008 - A201))) *
              (
                (
                  FILTER('Raw PhocalPoint Data'!G:G,
                    'Raw PhocalPoint Data'!A:A = 2012,
                    'Raw PhocalPoint Data'!D:D"&amp;" = D201,
                    'Raw PhocalPoint Data'!E:E = E201,
                    'Raw PhocalPoint Data'!F:F = F201
                  ) /
                  FILTER('Raw PhocalPoint Data'!G:G,
                    'Raw PhocalPoint Data'!A:A = 2011,
       "&amp;"             'Raw PhocalPoint Data'!D:D = D201,
                    'Raw PhocalPoint Data'!E:E = E201,
                    'Raw PhocalPoint Data'!F:F = F201
                  ) - 1
                ) / 5
              )
            )
          )
        )
"&amp;"      )
    ),
    (
      FILTER('Raw PhocalPoint Data'!G:G,
        'Raw PhocalPoint Data'!A:A = 2009,
        'Raw PhocalPoint Data'!D:D = D201,
        'Raw PhocalPoint Data'!E:E = E201,
        'Raw PhocalPoint Data'!F:F = F201
      ) /
      PRODUC"&amp;"T(
        ARRAYFORMULA(
          (
            FILTER('Raw PhocalPoint Data'!G:G,
              'Raw PhocalPoint Data'!A:A = 2012,
              'Raw PhocalPoint Data'!D:D = D201,
              'Raw PhocalPoint Data'!E:E = E201,
              'Raw Phoca"&amp;"lPoint Data'!F:F = F201
            ) /
            FILTER('Raw PhocalPoint Data'!G:G,
              'Raw PhocalPoint Data'!A:A = 2011,
              'Raw PhocalPoint Data'!D:D = D201,
              'Raw PhocalPoint Data'!E:E = E201,
              'Raw Ph"&amp;"ocalPoint Data'!F:F = F201
            ) -
            (ROW(INDIRECT(""1:"" &amp; (2010 - A201))) - 1) *
            (
              (
                FILTER('Raw PhocalPoint Data'!G:G,
                  'Raw PhocalPoint Data'!A:A = 2012,
                  'R"&amp;"aw PhocalPoint Data'!D:D = D201,
                  'Raw PhocalPoint Data'!E:E = E201,
                  'Raw PhocalPoint Data'!F:F = F201
                ) /
                FILTER('Raw PhocalPoint Data'!G:G,
                  'Raw PhocalPoint Data'!A:A ="&amp;" 2011,
                  'Raw PhocalPoint Data'!D:D = D201,
                  'Raw PhocalPoint Data'!E:E = E201,
                  'Raw PhocalPoint Data'!F:F = F201
                ) - 1
              ) / 5
            )
          )
        )
      )
    "&amp;") *
    INDEX('Raw GDP data'!$I$2:$M$100,
      MATCH(D201, 'Raw GDP data'!$H$2:$H$100, 0),
      MATCH(A201, 'Raw GDP data'!$I$1:$M$1, 0)
    )
  )),
  """"
)
"),27745868232.508)</f>
        <v>27745868232.507999</v>
      </c>
      <c r="H201" s="86"/>
      <c r="I201" s="87">
        <f ca="1">IFERROR(__xludf.DUMMYFUNCTION("""COMPUTED_VALUE"""),2009)</f>
        <v>2009</v>
      </c>
      <c r="J201" s="88" t="str">
        <f ca="1">IFERROR(__xludf.DUMMYFUNCTION("""COMPUTED_VALUE"""),"U.S.")</f>
        <v>U.S.</v>
      </c>
      <c r="K201" s="89">
        <f ca="1">IFERROR(
  SUMIFS(
    'New Backfilled Data'!G:G,
    'New Backfilled Data'!A:A, I201,
    'New Backfilled Data'!D:D, J201,
    'New Backfilled Data'!E:E, "Online"
  ) /
  SUMIFS(
    'New Backfilled Data'!G:G,
    'New Backfilled Data'!A:A, I201,
    'New Backfilled Data'!D:D, J201
  ),
  ""
)</f>
        <v>0.38701522519197867</v>
      </c>
      <c r="L201" s="90"/>
      <c r="M201" s="90"/>
    </row>
    <row r="202" spans="1:13" ht="34" x14ac:dyDescent="0.2">
      <c r="A202" s="37">
        <v>2006</v>
      </c>
      <c r="B202" s="38" t="s">
        <v>66</v>
      </c>
      <c r="C202" s="38" t="s">
        <v>27</v>
      </c>
      <c r="D202" s="38" t="s">
        <v>32</v>
      </c>
      <c r="E202" s="38" t="s">
        <v>69</v>
      </c>
      <c r="F202" s="38" t="s">
        <v>71</v>
      </c>
      <c r="G202" s="79">
        <f ca="1">IFERROR(__xludf.DUMMYFUNCTION("IFERROR(
  IF(A202 = 2008,
    IF(E202 = ""Online"",
      FILTER('Raw PhocalPoint Data'!G:G,
        'Raw PhocalPoint Data'!A:A = 2009,
        'Raw PhocalPoint Data'!D:D = D202,
        'Raw PhocalPoint Data'!E:E = E202,
        'Raw PhocalPoint Data'!F"&amp;":F = F202
      ) /
      (
        FILTER('Raw PhocalPoint Data'!G:G,
          'Raw PhocalPoint Data'!A:A = 2012,
          'Raw PhocalPoint Data'!D:D = D202,
          'Raw PhocalPoint Data'!E:E = E202,
          'Raw PhocalPoint Data'!F:F = F202
     "&amp;"   ) /
        FILTER('Raw PhocalPoint Data'!G:G,
          'Raw PhocalPoint Data'!A:A = 2011,
          'Raw PhocalPoint Data'!D:D = D202,
          'Raw PhocalPoint Data'!E:E = E202,
          'Raw PhocalPoint Data'!F:F = F202
        )
      ),
      F"&amp;"ILTER('Raw PhocalPoint Data'!G:G,
        'Raw PhocalPoint Data'!A:A = 2009,
        'Raw PhocalPoint Data'!D:D = D202,
        'Raw PhocalPoint Data'!E:E = E202,
        'Raw PhocalPoint Data'!F:F = F202
      ) *
      (
        INDEX('Raw GDP data'!$I$"&amp;"2:$M$100,
          MATCH(D202, 'Raw GDP data'!$H$2:$H$100, 0),
          MATCH(2008, 'Raw GDP data'!$I$1:$M$1, 0)
        ) /
        INDEX('Raw GDP data'!$I$2:$M$100,
          MATCH(D202, 'Raw GDP data'!$H$2:$H$100, 0),
          MATCH(2009, 'Raw GDP d"&amp;"ata'!$I$1:$M$1, 0)
        )
      )
    ),
  IF(A202 &lt; 2008,
    (
      FILTER(G:G,
        A:A = 2008,
        D:D = D202,
        E:E = E202,
        F:F = F202
      ) /
      PRODUCT(
        ARRAYFORMULA(
          (
            (
              FIL"&amp;"TER('Raw PhocalPoint Data'!G:G,
                'Raw PhocalPoint Data'!A:A = 2012,
                'Raw PhocalPoint Data'!D:D = D202,
                'Raw PhocalPoint Data'!E:E = E202,
                'Raw PhocalPoint Data'!F:F = F202
              ) /
  "&amp;"            FILTER('Raw PhocalPoint Data'!G:G,
                'Raw PhocalPoint Data'!A:A = 2011,
                'Raw PhocalPoint Data'!D:D = D202,
                'Raw PhocalPoint Data'!E:E = E202,
                'Raw PhocalPoint Data'!F:F = F202
     "&amp;"         ) -
              ROW(INDIRECT(""1:"" &amp; (2008 - A202))) *
              (
                (
                  FILTER('Raw PhocalPoint Data'!G:G,
                    'Raw PhocalPoint Data'!A:A = 2012,
                    'Raw PhocalPoint Data'!D:D"&amp;" = D202,
                    'Raw PhocalPoint Data'!E:E = E202,
                    'Raw PhocalPoint Data'!F:F = F202
                  ) /
                  FILTER('Raw PhocalPoint Data'!G:G,
                    'Raw PhocalPoint Data'!A:A = 2011,
       "&amp;"             'Raw PhocalPoint Data'!D:D = D202,
                    'Raw PhocalPoint Data'!E:E = E202,
                    'Raw PhocalPoint Data'!F:F = F202
                  ) - 1
                ) / 5
              )
            )
          )
        )
"&amp;"      )
    ),
    (
      FILTER('Raw PhocalPoint Data'!G:G,
        'Raw PhocalPoint Data'!A:A = 2009,
        'Raw PhocalPoint Data'!D:D = D202,
        'Raw PhocalPoint Data'!E:E = E202,
        'Raw PhocalPoint Data'!F:F = F202
      ) /
      PRODUC"&amp;"T(
        ARRAYFORMULA(
          (
            FILTER('Raw PhocalPoint Data'!G:G,
              'Raw PhocalPoint Data'!A:A = 2012,
              'Raw PhocalPoint Data'!D:D = D202,
              'Raw PhocalPoint Data'!E:E = E202,
              'Raw Phoca"&amp;"lPoint Data'!F:F = F202
            ) /
            FILTER('Raw PhocalPoint Data'!G:G,
              'Raw PhocalPoint Data'!A:A = 2011,
              'Raw PhocalPoint Data'!D:D = D202,
              'Raw PhocalPoint Data'!E:E = E202,
              'Raw Ph"&amp;"ocalPoint Data'!F:F = F202
            ) -
            (ROW(INDIRECT(""1:"" &amp; (2010 - A202))) - 1) *
            (
              (
                FILTER('Raw PhocalPoint Data'!G:G,
                  'Raw PhocalPoint Data'!A:A = 2012,
                  'R"&amp;"aw PhocalPoint Data'!D:D = D202,
                  'Raw PhocalPoint Data'!E:E = E202,
                  'Raw PhocalPoint Data'!F:F = F202
                ) /
                FILTER('Raw PhocalPoint Data'!G:G,
                  'Raw PhocalPoint Data'!A:A ="&amp;" 2011,
                  'Raw PhocalPoint Data'!D:D = D202,
                  'Raw PhocalPoint Data'!E:E = E202,
                  'Raw PhocalPoint Data'!F:F = F202
                ) - 1
              ) / 5
            )
          )
        )
      )
    "&amp;") *
    INDEX('Raw GDP data'!$I$2:$M$100,
      MATCH(D202, 'Raw GDP data'!$H$2:$H$100, 0),
      MATCH(A202, 'Raw GDP data'!$I$1:$M$1, 0)
    )
  )),
  """"
)
"),2554706176.22481)</f>
        <v>2554706176.2248101</v>
      </c>
      <c r="H202" s="80"/>
      <c r="I202" s="81">
        <f ca="1">IFERROR(__xludf.DUMMYFUNCTION("""COMPUTED_VALUE"""),2010)</f>
        <v>2010</v>
      </c>
      <c r="J202" s="82" t="str">
        <f ca="1">IFERROR(__xludf.DUMMYFUNCTION("""COMPUTED_VALUE"""),"Australia-New Zealand")</f>
        <v>Australia-New Zealand</v>
      </c>
      <c r="K202" s="83">
        <f ca="1">IFERROR(
  SUMIFS(
    'New Backfilled Data'!G:G,
    'New Backfilled Data'!A:A, I202,
    'New Backfilled Data'!D:D, J202,
    'New Backfilled Data'!E:E, "Online"
  ) /
  SUMIFS(
    'New Backfilled Data'!G:G,
    'New Backfilled Data'!A:A, I202,
    'New Backfilled Data'!D:D, J202
  ),
  ""
)</f>
        <v>0.32653746042803172</v>
      </c>
      <c r="L202" s="84"/>
      <c r="M202" s="84"/>
    </row>
    <row r="203" spans="1:13" ht="17" x14ac:dyDescent="0.2">
      <c r="A203" s="44">
        <v>2006</v>
      </c>
      <c r="B203" s="45" t="s">
        <v>66</v>
      </c>
      <c r="C203" s="45" t="s">
        <v>27</v>
      </c>
      <c r="D203" s="45" t="s">
        <v>32</v>
      </c>
      <c r="E203" s="45" t="s">
        <v>69</v>
      </c>
      <c r="F203" s="45" t="s">
        <v>70</v>
      </c>
      <c r="G203" s="85">
        <f ca="1">IFERROR(__xludf.DUMMYFUNCTION("IFERROR(
  IF(A203 = 2008,
    IF(E203 = ""Online"",
      FILTER('Raw PhocalPoint Data'!G:G,
        'Raw PhocalPoint Data'!A:A = 2009,
        'Raw PhocalPoint Data'!D:D = D203,
        'Raw PhocalPoint Data'!E:E = E203,
        'Raw PhocalPoint Data'!F"&amp;":F = F203
      ) /
      (
        FILTER('Raw PhocalPoint Data'!G:G,
          'Raw PhocalPoint Data'!A:A = 2012,
          'Raw PhocalPoint Data'!D:D = D203,
          'Raw PhocalPoint Data'!E:E = E203,
          'Raw PhocalPoint Data'!F:F = F203
     "&amp;"   ) /
        FILTER('Raw PhocalPoint Data'!G:G,
          'Raw PhocalPoint Data'!A:A = 2011,
          'Raw PhocalPoint Data'!D:D = D203,
          'Raw PhocalPoint Data'!E:E = E203,
          'Raw PhocalPoint Data'!F:F = F203
        )
      ),
      F"&amp;"ILTER('Raw PhocalPoint Data'!G:G,
        'Raw PhocalPoint Data'!A:A = 2009,
        'Raw PhocalPoint Data'!D:D = D203,
        'Raw PhocalPoint Data'!E:E = E203,
        'Raw PhocalPoint Data'!F:F = F203
      ) *
      (
        INDEX('Raw GDP data'!$I$"&amp;"2:$M$100,
          MATCH(D203, 'Raw GDP data'!$H$2:$H$100, 0),
          MATCH(2008, 'Raw GDP data'!$I$1:$M$1, 0)
        ) /
        INDEX('Raw GDP data'!$I$2:$M$100,
          MATCH(D203, 'Raw GDP data'!$H$2:$H$100, 0),
          MATCH(2009, 'Raw GDP d"&amp;"ata'!$I$1:$M$1, 0)
        )
      )
    ),
  IF(A203 &lt; 2008,
    (
      FILTER(G:G,
        A:A = 2008,
        D:D = D203,
        E:E = E203,
        F:F = F203
      ) /
      PRODUCT(
        ARRAYFORMULA(
          (
            (
              FIL"&amp;"TER('Raw PhocalPoint Data'!G:G,
                'Raw PhocalPoint Data'!A:A = 2012,
                'Raw PhocalPoint Data'!D:D = D203,
                'Raw PhocalPoint Data'!E:E = E203,
                'Raw PhocalPoint Data'!F:F = F203
              ) /
  "&amp;"            FILTER('Raw PhocalPoint Data'!G:G,
                'Raw PhocalPoint Data'!A:A = 2011,
                'Raw PhocalPoint Data'!D:D = D203,
                'Raw PhocalPoint Data'!E:E = E203,
                'Raw PhocalPoint Data'!F:F = F203
     "&amp;"         ) -
              ROW(INDIRECT(""1:"" &amp; (2008 - A203))) *
              (
                (
                  FILTER('Raw PhocalPoint Data'!G:G,
                    'Raw PhocalPoint Data'!A:A = 2012,
                    'Raw PhocalPoint Data'!D:D"&amp;" = D203,
                    'Raw PhocalPoint Data'!E:E = E203,
                    'Raw PhocalPoint Data'!F:F = F203
                  ) /
                  FILTER('Raw PhocalPoint Data'!G:G,
                    'Raw PhocalPoint Data'!A:A = 2011,
       "&amp;"             'Raw PhocalPoint Data'!D:D = D203,
                    'Raw PhocalPoint Data'!E:E = E203,
                    'Raw PhocalPoint Data'!F:F = F203
                  ) - 1
                ) / 5
              )
            )
          )
        )
"&amp;"      )
    ),
    (
      FILTER('Raw PhocalPoint Data'!G:G,
        'Raw PhocalPoint Data'!A:A = 2009,
        'Raw PhocalPoint Data'!D:D = D203,
        'Raw PhocalPoint Data'!E:E = E203,
        'Raw PhocalPoint Data'!F:F = F203
      ) /
      PRODUC"&amp;"T(
        ARRAYFORMULA(
          (
            FILTER('Raw PhocalPoint Data'!G:G,
              'Raw PhocalPoint Data'!A:A = 2012,
              'Raw PhocalPoint Data'!D:D = D203,
              'Raw PhocalPoint Data'!E:E = E203,
              'Raw Phoca"&amp;"lPoint Data'!F:F = F203
            ) /
            FILTER('Raw PhocalPoint Data'!G:G,
              'Raw PhocalPoint Data'!A:A = 2011,
              'Raw PhocalPoint Data'!D:D = D203,
              'Raw PhocalPoint Data'!E:E = E203,
              'Raw Ph"&amp;"ocalPoint Data'!F:F = F203
            ) -
            (ROW(INDIRECT(""1:"" &amp; (2010 - A203))) - 1) *
            (
              (
                FILTER('Raw PhocalPoint Data'!G:G,
                  'Raw PhocalPoint Data'!A:A = 2012,
                  'R"&amp;"aw PhocalPoint Data'!D:D = D203,
                  'Raw PhocalPoint Data'!E:E = E203,
                  'Raw PhocalPoint Data'!F:F = F203
                ) /
                FILTER('Raw PhocalPoint Data'!G:G,
                  'Raw PhocalPoint Data'!A:A ="&amp;" 2011,
                  'Raw PhocalPoint Data'!D:D = D203,
                  'Raw PhocalPoint Data'!E:E = E203,
                  'Raw PhocalPoint Data'!F:F = F203
                ) - 1
              ) / 5
            )
          )
        )
      )
    "&amp;") *
    INDEX('Raw GDP data'!$I$2:$M$100,
      MATCH(D203, 'Raw GDP data'!$H$2:$H$100, 0),
      MATCH(A203, 'Raw GDP data'!$I$1:$M$1, 0)
    )
  )),
  """"
)
"),2027954207.16666)</f>
        <v>2027954207.1666601</v>
      </c>
      <c r="H203" s="86"/>
      <c r="I203" s="87">
        <f ca="1">IFERROR(__xludf.DUMMYFUNCTION("""COMPUTED_VALUE"""),2010)</f>
        <v>2010</v>
      </c>
      <c r="J203" s="88" t="str">
        <f ca="1">IFERROR(__xludf.DUMMYFUNCTION("""COMPUTED_VALUE"""),"China")</f>
        <v>China</v>
      </c>
      <c r="K203" s="89">
        <f ca="1">IFERROR(
  SUMIFS(
    'New Backfilled Data'!G:G,
    'New Backfilled Data'!A:A, I203,
    'New Backfilled Data'!D:D, J203,
    'New Backfilled Data'!E:E, "Online"
  ) /
  SUMIFS(
    'New Backfilled Data'!G:G,
    'New Backfilled Data'!A:A, I203,
    'New Backfilled Data'!D:D, J203
  ),
  ""
)</f>
        <v>8.8576037147236483E-2</v>
      </c>
      <c r="L203" s="90"/>
      <c r="M203" s="90"/>
    </row>
    <row r="204" spans="1:13" ht="17" x14ac:dyDescent="0.2">
      <c r="A204" s="37">
        <v>2006</v>
      </c>
      <c r="B204" s="38" t="s">
        <v>66</v>
      </c>
      <c r="C204" s="38" t="s">
        <v>27</v>
      </c>
      <c r="D204" s="38" t="s">
        <v>33</v>
      </c>
      <c r="E204" s="38" t="s">
        <v>67</v>
      </c>
      <c r="F204" s="38" t="s">
        <v>67</v>
      </c>
      <c r="G204" s="79">
        <f ca="1">IFERROR(__xludf.DUMMYFUNCTION("IFERROR(
  IF(A204 = 2008,
    IF(E204 = ""Online"",
      FILTER('Raw PhocalPoint Data'!G:G,
        'Raw PhocalPoint Data'!A:A = 2009,
        'Raw PhocalPoint Data'!D:D = D204,
        'Raw PhocalPoint Data'!E:E = E204,
        'Raw PhocalPoint Data'!F"&amp;":F = F204
      ) /
      (
        FILTER('Raw PhocalPoint Data'!G:G,
          'Raw PhocalPoint Data'!A:A = 2012,
          'Raw PhocalPoint Data'!D:D = D204,
          'Raw PhocalPoint Data'!E:E = E204,
          'Raw PhocalPoint Data'!F:F = F204
     "&amp;"   ) /
        FILTER('Raw PhocalPoint Data'!G:G,
          'Raw PhocalPoint Data'!A:A = 2011,
          'Raw PhocalPoint Data'!D:D = D204,
          'Raw PhocalPoint Data'!E:E = E204,
          'Raw PhocalPoint Data'!F:F = F204
        )
      ),
      F"&amp;"ILTER('Raw PhocalPoint Data'!G:G,
        'Raw PhocalPoint Data'!A:A = 2009,
        'Raw PhocalPoint Data'!D:D = D204,
        'Raw PhocalPoint Data'!E:E = E204,
        'Raw PhocalPoint Data'!F:F = F204
      ) *
      (
        INDEX('Raw GDP data'!$I$"&amp;"2:$M$100,
          MATCH(D204, 'Raw GDP data'!$H$2:$H$100, 0),
          MATCH(2008, 'Raw GDP data'!$I$1:$M$1, 0)
        ) /
        INDEX('Raw GDP data'!$I$2:$M$100,
          MATCH(D204, 'Raw GDP data'!$H$2:$H$100, 0),
          MATCH(2009, 'Raw GDP d"&amp;"ata'!$I$1:$M$1, 0)
        )
      )
    ),
  IF(A204 &lt; 2008,
    (
      FILTER(G:G,
        A:A = 2008,
        D:D = D204,
        E:E = E204,
        F:F = F204
      ) /
      PRODUCT(
        ARRAYFORMULA(
          (
            (
              FIL"&amp;"TER('Raw PhocalPoint Data'!G:G,
                'Raw PhocalPoint Data'!A:A = 2012,
                'Raw PhocalPoint Data'!D:D = D204,
                'Raw PhocalPoint Data'!E:E = E204,
                'Raw PhocalPoint Data'!F:F = F204
              ) /
  "&amp;"            FILTER('Raw PhocalPoint Data'!G:G,
                'Raw PhocalPoint Data'!A:A = 2011,
                'Raw PhocalPoint Data'!D:D = D204,
                'Raw PhocalPoint Data'!E:E = E204,
                'Raw PhocalPoint Data'!F:F = F204
     "&amp;"         ) -
              ROW(INDIRECT(""1:"" &amp; (2008 - A204))) *
              (
                (
                  FILTER('Raw PhocalPoint Data'!G:G,
                    'Raw PhocalPoint Data'!A:A = 2012,
                    'Raw PhocalPoint Data'!D:D"&amp;" = D204,
                    'Raw PhocalPoint Data'!E:E = E204,
                    'Raw PhocalPoint Data'!F:F = F204
                  ) /
                  FILTER('Raw PhocalPoint Data'!G:G,
                    'Raw PhocalPoint Data'!A:A = 2011,
       "&amp;"             'Raw PhocalPoint Data'!D:D = D204,
                    'Raw PhocalPoint Data'!E:E = E204,
                    'Raw PhocalPoint Data'!F:F = F204
                  ) - 1
                ) / 5
              )
            )
          )
        )
"&amp;"      )
    ),
    (
      FILTER('Raw PhocalPoint Data'!G:G,
        'Raw PhocalPoint Data'!A:A = 2009,
        'Raw PhocalPoint Data'!D:D = D204,
        'Raw PhocalPoint Data'!E:E = E204,
        'Raw PhocalPoint Data'!F:F = F204
      ) /
      PRODUC"&amp;"T(
        ARRAYFORMULA(
          (
            FILTER('Raw PhocalPoint Data'!G:G,
              'Raw PhocalPoint Data'!A:A = 2012,
              'Raw PhocalPoint Data'!D:D = D204,
              'Raw PhocalPoint Data'!E:E = E204,
              'Raw Phoca"&amp;"lPoint Data'!F:F = F204
            ) /
            FILTER('Raw PhocalPoint Data'!G:G,
              'Raw PhocalPoint Data'!A:A = 2011,
              'Raw PhocalPoint Data'!D:D = D204,
              'Raw PhocalPoint Data'!E:E = E204,
              'Raw Ph"&amp;"ocalPoint Data'!F:F = F204
            ) -
            (ROW(INDIRECT(""1:"" &amp; (2010 - A204))) - 1) *
            (
              (
                FILTER('Raw PhocalPoint Data'!G:G,
                  'Raw PhocalPoint Data'!A:A = 2012,
                  'R"&amp;"aw PhocalPoint Data'!D:D = D204,
                  'Raw PhocalPoint Data'!E:E = E204,
                  'Raw PhocalPoint Data'!F:F = F204
                ) /
                FILTER('Raw PhocalPoint Data'!G:G,
                  'Raw PhocalPoint Data'!A:A ="&amp;" 2011,
                  'Raw PhocalPoint Data'!D:D = D204,
                  'Raw PhocalPoint Data'!E:E = E204,
                  'Raw PhocalPoint Data'!F:F = F204
                ) - 1
              ) / 5
            )
          )
        )
      )
    "&amp;") *
    INDEX('Raw GDP data'!$I$2:$M$100,
      MATCH(D204, 'Raw GDP data'!$H$2:$H$100, 0),
      MATCH(A204, 'Raw GDP data'!$I$1:$M$1, 0)
    )
  )),
  """"
)
"),34634595718.8071)</f>
        <v>34634595718.807098</v>
      </c>
      <c r="H204" s="80"/>
      <c r="I204" s="81">
        <f ca="1">IFERROR(__xludf.DUMMYFUNCTION("""COMPUTED_VALUE"""),2010)</f>
        <v>2010</v>
      </c>
      <c r="J204" s="82" t="str">
        <f ca="1">IFERROR(__xludf.DUMMYFUNCTION("""COMPUTED_VALUE"""),"Hong Kong")</f>
        <v>Hong Kong</v>
      </c>
      <c r="K204" s="83">
        <f ca="1">IFERROR(
  SUMIFS(
    'New Backfilled Data'!G:G,
    'New Backfilled Data'!A:A, I204,
    'New Backfilled Data'!D:D, J204,
    'New Backfilled Data'!E:E, "Online"
  ) /
  SUMIFS(
    'New Backfilled Data'!G:G,
    'New Backfilled Data'!A:A, I204,
    'New Backfilled Data'!D:D, J204
  ),
  ""
)</f>
        <v>6.3353272144405906E-2</v>
      </c>
      <c r="L204" s="84"/>
      <c r="M204" s="84"/>
    </row>
    <row r="205" spans="1:13" ht="17" x14ac:dyDescent="0.2">
      <c r="A205" s="44">
        <v>2006</v>
      </c>
      <c r="B205" s="45" t="s">
        <v>66</v>
      </c>
      <c r="C205" s="45" t="s">
        <v>27</v>
      </c>
      <c r="D205" s="45" t="s">
        <v>33</v>
      </c>
      <c r="E205" s="45" t="s">
        <v>69</v>
      </c>
      <c r="F205" s="45" t="s">
        <v>71</v>
      </c>
      <c r="G205" s="85">
        <f ca="1">IFERROR(__xludf.DUMMYFUNCTION("IFERROR(
  IF(A205 = 2008,
    IF(E205 = ""Online"",
      FILTER('Raw PhocalPoint Data'!G:G,
        'Raw PhocalPoint Data'!A:A = 2009,
        'Raw PhocalPoint Data'!D:D = D205,
        'Raw PhocalPoint Data'!E:E = E205,
        'Raw PhocalPoint Data'!F"&amp;":F = F205
      ) /
      (
        FILTER('Raw PhocalPoint Data'!G:G,
          'Raw PhocalPoint Data'!A:A = 2012,
          'Raw PhocalPoint Data'!D:D = D205,
          'Raw PhocalPoint Data'!E:E = E205,
          'Raw PhocalPoint Data'!F:F = F205
     "&amp;"   ) /
        FILTER('Raw PhocalPoint Data'!G:G,
          'Raw PhocalPoint Data'!A:A = 2011,
          'Raw PhocalPoint Data'!D:D = D205,
          'Raw PhocalPoint Data'!E:E = E205,
          'Raw PhocalPoint Data'!F:F = F205
        )
      ),
      F"&amp;"ILTER('Raw PhocalPoint Data'!G:G,
        'Raw PhocalPoint Data'!A:A = 2009,
        'Raw PhocalPoint Data'!D:D = D205,
        'Raw PhocalPoint Data'!E:E = E205,
        'Raw PhocalPoint Data'!F:F = F205
      ) *
      (
        INDEX('Raw GDP data'!$I$"&amp;"2:$M$100,
          MATCH(D205, 'Raw GDP data'!$H$2:$H$100, 0),
          MATCH(2008, 'Raw GDP data'!$I$1:$M$1, 0)
        ) /
        INDEX('Raw GDP data'!$I$2:$M$100,
          MATCH(D205, 'Raw GDP data'!$H$2:$H$100, 0),
          MATCH(2009, 'Raw GDP d"&amp;"ata'!$I$1:$M$1, 0)
        )
      )
    ),
  IF(A205 &lt; 2008,
    (
      FILTER(G:G,
        A:A = 2008,
        D:D = D205,
        E:E = E205,
        F:F = F205
      ) /
      PRODUCT(
        ARRAYFORMULA(
          (
            (
              FIL"&amp;"TER('Raw PhocalPoint Data'!G:G,
                'Raw PhocalPoint Data'!A:A = 2012,
                'Raw PhocalPoint Data'!D:D = D205,
                'Raw PhocalPoint Data'!E:E = E205,
                'Raw PhocalPoint Data'!F:F = F205
              ) /
  "&amp;"            FILTER('Raw PhocalPoint Data'!G:G,
                'Raw PhocalPoint Data'!A:A = 2011,
                'Raw PhocalPoint Data'!D:D = D205,
                'Raw PhocalPoint Data'!E:E = E205,
                'Raw PhocalPoint Data'!F:F = F205
     "&amp;"         ) -
              ROW(INDIRECT(""1:"" &amp; (2008 - A205))) *
              (
                (
                  FILTER('Raw PhocalPoint Data'!G:G,
                    'Raw PhocalPoint Data'!A:A = 2012,
                    'Raw PhocalPoint Data'!D:D"&amp;" = D205,
                    'Raw PhocalPoint Data'!E:E = E205,
                    'Raw PhocalPoint Data'!F:F = F205
                  ) /
                  FILTER('Raw PhocalPoint Data'!G:G,
                    'Raw PhocalPoint Data'!A:A = 2011,
       "&amp;"             'Raw PhocalPoint Data'!D:D = D205,
                    'Raw PhocalPoint Data'!E:E = E205,
                    'Raw PhocalPoint Data'!F:F = F205
                  ) - 1
                ) / 5
              )
            )
          )
        )
"&amp;"      )
    ),
    (
      FILTER('Raw PhocalPoint Data'!G:G,
        'Raw PhocalPoint Data'!A:A = 2009,
        'Raw PhocalPoint Data'!D:D = D205,
        'Raw PhocalPoint Data'!E:E = E205,
        'Raw PhocalPoint Data'!F:F = F205
      ) /
      PRODUC"&amp;"T(
        ARRAYFORMULA(
          (
            FILTER('Raw PhocalPoint Data'!G:G,
              'Raw PhocalPoint Data'!A:A = 2012,
              'Raw PhocalPoint Data'!D:D = D205,
              'Raw PhocalPoint Data'!E:E = E205,
              'Raw Phoca"&amp;"lPoint Data'!F:F = F205
            ) /
            FILTER('Raw PhocalPoint Data'!G:G,
              'Raw PhocalPoint Data'!A:A = 2011,
              'Raw PhocalPoint Data'!D:D = D205,
              'Raw PhocalPoint Data'!E:E = E205,
              'Raw Ph"&amp;"ocalPoint Data'!F:F = F205
            ) -
            (ROW(INDIRECT(""1:"" &amp; (2010 - A205))) - 1) *
            (
              (
                FILTER('Raw PhocalPoint Data'!G:G,
                  'Raw PhocalPoint Data'!A:A = 2012,
                  'R"&amp;"aw PhocalPoint Data'!D:D = D205,
                  'Raw PhocalPoint Data'!E:E = E205,
                  'Raw PhocalPoint Data'!F:F = F205
                ) /
                FILTER('Raw PhocalPoint Data'!G:G,
                  'Raw PhocalPoint Data'!A:A ="&amp;" 2011,
                  'Raw PhocalPoint Data'!D:D = D205,
                  'Raw PhocalPoint Data'!E:E = E205,
                  'Raw PhocalPoint Data'!F:F = F205
                ) - 1
              ) / 5
            )
          )
        )
      )
    "&amp;") *
    INDEX('Raw GDP data'!$I$2:$M$100,
      MATCH(D205, 'Raw GDP data'!$H$2:$H$100, 0),
      MATCH(A205, 'Raw GDP data'!$I$1:$M$1, 0)
    )
  )),
  """"
)
"),3106028181.96537)</f>
        <v>3106028181.9653702</v>
      </c>
      <c r="H205" s="86"/>
      <c r="I205" s="87">
        <f ca="1">IFERROR(__xludf.DUMMYFUNCTION("""COMPUTED_VALUE"""),2010)</f>
        <v>2010</v>
      </c>
      <c r="J205" s="88" t="str">
        <f ca="1">IFERROR(__xludf.DUMMYFUNCTION("""COMPUTED_VALUE"""),"India")</f>
        <v>India</v>
      </c>
      <c r="K205" s="89">
        <f ca="1">IFERROR(
  SUMIFS(
    'New Backfilled Data'!G:G,
    'New Backfilled Data'!A:A, I205,
    'New Backfilled Data'!D:D, J205,
    'New Backfilled Data'!E:E, "Online"
  ) /
  SUMIFS(
    'New Backfilled Data'!G:G,
    'New Backfilled Data'!A:A, I205,
    'New Backfilled Data'!D:D, J205
  ),
  ""
)</f>
        <v>0.24160750511642348</v>
      </c>
      <c r="L205" s="90"/>
      <c r="M205" s="90"/>
    </row>
    <row r="206" spans="1:13" ht="17" x14ac:dyDescent="0.2">
      <c r="A206" s="37">
        <v>2006</v>
      </c>
      <c r="B206" s="38" t="s">
        <v>66</v>
      </c>
      <c r="C206" s="38" t="s">
        <v>27</v>
      </c>
      <c r="D206" s="38" t="s">
        <v>33</v>
      </c>
      <c r="E206" s="38" t="s">
        <v>69</v>
      </c>
      <c r="F206" s="38" t="s">
        <v>70</v>
      </c>
      <c r="G206" s="79">
        <f ca="1">IFERROR(__xludf.DUMMYFUNCTION("IFERROR(
  IF(A206 = 2008,
    IF(E206 = ""Online"",
      FILTER('Raw PhocalPoint Data'!G:G,
        'Raw PhocalPoint Data'!A:A = 2009,
        'Raw PhocalPoint Data'!D:D = D206,
        'Raw PhocalPoint Data'!E:E = E206,
        'Raw PhocalPoint Data'!F"&amp;":F = F206
      ) /
      (
        FILTER('Raw PhocalPoint Data'!G:G,
          'Raw PhocalPoint Data'!A:A = 2012,
          'Raw PhocalPoint Data'!D:D = D206,
          'Raw PhocalPoint Data'!E:E = E206,
          'Raw PhocalPoint Data'!F:F = F206
     "&amp;"   ) /
        FILTER('Raw PhocalPoint Data'!G:G,
          'Raw PhocalPoint Data'!A:A = 2011,
          'Raw PhocalPoint Data'!D:D = D206,
          'Raw PhocalPoint Data'!E:E = E206,
          'Raw PhocalPoint Data'!F:F = F206
        )
      ),
      F"&amp;"ILTER('Raw PhocalPoint Data'!G:G,
        'Raw PhocalPoint Data'!A:A = 2009,
        'Raw PhocalPoint Data'!D:D = D206,
        'Raw PhocalPoint Data'!E:E = E206,
        'Raw PhocalPoint Data'!F:F = F206
      ) *
      (
        INDEX('Raw GDP data'!$I$"&amp;"2:$M$100,
          MATCH(D206, 'Raw GDP data'!$H$2:$H$100, 0),
          MATCH(2008, 'Raw GDP data'!$I$1:$M$1, 0)
        ) /
        INDEX('Raw GDP data'!$I$2:$M$100,
          MATCH(D206, 'Raw GDP data'!$H$2:$H$100, 0),
          MATCH(2009, 'Raw GDP d"&amp;"ata'!$I$1:$M$1, 0)
        )
      )
    ),
  IF(A206 &lt; 2008,
    (
      FILTER(G:G,
        A:A = 2008,
        D:D = D206,
        E:E = E206,
        F:F = F206
      ) /
      PRODUCT(
        ARRAYFORMULA(
          (
            (
              FIL"&amp;"TER('Raw PhocalPoint Data'!G:G,
                'Raw PhocalPoint Data'!A:A = 2012,
                'Raw PhocalPoint Data'!D:D = D206,
                'Raw PhocalPoint Data'!E:E = E206,
                'Raw PhocalPoint Data'!F:F = F206
              ) /
  "&amp;"            FILTER('Raw PhocalPoint Data'!G:G,
                'Raw PhocalPoint Data'!A:A = 2011,
                'Raw PhocalPoint Data'!D:D = D206,
                'Raw PhocalPoint Data'!E:E = E206,
                'Raw PhocalPoint Data'!F:F = F206
     "&amp;"         ) -
              ROW(INDIRECT(""1:"" &amp; (2008 - A206))) *
              (
                (
                  FILTER('Raw PhocalPoint Data'!G:G,
                    'Raw PhocalPoint Data'!A:A = 2012,
                    'Raw PhocalPoint Data'!D:D"&amp;" = D206,
                    'Raw PhocalPoint Data'!E:E = E206,
                    'Raw PhocalPoint Data'!F:F = F206
                  ) /
                  FILTER('Raw PhocalPoint Data'!G:G,
                    'Raw PhocalPoint Data'!A:A = 2011,
       "&amp;"             'Raw PhocalPoint Data'!D:D = D206,
                    'Raw PhocalPoint Data'!E:E = E206,
                    'Raw PhocalPoint Data'!F:F = F206
                  ) - 1
                ) / 5
              )
            )
          )
        )
"&amp;"      )
    ),
    (
      FILTER('Raw PhocalPoint Data'!G:G,
        'Raw PhocalPoint Data'!A:A = 2009,
        'Raw PhocalPoint Data'!D:D = D206,
        'Raw PhocalPoint Data'!E:E = E206,
        'Raw PhocalPoint Data'!F:F = F206
      ) /
      PRODUC"&amp;"T(
        ARRAYFORMULA(
          (
            FILTER('Raw PhocalPoint Data'!G:G,
              'Raw PhocalPoint Data'!A:A = 2012,
              'Raw PhocalPoint Data'!D:D = D206,
              'Raw PhocalPoint Data'!E:E = E206,
              'Raw Phoca"&amp;"lPoint Data'!F:F = F206
            ) /
            FILTER('Raw PhocalPoint Data'!G:G,
              'Raw PhocalPoint Data'!A:A = 2011,
              'Raw PhocalPoint Data'!D:D = D206,
              'Raw PhocalPoint Data'!E:E = E206,
              'Raw Ph"&amp;"ocalPoint Data'!F:F = F206
            ) -
            (ROW(INDIRECT(""1:"" &amp; (2010 - A206))) - 1) *
            (
              (
                FILTER('Raw PhocalPoint Data'!G:G,
                  'Raw PhocalPoint Data'!A:A = 2012,
                  'R"&amp;"aw PhocalPoint Data'!D:D = D206,
                  'Raw PhocalPoint Data'!E:E = E206,
                  'Raw PhocalPoint Data'!F:F = F206
                ) /
                FILTER('Raw PhocalPoint Data'!G:G,
                  'Raw PhocalPoint Data'!A:A ="&amp;" 2011,
                  'Raw PhocalPoint Data'!D:D = D206,
                  'Raw PhocalPoint Data'!E:E = E206,
                  'Raw PhocalPoint Data'!F:F = F206
                ) - 1
              ) / 5
            )
          )
        )
      )
    "&amp;") *
    INDEX('Raw GDP data'!$I$2:$M$100,
      MATCH(D206, 'Raw GDP data'!$H$2:$H$100, 0),
      MATCH(A206, 'Raw GDP data'!$I$1:$M$1, 0)
    )
  )),
  """"
)
"),11124093089.7472)</f>
        <v>11124093089.7472</v>
      </c>
      <c r="H206" s="80"/>
      <c r="I206" s="81">
        <f ca="1">IFERROR(__xludf.DUMMYFUNCTION("""COMPUTED_VALUE"""),2010)</f>
        <v>2010</v>
      </c>
      <c r="J206" s="82" t="str">
        <f ca="1">IFERROR(__xludf.DUMMYFUNCTION("""COMPUTED_VALUE"""),"Indonesia")</f>
        <v>Indonesia</v>
      </c>
      <c r="K206" s="83">
        <f ca="1">IFERROR(
  SUMIFS(
    'New Backfilled Data'!G:G,
    'New Backfilled Data'!A:A, I206,
    'New Backfilled Data'!D:D, J206,
    'New Backfilled Data'!E:E, "Online"
  ) /
  SUMIFS(
    'New Backfilled Data'!G:G,
    'New Backfilled Data'!A:A, I206,
    'New Backfilled Data'!D:D, J206
  ),
  ""
)</f>
        <v>3.7344395544418339E-2</v>
      </c>
      <c r="L206" s="84"/>
      <c r="M206" s="84"/>
    </row>
    <row r="207" spans="1:13" ht="17" x14ac:dyDescent="0.2">
      <c r="A207" s="44">
        <v>2006</v>
      </c>
      <c r="B207" s="45" t="s">
        <v>66</v>
      </c>
      <c r="C207" s="45" t="s">
        <v>35</v>
      </c>
      <c r="D207" s="45" t="s">
        <v>34</v>
      </c>
      <c r="E207" s="45" t="s">
        <v>67</v>
      </c>
      <c r="F207" s="45" t="s">
        <v>67</v>
      </c>
      <c r="G207" s="85">
        <f ca="1">IFERROR(__xludf.DUMMYFUNCTION("IFERROR(
  IF(A207 = 2008,
    IF(E207 = ""Online"",
      FILTER('Raw PhocalPoint Data'!G:G,
        'Raw PhocalPoint Data'!A:A = 2009,
        'Raw PhocalPoint Data'!D:D = D207,
        'Raw PhocalPoint Data'!E:E = E207,
        'Raw PhocalPoint Data'!F"&amp;":F = F207
      ) /
      (
        FILTER('Raw PhocalPoint Data'!G:G,
          'Raw PhocalPoint Data'!A:A = 2012,
          'Raw PhocalPoint Data'!D:D = D207,
          'Raw PhocalPoint Data'!E:E = E207,
          'Raw PhocalPoint Data'!F:F = F207
     "&amp;"   ) /
        FILTER('Raw PhocalPoint Data'!G:G,
          'Raw PhocalPoint Data'!A:A = 2011,
          'Raw PhocalPoint Data'!D:D = D207,
          'Raw PhocalPoint Data'!E:E = E207,
          'Raw PhocalPoint Data'!F:F = F207
        )
      ),
      F"&amp;"ILTER('Raw PhocalPoint Data'!G:G,
        'Raw PhocalPoint Data'!A:A = 2009,
        'Raw PhocalPoint Data'!D:D = D207,
        'Raw PhocalPoint Data'!E:E = E207,
        'Raw PhocalPoint Data'!F:F = F207
      ) *
      (
        INDEX('Raw GDP data'!$I$"&amp;"2:$M$100,
          MATCH(D207, 'Raw GDP data'!$H$2:$H$100, 0),
          MATCH(2008, 'Raw GDP data'!$I$1:$M$1, 0)
        ) /
        INDEX('Raw GDP data'!$I$2:$M$100,
          MATCH(D207, 'Raw GDP data'!$H$2:$H$100, 0),
          MATCH(2009, 'Raw GDP d"&amp;"ata'!$I$1:$M$1, 0)
        )
      )
    ),
  IF(A207 &lt; 2008,
    (
      FILTER(G:G,
        A:A = 2008,
        D:D = D207,
        E:E = E207,
        F:F = F207
      ) /
      PRODUCT(
        ARRAYFORMULA(
          (
            (
              FIL"&amp;"TER('Raw PhocalPoint Data'!G:G,
                'Raw PhocalPoint Data'!A:A = 2012,
                'Raw PhocalPoint Data'!D:D = D207,
                'Raw PhocalPoint Data'!E:E = E207,
                'Raw PhocalPoint Data'!F:F = F207
              ) /
  "&amp;"            FILTER('Raw PhocalPoint Data'!G:G,
                'Raw PhocalPoint Data'!A:A = 2011,
                'Raw PhocalPoint Data'!D:D = D207,
                'Raw PhocalPoint Data'!E:E = E207,
                'Raw PhocalPoint Data'!F:F = F207
     "&amp;"         ) -
              ROW(INDIRECT(""1:"" &amp; (2008 - A207))) *
              (
                (
                  FILTER('Raw PhocalPoint Data'!G:G,
                    'Raw PhocalPoint Data'!A:A = 2012,
                    'Raw PhocalPoint Data'!D:D"&amp;" = D207,
                    'Raw PhocalPoint Data'!E:E = E207,
                    'Raw PhocalPoint Data'!F:F = F207
                  ) /
                  FILTER('Raw PhocalPoint Data'!G:G,
                    'Raw PhocalPoint Data'!A:A = 2011,
       "&amp;"             'Raw PhocalPoint Data'!D:D = D207,
                    'Raw PhocalPoint Data'!E:E = E207,
                    'Raw PhocalPoint Data'!F:F = F207
                  ) - 1
                ) / 5
              )
            )
          )
        )
"&amp;"      )
    ),
    (
      FILTER('Raw PhocalPoint Data'!G:G,
        'Raw PhocalPoint Data'!A:A = 2009,
        'Raw PhocalPoint Data'!D:D = D207,
        'Raw PhocalPoint Data'!E:E = E207,
        'Raw PhocalPoint Data'!F:F = F207
      ) /
      PRODUC"&amp;"T(
        ARRAYFORMULA(
          (
            FILTER('Raw PhocalPoint Data'!G:G,
              'Raw PhocalPoint Data'!A:A = 2012,
              'Raw PhocalPoint Data'!D:D = D207,
              'Raw PhocalPoint Data'!E:E = E207,
              'Raw Phoca"&amp;"lPoint Data'!F:F = F207
            ) /
            FILTER('Raw PhocalPoint Data'!G:G,
              'Raw PhocalPoint Data'!A:A = 2011,
              'Raw PhocalPoint Data'!D:D = D207,
              'Raw PhocalPoint Data'!E:E = E207,
              'Raw Ph"&amp;"ocalPoint Data'!F:F = F207
            ) -
            (ROW(INDIRECT(""1:"" &amp; (2010 - A207))) - 1) *
            (
              (
                FILTER('Raw PhocalPoint Data'!G:G,
                  'Raw PhocalPoint Data'!A:A = 2012,
                  'R"&amp;"aw PhocalPoint Data'!D:D = D207,
                  'Raw PhocalPoint Data'!E:E = E207,
                  'Raw PhocalPoint Data'!F:F = F207
                ) /
                FILTER('Raw PhocalPoint Data'!G:G,
                  'Raw PhocalPoint Data'!A:A ="&amp;" 2011,
                  'Raw PhocalPoint Data'!D:D = D207,
                  'Raw PhocalPoint Data'!E:E = E207,
                  'Raw PhocalPoint Data'!F:F = F207
                ) - 1
              ) / 5
            )
          )
        )
      )
    "&amp;") *
    INDEX('Raw GDP data'!$I$2:$M$100,
      MATCH(D207, 'Raw GDP data'!$H$2:$H$100, 0),
      MATCH(A207, 'Raw GDP data'!$I$1:$M$1, 0)
    )
  )),
  """"
)
"),10196079318.4369)</f>
        <v>10196079318.436899</v>
      </c>
      <c r="H207" s="86"/>
      <c r="I207" s="87">
        <f ca="1">IFERROR(__xludf.DUMMYFUNCTION("""COMPUTED_VALUE"""),2010)</f>
        <v>2010</v>
      </c>
      <c r="J207" s="88" t="str">
        <f ca="1">IFERROR(__xludf.DUMMYFUNCTION("""COMPUTED_VALUE"""),"Japan")</f>
        <v>Japan</v>
      </c>
      <c r="K207" s="89">
        <f ca="1">IFERROR(
  SUMIFS(
    'New Backfilled Data'!G:G,
    'New Backfilled Data'!A:A, I207,
    'New Backfilled Data'!D:D, J207,
    'New Backfilled Data'!E:E, "Online"
  ) /
  SUMIFS(
    'New Backfilled Data'!G:G,
    'New Backfilled Data'!A:A, I207,
    'New Backfilled Data'!D:D, J207
  ),
  ""
)</f>
        <v>0.25006492538835973</v>
      </c>
      <c r="L207" s="90"/>
      <c r="M207" s="90"/>
    </row>
    <row r="208" spans="1:13" ht="17" x14ac:dyDescent="0.2">
      <c r="A208" s="37">
        <v>2006</v>
      </c>
      <c r="B208" s="38" t="s">
        <v>66</v>
      </c>
      <c r="C208" s="38" t="s">
        <v>35</v>
      </c>
      <c r="D208" s="38" t="s">
        <v>34</v>
      </c>
      <c r="E208" s="38" t="s">
        <v>69</v>
      </c>
      <c r="F208" s="38" t="s">
        <v>71</v>
      </c>
      <c r="G208" s="79">
        <f ca="1">IFERROR(__xludf.DUMMYFUNCTION("IFERROR(
  IF(A208 = 2008,
    IF(E208 = ""Online"",
      FILTER('Raw PhocalPoint Data'!G:G,
        'Raw PhocalPoint Data'!A:A = 2009,
        'Raw PhocalPoint Data'!D:D = D208,
        'Raw PhocalPoint Data'!E:E = E208,
        'Raw PhocalPoint Data'!F"&amp;":F = F208
      ) /
      (
        FILTER('Raw PhocalPoint Data'!G:G,
          'Raw PhocalPoint Data'!A:A = 2012,
          'Raw PhocalPoint Data'!D:D = D208,
          'Raw PhocalPoint Data'!E:E = E208,
          'Raw PhocalPoint Data'!F:F = F208
     "&amp;"   ) /
        FILTER('Raw PhocalPoint Data'!G:G,
          'Raw PhocalPoint Data'!A:A = 2011,
          'Raw PhocalPoint Data'!D:D = D208,
          'Raw PhocalPoint Data'!E:E = E208,
          'Raw PhocalPoint Data'!F:F = F208
        )
      ),
      F"&amp;"ILTER('Raw PhocalPoint Data'!G:G,
        'Raw PhocalPoint Data'!A:A = 2009,
        'Raw PhocalPoint Data'!D:D = D208,
        'Raw PhocalPoint Data'!E:E = E208,
        'Raw PhocalPoint Data'!F:F = F208
      ) *
      (
        INDEX('Raw GDP data'!$I$"&amp;"2:$M$100,
          MATCH(D208, 'Raw GDP data'!$H$2:$H$100, 0),
          MATCH(2008, 'Raw GDP data'!$I$1:$M$1, 0)
        ) /
        INDEX('Raw GDP data'!$I$2:$M$100,
          MATCH(D208, 'Raw GDP data'!$H$2:$H$100, 0),
          MATCH(2009, 'Raw GDP d"&amp;"ata'!$I$1:$M$1, 0)
        )
      )
    ),
  IF(A208 &lt; 2008,
    (
      FILTER(G:G,
        A:A = 2008,
        D:D = D208,
        E:E = E208,
        F:F = F208
      ) /
      PRODUCT(
        ARRAYFORMULA(
          (
            (
              FIL"&amp;"TER('Raw PhocalPoint Data'!G:G,
                'Raw PhocalPoint Data'!A:A = 2012,
                'Raw PhocalPoint Data'!D:D = D208,
                'Raw PhocalPoint Data'!E:E = E208,
                'Raw PhocalPoint Data'!F:F = F208
              ) /
  "&amp;"            FILTER('Raw PhocalPoint Data'!G:G,
                'Raw PhocalPoint Data'!A:A = 2011,
                'Raw PhocalPoint Data'!D:D = D208,
                'Raw PhocalPoint Data'!E:E = E208,
                'Raw PhocalPoint Data'!F:F = F208
     "&amp;"         ) -
              ROW(INDIRECT(""1:"" &amp; (2008 - A208))) *
              (
                (
                  FILTER('Raw PhocalPoint Data'!G:G,
                    'Raw PhocalPoint Data'!A:A = 2012,
                    'Raw PhocalPoint Data'!D:D"&amp;" = D208,
                    'Raw PhocalPoint Data'!E:E = E208,
                    'Raw PhocalPoint Data'!F:F = F208
                  ) /
                  FILTER('Raw PhocalPoint Data'!G:G,
                    'Raw PhocalPoint Data'!A:A = 2011,
       "&amp;"             'Raw PhocalPoint Data'!D:D = D208,
                    'Raw PhocalPoint Data'!E:E = E208,
                    'Raw PhocalPoint Data'!F:F = F208
                  ) - 1
                ) / 5
              )
            )
          )
        )
"&amp;"      )
    ),
    (
      FILTER('Raw PhocalPoint Data'!G:G,
        'Raw PhocalPoint Data'!A:A = 2009,
        'Raw PhocalPoint Data'!D:D = D208,
        'Raw PhocalPoint Data'!E:E = E208,
        'Raw PhocalPoint Data'!F:F = F208
      ) /
      PRODUC"&amp;"T(
        ARRAYFORMULA(
          (
            FILTER('Raw PhocalPoint Data'!G:G,
              'Raw PhocalPoint Data'!A:A = 2012,
              'Raw PhocalPoint Data'!D:D = D208,
              'Raw PhocalPoint Data'!E:E = E208,
              'Raw Phoca"&amp;"lPoint Data'!F:F = F208
            ) /
            FILTER('Raw PhocalPoint Data'!G:G,
              'Raw PhocalPoint Data'!A:A = 2011,
              'Raw PhocalPoint Data'!D:D = D208,
              'Raw PhocalPoint Data'!E:E = E208,
              'Raw Ph"&amp;"ocalPoint Data'!F:F = F208
            ) -
            (ROW(INDIRECT(""1:"" &amp; (2010 - A208))) - 1) *
            (
              (
                FILTER('Raw PhocalPoint Data'!G:G,
                  'Raw PhocalPoint Data'!A:A = 2012,
                  'R"&amp;"aw PhocalPoint Data'!D:D = D208,
                  'Raw PhocalPoint Data'!E:E = E208,
                  'Raw PhocalPoint Data'!F:F = F208
                ) /
                FILTER('Raw PhocalPoint Data'!G:G,
                  'Raw PhocalPoint Data'!A:A ="&amp;" 2011,
                  'Raw PhocalPoint Data'!D:D = D208,
                  'Raw PhocalPoint Data'!E:E = E208,
                  'Raw PhocalPoint Data'!F:F = F208
                ) - 1
              ) / 5
            )
          )
        )
      )
    "&amp;") *
    INDEX('Raw GDP data'!$I$2:$M$100,
      MATCH(D208, 'Raw GDP data'!$H$2:$H$100, 0),
      MATCH(A208, 'Raw GDP data'!$I$1:$M$1, 0)
    )
  )),
  """"
)
"),118007093.701119)</f>
        <v>118007093.70111901</v>
      </c>
      <c r="H208" s="80"/>
      <c r="I208" s="81">
        <f ca="1">IFERROR(__xludf.DUMMYFUNCTION("""COMPUTED_VALUE"""),2010)</f>
        <v>2010</v>
      </c>
      <c r="J208" s="82" t="str">
        <f ca="1">IFERROR(__xludf.DUMMYFUNCTION("""COMPUTED_VALUE"""),"Macau")</f>
        <v>Macau</v>
      </c>
      <c r="K208" s="83">
        <f ca="1">IFERROR(
  SUMIFS(
    'New Backfilled Data'!G:G,
    'New Backfilled Data'!A:A, I208,
    'New Backfilled Data'!D:D, J208,
    'New Backfilled Data'!E:E, "Online"
  ) /
  SUMIFS(
    'New Backfilled Data'!G:G,
    'New Backfilled Data'!A:A, I208,
    'New Backfilled Data'!D:D, J208
  ),
  ""
)</f>
        <v>2.8024629467878679E-2</v>
      </c>
      <c r="L208" s="84"/>
      <c r="M208" s="84"/>
    </row>
    <row r="209" spans="1:13" ht="17" x14ac:dyDescent="0.2">
      <c r="A209" s="44">
        <v>2006</v>
      </c>
      <c r="B209" s="45" t="s">
        <v>66</v>
      </c>
      <c r="C209" s="45" t="s">
        <v>35</v>
      </c>
      <c r="D209" s="45" t="s">
        <v>34</v>
      </c>
      <c r="E209" s="45" t="s">
        <v>69</v>
      </c>
      <c r="F209" s="45" t="s">
        <v>70</v>
      </c>
      <c r="G209" s="85">
        <f ca="1">IFERROR(__xludf.DUMMYFUNCTION("IFERROR(
  IF(A209 = 2008,
    IF(E209 = ""Online"",
      FILTER('Raw PhocalPoint Data'!G:G,
        'Raw PhocalPoint Data'!A:A = 2009,
        'Raw PhocalPoint Data'!D:D = D209,
        'Raw PhocalPoint Data'!E:E = E209,
        'Raw PhocalPoint Data'!F"&amp;":F = F209
      ) /
      (
        FILTER('Raw PhocalPoint Data'!G:G,
          'Raw PhocalPoint Data'!A:A = 2012,
          'Raw PhocalPoint Data'!D:D = D209,
          'Raw PhocalPoint Data'!E:E = E209,
          'Raw PhocalPoint Data'!F:F = F209
     "&amp;"   ) /
        FILTER('Raw PhocalPoint Data'!G:G,
          'Raw PhocalPoint Data'!A:A = 2011,
          'Raw PhocalPoint Data'!D:D = D209,
          'Raw PhocalPoint Data'!E:E = E209,
          'Raw PhocalPoint Data'!F:F = F209
        )
      ),
      F"&amp;"ILTER('Raw PhocalPoint Data'!G:G,
        'Raw PhocalPoint Data'!A:A = 2009,
        'Raw PhocalPoint Data'!D:D = D209,
        'Raw PhocalPoint Data'!E:E = E209,
        'Raw PhocalPoint Data'!F:F = F209
      ) *
      (
        INDEX('Raw GDP data'!$I$"&amp;"2:$M$100,
          MATCH(D209, 'Raw GDP data'!$H$2:$H$100, 0),
          MATCH(2008, 'Raw GDP data'!$I$1:$M$1, 0)
        ) /
        INDEX('Raw GDP data'!$I$2:$M$100,
          MATCH(D209, 'Raw GDP data'!$H$2:$H$100, 0),
          MATCH(2009, 'Raw GDP d"&amp;"ata'!$I$1:$M$1, 0)
        )
      )
    ),
  IF(A209 &lt; 2008,
    (
      FILTER(G:G,
        A:A = 2008,
        D:D = D209,
        E:E = E209,
        F:F = F209
      ) /
      PRODUCT(
        ARRAYFORMULA(
          (
            (
              FIL"&amp;"TER('Raw PhocalPoint Data'!G:G,
                'Raw PhocalPoint Data'!A:A = 2012,
                'Raw PhocalPoint Data'!D:D = D209,
                'Raw PhocalPoint Data'!E:E = E209,
                'Raw PhocalPoint Data'!F:F = F209
              ) /
  "&amp;"            FILTER('Raw PhocalPoint Data'!G:G,
                'Raw PhocalPoint Data'!A:A = 2011,
                'Raw PhocalPoint Data'!D:D = D209,
                'Raw PhocalPoint Data'!E:E = E209,
                'Raw PhocalPoint Data'!F:F = F209
     "&amp;"         ) -
              ROW(INDIRECT(""1:"" &amp; (2008 - A209))) *
              (
                (
                  FILTER('Raw PhocalPoint Data'!G:G,
                    'Raw PhocalPoint Data'!A:A = 2012,
                    'Raw PhocalPoint Data'!D:D"&amp;" = D209,
                    'Raw PhocalPoint Data'!E:E = E209,
                    'Raw PhocalPoint Data'!F:F = F209
                  ) /
                  FILTER('Raw PhocalPoint Data'!G:G,
                    'Raw PhocalPoint Data'!A:A = 2011,
       "&amp;"             'Raw PhocalPoint Data'!D:D = D209,
                    'Raw PhocalPoint Data'!E:E = E209,
                    'Raw PhocalPoint Data'!F:F = F209
                  ) - 1
                ) / 5
              )
            )
          )
        )
"&amp;"      )
    ),
    (
      FILTER('Raw PhocalPoint Data'!G:G,
        'Raw PhocalPoint Data'!A:A = 2009,
        'Raw PhocalPoint Data'!D:D = D209,
        'Raw PhocalPoint Data'!E:E = E209,
        'Raw PhocalPoint Data'!F:F = F209
      ) /
      PRODUC"&amp;"T(
        ARRAYFORMULA(
          (
            FILTER('Raw PhocalPoint Data'!G:G,
              'Raw PhocalPoint Data'!A:A = 2012,
              'Raw PhocalPoint Data'!D:D = D209,
              'Raw PhocalPoint Data'!E:E = E209,
              'Raw Phoca"&amp;"lPoint Data'!F:F = F209
            ) /
            FILTER('Raw PhocalPoint Data'!G:G,
              'Raw PhocalPoint Data'!A:A = 2011,
              'Raw PhocalPoint Data'!D:D = D209,
              'Raw PhocalPoint Data'!E:E = E209,
              'Raw Ph"&amp;"ocalPoint Data'!F:F = F209
            ) -
            (ROW(INDIRECT(""1:"" &amp; (2010 - A209))) - 1) *
            (
              (
                FILTER('Raw PhocalPoint Data'!G:G,
                  'Raw PhocalPoint Data'!A:A = 2012,
                  'R"&amp;"aw PhocalPoint Data'!D:D = D209,
                  'Raw PhocalPoint Data'!E:E = E209,
                  'Raw PhocalPoint Data'!F:F = F209
                ) /
                FILTER('Raw PhocalPoint Data'!G:G,
                  'Raw PhocalPoint Data'!A:A ="&amp;" 2011,
                  'Raw PhocalPoint Data'!D:D = D209,
                  'Raw PhocalPoint Data'!E:E = E209,
                  'Raw PhocalPoint Data'!F:F = F209
                ) - 1
              ) / 5
            )
          )
        )
      )
    "&amp;") *
    INDEX('Raw GDP data'!$I$2:$M$100,
      MATCH(D209, 'Raw GDP data'!$H$2:$H$100, 0),
      MATCH(A209, 'Raw GDP data'!$I$1:$M$1, 0)
    )
  )),
  """"
)
"),106643588.389821)</f>
        <v>106643588.38982099</v>
      </c>
      <c r="H209" s="86"/>
      <c r="I209" s="87">
        <f ca="1">IFERROR(__xludf.DUMMYFUNCTION("""COMPUTED_VALUE"""),2010)</f>
        <v>2010</v>
      </c>
      <c r="J209" s="88" t="str">
        <f ca="1">IFERROR(__xludf.DUMMYFUNCTION("""COMPUTED_VALUE"""),"Malaysia")</f>
        <v>Malaysia</v>
      </c>
      <c r="K209" s="89">
        <f ca="1">IFERROR(
  SUMIFS(
    'New Backfilled Data'!G:G,
    'New Backfilled Data'!A:A, I209,
    'New Backfilled Data'!D:D, J209,
    'New Backfilled Data'!E:E, "Online"
  ) /
  SUMIFS(
    'New Backfilled Data'!G:G,
    'New Backfilled Data'!A:A, I209,
    'New Backfilled Data'!D:D, J209
  ),
  ""
)</f>
        <v>0.28380735607671309</v>
      </c>
      <c r="L209" s="90"/>
      <c r="M209" s="90"/>
    </row>
    <row r="210" spans="1:13" ht="17" x14ac:dyDescent="0.2">
      <c r="A210" s="37">
        <v>2006</v>
      </c>
      <c r="B210" s="38" t="s">
        <v>66</v>
      </c>
      <c r="C210" s="38" t="s">
        <v>35</v>
      </c>
      <c r="D210" s="38" t="s">
        <v>36</v>
      </c>
      <c r="E210" s="38" t="s">
        <v>67</v>
      </c>
      <c r="F210" s="38" t="s">
        <v>67</v>
      </c>
      <c r="G210" s="79">
        <f ca="1">IFERROR(__xludf.DUMMYFUNCTION("IFERROR(
  IF(A210 = 2008,
    IF(E210 = ""Online"",
      FILTER('Raw PhocalPoint Data'!G:G,
        'Raw PhocalPoint Data'!A:A = 2009,
        'Raw PhocalPoint Data'!D:D = D210,
        'Raw PhocalPoint Data'!E:E = E210,
        'Raw PhocalPoint Data'!F"&amp;":F = F210
      ) /
      (
        FILTER('Raw PhocalPoint Data'!G:G,
          'Raw PhocalPoint Data'!A:A = 2012,
          'Raw PhocalPoint Data'!D:D = D210,
          'Raw PhocalPoint Data'!E:E = E210,
          'Raw PhocalPoint Data'!F:F = F210
     "&amp;"   ) /
        FILTER('Raw PhocalPoint Data'!G:G,
          'Raw PhocalPoint Data'!A:A = 2011,
          'Raw PhocalPoint Data'!D:D = D210,
          'Raw PhocalPoint Data'!E:E = E210,
          'Raw PhocalPoint Data'!F:F = F210
        )
      ),
      F"&amp;"ILTER('Raw PhocalPoint Data'!G:G,
        'Raw PhocalPoint Data'!A:A = 2009,
        'Raw PhocalPoint Data'!D:D = D210,
        'Raw PhocalPoint Data'!E:E = E210,
        'Raw PhocalPoint Data'!F:F = F210
      ) *
      (
        INDEX('Raw GDP data'!$I$"&amp;"2:$M$100,
          MATCH(D210, 'Raw GDP data'!$H$2:$H$100, 0),
          MATCH(2008, 'Raw GDP data'!$I$1:$M$1, 0)
        ) /
        INDEX('Raw GDP data'!$I$2:$M$100,
          MATCH(D210, 'Raw GDP data'!$H$2:$H$100, 0),
          MATCH(2009, 'Raw GDP d"&amp;"ata'!$I$1:$M$1, 0)
        )
      )
    ),
  IF(A210 &lt; 2008,
    (
      FILTER(G:G,
        A:A = 2008,
        D:D = D210,
        E:E = E210,
        F:F = F210
      ) /
      PRODUCT(
        ARRAYFORMULA(
          (
            (
              FIL"&amp;"TER('Raw PhocalPoint Data'!G:G,
                'Raw PhocalPoint Data'!A:A = 2012,
                'Raw PhocalPoint Data'!D:D = D210,
                'Raw PhocalPoint Data'!E:E = E210,
                'Raw PhocalPoint Data'!F:F = F210
              ) /
  "&amp;"            FILTER('Raw PhocalPoint Data'!G:G,
                'Raw PhocalPoint Data'!A:A = 2011,
                'Raw PhocalPoint Data'!D:D = D210,
                'Raw PhocalPoint Data'!E:E = E210,
                'Raw PhocalPoint Data'!F:F = F210
     "&amp;"         ) -
              ROW(INDIRECT(""1:"" &amp; (2008 - A210))) *
              (
                (
                  FILTER('Raw PhocalPoint Data'!G:G,
                    'Raw PhocalPoint Data'!A:A = 2012,
                    'Raw PhocalPoint Data'!D:D"&amp;" = D210,
                    'Raw PhocalPoint Data'!E:E = E210,
                    'Raw PhocalPoint Data'!F:F = F210
                  ) /
                  FILTER('Raw PhocalPoint Data'!G:G,
                    'Raw PhocalPoint Data'!A:A = 2011,
       "&amp;"             'Raw PhocalPoint Data'!D:D = D210,
                    'Raw PhocalPoint Data'!E:E = E210,
                    'Raw PhocalPoint Data'!F:F = F210
                  ) - 1
                ) / 5
              )
            )
          )
        )
"&amp;"      )
    ),
    (
      FILTER('Raw PhocalPoint Data'!G:G,
        'Raw PhocalPoint Data'!A:A = 2009,
        'Raw PhocalPoint Data'!D:D = D210,
        'Raw PhocalPoint Data'!E:E = E210,
        'Raw PhocalPoint Data'!F:F = F210
      ) /
      PRODUC"&amp;"T(
        ARRAYFORMULA(
          (
            FILTER('Raw PhocalPoint Data'!G:G,
              'Raw PhocalPoint Data'!A:A = 2012,
              'Raw PhocalPoint Data'!D:D = D210,
              'Raw PhocalPoint Data'!E:E = E210,
              'Raw Phoca"&amp;"lPoint Data'!F:F = F210
            ) /
            FILTER('Raw PhocalPoint Data'!G:G,
              'Raw PhocalPoint Data'!A:A = 2011,
              'Raw PhocalPoint Data'!D:D = D210,
              'Raw PhocalPoint Data'!E:E = E210,
              'Raw Ph"&amp;"ocalPoint Data'!F:F = F210
            ) -
            (ROW(INDIRECT(""1:"" &amp; (2010 - A210))) - 1) *
            (
              (
                FILTER('Raw PhocalPoint Data'!G:G,
                  'Raw PhocalPoint Data'!A:A = 2012,
                  'R"&amp;"aw PhocalPoint Data'!D:D = D210,
                  'Raw PhocalPoint Data'!E:E = E210,
                  'Raw PhocalPoint Data'!F:F = F210
                ) /
                FILTER('Raw PhocalPoint Data'!G:G,
                  'Raw PhocalPoint Data'!A:A ="&amp;" 2011,
                  'Raw PhocalPoint Data'!D:D = D210,
                  'Raw PhocalPoint Data'!E:E = E210,
                  'Raw PhocalPoint Data'!F:F = F210
                ) - 1
              ) / 5
            )
          )
        )
      )
    "&amp;") *
    INDEX('Raw GDP data'!$I$2:$M$100,
      MATCH(D210, 'Raw GDP data'!$H$2:$H$100, 0),
      MATCH(A210, 'Raw GDP data'!$I$1:$M$1, 0)
    )
  )),
  """"
)
"),41507620456.2191)</f>
        <v>41507620456.219101</v>
      </c>
      <c r="H210" s="80"/>
      <c r="I210" s="81">
        <f ca="1">IFERROR(__xludf.DUMMYFUNCTION("""COMPUTED_VALUE"""),2010)</f>
        <v>2010</v>
      </c>
      <c r="J210" s="82" t="str">
        <f ca="1">IFERROR(__xludf.DUMMYFUNCTION("""COMPUTED_VALUE"""),"Singapore")</f>
        <v>Singapore</v>
      </c>
      <c r="K210" s="83">
        <f ca="1">IFERROR(
  SUMIFS(
    'New Backfilled Data'!G:G,
    'New Backfilled Data'!A:A, I210,
    'New Backfilled Data'!D:D, J210,
    'New Backfilled Data'!E:E, "Online"
  ) /
  SUMIFS(
    'New Backfilled Data'!G:G,
    'New Backfilled Data'!A:A, I210,
    'New Backfilled Data'!D:D, J210
  ),
  ""
)</f>
        <v>0.24962794102561212</v>
      </c>
      <c r="L210" s="84"/>
      <c r="M210" s="84"/>
    </row>
    <row r="211" spans="1:13" ht="17" x14ac:dyDescent="0.2">
      <c r="A211" s="44">
        <v>2006</v>
      </c>
      <c r="B211" s="45" t="s">
        <v>66</v>
      </c>
      <c r="C211" s="45" t="s">
        <v>35</v>
      </c>
      <c r="D211" s="45" t="s">
        <v>36</v>
      </c>
      <c r="E211" s="45" t="s">
        <v>69</v>
      </c>
      <c r="F211" s="45" t="s">
        <v>71</v>
      </c>
      <c r="G211" s="85">
        <f ca="1">IFERROR(__xludf.DUMMYFUNCTION("IFERROR(
  IF(A211 = 2008,
    IF(E211 = ""Online"",
      FILTER('Raw PhocalPoint Data'!G:G,
        'Raw PhocalPoint Data'!A:A = 2009,
        'Raw PhocalPoint Data'!D:D = D211,
        'Raw PhocalPoint Data'!E:E = E211,
        'Raw PhocalPoint Data'!F"&amp;":F = F211
      ) /
      (
        FILTER('Raw PhocalPoint Data'!G:G,
          'Raw PhocalPoint Data'!A:A = 2012,
          'Raw PhocalPoint Data'!D:D = D211,
          'Raw PhocalPoint Data'!E:E = E211,
          'Raw PhocalPoint Data'!F:F = F211
     "&amp;"   ) /
        FILTER('Raw PhocalPoint Data'!G:G,
          'Raw PhocalPoint Data'!A:A = 2011,
          'Raw PhocalPoint Data'!D:D = D211,
          'Raw PhocalPoint Data'!E:E = E211,
          'Raw PhocalPoint Data'!F:F = F211
        )
      ),
      F"&amp;"ILTER('Raw PhocalPoint Data'!G:G,
        'Raw PhocalPoint Data'!A:A = 2009,
        'Raw PhocalPoint Data'!D:D = D211,
        'Raw PhocalPoint Data'!E:E = E211,
        'Raw PhocalPoint Data'!F:F = F211
      ) *
      (
        INDEX('Raw GDP data'!$I$"&amp;"2:$M$100,
          MATCH(D211, 'Raw GDP data'!$H$2:$H$100, 0),
          MATCH(2008, 'Raw GDP data'!$I$1:$M$1, 0)
        ) /
        INDEX('Raw GDP data'!$I$2:$M$100,
          MATCH(D211, 'Raw GDP data'!$H$2:$H$100, 0),
          MATCH(2009, 'Raw GDP d"&amp;"ata'!$I$1:$M$1, 0)
        )
      )
    ),
  IF(A211 &lt; 2008,
    (
      FILTER(G:G,
        A:A = 2008,
        D:D = D211,
        E:E = E211,
        F:F = F211
      ) /
      PRODUCT(
        ARRAYFORMULA(
          (
            (
              FIL"&amp;"TER('Raw PhocalPoint Data'!G:G,
                'Raw PhocalPoint Data'!A:A = 2012,
                'Raw PhocalPoint Data'!D:D = D211,
                'Raw PhocalPoint Data'!E:E = E211,
                'Raw PhocalPoint Data'!F:F = F211
              ) /
  "&amp;"            FILTER('Raw PhocalPoint Data'!G:G,
                'Raw PhocalPoint Data'!A:A = 2011,
                'Raw PhocalPoint Data'!D:D = D211,
                'Raw PhocalPoint Data'!E:E = E211,
                'Raw PhocalPoint Data'!F:F = F211
     "&amp;"         ) -
              ROW(INDIRECT(""1:"" &amp; (2008 - A211))) *
              (
                (
                  FILTER('Raw PhocalPoint Data'!G:G,
                    'Raw PhocalPoint Data'!A:A = 2012,
                    'Raw PhocalPoint Data'!D:D"&amp;" = D211,
                    'Raw PhocalPoint Data'!E:E = E211,
                    'Raw PhocalPoint Data'!F:F = F211
                  ) /
                  FILTER('Raw PhocalPoint Data'!G:G,
                    'Raw PhocalPoint Data'!A:A = 2011,
       "&amp;"             'Raw PhocalPoint Data'!D:D = D211,
                    'Raw PhocalPoint Data'!E:E = E211,
                    'Raw PhocalPoint Data'!F:F = F211
                  ) - 1
                ) / 5
              )
            )
          )
        )
"&amp;"      )
    ),
    (
      FILTER('Raw PhocalPoint Data'!G:G,
        'Raw PhocalPoint Data'!A:A = 2009,
        'Raw PhocalPoint Data'!D:D = D211,
        'Raw PhocalPoint Data'!E:E = E211,
        'Raw PhocalPoint Data'!F:F = F211
      ) /
      PRODUC"&amp;"T(
        ARRAYFORMULA(
          (
            FILTER('Raw PhocalPoint Data'!G:G,
              'Raw PhocalPoint Data'!A:A = 2012,
              'Raw PhocalPoint Data'!D:D = D211,
              'Raw PhocalPoint Data'!E:E = E211,
              'Raw Phoca"&amp;"lPoint Data'!F:F = F211
            ) /
            FILTER('Raw PhocalPoint Data'!G:G,
              'Raw PhocalPoint Data'!A:A = 2011,
              'Raw PhocalPoint Data'!D:D = D211,
              'Raw PhocalPoint Data'!E:E = E211,
              'Raw Ph"&amp;"ocalPoint Data'!F:F = F211
            ) -
            (ROW(INDIRECT(""1:"" &amp; (2010 - A211))) - 1) *
            (
              (
                FILTER('Raw PhocalPoint Data'!G:G,
                  'Raw PhocalPoint Data'!A:A = 2012,
                  'R"&amp;"aw PhocalPoint Data'!D:D = D211,
                  'Raw PhocalPoint Data'!E:E = E211,
                  'Raw PhocalPoint Data'!F:F = F211
                ) /
                FILTER('Raw PhocalPoint Data'!G:G,
                  'Raw PhocalPoint Data'!A:A ="&amp;" 2011,
                  'Raw PhocalPoint Data'!D:D = D211,
                  'Raw PhocalPoint Data'!E:E = E211,
                  'Raw PhocalPoint Data'!F:F = F211
                ) - 1
              ) / 5
            )
          )
        )
      )
    "&amp;") *
    INDEX('Raw GDP data'!$I$2:$M$100,
      MATCH(D211, 'Raw GDP data'!$H$2:$H$100, 0),
      MATCH(A211, 'Raw GDP data'!$I$1:$M$1, 0)
    )
  )),
  """"
)
"),1608377224.44505)</f>
        <v>1608377224.44505</v>
      </c>
      <c r="H211" s="86"/>
      <c r="I211" s="87">
        <f ca="1">IFERROR(__xludf.DUMMYFUNCTION("""COMPUTED_VALUE"""),2010)</f>
        <v>2010</v>
      </c>
      <c r="J211" s="88" t="str">
        <f ca="1">IFERROR(__xludf.DUMMYFUNCTION("""COMPUTED_VALUE"""),"South Korea")</f>
        <v>South Korea</v>
      </c>
      <c r="K211" s="89">
        <f ca="1">IFERROR(
  SUMIFS(
    'New Backfilled Data'!G:G,
    'New Backfilled Data'!A:A, I211,
    'New Backfilled Data'!D:D, J211,
    'New Backfilled Data'!E:E, "Online"
  ) /
  SUMIFS(
    'New Backfilled Data'!G:G,
    'New Backfilled Data'!A:A, I211,
    'New Backfilled Data'!D:D, J211
  ),
  ""
)</f>
        <v>0.13071934252348358</v>
      </c>
      <c r="L211" s="90"/>
      <c r="M211" s="90"/>
    </row>
    <row r="212" spans="1:13" ht="17" x14ac:dyDescent="0.2">
      <c r="A212" s="37">
        <v>2006</v>
      </c>
      <c r="B212" s="38" t="s">
        <v>66</v>
      </c>
      <c r="C212" s="38" t="s">
        <v>35</v>
      </c>
      <c r="D212" s="38" t="s">
        <v>36</v>
      </c>
      <c r="E212" s="38" t="s">
        <v>69</v>
      </c>
      <c r="F212" s="38" t="s">
        <v>70</v>
      </c>
      <c r="G212" s="79">
        <f ca="1">IFERROR(__xludf.DUMMYFUNCTION("IFERROR(
  IF(A212 = 2008,
    IF(E212 = ""Online"",
      FILTER('Raw PhocalPoint Data'!G:G,
        'Raw PhocalPoint Data'!A:A = 2009,
        'Raw PhocalPoint Data'!D:D = D212,
        'Raw PhocalPoint Data'!E:E = E212,
        'Raw PhocalPoint Data'!F"&amp;":F = F212
      ) /
      (
        FILTER('Raw PhocalPoint Data'!G:G,
          'Raw PhocalPoint Data'!A:A = 2012,
          'Raw PhocalPoint Data'!D:D = D212,
          'Raw PhocalPoint Data'!E:E = E212,
          'Raw PhocalPoint Data'!F:F = F212
     "&amp;"   ) /
        FILTER('Raw PhocalPoint Data'!G:G,
          'Raw PhocalPoint Data'!A:A = 2011,
          'Raw PhocalPoint Data'!D:D = D212,
          'Raw PhocalPoint Data'!E:E = E212,
          'Raw PhocalPoint Data'!F:F = F212
        )
      ),
      F"&amp;"ILTER('Raw PhocalPoint Data'!G:G,
        'Raw PhocalPoint Data'!A:A = 2009,
        'Raw PhocalPoint Data'!D:D = D212,
        'Raw PhocalPoint Data'!E:E = E212,
        'Raw PhocalPoint Data'!F:F = F212
      ) *
      (
        INDEX('Raw GDP data'!$I$"&amp;"2:$M$100,
          MATCH(D212, 'Raw GDP data'!$H$2:$H$100, 0),
          MATCH(2008, 'Raw GDP data'!$I$1:$M$1, 0)
        ) /
        INDEX('Raw GDP data'!$I$2:$M$100,
          MATCH(D212, 'Raw GDP data'!$H$2:$H$100, 0),
          MATCH(2009, 'Raw GDP d"&amp;"ata'!$I$1:$M$1, 0)
        )
      )
    ),
  IF(A212 &lt; 2008,
    (
      FILTER(G:G,
        A:A = 2008,
        D:D = D212,
        E:E = E212,
        F:F = F212
      ) /
      PRODUCT(
        ARRAYFORMULA(
          (
            (
              FIL"&amp;"TER('Raw PhocalPoint Data'!G:G,
                'Raw PhocalPoint Data'!A:A = 2012,
                'Raw PhocalPoint Data'!D:D = D212,
                'Raw PhocalPoint Data'!E:E = E212,
                'Raw PhocalPoint Data'!F:F = F212
              ) /
  "&amp;"            FILTER('Raw PhocalPoint Data'!G:G,
                'Raw PhocalPoint Data'!A:A = 2011,
                'Raw PhocalPoint Data'!D:D = D212,
                'Raw PhocalPoint Data'!E:E = E212,
                'Raw PhocalPoint Data'!F:F = F212
     "&amp;"         ) -
              ROW(INDIRECT(""1:"" &amp; (2008 - A212))) *
              (
                (
                  FILTER('Raw PhocalPoint Data'!G:G,
                    'Raw PhocalPoint Data'!A:A = 2012,
                    'Raw PhocalPoint Data'!D:D"&amp;" = D212,
                    'Raw PhocalPoint Data'!E:E = E212,
                    'Raw PhocalPoint Data'!F:F = F212
                  ) /
                  FILTER('Raw PhocalPoint Data'!G:G,
                    'Raw PhocalPoint Data'!A:A = 2011,
       "&amp;"             'Raw PhocalPoint Data'!D:D = D212,
                    'Raw PhocalPoint Data'!E:E = E212,
                    'Raw PhocalPoint Data'!F:F = F212
                  ) - 1
                ) / 5
              )
            )
          )
        )
"&amp;"      )
    ),
    (
      FILTER('Raw PhocalPoint Data'!G:G,
        'Raw PhocalPoint Data'!A:A = 2009,
        'Raw PhocalPoint Data'!D:D = D212,
        'Raw PhocalPoint Data'!E:E = E212,
        'Raw PhocalPoint Data'!F:F = F212
      ) /
      PRODUC"&amp;"T(
        ARRAYFORMULA(
          (
            FILTER('Raw PhocalPoint Data'!G:G,
              'Raw PhocalPoint Data'!A:A = 2012,
              'Raw PhocalPoint Data'!D:D = D212,
              'Raw PhocalPoint Data'!E:E = E212,
              'Raw Phoca"&amp;"lPoint Data'!F:F = F212
            ) /
            FILTER('Raw PhocalPoint Data'!G:G,
              'Raw PhocalPoint Data'!A:A = 2011,
              'Raw PhocalPoint Data'!D:D = D212,
              'Raw PhocalPoint Data'!E:E = E212,
              'Raw Ph"&amp;"ocalPoint Data'!F:F = F212
            ) -
            (ROW(INDIRECT(""1:"" &amp; (2010 - A212))) - 1) *
            (
              (
                FILTER('Raw PhocalPoint Data'!G:G,
                  'Raw PhocalPoint Data'!A:A = 2012,
                  'R"&amp;"aw PhocalPoint Data'!D:D = D212,
                  'Raw PhocalPoint Data'!E:E = E212,
                  'Raw PhocalPoint Data'!F:F = F212
                ) /
                FILTER('Raw PhocalPoint Data'!G:G,
                  'Raw PhocalPoint Data'!A:A ="&amp;" 2011,
                  'Raw PhocalPoint Data'!D:D = D212,
                  'Raw PhocalPoint Data'!E:E = E212,
                  'Raw PhocalPoint Data'!F:F = F212
                ) - 1
              ) / 5
            )
          )
        )
      )
    "&amp;") *
    INDEX('Raw GDP data'!$I$2:$M$100,
      MATCH(D212, 'Raw GDP data'!$H$2:$H$100, 0),
      MATCH(A212, 'Raw GDP data'!$I$1:$M$1, 0)
    )
  )),
  """"
)
"),940759549.829361)</f>
        <v>940759549.82936096</v>
      </c>
      <c r="H212" s="80"/>
      <c r="I212" s="81">
        <f ca="1">IFERROR(__xludf.DUMMYFUNCTION("""COMPUTED_VALUE"""),2010)</f>
        <v>2010</v>
      </c>
      <c r="J212" s="82" t="str">
        <f ca="1">IFERROR(__xludf.DUMMYFUNCTION("""COMPUTED_VALUE"""),"Taiwan")</f>
        <v>Taiwan</v>
      </c>
      <c r="K212" s="83">
        <f ca="1">IFERROR(
  SUMIFS(
    'New Backfilled Data'!G:G,
    'New Backfilled Data'!A:A, I212,
    'New Backfilled Data'!D:D, J212,
    'New Backfilled Data'!E:E, "Online"
  ) /
  SUMIFS(
    'New Backfilled Data'!G:G,
    'New Backfilled Data'!A:A, I212,
    'New Backfilled Data'!D:D, J212
  ),
  ""
)</f>
        <v>0.10565468543369762</v>
      </c>
      <c r="L212" s="84"/>
      <c r="M212" s="84"/>
    </row>
    <row r="213" spans="1:13" ht="17" x14ac:dyDescent="0.2">
      <c r="A213" s="44">
        <v>2006</v>
      </c>
      <c r="B213" s="45" t="s">
        <v>66</v>
      </c>
      <c r="C213" s="45" t="s">
        <v>35</v>
      </c>
      <c r="D213" s="45" t="s">
        <v>37</v>
      </c>
      <c r="E213" s="45" t="s">
        <v>67</v>
      </c>
      <c r="F213" s="45" t="s">
        <v>67</v>
      </c>
      <c r="G213" s="85">
        <f ca="1">IFERROR(__xludf.DUMMYFUNCTION("IFERROR(
  IF(A213 = 2008,
    IF(E213 = ""Online"",
      FILTER('Raw PhocalPoint Data'!G:G,
        'Raw PhocalPoint Data'!A:A = 2009,
        'Raw PhocalPoint Data'!D:D = D213,
        'Raw PhocalPoint Data'!E:E = E213,
        'Raw PhocalPoint Data'!F"&amp;":F = F213
      ) /
      (
        FILTER('Raw PhocalPoint Data'!G:G,
          'Raw PhocalPoint Data'!A:A = 2012,
          'Raw PhocalPoint Data'!D:D = D213,
          'Raw PhocalPoint Data'!E:E = E213,
          'Raw PhocalPoint Data'!F:F = F213
     "&amp;"   ) /
        FILTER('Raw PhocalPoint Data'!G:G,
          'Raw PhocalPoint Data'!A:A = 2011,
          'Raw PhocalPoint Data'!D:D = D213,
          'Raw PhocalPoint Data'!E:E = E213,
          'Raw PhocalPoint Data'!F:F = F213
        )
      ),
      F"&amp;"ILTER('Raw PhocalPoint Data'!G:G,
        'Raw PhocalPoint Data'!A:A = 2009,
        'Raw PhocalPoint Data'!D:D = D213,
        'Raw PhocalPoint Data'!E:E = E213,
        'Raw PhocalPoint Data'!F:F = F213
      ) *
      (
        INDEX('Raw GDP data'!$I$"&amp;"2:$M$100,
          MATCH(D213, 'Raw GDP data'!$H$2:$H$100, 0),
          MATCH(2008, 'Raw GDP data'!$I$1:$M$1, 0)
        ) /
        INDEX('Raw GDP data'!$I$2:$M$100,
          MATCH(D213, 'Raw GDP data'!$H$2:$H$100, 0),
          MATCH(2009, 'Raw GDP d"&amp;"ata'!$I$1:$M$1, 0)
        )
      )
    ),
  IF(A213 &lt; 2008,
    (
      FILTER(G:G,
        A:A = 2008,
        D:D = D213,
        E:E = E213,
        F:F = F213
      ) /
      PRODUCT(
        ARRAYFORMULA(
          (
            (
              FIL"&amp;"TER('Raw PhocalPoint Data'!G:G,
                'Raw PhocalPoint Data'!A:A = 2012,
                'Raw PhocalPoint Data'!D:D = D213,
                'Raw PhocalPoint Data'!E:E = E213,
                'Raw PhocalPoint Data'!F:F = F213
              ) /
  "&amp;"            FILTER('Raw PhocalPoint Data'!G:G,
                'Raw PhocalPoint Data'!A:A = 2011,
                'Raw PhocalPoint Data'!D:D = D213,
                'Raw PhocalPoint Data'!E:E = E213,
                'Raw PhocalPoint Data'!F:F = F213
     "&amp;"         ) -
              ROW(INDIRECT(""1:"" &amp; (2008 - A213))) *
              (
                (
                  FILTER('Raw PhocalPoint Data'!G:G,
                    'Raw PhocalPoint Data'!A:A = 2012,
                    'Raw PhocalPoint Data'!D:D"&amp;" = D213,
                    'Raw PhocalPoint Data'!E:E = E213,
                    'Raw PhocalPoint Data'!F:F = F213
                  ) /
                  FILTER('Raw PhocalPoint Data'!G:G,
                    'Raw PhocalPoint Data'!A:A = 2011,
       "&amp;"             'Raw PhocalPoint Data'!D:D = D213,
                    'Raw PhocalPoint Data'!E:E = E213,
                    'Raw PhocalPoint Data'!F:F = F213
                  ) - 1
                ) / 5
              )
            )
          )
        )
"&amp;"      )
    ),
    (
      FILTER('Raw PhocalPoint Data'!G:G,
        'Raw PhocalPoint Data'!A:A = 2009,
        'Raw PhocalPoint Data'!D:D = D213,
        'Raw PhocalPoint Data'!E:E = E213,
        'Raw PhocalPoint Data'!F:F = F213
      ) /
      PRODUC"&amp;"T(
        ARRAYFORMULA(
          (
            FILTER('Raw PhocalPoint Data'!G:G,
              'Raw PhocalPoint Data'!A:A = 2012,
              'Raw PhocalPoint Data'!D:D = D213,
              'Raw PhocalPoint Data'!E:E = E213,
              'Raw Phoca"&amp;"lPoint Data'!F:F = F213
            ) /
            FILTER('Raw PhocalPoint Data'!G:G,
              'Raw PhocalPoint Data'!A:A = 2011,
              'Raw PhocalPoint Data'!D:D = D213,
              'Raw PhocalPoint Data'!E:E = E213,
              'Raw Ph"&amp;"ocalPoint Data'!F:F = F213
            ) -
            (ROW(INDIRECT(""1:"" &amp; (2010 - A213))) - 1) *
            (
              (
                FILTER('Raw PhocalPoint Data'!G:G,
                  'Raw PhocalPoint Data'!A:A = 2012,
                  'R"&amp;"aw PhocalPoint Data'!D:D = D213,
                  'Raw PhocalPoint Data'!E:E = E213,
                  'Raw PhocalPoint Data'!F:F = F213
                ) /
                FILTER('Raw PhocalPoint Data'!G:G,
                  'Raw PhocalPoint Data'!A:A ="&amp;" 2011,
                  'Raw PhocalPoint Data'!D:D = D213,
                  'Raw PhocalPoint Data'!E:E = E213,
                  'Raw PhocalPoint Data'!F:F = F213
                ) - 1
              ) / 5
            )
          )
        )
      )
    "&amp;") *
    INDEX('Raw GDP data'!$I$2:$M$100,
      MATCH(D213, 'Raw GDP data'!$H$2:$H$100, 0),
      MATCH(A213, 'Raw GDP data'!$I$1:$M$1, 0)
    )
  )),
  """"
)
"),4066002260.96174)</f>
        <v>4066002260.96174</v>
      </c>
      <c r="H213" s="86"/>
      <c r="I213" s="87">
        <f ca="1">IFERROR(__xludf.DUMMYFUNCTION("""COMPUTED_VALUE"""),2010)</f>
        <v>2010</v>
      </c>
      <c r="J213" s="88" t="str">
        <f ca="1">IFERROR(__xludf.DUMMYFUNCTION("""COMPUTED_VALUE"""),"Thailand")</f>
        <v>Thailand</v>
      </c>
      <c r="K213" s="89">
        <f ca="1">IFERROR(
  SUMIFS(
    'New Backfilled Data'!G:G,
    'New Backfilled Data'!A:A, I213,
    'New Backfilled Data'!D:D, J213,
    'New Backfilled Data'!E:E, "Online"
  ) /
  SUMIFS(
    'New Backfilled Data'!G:G,
    'New Backfilled Data'!A:A, I213,
    'New Backfilled Data'!D:D, J213
  ),
  ""
)</f>
        <v>0.16128088431154305</v>
      </c>
      <c r="L213" s="90"/>
      <c r="M213" s="90"/>
    </row>
    <row r="214" spans="1:13" ht="17" x14ac:dyDescent="0.2">
      <c r="A214" s="37">
        <v>2006</v>
      </c>
      <c r="B214" s="38" t="s">
        <v>66</v>
      </c>
      <c r="C214" s="38" t="s">
        <v>35</v>
      </c>
      <c r="D214" s="38" t="s">
        <v>37</v>
      </c>
      <c r="E214" s="38" t="s">
        <v>69</v>
      </c>
      <c r="F214" s="38" t="s">
        <v>71</v>
      </c>
      <c r="G214" s="79">
        <f ca="1">IFERROR(__xludf.DUMMYFUNCTION("IFERROR(
  IF(A214 = 2008,
    IF(E214 = ""Online"",
      FILTER('Raw PhocalPoint Data'!G:G,
        'Raw PhocalPoint Data'!A:A = 2009,
        'Raw PhocalPoint Data'!D:D = D214,
        'Raw PhocalPoint Data'!E:E = E214,
        'Raw PhocalPoint Data'!F"&amp;":F = F214
      ) /
      (
        FILTER('Raw PhocalPoint Data'!G:G,
          'Raw PhocalPoint Data'!A:A = 2012,
          'Raw PhocalPoint Data'!D:D = D214,
          'Raw PhocalPoint Data'!E:E = E214,
          'Raw PhocalPoint Data'!F:F = F214
     "&amp;"   ) /
        FILTER('Raw PhocalPoint Data'!G:G,
          'Raw PhocalPoint Data'!A:A = 2011,
          'Raw PhocalPoint Data'!D:D = D214,
          'Raw PhocalPoint Data'!E:E = E214,
          'Raw PhocalPoint Data'!F:F = F214
        )
      ),
      F"&amp;"ILTER('Raw PhocalPoint Data'!G:G,
        'Raw PhocalPoint Data'!A:A = 2009,
        'Raw PhocalPoint Data'!D:D = D214,
        'Raw PhocalPoint Data'!E:E = E214,
        'Raw PhocalPoint Data'!F:F = F214
      ) *
      (
        INDEX('Raw GDP data'!$I$"&amp;"2:$M$100,
          MATCH(D214, 'Raw GDP data'!$H$2:$H$100, 0),
          MATCH(2008, 'Raw GDP data'!$I$1:$M$1, 0)
        ) /
        INDEX('Raw GDP data'!$I$2:$M$100,
          MATCH(D214, 'Raw GDP data'!$H$2:$H$100, 0),
          MATCH(2009, 'Raw GDP d"&amp;"ata'!$I$1:$M$1, 0)
        )
      )
    ),
  IF(A214 &lt; 2008,
    (
      FILTER(G:G,
        A:A = 2008,
        D:D = D214,
        E:E = E214,
        F:F = F214
      ) /
      PRODUCT(
        ARRAYFORMULA(
          (
            (
              FIL"&amp;"TER('Raw PhocalPoint Data'!G:G,
                'Raw PhocalPoint Data'!A:A = 2012,
                'Raw PhocalPoint Data'!D:D = D214,
                'Raw PhocalPoint Data'!E:E = E214,
                'Raw PhocalPoint Data'!F:F = F214
              ) /
  "&amp;"            FILTER('Raw PhocalPoint Data'!G:G,
                'Raw PhocalPoint Data'!A:A = 2011,
                'Raw PhocalPoint Data'!D:D = D214,
                'Raw PhocalPoint Data'!E:E = E214,
                'Raw PhocalPoint Data'!F:F = F214
     "&amp;"         ) -
              ROW(INDIRECT(""1:"" &amp; (2008 - A214))) *
              (
                (
                  FILTER('Raw PhocalPoint Data'!G:G,
                    'Raw PhocalPoint Data'!A:A = 2012,
                    'Raw PhocalPoint Data'!D:D"&amp;" = D214,
                    'Raw PhocalPoint Data'!E:E = E214,
                    'Raw PhocalPoint Data'!F:F = F214
                  ) /
                  FILTER('Raw PhocalPoint Data'!G:G,
                    'Raw PhocalPoint Data'!A:A = 2011,
       "&amp;"             'Raw PhocalPoint Data'!D:D = D214,
                    'Raw PhocalPoint Data'!E:E = E214,
                    'Raw PhocalPoint Data'!F:F = F214
                  ) - 1
                ) / 5
              )
            )
          )
        )
"&amp;"      )
    ),
    (
      FILTER('Raw PhocalPoint Data'!G:G,
        'Raw PhocalPoint Data'!A:A = 2009,
        'Raw PhocalPoint Data'!D:D = D214,
        'Raw PhocalPoint Data'!E:E = E214,
        'Raw PhocalPoint Data'!F:F = F214
      ) /
      PRODUC"&amp;"T(
        ARRAYFORMULA(
          (
            FILTER('Raw PhocalPoint Data'!G:G,
              'Raw PhocalPoint Data'!A:A = 2012,
              'Raw PhocalPoint Data'!D:D = D214,
              'Raw PhocalPoint Data'!E:E = E214,
              'Raw Phoca"&amp;"lPoint Data'!F:F = F214
            ) /
            FILTER('Raw PhocalPoint Data'!G:G,
              'Raw PhocalPoint Data'!A:A = 2011,
              'Raw PhocalPoint Data'!D:D = D214,
              'Raw PhocalPoint Data'!E:E = E214,
              'Raw Ph"&amp;"ocalPoint Data'!F:F = F214
            ) -
            (ROW(INDIRECT(""1:"" &amp; (2010 - A214))) - 1) *
            (
              (
                FILTER('Raw PhocalPoint Data'!G:G,
                  'Raw PhocalPoint Data'!A:A = 2012,
                  'R"&amp;"aw PhocalPoint Data'!D:D = D214,
                  'Raw PhocalPoint Data'!E:E = E214,
                  'Raw PhocalPoint Data'!F:F = F214
                ) /
                FILTER('Raw PhocalPoint Data'!G:G,
                  'Raw PhocalPoint Data'!A:A ="&amp;" 2011,
                  'Raw PhocalPoint Data'!D:D = D214,
                  'Raw PhocalPoint Data'!E:E = E214,
                  'Raw PhocalPoint Data'!F:F = F214
                ) - 1
              ) / 5
            )
          )
        )
      )
    "&amp;") *
    INDEX('Raw GDP data'!$I$2:$M$100,
      MATCH(D214, 'Raw GDP data'!$H$2:$H$100, 0),
      MATCH(A214, 'Raw GDP data'!$I$1:$M$1, 0)
    )
  )),
  """"
)
"),99728561.1909392)</f>
        <v>99728561.190939203</v>
      </c>
      <c r="H214" s="80"/>
      <c r="I214" s="81">
        <f ca="1">IFERROR(__xludf.DUMMYFUNCTION("""COMPUTED_VALUE"""),2010)</f>
        <v>2010</v>
      </c>
      <c r="J214" s="82" t="str">
        <f ca="1">IFERROR(__xludf.DUMMYFUNCTION("""COMPUTED_VALUE"""),"Bulgaria")</f>
        <v>Bulgaria</v>
      </c>
      <c r="K214" s="83">
        <f ca="1">IFERROR(
  SUMIFS(
    'New Backfilled Data'!G:G,
    'New Backfilled Data'!A:A, I214,
    'New Backfilled Data'!D:D, J214,
    'New Backfilled Data'!E:E, "Online"
  ) /
  SUMIFS(
    'New Backfilled Data'!G:G,
    'New Backfilled Data'!A:A, I214,
    'New Backfilled Data'!D:D, J214
  ),
  ""
)</f>
        <v>0.10936649438043175</v>
      </c>
      <c r="L214" s="84"/>
      <c r="M214" s="84"/>
    </row>
    <row r="215" spans="1:13" ht="17" x14ac:dyDescent="0.2">
      <c r="A215" s="44">
        <v>2006</v>
      </c>
      <c r="B215" s="45" t="s">
        <v>66</v>
      </c>
      <c r="C215" s="45" t="s">
        <v>35</v>
      </c>
      <c r="D215" s="45" t="s">
        <v>37</v>
      </c>
      <c r="E215" s="45" t="s">
        <v>69</v>
      </c>
      <c r="F215" s="45" t="s">
        <v>70</v>
      </c>
      <c r="G215" s="85">
        <f ca="1">IFERROR(__xludf.DUMMYFUNCTION("IFERROR(
  IF(A215 = 2008,
    IF(E215 = ""Online"",
      FILTER('Raw PhocalPoint Data'!G:G,
        'Raw PhocalPoint Data'!A:A = 2009,
        'Raw PhocalPoint Data'!D:D = D215,
        'Raw PhocalPoint Data'!E:E = E215,
        'Raw PhocalPoint Data'!F"&amp;":F = F215
      ) /
      (
        FILTER('Raw PhocalPoint Data'!G:G,
          'Raw PhocalPoint Data'!A:A = 2012,
          'Raw PhocalPoint Data'!D:D = D215,
          'Raw PhocalPoint Data'!E:E = E215,
          'Raw PhocalPoint Data'!F:F = F215
     "&amp;"   ) /
        FILTER('Raw PhocalPoint Data'!G:G,
          'Raw PhocalPoint Data'!A:A = 2011,
          'Raw PhocalPoint Data'!D:D = D215,
          'Raw PhocalPoint Data'!E:E = E215,
          'Raw PhocalPoint Data'!F:F = F215
        )
      ),
      F"&amp;"ILTER('Raw PhocalPoint Data'!G:G,
        'Raw PhocalPoint Data'!A:A = 2009,
        'Raw PhocalPoint Data'!D:D = D215,
        'Raw PhocalPoint Data'!E:E = E215,
        'Raw PhocalPoint Data'!F:F = F215
      ) *
      (
        INDEX('Raw GDP data'!$I$"&amp;"2:$M$100,
          MATCH(D215, 'Raw GDP data'!$H$2:$H$100, 0),
          MATCH(2008, 'Raw GDP data'!$I$1:$M$1, 0)
        ) /
        INDEX('Raw GDP data'!$I$2:$M$100,
          MATCH(D215, 'Raw GDP data'!$H$2:$H$100, 0),
          MATCH(2009, 'Raw GDP d"&amp;"ata'!$I$1:$M$1, 0)
        )
      )
    ),
  IF(A215 &lt; 2008,
    (
      FILTER(G:G,
        A:A = 2008,
        D:D = D215,
        E:E = E215,
        F:F = F215
      ) /
      PRODUCT(
        ARRAYFORMULA(
          (
            (
              FIL"&amp;"TER('Raw PhocalPoint Data'!G:G,
                'Raw PhocalPoint Data'!A:A = 2012,
                'Raw PhocalPoint Data'!D:D = D215,
                'Raw PhocalPoint Data'!E:E = E215,
                'Raw PhocalPoint Data'!F:F = F215
              ) /
  "&amp;"            FILTER('Raw PhocalPoint Data'!G:G,
                'Raw PhocalPoint Data'!A:A = 2011,
                'Raw PhocalPoint Data'!D:D = D215,
                'Raw PhocalPoint Data'!E:E = E215,
                'Raw PhocalPoint Data'!F:F = F215
     "&amp;"         ) -
              ROW(INDIRECT(""1:"" &amp; (2008 - A215))) *
              (
                (
                  FILTER('Raw PhocalPoint Data'!G:G,
                    'Raw PhocalPoint Data'!A:A = 2012,
                    'Raw PhocalPoint Data'!D:D"&amp;" = D215,
                    'Raw PhocalPoint Data'!E:E = E215,
                    'Raw PhocalPoint Data'!F:F = F215
                  ) /
                  FILTER('Raw PhocalPoint Data'!G:G,
                    'Raw PhocalPoint Data'!A:A = 2011,
       "&amp;"             'Raw PhocalPoint Data'!D:D = D215,
                    'Raw PhocalPoint Data'!E:E = E215,
                    'Raw PhocalPoint Data'!F:F = F215
                  ) - 1
                ) / 5
              )
            )
          )
        )
"&amp;"      )
    ),
    (
      FILTER('Raw PhocalPoint Data'!G:G,
        'Raw PhocalPoint Data'!A:A = 2009,
        'Raw PhocalPoint Data'!D:D = D215,
        'Raw PhocalPoint Data'!E:E = E215,
        'Raw PhocalPoint Data'!F:F = F215
      ) /
      PRODUC"&amp;"T(
        ARRAYFORMULA(
          (
            FILTER('Raw PhocalPoint Data'!G:G,
              'Raw PhocalPoint Data'!A:A = 2012,
              'Raw PhocalPoint Data'!D:D = D215,
              'Raw PhocalPoint Data'!E:E = E215,
              'Raw Phoca"&amp;"lPoint Data'!F:F = F215
            ) /
            FILTER('Raw PhocalPoint Data'!G:G,
              'Raw PhocalPoint Data'!A:A = 2011,
              'Raw PhocalPoint Data'!D:D = D215,
              'Raw PhocalPoint Data'!E:E = E215,
              'Raw Ph"&amp;"ocalPoint Data'!F:F = F215
            ) -
            (ROW(INDIRECT(""1:"" &amp; (2010 - A215))) - 1) *
            (
              (
                FILTER('Raw PhocalPoint Data'!G:G,
                  'Raw PhocalPoint Data'!A:A = 2012,
                  'R"&amp;"aw PhocalPoint Data'!D:D = D215,
                  'Raw PhocalPoint Data'!E:E = E215,
                  'Raw PhocalPoint Data'!F:F = F215
                ) /
                FILTER('Raw PhocalPoint Data'!G:G,
                  'Raw PhocalPoint Data'!A:A ="&amp;" 2011,
                  'Raw PhocalPoint Data'!D:D = D215,
                  'Raw PhocalPoint Data'!E:E = E215,
                  'Raw PhocalPoint Data'!F:F = F215
                ) - 1
              ) / 5
            )
          )
        )
      )
    "&amp;") *
    INDEX('Raw GDP data'!$I$2:$M$100,
      MATCH(D215, 'Raw GDP data'!$H$2:$H$100, 0),
      MATCH(A215, 'Raw GDP data'!$I$1:$M$1, 0)
    )
  )),
  """"
)
"),562119909.830819)</f>
        <v>562119909.83081901</v>
      </c>
      <c r="H215" s="86"/>
      <c r="I215" s="87">
        <f ca="1">IFERROR(__xludf.DUMMYFUNCTION("""COMPUTED_VALUE"""),2010)</f>
        <v>2010</v>
      </c>
      <c r="J215" s="88" t="str">
        <f ca="1">IFERROR(__xludf.DUMMYFUNCTION("""COMPUTED_VALUE"""),"Czech Republic")</f>
        <v>Czech Republic</v>
      </c>
      <c r="K215" s="89">
        <f ca="1">IFERROR(
  SUMIFS(
    'New Backfilled Data'!G:G,
    'New Backfilled Data'!A:A, I215,
    'New Backfilled Data'!D:D, J215,
    'New Backfilled Data'!E:E, "Online"
  ) /
  SUMIFS(
    'New Backfilled Data'!G:G,
    'New Backfilled Data'!A:A, I215,
    'New Backfilled Data'!D:D, J215
  ),
  ""
)</f>
        <v>0.20058375246711238</v>
      </c>
      <c r="L215" s="90"/>
      <c r="M215" s="90"/>
    </row>
    <row r="216" spans="1:13" ht="17" x14ac:dyDescent="0.2">
      <c r="A216" s="37">
        <v>2006</v>
      </c>
      <c r="B216" s="38" t="s">
        <v>66</v>
      </c>
      <c r="C216" s="38" t="s">
        <v>35</v>
      </c>
      <c r="D216" s="38" t="s">
        <v>38</v>
      </c>
      <c r="E216" s="38" t="s">
        <v>67</v>
      </c>
      <c r="F216" s="38" t="s">
        <v>67</v>
      </c>
      <c r="G216" s="79">
        <f ca="1">IFERROR(__xludf.DUMMYFUNCTION("IFERROR(
  IF(A216 = 2008,
    IF(E216 = ""Online"",
      FILTER('Raw PhocalPoint Data'!G:G,
        'Raw PhocalPoint Data'!A:A = 2009,
        'Raw PhocalPoint Data'!D:D = D216,
        'Raw PhocalPoint Data'!E:E = E216,
        'Raw PhocalPoint Data'!F"&amp;":F = F216
      ) /
      (
        FILTER('Raw PhocalPoint Data'!G:G,
          'Raw PhocalPoint Data'!A:A = 2012,
          'Raw PhocalPoint Data'!D:D = D216,
          'Raw PhocalPoint Data'!E:E = E216,
          'Raw PhocalPoint Data'!F:F = F216
     "&amp;"   ) /
        FILTER('Raw PhocalPoint Data'!G:G,
          'Raw PhocalPoint Data'!A:A = 2011,
          'Raw PhocalPoint Data'!D:D = D216,
          'Raw PhocalPoint Data'!E:E = E216,
          'Raw PhocalPoint Data'!F:F = F216
        )
      ),
      F"&amp;"ILTER('Raw PhocalPoint Data'!G:G,
        'Raw PhocalPoint Data'!A:A = 2009,
        'Raw PhocalPoint Data'!D:D = D216,
        'Raw PhocalPoint Data'!E:E = E216,
        'Raw PhocalPoint Data'!F:F = F216
      ) *
      (
        INDEX('Raw GDP data'!$I$"&amp;"2:$M$100,
          MATCH(D216, 'Raw GDP data'!$H$2:$H$100, 0),
          MATCH(2008, 'Raw GDP data'!$I$1:$M$1, 0)
        ) /
        INDEX('Raw GDP data'!$I$2:$M$100,
          MATCH(D216, 'Raw GDP data'!$H$2:$H$100, 0),
          MATCH(2009, 'Raw GDP d"&amp;"ata'!$I$1:$M$1, 0)
        )
      )
    ),
  IF(A216 &lt; 2008,
    (
      FILTER(G:G,
        A:A = 2008,
        D:D = D216,
        E:E = E216,
        F:F = F216
      ) /
      PRODUCT(
        ARRAYFORMULA(
          (
            (
              FIL"&amp;"TER('Raw PhocalPoint Data'!G:G,
                'Raw PhocalPoint Data'!A:A = 2012,
                'Raw PhocalPoint Data'!D:D = D216,
                'Raw PhocalPoint Data'!E:E = E216,
                'Raw PhocalPoint Data'!F:F = F216
              ) /
  "&amp;"            FILTER('Raw PhocalPoint Data'!G:G,
                'Raw PhocalPoint Data'!A:A = 2011,
                'Raw PhocalPoint Data'!D:D = D216,
                'Raw PhocalPoint Data'!E:E = E216,
                'Raw PhocalPoint Data'!F:F = F216
     "&amp;"         ) -
              ROW(INDIRECT(""1:"" &amp; (2008 - A216))) *
              (
                (
                  FILTER('Raw PhocalPoint Data'!G:G,
                    'Raw PhocalPoint Data'!A:A = 2012,
                    'Raw PhocalPoint Data'!D:D"&amp;" = D216,
                    'Raw PhocalPoint Data'!E:E = E216,
                    'Raw PhocalPoint Data'!F:F = F216
                  ) /
                  FILTER('Raw PhocalPoint Data'!G:G,
                    'Raw PhocalPoint Data'!A:A = 2011,
       "&amp;"             'Raw PhocalPoint Data'!D:D = D216,
                    'Raw PhocalPoint Data'!E:E = E216,
                    'Raw PhocalPoint Data'!F:F = F216
                  ) - 1
                ) / 5
              )
            )
          )
        )
"&amp;"      )
    ),
    (
      FILTER('Raw PhocalPoint Data'!G:G,
        'Raw PhocalPoint Data'!A:A = 2009,
        'Raw PhocalPoint Data'!D:D = D216,
        'Raw PhocalPoint Data'!E:E = E216,
        'Raw PhocalPoint Data'!F:F = F216
      ) /
      PRODUC"&amp;"T(
        ARRAYFORMULA(
          (
            FILTER('Raw PhocalPoint Data'!G:G,
              'Raw PhocalPoint Data'!A:A = 2012,
              'Raw PhocalPoint Data'!D:D = D216,
              'Raw PhocalPoint Data'!E:E = E216,
              'Raw Phoca"&amp;"lPoint Data'!F:F = F216
            ) /
            FILTER('Raw PhocalPoint Data'!G:G,
              'Raw PhocalPoint Data'!A:A = 2011,
              'Raw PhocalPoint Data'!D:D = D216,
              'Raw PhocalPoint Data'!E:E = E216,
              'Raw Ph"&amp;"ocalPoint Data'!F:F = F216
            ) -
            (ROW(INDIRECT(""1:"" &amp; (2010 - A216))) - 1) *
            (
              (
                FILTER('Raw PhocalPoint Data'!G:G,
                  'Raw PhocalPoint Data'!A:A = 2012,
                  'R"&amp;"aw PhocalPoint Data'!D:D = D216,
                  'Raw PhocalPoint Data'!E:E = E216,
                  'Raw PhocalPoint Data'!F:F = F216
                ) /
                FILTER('Raw PhocalPoint Data'!G:G,
                  'Raw PhocalPoint Data'!A:A ="&amp;" 2011,
                  'Raw PhocalPoint Data'!D:D = D216,
                  'Raw PhocalPoint Data'!E:E = E216,
                  'Raw PhocalPoint Data'!F:F = F216
                ) - 1
              ) / 5
            )
          )
        )
      )
    "&amp;") *
    INDEX('Raw GDP data'!$I$2:$M$100,
      MATCH(D216, 'Raw GDP data'!$H$2:$H$100, 0),
      MATCH(A216, 'Raw GDP data'!$I$1:$M$1, 0)
    )
  )),
  """"
)
"),7838791892.43855)</f>
        <v>7838791892.43855</v>
      </c>
      <c r="H216" s="80"/>
      <c r="I216" s="81">
        <f ca="1">IFERROR(__xludf.DUMMYFUNCTION("""COMPUTED_VALUE"""),2010)</f>
        <v>2010</v>
      </c>
      <c r="J216" s="82" t="str">
        <f ca="1">IFERROR(__xludf.DUMMYFUNCTION("""COMPUTED_VALUE"""),"Greece")</f>
        <v>Greece</v>
      </c>
      <c r="K216" s="83">
        <f ca="1">IFERROR(
  SUMIFS(
    'New Backfilled Data'!G:G,
    'New Backfilled Data'!A:A, I216,
    'New Backfilled Data'!D:D, J216,
    'New Backfilled Data'!E:E, "Online"
  ) /
  SUMIFS(
    'New Backfilled Data'!G:G,
    'New Backfilled Data'!A:A, I216,
    'New Backfilled Data'!D:D, J216
  ),
  ""
)</f>
        <v>0.2146998795883554</v>
      </c>
      <c r="L216" s="84"/>
      <c r="M216" s="84"/>
    </row>
    <row r="217" spans="1:13" ht="17" x14ac:dyDescent="0.2">
      <c r="A217" s="44">
        <v>2006</v>
      </c>
      <c r="B217" s="45" t="s">
        <v>66</v>
      </c>
      <c r="C217" s="45" t="s">
        <v>35</v>
      </c>
      <c r="D217" s="45" t="s">
        <v>38</v>
      </c>
      <c r="E217" s="45" t="s">
        <v>69</v>
      </c>
      <c r="F217" s="45" t="s">
        <v>71</v>
      </c>
      <c r="G217" s="85">
        <f ca="1">IFERROR(__xludf.DUMMYFUNCTION("IFERROR(
  IF(A217 = 2008,
    IF(E217 = ""Online"",
      FILTER('Raw PhocalPoint Data'!G:G,
        'Raw PhocalPoint Data'!A:A = 2009,
        'Raw PhocalPoint Data'!D:D = D217,
        'Raw PhocalPoint Data'!E:E = E217,
        'Raw PhocalPoint Data'!F"&amp;":F = F217
      ) /
      (
        FILTER('Raw PhocalPoint Data'!G:G,
          'Raw PhocalPoint Data'!A:A = 2012,
          'Raw PhocalPoint Data'!D:D = D217,
          'Raw PhocalPoint Data'!E:E = E217,
          'Raw PhocalPoint Data'!F:F = F217
     "&amp;"   ) /
        FILTER('Raw PhocalPoint Data'!G:G,
          'Raw PhocalPoint Data'!A:A = 2011,
          'Raw PhocalPoint Data'!D:D = D217,
          'Raw PhocalPoint Data'!E:E = E217,
          'Raw PhocalPoint Data'!F:F = F217
        )
      ),
      F"&amp;"ILTER('Raw PhocalPoint Data'!G:G,
        'Raw PhocalPoint Data'!A:A = 2009,
        'Raw PhocalPoint Data'!D:D = D217,
        'Raw PhocalPoint Data'!E:E = E217,
        'Raw PhocalPoint Data'!F:F = F217
      ) *
      (
        INDEX('Raw GDP data'!$I$"&amp;"2:$M$100,
          MATCH(D217, 'Raw GDP data'!$H$2:$H$100, 0),
          MATCH(2008, 'Raw GDP data'!$I$1:$M$1, 0)
        ) /
        INDEX('Raw GDP data'!$I$2:$M$100,
          MATCH(D217, 'Raw GDP data'!$H$2:$H$100, 0),
          MATCH(2009, 'Raw GDP d"&amp;"ata'!$I$1:$M$1, 0)
        )
      )
    ),
  IF(A217 &lt; 2008,
    (
      FILTER(G:G,
        A:A = 2008,
        D:D = D217,
        E:E = E217,
        F:F = F217
      ) /
      PRODUCT(
        ARRAYFORMULA(
          (
            (
              FIL"&amp;"TER('Raw PhocalPoint Data'!G:G,
                'Raw PhocalPoint Data'!A:A = 2012,
                'Raw PhocalPoint Data'!D:D = D217,
                'Raw PhocalPoint Data'!E:E = E217,
                'Raw PhocalPoint Data'!F:F = F217
              ) /
  "&amp;"            FILTER('Raw PhocalPoint Data'!G:G,
                'Raw PhocalPoint Data'!A:A = 2011,
                'Raw PhocalPoint Data'!D:D = D217,
                'Raw PhocalPoint Data'!E:E = E217,
                'Raw PhocalPoint Data'!F:F = F217
     "&amp;"         ) -
              ROW(INDIRECT(""1:"" &amp; (2008 - A217))) *
              (
                (
                  FILTER('Raw PhocalPoint Data'!G:G,
                    'Raw PhocalPoint Data'!A:A = 2012,
                    'Raw PhocalPoint Data'!D:D"&amp;" = D217,
                    'Raw PhocalPoint Data'!E:E = E217,
                    'Raw PhocalPoint Data'!F:F = F217
                  ) /
                  FILTER('Raw PhocalPoint Data'!G:G,
                    'Raw PhocalPoint Data'!A:A = 2011,
       "&amp;"             'Raw PhocalPoint Data'!D:D = D217,
                    'Raw PhocalPoint Data'!E:E = E217,
                    'Raw PhocalPoint Data'!F:F = F217
                  ) - 1
                ) / 5
              )
            )
          )
        )
"&amp;"      )
    ),
    (
      FILTER('Raw PhocalPoint Data'!G:G,
        'Raw PhocalPoint Data'!A:A = 2009,
        'Raw PhocalPoint Data'!D:D = D217,
        'Raw PhocalPoint Data'!E:E = E217,
        'Raw PhocalPoint Data'!F:F = F217
      ) /
      PRODUC"&amp;"T(
        ARRAYFORMULA(
          (
            FILTER('Raw PhocalPoint Data'!G:G,
              'Raw PhocalPoint Data'!A:A = 2012,
              'Raw PhocalPoint Data'!D:D = D217,
              'Raw PhocalPoint Data'!E:E = E217,
              'Raw Phoca"&amp;"lPoint Data'!F:F = F217
            ) /
            FILTER('Raw PhocalPoint Data'!G:G,
              'Raw PhocalPoint Data'!A:A = 2011,
              'Raw PhocalPoint Data'!D:D = D217,
              'Raw PhocalPoint Data'!E:E = E217,
              'Raw Ph"&amp;"ocalPoint Data'!F:F = F217
            ) -
            (ROW(INDIRECT(""1:"" &amp; (2010 - A217))) - 1) *
            (
              (
                FILTER('Raw PhocalPoint Data'!G:G,
                  'Raw PhocalPoint Data'!A:A = 2012,
                  'R"&amp;"aw PhocalPoint Data'!D:D = D217,
                  'Raw PhocalPoint Data'!E:E = E217,
                  'Raw PhocalPoint Data'!F:F = F217
                ) /
                FILTER('Raw PhocalPoint Data'!G:G,
                  'Raw PhocalPoint Data'!A:A ="&amp;" 2011,
                  'Raw PhocalPoint Data'!D:D = D217,
                  'Raw PhocalPoint Data'!E:E = E217,
                  'Raw PhocalPoint Data'!F:F = F217
                ) - 1
              ) / 5
            )
          )
        )
      )
    "&amp;") *
    INDEX('Raw GDP data'!$I$2:$M$100,
      MATCH(D217, 'Raw GDP data'!$H$2:$H$100, 0),
      MATCH(A217, 'Raw GDP data'!$I$1:$M$1, 0)
    )
  )),
  """"
)
"),163395332.625015)</f>
        <v>163395332.62501499</v>
      </c>
      <c r="H217" s="86"/>
      <c r="I217" s="87">
        <f ca="1">IFERROR(__xludf.DUMMYFUNCTION("""COMPUTED_VALUE"""),2010)</f>
        <v>2010</v>
      </c>
      <c r="J217" s="88" t="str">
        <f ca="1">IFERROR(__xludf.DUMMYFUNCTION("""COMPUTED_VALUE"""),"Hungary")</f>
        <v>Hungary</v>
      </c>
      <c r="K217" s="89">
        <f ca="1">IFERROR(
  SUMIFS(
    'New Backfilled Data'!G:G,
    'New Backfilled Data'!A:A, I217,
    'New Backfilled Data'!D:D, J217,
    'New Backfilled Data'!E:E, "Online"
  ) /
  SUMIFS(
    'New Backfilled Data'!G:G,
    'New Backfilled Data'!A:A, I217,
    'New Backfilled Data'!D:D, J217
  ),
  ""
)</f>
        <v>0.22026813625440028</v>
      </c>
      <c r="L217" s="90"/>
      <c r="M217" s="90"/>
    </row>
    <row r="218" spans="1:13" ht="17" x14ac:dyDescent="0.2">
      <c r="A218" s="37">
        <v>2006</v>
      </c>
      <c r="B218" s="38" t="s">
        <v>66</v>
      </c>
      <c r="C218" s="38" t="s">
        <v>35</v>
      </c>
      <c r="D218" s="38" t="s">
        <v>38</v>
      </c>
      <c r="E218" s="38" t="s">
        <v>69</v>
      </c>
      <c r="F218" s="38" t="s">
        <v>70</v>
      </c>
      <c r="G218" s="79">
        <f ca="1">IFERROR(__xludf.DUMMYFUNCTION("IFERROR(
  IF(A218 = 2008,
    IF(E218 = ""Online"",
      FILTER('Raw PhocalPoint Data'!G:G,
        'Raw PhocalPoint Data'!A:A = 2009,
        'Raw PhocalPoint Data'!D:D = D218,
        'Raw PhocalPoint Data'!E:E = E218,
        'Raw PhocalPoint Data'!F"&amp;":F = F218
      ) /
      (
        FILTER('Raw PhocalPoint Data'!G:G,
          'Raw PhocalPoint Data'!A:A = 2012,
          'Raw PhocalPoint Data'!D:D = D218,
          'Raw PhocalPoint Data'!E:E = E218,
          'Raw PhocalPoint Data'!F:F = F218
     "&amp;"   ) /
        FILTER('Raw PhocalPoint Data'!G:G,
          'Raw PhocalPoint Data'!A:A = 2011,
          'Raw PhocalPoint Data'!D:D = D218,
          'Raw PhocalPoint Data'!E:E = E218,
          'Raw PhocalPoint Data'!F:F = F218
        )
      ),
      F"&amp;"ILTER('Raw PhocalPoint Data'!G:G,
        'Raw PhocalPoint Data'!A:A = 2009,
        'Raw PhocalPoint Data'!D:D = D218,
        'Raw PhocalPoint Data'!E:E = E218,
        'Raw PhocalPoint Data'!F:F = F218
      ) *
      (
        INDEX('Raw GDP data'!$I$"&amp;"2:$M$100,
          MATCH(D218, 'Raw GDP data'!$H$2:$H$100, 0),
          MATCH(2008, 'Raw GDP data'!$I$1:$M$1, 0)
        ) /
        INDEX('Raw GDP data'!$I$2:$M$100,
          MATCH(D218, 'Raw GDP data'!$H$2:$H$100, 0),
          MATCH(2009, 'Raw GDP d"&amp;"ata'!$I$1:$M$1, 0)
        )
      )
    ),
  IF(A218 &lt; 2008,
    (
      FILTER(G:G,
        A:A = 2008,
        D:D = D218,
        E:E = E218,
        F:F = F218
      ) /
      PRODUCT(
        ARRAYFORMULA(
          (
            (
              FIL"&amp;"TER('Raw PhocalPoint Data'!G:G,
                'Raw PhocalPoint Data'!A:A = 2012,
                'Raw PhocalPoint Data'!D:D = D218,
                'Raw PhocalPoint Data'!E:E = E218,
                'Raw PhocalPoint Data'!F:F = F218
              ) /
  "&amp;"            FILTER('Raw PhocalPoint Data'!G:G,
                'Raw PhocalPoint Data'!A:A = 2011,
                'Raw PhocalPoint Data'!D:D = D218,
                'Raw PhocalPoint Data'!E:E = E218,
                'Raw PhocalPoint Data'!F:F = F218
     "&amp;"         ) -
              ROW(INDIRECT(""1:"" &amp; (2008 - A218))) *
              (
                (
                  FILTER('Raw PhocalPoint Data'!G:G,
                    'Raw PhocalPoint Data'!A:A = 2012,
                    'Raw PhocalPoint Data'!D:D"&amp;" = D218,
                    'Raw PhocalPoint Data'!E:E = E218,
                    'Raw PhocalPoint Data'!F:F = F218
                  ) /
                  FILTER('Raw PhocalPoint Data'!G:G,
                    'Raw PhocalPoint Data'!A:A = 2011,
       "&amp;"             'Raw PhocalPoint Data'!D:D = D218,
                    'Raw PhocalPoint Data'!E:E = E218,
                    'Raw PhocalPoint Data'!F:F = F218
                  ) - 1
                ) / 5
              )
            )
          )
        )
"&amp;"      )
    ),
    (
      FILTER('Raw PhocalPoint Data'!G:G,
        'Raw PhocalPoint Data'!A:A = 2009,
        'Raw PhocalPoint Data'!D:D = D218,
        'Raw PhocalPoint Data'!E:E = E218,
        'Raw PhocalPoint Data'!F:F = F218
      ) /
      PRODUC"&amp;"T(
        ARRAYFORMULA(
          (
            FILTER('Raw PhocalPoint Data'!G:G,
              'Raw PhocalPoint Data'!A:A = 2012,
              'Raw PhocalPoint Data'!D:D = D218,
              'Raw PhocalPoint Data'!E:E = E218,
              'Raw Phoca"&amp;"lPoint Data'!F:F = F218
            ) /
            FILTER('Raw PhocalPoint Data'!G:G,
              'Raw PhocalPoint Data'!A:A = 2011,
              'Raw PhocalPoint Data'!D:D = D218,
              'Raw PhocalPoint Data'!E:E = E218,
              'Raw Ph"&amp;"ocalPoint Data'!F:F = F218
            ) -
            (ROW(INDIRECT(""1:"" &amp; (2010 - A218))) - 1) *
            (
              (
                FILTER('Raw PhocalPoint Data'!G:G,
                  'Raw PhocalPoint Data'!A:A = 2012,
                  'R"&amp;"aw PhocalPoint Data'!D:D = D218,
                  'Raw PhocalPoint Data'!E:E = E218,
                  'Raw PhocalPoint Data'!F:F = F218
                ) /
                FILTER('Raw PhocalPoint Data'!G:G,
                  'Raw PhocalPoint Data'!A:A ="&amp;" 2011,
                  'Raw PhocalPoint Data'!D:D = D218,
                  'Raw PhocalPoint Data'!E:E = E218,
                  'Raw PhocalPoint Data'!F:F = F218
                ) - 1
              ) / 5
            )
          )
        )
      )
    "&amp;") *
    INDEX('Raw GDP data'!$I$2:$M$100,
      MATCH(D218, 'Raw GDP data'!$H$2:$H$100, 0),
      MATCH(A218, 'Raw GDP data'!$I$1:$M$1, 0)
    )
  )),
  """"
)
"),110950997.285779)</f>
        <v>110950997.285779</v>
      </c>
      <c r="H218" s="80"/>
      <c r="I218" s="81">
        <f ca="1">IFERROR(__xludf.DUMMYFUNCTION("""COMPUTED_VALUE"""),2010)</f>
        <v>2010</v>
      </c>
      <c r="J218" s="82" t="str">
        <f ca="1">IFERROR(__xludf.DUMMYFUNCTION("""COMPUTED_VALUE"""),"Poland")</f>
        <v>Poland</v>
      </c>
      <c r="K218" s="83">
        <f ca="1">IFERROR(
  SUMIFS(
    'New Backfilled Data'!G:G,
    'New Backfilled Data'!A:A, I218,
    'New Backfilled Data'!D:D, J218,
    'New Backfilled Data'!E:E, "Online"
  ) /
  SUMIFS(
    'New Backfilled Data'!G:G,
    'New Backfilled Data'!A:A, I218,
    'New Backfilled Data'!D:D, J218
  ),
  ""
)</f>
        <v>0.18703941128750998</v>
      </c>
      <c r="L218" s="84"/>
      <c r="M218" s="84"/>
    </row>
    <row r="219" spans="1:13" ht="34" x14ac:dyDescent="0.2">
      <c r="A219" s="44">
        <v>2006</v>
      </c>
      <c r="B219" s="45" t="s">
        <v>66</v>
      </c>
      <c r="C219" s="45" t="s">
        <v>35</v>
      </c>
      <c r="D219" s="45" t="s">
        <v>39</v>
      </c>
      <c r="E219" s="45" t="s">
        <v>67</v>
      </c>
      <c r="F219" s="45" t="s">
        <v>67</v>
      </c>
      <c r="G219" s="85">
        <f ca="1">IFERROR(__xludf.DUMMYFUNCTION("IFERROR(
  IF(A219 = 2008,
    IF(E219 = ""Online"",
      FILTER('Raw PhocalPoint Data'!G:G,
        'Raw PhocalPoint Data'!A:A = 2009,
        'Raw PhocalPoint Data'!D:D = D219,
        'Raw PhocalPoint Data'!E:E = E219,
        'Raw PhocalPoint Data'!F"&amp;":F = F219
      ) /
      (
        FILTER('Raw PhocalPoint Data'!G:G,
          'Raw PhocalPoint Data'!A:A = 2012,
          'Raw PhocalPoint Data'!D:D = D219,
          'Raw PhocalPoint Data'!E:E = E219,
          'Raw PhocalPoint Data'!F:F = F219
     "&amp;"   ) /
        FILTER('Raw PhocalPoint Data'!G:G,
          'Raw PhocalPoint Data'!A:A = 2011,
          'Raw PhocalPoint Data'!D:D = D219,
          'Raw PhocalPoint Data'!E:E = E219,
          'Raw PhocalPoint Data'!F:F = F219
        )
      ),
      F"&amp;"ILTER('Raw PhocalPoint Data'!G:G,
        'Raw PhocalPoint Data'!A:A = 2009,
        'Raw PhocalPoint Data'!D:D = D219,
        'Raw PhocalPoint Data'!E:E = E219,
        'Raw PhocalPoint Data'!F:F = F219
      ) *
      (
        INDEX('Raw GDP data'!$I$"&amp;"2:$M$100,
          MATCH(D219, 'Raw GDP data'!$H$2:$H$100, 0),
          MATCH(2008, 'Raw GDP data'!$I$1:$M$1, 0)
        ) /
        INDEX('Raw GDP data'!$I$2:$M$100,
          MATCH(D219, 'Raw GDP data'!$H$2:$H$100, 0),
          MATCH(2009, 'Raw GDP d"&amp;"ata'!$I$1:$M$1, 0)
        )
      )
    ),
  IF(A219 &lt; 2008,
    (
      FILTER(G:G,
        A:A = 2008,
        D:D = D219,
        E:E = E219,
        F:F = F219
      ) /
      PRODUCT(
        ARRAYFORMULA(
          (
            (
              FIL"&amp;"TER('Raw PhocalPoint Data'!G:G,
                'Raw PhocalPoint Data'!A:A = 2012,
                'Raw PhocalPoint Data'!D:D = D219,
                'Raw PhocalPoint Data'!E:E = E219,
                'Raw PhocalPoint Data'!F:F = F219
              ) /
  "&amp;"            FILTER('Raw PhocalPoint Data'!G:G,
                'Raw PhocalPoint Data'!A:A = 2011,
                'Raw PhocalPoint Data'!D:D = D219,
                'Raw PhocalPoint Data'!E:E = E219,
                'Raw PhocalPoint Data'!F:F = F219
     "&amp;"         ) -
              ROW(INDIRECT(""1:"" &amp; (2008 - A219))) *
              (
                (
                  FILTER('Raw PhocalPoint Data'!G:G,
                    'Raw PhocalPoint Data'!A:A = 2012,
                    'Raw PhocalPoint Data'!D:D"&amp;" = D219,
                    'Raw PhocalPoint Data'!E:E = E219,
                    'Raw PhocalPoint Data'!F:F = F219
                  ) /
                  FILTER('Raw PhocalPoint Data'!G:G,
                    'Raw PhocalPoint Data'!A:A = 2011,
       "&amp;"             'Raw PhocalPoint Data'!D:D = D219,
                    'Raw PhocalPoint Data'!E:E = E219,
                    'Raw PhocalPoint Data'!F:F = F219
                  ) - 1
                ) / 5
              )
            )
          )
        )
"&amp;"      )
    ),
    (
      FILTER('Raw PhocalPoint Data'!G:G,
        'Raw PhocalPoint Data'!A:A = 2009,
        'Raw PhocalPoint Data'!D:D = D219,
        'Raw PhocalPoint Data'!E:E = E219,
        'Raw PhocalPoint Data'!F:F = F219
      ) /
      PRODUC"&amp;"T(
        ARRAYFORMULA(
          (
            FILTER('Raw PhocalPoint Data'!G:G,
              'Raw PhocalPoint Data'!A:A = 2012,
              'Raw PhocalPoint Data'!D:D = D219,
              'Raw PhocalPoint Data'!E:E = E219,
              'Raw Phoca"&amp;"lPoint Data'!F:F = F219
            ) /
            FILTER('Raw PhocalPoint Data'!G:G,
              'Raw PhocalPoint Data'!A:A = 2011,
              'Raw PhocalPoint Data'!D:D = D219,
              'Raw PhocalPoint Data'!E:E = E219,
              'Raw Ph"&amp;"ocalPoint Data'!F:F = F219
            ) -
            (ROW(INDIRECT(""1:"" &amp; (2010 - A219))) - 1) *
            (
              (
                FILTER('Raw PhocalPoint Data'!G:G,
                  'Raw PhocalPoint Data'!A:A = 2012,
                  'R"&amp;"aw PhocalPoint Data'!D:D = D219,
                  'Raw PhocalPoint Data'!E:E = E219,
                  'Raw PhocalPoint Data'!F:F = F219
                ) /
                FILTER('Raw PhocalPoint Data'!G:G,
                  'Raw PhocalPoint Data'!A:A ="&amp;" 2011,
                  'Raw PhocalPoint Data'!D:D = D219,
                  'Raw PhocalPoint Data'!E:E = E219,
                  'Raw PhocalPoint Data'!F:F = F219
                ) - 1
              ) / 5
            )
          )
        )
      )
    "&amp;") *
    INDEX('Raw GDP data'!$I$2:$M$100,
      MATCH(D219, 'Raw GDP data'!$H$2:$H$100, 0),
      MATCH(A219, 'Raw GDP data'!$I$1:$M$1, 0)
    )
  )),
  """"
)
"),18966401714.1502)</f>
        <v>18966401714.1502</v>
      </c>
      <c r="H219" s="86"/>
      <c r="I219" s="87">
        <f ca="1">IFERROR(__xludf.DUMMYFUNCTION("""COMPUTED_VALUE"""),2010)</f>
        <v>2010</v>
      </c>
      <c r="J219" s="88" t="str">
        <f ca="1">IFERROR(__xludf.DUMMYFUNCTION("""COMPUTED_VALUE"""),"Rest of Eastern Europe")</f>
        <v>Rest of Eastern Europe</v>
      </c>
      <c r="K219" s="89">
        <f ca="1">IFERROR(
  SUMIFS(
    'New Backfilled Data'!G:G,
    'New Backfilled Data'!A:A, I219,
    'New Backfilled Data'!D:D, J219,
    'New Backfilled Data'!E:E, "Online"
  ) /
  SUMIFS(
    'New Backfilled Data'!G:G,
    'New Backfilled Data'!A:A, I219,
    'New Backfilled Data'!D:D, J219
  ),
  ""
)</f>
        <v>0.12848502435830639</v>
      </c>
      <c r="L219" s="90"/>
      <c r="M219" s="90"/>
    </row>
    <row r="220" spans="1:13" ht="17" x14ac:dyDescent="0.2">
      <c r="A220" s="37">
        <v>2006</v>
      </c>
      <c r="B220" s="38" t="s">
        <v>66</v>
      </c>
      <c r="C220" s="38" t="s">
        <v>35</v>
      </c>
      <c r="D220" s="38" t="s">
        <v>39</v>
      </c>
      <c r="E220" s="38" t="s">
        <v>69</v>
      </c>
      <c r="F220" s="38" t="s">
        <v>71</v>
      </c>
      <c r="G220" s="79">
        <f ca="1">IFERROR(__xludf.DUMMYFUNCTION("IFERROR(
  IF(A220 = 2008,
    IF(E220 = ""Online"",
      FILTER('Raw PhocalPoint Data'!G:G,
        'Raw PhocalPoint Data'!A:A = 2009,
        'Raw PhocalPoint Data'!D:D = D220,
        'Raw PhocalPoint Data'!E:E = E220,
        'Raw PhocalPoint Data'!F"&amp;":F = F220
      ) /
      (
        FILTER('Raw PhocalPoint Data'!G:G,
          'Raw PhocalPoint Data'!A:A = 2012,
          'Raw PhocalPoint Data'!D:D = D220,
          'Raw PhocalPoint Data'!E:E = E220,
          'Raw PhocalPoint Data'!F:F = F220
     "&amp;"   ) /
        FILTER('Raw PhocalPoint Data'!G:G,
          'Raw PhocalPoint Data'!A:A = 2011,
          'Raw PhocalPoint Data'!D:D = D220,
          'Raw PhocalPoint Data'!E:E = E220,
          'Raw PhocalPoint Data'!F:F = F220
        )
      ),
      F"&amp;"ILTER('Raw PhocalPoint Data'!G:G,
        'Raw PhocalPoint Data'!A:A = 2009,
        'Raw PhocalPoint Data'!D:D = D220,
        'Raw PhocalPoint Data'!E:E = E220,
        'Raw PhocalPoint Data'!F:F = F220
      ) *
      (
        INDEX('Raw GDP data'!$I$"&amp;"2:$M$100,
          MATCH(D220, 'Raw GDP data'!$H$2:$H$100, 0),
          MATCH(2008, 'Raw GDP data'!$I$1:$M$1, 0)
        ) /
        INDEX('Raw GDP data'!$I$2:$M$100,
          MATCH(D220, 'Raw GDP data'!$H$2:$H$100, 0),
          MATCH(2009, 'Raw GDP d"&amp;"ata'!$I$1:$M$1, 0)
        )
      )
    ),
  IF(A220 &lt; 2008,
    (
      FILTER(G:G,
        A:A = 2008,
        D:D = D220,
        E:E = E220,
        F:F = F220
      ) /
      PRODUCT(
        ARRAYFORMULA(
          (
            (
              FIL"&amp;"TER('Raw PhocalPoint Data'!G:G,
                'Raw PhocalPoint Data'!A:A = 2012,
                'Raw PhocalPoint Data'!D:D = D220,
                'Raw PhocalPoint Data'!E:E = E220,
                'Raw PhocalPoint Data'!F:F = F220
              ) /
  "&amp;"            FILTER('Raw PhocalPoint Data'!G:G,
                'Raw PhocalPoint Data'!A:A = 2011,
                'Raw PhocalPoint Data'!D:D = D220,
                'Raw PhocalPoint Data'!E:E = E220,
                'Raw PhocalPoint Data'!F:F = F220
     "&amp;"         ) -
              ROW(INDIRECT(""1:"" &amp; (2008 - A220))) *
              (
                (
                  FILTER('Raw PhocalPoint Data'!G:G,
                    'Raw PhocalPoint Data'!A:A = 2012,
                    'Raw PhocalPoint Data'!D:D"&amp;" = D220,
                    'Raw PhocalPoint Data'!E:E = E220,
                    'Raw PhocalPoint Data'!F:F = F220
                  ) /
                  FILTER('Raw PhocalPoint Data'!G:G,
                    'Raw PhocalPoint Data'!A:A = 2011,
       "&amp;"             'Raw PhocalPoint Data'!D:D = D220,
                    'Raw PhocalPoint Data'!E:E = E220,
                    'Raw PhocalPoint Data'!F:F = F220
                  ) - 1
                ) / 5
              )
            )
          )
        )
"&amp;"      )
    ),
    (
      FILTER('Raw PhocalPoint Data'!G:G,
        'Raw PhocalPoint Data'!A:A = 2009,
        'Raw PhocalPoint Data'!D:D = D220,
        'Raw PhocalPoint Data'!E:E = E220,
        'Raw PhocalPoint Data'!F:F = F220
      ) /
      PRODUC"&amp;"T(
        ARRAYFORMULA(
          (
            FILTER('Raw PhocalPoint Data'!G:G,
              'Raw PhocalPoint Data'!A:A = 2012,
              'Raw PhocalPoint Data'!D:D = D220,
              'Raw PhocalPoint Data'!E:E = E220,
              'Raw Phoca"&amp;"lPoint Data'!F:F = F220
            ) /
            FILTER('Raw PhocalPoint Data'!G:G,
              'Raw PhocalPoint Data'!A:A = 2011,
              'Raw PhocalPoint Data'!D:D = D220,
              'Raw PhocalPoint Data'!E:E = E220,
              'Raw Ph"&amp;"ocalPoint Data'!F:F = F220
            ) -
            (ROW(INDIRECT(""1:"" &amp; (2010 - A220))) - 1) *
            (
              (
                FILTER('Raw PhocalPoint Data'!G:G,
                  'Raw PhocalPoint Data'!A:A = 2012,
                  'R"&amp;"aw PhocalPoint Data'!D:D = D220,
                  'Raw PhocalPoint Data'!E:E = E220,
                  'Raw PhocalPoint Data'!F:F = F220
                ) /
                FILTER('Raw PhocalPoint Data'!G:G,
                  'Raw PhocalPoint Data'!A:A ="&amp;" 2011,
                  'Raw PhocalPoint Data'!D:D = D220,
                  'Raw PhocalPoint Data'!E:E = E220,
                  'Raw PhocalPoint Data'!F:F = F220
                ) - 1
              ) / 5
            )
          )
        )
      )
    "&amp;") *
    INDEX('Raw GDP data'!$I$2:$M$100,
      MATCH(D220, 'Raw GDP data'!$H$2:$H$100, 0),
      MATCH(A220, 'Raw GDP data'!$I$1:$M$1, 0)
    )
  )),
  """"
)
"),1321593149.60351)</f>
        <v>1321593149.6035099</v>
      </c>
      <c r="H220" s="80"/>
      <c r="I220" s="81">
        <f ca="1">IFERROR(__xludf.DUMMYFUNCTION("""COMPUTED_VALUE"""),2010)</f>
        <v>2010</v>
      </c>
      <c r="J220" s="82" t="str">
        <f ca="1">IFERROR(__xludf.DUMMYFUNCTION("""COMPUTED_VALUE"""),"Romania")</f>
        <v>Romania</v>
      </c>
      <c r="K220" s="83">
        <f ca="1">IFERROR(
  SUMIFS(
    'New Backfilled Data'!G:G,
    'New Backfilled Data'!A:A, I220,
    'New Backfilled Data'!D:D, J220,
    'New Backfilled Data'!E:E, "Online"
  ) /
  SUMIFS(
    'New Backfilled Data'!G:G,
    'New Backfilled Data'!A:A, I220,
    'New Backfilled Data'!D:D, J220
  ),
  ""
)</f>
        <v>0.14346806293475881</v>
      </c>
      <c r="L220" s="84"/>
      <c r="M220" s="84"/>
    </row>
    <row r="221" spans="1:13" ht="17" x14ac:dyDescent="0.2">
      <c r="A221" s="44">
        <v>2006</v>
      </c>
      <c r="B221" s="45" t="s">
        <v>66</v>
      </c>
      <c r="C221" s="45" t="s">
        <v>35</v>
      </c>
      <c r="D221" s="45" t="s">
        <v>39</v>
      </c>
      <c r="E221" s="45" t="s">
        <v>69</v>
      </c>
      <c r="F221" s="45" t="s">
        <v>70</v>
      </c>
      <c r="G221" s="85">
        <f ca="1">IFERROR(__xludf.DUMMYFUNCTION("IFERROR(
  IF(A221 = 2008,
    IF(E221 = ""Online"",
      FILTER('Raw PhocalPoint Data'!G:G,
        'Raw PhocalPoint Data'!A:A = 2009,
        'Raw PhocalPoint Data'!D:D = D221,
        'Raw PhocalPoint Data'!E:E = E221,
        'Raw PhocalPoint Data'!F"&amp;":F = F221
      ) /
      (
        FILTER('Raw PhocalPoint Data'!G:G,
          'Raw PhocalPoint Data'!A:A = 2012,
          'Raw PhocalPoint Data'!D:D = D221,
          'Raw PhocalPoint Data'!E:E = E221,
          'Raw PhocalPoint Data'!F:F = F221
     "&amp;"   ) /
        FILTER('Raw PhocalPoint Data'!G:G,
          'Raw PhocalPoint Data'!A:A = 2011,
          'Raw PhocalPoint Data'!D:D = D221,
          'Raw PhocalPoint Data'!E:E = E221,
          'Raw PhocalPoint Data'!F:F = F221
        )
      ),
      F"&amp;"ILTER('Raw PhocalPoint Data'!G:G,
        'Raw PhocalPoint Data'!A:A = 2009,
        'Raw PhocalPoint Data'!D:D = D221,
        'Raw PhocalPoint Data'!E:E = E221,
        'Raw PhocalPoint Data'!F:F = F221
      ) *
      (
        INDEX('Raw GDP data'!$I$"&amp;"2:$M$100,
          MATCH(D221, 'Raw GDP data'!$H$2:$H$100, 0),
          MATCH(2008, 'Raw GDP data'!$I$1:$M$1, 0)
        ) /
        INDEX('Raw GDP data'!$I$2:$M$100,
          MATCH(D221, 'Raw GDP data'!$H$2:$H$100, 0),
          MATCH(2009, 'Raw GDP d"&amp;"ata'!$I$1:$M$1, 0)
        )
      )
    ),
  IF(A221 &lt; 2008,
    (
      FILTER(G:G,
        A:A = 2008,
        D:D = D221,
        E:E = E221,
        F:F = F221
      ) /
      PRODUCT(
        ARRAYFORMULA(
          (
            (
              FIL"&amp;"TER('Raw PhocalPoint Data'!G:G,
                'Raw PhocalPoint Data'!A:A = 2012,
                'Raw PhocalPoint Data'!D:D = D221,
                'Raw PhocalPoint Data'!E:E = E221,
                'Raw PhocalPoint Data'!F:F = F221
              ) /
  "&amp;"            FILTER('Raw PhocalPoint Data'!G:G,
                'Raw PhocalPoint Data'!A:A = 2011,
                'Raw PhocalPoint Data'!D:D = D221,
                'Raw PhocalPoint Data'!E:E = E221,
                'Raw PhocalPoint Data'!F:F = F221
     "&amp;"         ) -
              ROW(INDIRECT(""1:"" &amp; (2008 - A221))) *
              (
                (
                  FILTER('Raw PhocalPoint Data'!G:G,
                    'Raw PhocalPoint Data'!A:A = 2012,
                    'Raw PhocalPoint Data'!D:D"&amp;" = D221,
                    'Raw PhocalPoint Data'!E:E = E221,
                    'Raw PhocalPoint Data'!F:F = F221
                  ) /
                  FILTER('Raw PhocalPoint Data'!G:G,
                    'Raw PhocalPoint Data'!A:A = 2011,
       "&amp;"             'Raw PhocalPoint Data'!D:D = D221,
                    'Raw PhocalPoint Data'!E:E = E221,
                    'Raw PhocalPoint Data'!F:F = F221
                  ) - 1
                ) / 5
              )
            )
          )
        )
"&amp;"      )
    ),
    (
      FILTER('Raw PhocalPoint Data'!G:G,
        'Raw PhocalPoint Data'!A:A = 2009,
        'Raw PhocalPoint Data'!D:D = D221,
        'Raw PhocalPoint Data'!E:E = E221,
        'Raw PhocalPoint Data'!F:F = F221
      ) /
      PRODUC"&amp;"T(
        ARRAYFORMULA(
          (
            FILTER('Raw PhocalPoint Data'!G:G,
              'Raw PhocalPoint Data'!A:A = 2012,
              'Raw PhocalPoint Data'!D:D = D221,
              'Raw PhocalPoint Data'!E:E = E221,
              'Raw Phoca"&amp;"lPoint Data'!F:F = F221
            ) /
            FILTER('Raw PhocalPoint Data'!G:G,
              'Raw PhocalPoint Data'!A:A = 2011,
              'Raw PhocalPoint Data'!D:D = D221,
              'Raw PhocalPoint Data'!E:E = E221,
              'Raw Ph"&amp;"ocalPoint Data'!F:F = F221
            ) -
            (ROW(INDIRECT(""1:"" &amp; (2010 - A221))) - 1) *
            (
              (
                FILTER('Raw PhocalPoint Data'!G:G,
                  'Raw PhocalPoint Data'!A:A = 2012,
                  'R"&amp;"aw PhocalPoint Data'!D:D = D221,
                  'Raw PhocalPoint Data'!E:E = E221,
                  'Raw PhocalPoint Data'!F:F = F221
                ) /
                FILTER('Raw PhocalPoint Data'!G:G,
                  'Raw PhocalPoint Data'!A:A ="&amp;" 2011,
                  'Raw PhocalPoint Data'!D:D = D221,
                  'Raw PhocalPoint Data'!E:E = E221,
                  'Raw PhocalPoint Data'!F:F = F221
                ) - 1
              ) / 5
            )
          )
        )
      )
    "&amp;") *
    INDEX('Raw GDP data'!$I$2:$M$100,
      MATCH(D221, 'Raw GDP data'!$H$2:$H$100, 0),
      MATCH(A221, 'Raw GDP data'!$I$1:$M$1, 0)
    )
  )),
  """"
)
"),442478361.596743)</f>
        <v>442478361.59674299</v>
      </c>
      <c r="H221" s="86"/>
      <c r="I221" s="87">
        <f ca="1">IFERROR(__xludf.DUMMYFUNCTION("""COMPUTED_VALUE"""),2010)</f>
        <v>2010</v>
      </c>
      <c r="J221" s="88" t="str">
        <f ca="1">IFERROR(__xludf.DUMMYFUNCTION("""COMPUTED_VALUE"""),"Russia")</f>
        <v>Russia</v>
      </c>
      <c r="K221" s="89">
        <f ca="1">IFERROR(
  SUMIFS(
    'New Backfilled Data'!G:G,
    'New Backfilled Data'!A:A, I221,
    'New Backfilled Data'!D:D, J221,
    'New Backfilled Data'!E:E, "Online"
  ) /
  SUMIFS(
    'New Backfilled Data'!G:G,
    'New Backfilled Data'!A:A, I221,
    'New Backfilled Data'!D:D, J221
  ),
  ""
)</f>
        <v>8.4881338914336302E-2</v>
      </c>
      <c r="L221" s="90"/>
      <c r="M221" s="90"/>
    </row>
    <row r="222" spans="1:13" ht="17" x14ac:dyDescent="0.2">
      <c r="A222" s="37">
        <v>2006</v>
      </c>
      <c r="B222" s="38" t="s">
        <v>66</v>
      </c>
      <c r="C222" s="38" t="s">
        <v>41</v>
      </c>
      <c r="D222" s="38" t="s">
        <v>40</v>
      </c>
      <c r="E222" s="38" t="s">
        <v>67</v>
      </c>
      <c r="F222" s="38" t="s">
        <v>67</v>
      </c>
      <c r="G222" s="79">
        <f ca="1">IFERROR(__xludf.DUMMYFUNCTION("IFERROR(
  IF(A222 = 2008,
    IF(E222 = ""Online"",
      FILTER('Raw PhocalPoint Data'!G:G,
        'Raw PhocalPoint Data'!A:A = 2009,
        'Raw PhocalPoint Data'!D:D = D222,
        'Raw PhocalPoint Data'!E:E = E222,
        'Raw PhocalPoint Data'!F"&amp;":F = F222
      ) /
      (
        FILTER('Raw PhocalPoint Data'!G:G,
          'Raw PhocalPoint Data'!A:A = 2012,
          'Raw PhocalPoint Data'!D:D = D222,
          'Raw PhocalPoint Data'!E:E = E222,
          'Raw PhocalPoint Data'!F:F = F222
     "&amp;"   ) /
        FILTER('Raw PhocalPoint Data'!G:G,
          'Raw PhocalPoint Data'!A:A = 2011,
          'Raw PhocalPoint Data'!D:D = D222,
          'Raw PhocalPoint Data'!E:E = E222,
          'Raw PhocalPoint Data'!F:F = F222
        )
      ),
      F"&amp;"ILTER('Raw PhocalPoint Data'!G:G,
        'Raw PhocalPoint Data'!A:A = 2009,
        'Raw PhocalPoint Data'!D:D = D222,
        'Raw PhocalPoint Data'!E:E = E222,
        'Raw PhocalPoint Data'!F:F = F222
      ) *
      (
        INDEX('Raw GDP data'!$I$"&amp;"2:$M$100,
          MATCH(D222, 'Raw GDP data'!$H$2:$H$100, 0),
          MATCH(2008, 'Raw GDP data'!$I$1:$M$1, 0)
        ) /
        INDEX('Raw GDP data'!$I$2:$M$100,
          MATCH(D222, 'Raw GDP data'!$H$2:$H$100, 0),
          MATCH(2009, 'Raw GDP d"&amp;"ata'!$I$1:$M$1, 0)
        )
      )
    ),
  IF(A222 &lt; 2008,
    (
      FILTER(G:G,
        A:A = 2008,
        D:D = D222,
        E:E = E222,
        F:F = F222
      ) /
      PRODUCT(
        ARRAYFORMULA(
          (
            (
              FIL"&amp;"TER('Raw PhocalPoint Data'!G:G,
                'Raw PhocalPoint Data'!A:A = 2012,
                'Raw PhocalPoint Data'!D:D = D222,
                'Raw PhocalPoint Data'!E:E = E222,
                'Raw PhocalPoint Data'!F:F = F222
              ) /
  "&amp;"            FILTER('Raw PhocalPoint Data'!G:G,
                'Raw PhocalPoint Data'!A:A = 2011,
                'Raw PhocalPoint Data'!D:D = D222,
                'Raw PhocalPoint Data'!E:E = E222,
                'Raw PhocalPoint Data'!F:F = F222
     "&amp;"         ) -
              ROW(INDIRECT(""1:"" &amp; (2008 - A222))) *
              (
                (
                  FILTER('Raw PhocalPoint Data'!G:G,
                    'Raw PhocalPoint Data'!A:A = 2012,
                    'Raw PhocalPoint Data'!D:D"&amp;" = D222,
                    'Raw PhocalPoint Data'!E:E = E222,
                    'Raw PhocalPoint Data'!F:F = F222
                  ) /
                  FILTER('Raw PhocalPoint Data'!G:G,
                    'Raw PhocalPoint Data'!A:A = 2011,
       "&amp;"             'Raw PhocalPoint Data'!D:D = D222,
                    'Raw PhocalPoint Data'!E:E = E222,
                    'Raw PhocalPoint Data'!F:F = F222
                  ) - 1
                ) / 5
              )
            )
          )
        )
"&amp;"      )
    ),
    (
      FILTER('Raw PhocalPoint Data'!G:G,
        'Raw PhocalPoint Data'!A:A = 2009,
        'Raw PhocalPoint Data'!D:D = D222,
        'Raw PhocalPoint Data'!E:E = E222,
        'Raw PhocalPoint Data'!F:F = F222
      ) /
      PRODUC"&amp;"T(
        ARRAYFORMULA(
          (
            FILTER('Raw PhocalPoint Data'!G:G,
              'Raw PhocalPoint Data'!A:A = 2012,
              'Raw PhocalPoint Data'!D:D = D222,
              'Raw PhocalPoint Data'!E:E = E222,
              'Raw Phoca"&amp;"lPoint Data'!F:F = F222
            ) /
            FILTER('Raw PhocalPoint Data'!G:G,
              'Raw PhocalPoint Data'!A:A = 2011,
              'Raw PhocalPoint Data'!D:D = D222,
              'Raw PhocalPoint Data'!E:E = E222,
              'Raw Ph"&amp;"ocalPoint Data'!F:F = F222
            ) -
            (ROW(INDIRECT(""1:"" &amp; (2010 - A222))) - 1) *
            (
              (
                FILTER('Raw PhocalPoint Data'!G:G,
                  'Raw PhocalPoint Data'!A:A = 2012,
                  'R"&amp;"aw PhocalPoint Data'!D:D = D222,
                  'Raw PhocalPoint Data'!E:E = E222,
                  'Raw PhocalPoint Data'!F:F = F222
                ) /
                FILTER('Raw PhocalPoint Data'!G:G,
                  'Raw PhocalPoint Data'!A:A ="&amp;" 2011,
                  'Raw PhocalPoint Data'!D:D = D222,
                  'Raw PhocalPoint Data'!E:E = E222,
                  'Raw PhocalPoint Data'!F:F = F222
                ) - 1
              ) / 5
            )
          )
        )
      )
    "&amp;") *
    INDEX('Raw GDP data'!$I$2:$M$100,
      MATCH(D222, 'Raw GDP data'!$H$2:$H$100, 0),
      MATCH(A222, 'Raw GDP data'!$I$1:$M$1, 0)
    )
  )),
  """"
)
"),5512060833.30701)</f>
        <v>5512060833.3070097</v>
      </c>
      <c r="H222" s="80"/>
      <c r="I222" s="81">
        <f ca="1">IFERROR(__xludf.DUMMYFUNCTION("""COMPUTED_VALUE"""),2010)</f>
        <v>2010</v>
      </c>
      <c r="J222" s="82" t="str">
        <f ca="1">IFERROR(__xludf.DUMMYFUNCTION("""COMPUTED_VALUE"""),"Ukraine")</f>
        <v>Ukraine</v>
      </c>
      <c r="K222" s="83">
        <f ca="1">IFERROR(
  SUMIFS(
    'New Backfilled Data'!G:G,
    'New Backfilled Data'!A:A, I222,
    'New Backfilled Data'!D:D, J222,
    'New Backfilled Data'!E:E, "Online"
  ) /
  SUMIFS(
    'New Backfilled Data'!G:G,
    'New Backfilled Data'!A:A, I222,
    'New Backfilled Data'!D:D, J222
  ),
  ""
)</f>
        <v>0.14839244683964545</v>
      </c>
      <c r="L222" s="84"/>
      <c r="M222" s="84"/>
    </row>
    <row r="223" spans="1:13" ht="17" x14ac:dyDescent="0.2">
      <c r="A223" s="44">
        <v>2006</v>
      </c>
      <c r="B223" s="45" t="s">
        <v>66</v>
      </c>
      <c r="C223" s="45" t="s">
        <v>41</v>
      </c>
      <c r="D223" s="45" t="s">
        <v>40</v>
      </c>
      <c r="E223" s="45" t="s">
        <v>69</v>
      </c>
      <c r="F223" s="45" t="s">
        <v>71</v>
      </c>
      <c r="G223" s="85">
        <f ca="1">IFERROR(__xludf.DUMMYFUNCTION("IFERROR(
  IF(A223 = 2008,
    IF(E223 = ""Online"",
      FILTER('Raw PhocalPoint Data'!G:G,
        'Raw PhocalPoint Data'!A:A = 2009,
        'Raw PhocalPoint Data'!D:D = D223,
        'Raw PhocalPoint Data'!E:E = E223,
        'Raw PhocalPoint Data'!F"&amp;":F = F223
      ) /
      (
        FILTER('Raw PhocalPoint Data'!G:G,
          'Raw PhocalPoint Data'!A:A = 2012,
          'Raw PhocalPoint Data'!D:D = D223,
          'Raw PhocalPoint Data'!E:E = E223,
          'Raw PhocalPoint Data'!F:F = F223
     "&amp;"   ) /
        FILTER('Raw PhocalPoint Data'!G:G,
          'Raw PhocalPoint Data'!A:A = 2011,
          'Raw PhocalPoint Data'!D:D = D223,
          'Raw PhocalPoint Data'!E:E = E223,
          'Raw PhocalPoint Data'!F:F = F223
        )
      ),
      F"&amp;"ILTER('Raw PhocalPoint Data'!G:G,
        'Raw PhocalPoint Data'!A:A = 2009,
        'Raw PhocalPoint Data'!D:D = D223,
        'Raw PhocalPoint Data'!E:E = E223,
        'Raw PhocalPoint Data'!F:F = F223
      ) *
      (
        INDEX('Raw GDP data'!$I$"&amp;"2:$M$100,
          MATCH(D223, 'Raw GDP data'!$H$2:$H$100, 0),
          MATCH(2008, 'Raw GDP data'!$I$1:$M$1, 0)
        ) /
        INDEX('Raw GDP data'!$I$2:$M$100,
          MATCH(D223, 'Raw GDP data'!$H$2:$H$100, 0),
          MATCH(2009, 'Raw GDP d"&amp;"ata'!$I$1:$M$1, 0)
        )
      )
    ),
  IF(A223 &lt; 2008,
    (
      FILTER(G:G,
        A:A = 2008,
        D:D = D223,
        E:E = E223,
        F:F = F223
      ) /
      PRODUCT(
        ARRAYFORMULA(
          (
            (
              FIL"&amp;"TER('Raw PhocalPoint Data'!G:G,
                'Raw PhocalPoint Data'!A:A = 2012,
                'Raw PhocalPoint Data'!D:D = D223,
                'Raw PhocalPoint Data'!E:E = E223,
                'Raw PhocalPoint Data'!F:F = F223
              ) /
  "&amp;"            FILTER('Raw PhocalPoint Data'!G:G,
                'Raw PhocalPoint Data'!A:A = 2011,
                'Raw PhocalPoint Data'!D:D = D223,
                'Raw PhocalPoint Data'!E:E = E223,
                'Raw PhocalPoint Data'!F:F = F223
     "&amp;"         ) -
              ROW(INDIRECT(""1:"" &amp; (2008 - A223))) *
              (
                (
                  FILTER('Raw PhocalPoint Data'!G:G,
                    'Raw PhocalPoint Data'!A:A = 2012,
                    'Raw PhocalPoint Data'!D:D"&amp;" = D223,
                    'Raw PhocalPoint Data'!E:E = E223,
                    'Raw PhocalPoint Data'!F:F = F223
                  ) /
                  FILTER('Raw PhocalPoint Data'!G:G,
                    'Raw PhocalPoint Data'!A:A = 2011,
       "&amp;"             'Raw PhocalPoint Data'!D:D = D223,
                    'Raw PhocalPoint Data'!E:E = E223,
                    'Raw PhocalPoint Data'!F:F = F223
                  ) - 1
                ) / 5
              )
            )
          )
        )
"&amp;"      )
    ),
    (
      FILTER('Raw PhocalPoint Data'!G:G,
        'Raw PhocalPoint Data'!A:A = 2009,
        'Raw PhocalPoint Data'!D:D = D223,
        'Raw PhocalPoint Data'!E:E = E223,
        'Raw PhocalPoint Data'!F:F = F223
      ) /
      PRODUC"&amp;"T(
        ARRAYFORMULA(
          (
            FILTER('Raw PhocalPoint Data'!G:G,
              'Raw PhocalPoint Data'!A:A = 2012,
              'Raw PhocalPoint Data'!D:D = D223,
              'Raw PhocalPoint Data'!E:E = E223,
              'Raw Phoca"&amp;"lPoint Data'!F:F = F223
            ) /
            FILTER('Raw PhocalPoint Data'!G:G,
              'Raw PhocalPoint Data'!A:A = 2011,
              'Raw PhocalPoint Data'!D:D = D223,
              'Raw PhocalPoint Data'!E:E = E223,
              'Raw Ph"&amp;"ocalPoint Data'!F:F = F223
            ) -
            (ROW(INDIRECT(""1:"" &amp; (2010 - A223))) - 1) *
            (
              (
                FILTER('Raw PhocalPoint Data'!G:G,
                  'Raw PhocalPoint Data'!A:A = 2012,
                  'R"&amp;"aw PhocalPoint Data'!D:D = D223,
                  'Raw PhocalPoint Data'!E:E = E223,
                  'Raw PhocalPoint Data'!F:F = F223
                ) /
                FILTER('Raw PhocalPoint Data'!G:G,
                  'Raw PhocalPoint Data'!A:A ="&amp;" 2011,
                  'Raw PhocalPoint Data'!D:D = D223,
                  'Raw PhocalPoint Data'!E:E = E223,
                  'Raw PhocalPoint Data'!F:F = F223
                ) - 1
              ) / 5
            )
          )
        )
      )
    "&amp;") *
    INDEX('Raw GDP data'!$I$2:$M$100,
      MATCH(D223, 'Raw GDP data'!$H$2:$H$100, 0),
      MATCH(A223, 'Raw GDP data'!$I$1:$M$1, 0)
    )
  )),
  """"
)
"),146764707.230174)</f>
        <v>146764707.23017401</v>
      </c>
      <c r="H223" s="86"/>
      <c r="I223" s="87">
        <f ca="1">IFERROR(__xludf.DUMMYFUNCTION("""COMPUTED_VALUE"""),2010)</f>
        <v>2010</v>
      </c>
      <c r="J223" s="88" t="str">
        <f ca="1">IFERROR(__xludf.DUMMYFUNCTION("""COMPUTED_VALUE"""),"France")</f>
        <v>France</v>
      </c>
      <c r="K223" s="89">
        <f ca="1">IFERROR(
  SUMIFS(
    'New Backfilled Data'!G:G,
    'New Backfilled Data'!A:A, I223,
    'New Backfilled Data'!D:D, J223,
    'New Backfilled Data'!E:E, "Online"
  ) /
  SUMIFS(
    'New Backfilled Data'!G:G,
    'New Backfilled Data'!A:A, I223,
    'New Backfilled Data'!D:D, J223
  ),
  ""
)</f>
        <v>0.31752125479553223</v>
      </c>
      <c r="L223" s="90"/>
      <c r="M223" s="90"/>
    </row>
    <row r="224" spans="1:13" ht="17" x14ac:dyDescent="0.2">
      <c r="A224" s="37">
        <v>2006</v>
      </c>
      <c r="B224" s="38" t="s">
        <v>66</v>
      </c>
      <c r="C224" s="38" t="s">
        <v>41</v>
      </c>
      <c r="D224" s="38" t="s">
        <v>40</v>
      </c>
      <c r="E224" s="38" t="s">
        <v>69</v>
      </c>
      <c r="F224" s="38" t="s">
        <v>70</v>
      </c>
      <c r="G224" s="79">
        <f ca="1">IFERROR(__xludf.DUMMYFUNCTION("IFERROR(
  IF(A224 = 2008,
    IF(E224 = ""Online"",
      FILTER('Raw PhocalPoint Data'!G:G,
        'Raw PhocalPoint Data'!A:A = 2009,
        'Raw PhocalPoint Data'!D:D = D224,
        'Raw PhocalPoint Data'!E:E = E224,
        'Raw PhocalPoint Data'!F"&amp;":F = F224
      ) /
      (
        FILTER('Raw PhocalPoint Data'!G:G,
          'Raw PhocalPoint Data'!A:A = 2012,
          'Raw PhocalPoint Data'!D:D = D224,
          'Raw PhocalPoint Data'!E:E = E224,
          'Raw PhocalPoint Data'!F:F = F224
     "&amp;"   ) /
        FILTER('Raw PhocalPoint Data'!G:G,
          'Raw PhocalPoint Data'!A:A = 2011,
          'Raw PhocalPoint Data'!D:D = D224,
          'Raw PhocalPoint Data'!E:E = E224,
          'Raw PhocalPoint Data'!F:F = F224
        )
      ),
      F"&amp;"ILTER('Raw PhocalPoint Data'!G:G,
        'Raw PhocalPoint Data'!A:A = 2009,
        'Raw PhocalPoint Data'!D:D = D224,
        'Raw PhocalPoint Data'!E:E = E224,
        'Raw PhocalPoint Data'!F:F = F224
      ) *
      (
        INDEX('Raw GDP data'!$I$"&amp;"2:$M$100,
          MATCH(D224, 'Raw GDP data'!$H$2:$H$100, 0),
          MATCH(2008, 'Raw GDP data'!$I$1:$M$1, 0)
        ) /
        INDEX('Raw GDP data'!$I$2:$M$100,
          MATCH(D224, 'Raw GDP data'!$H$2:$H$100, 0),
          MATCH(2009, 'Raw GDP d"&amp;"ata'!$I$1:$M$1, 0)
        )
      )
    ),
  IF(A224 &lt; 2008,
    (
      FILTER(G:G,
        A:A = 2008,
        D:D = D224,
        E:E = E224,
        F:F = F224
      ) /
      PRODUCT(
        ARRAYFORMULA(
          (
            (
              FIL"&amp;"TER('Raw PhocalPoint Data'!G:G,
                'Raw PhocalPoint Data'!A:A = 2012,
                'Raw PhocalPoint Data'!D:D = D224,
                'Raw PhocalPoint Data'!E:E = E224,
                'Raw PhocalPoint Data'!F:F = F224
              ) /
  "&amp;"            FILTER('Raw PhocalPoint Data'!G:G,
                'Raw PhocalPoint Data'!A:A = 2011,
                'Raw PhocalPoint Data'!D:D = D224,
                'Raw PhocalPoint Data'!E:E = E224,
                'Raw PhocalPoint Data'!F:F = F224
     "&amp;"         ) -
              ROW(INDIRECT(""1:"" &amp; (2008 - A224))) *
              (
                (
                  FILTER('Raw PhocalPoint Data'!G:G,
                    'Raw PhocalPoint Data'!A:A = 2012,
                    'Raw PhocalPoint Data'!D:D"&amp;" = D224,
                    'Raw PhocalPoint Data'!E:E = E224,
                    'Raw PhocalPoint Data'!F:F = F224
                  ) /
                  FILTER('Raw PhocalPoint Data'!G:G,
                    'Raw PhocalPoint Data'!A:A = 2011,
       "&amp;"             'Raw PhocalPoint Data'!D:D = D224,
                    'Raw PhocalPoint Data'!E:E = E224,
                    'Raw PhocalPoint Data'!F:F = F224
                  ) - 1
                ) / 5
              )
            )
          )
        )
"&amp;"      )
    ),
    (
      FILTER('Raw PhocalPoint Data'!G:G,
        'Raw PhocalPoint Data'!A:A = 2009,
        'Raw PhocalPoint Data'!D:D = D224,
        'Raw PhocalPoint Data'!E:E = E224,
        'Raw PhocalPoint Data'!F:F = F224
      ) /
      PRODUC"&amp;"T(
        ARRAYFORMULA(
          (
            FILTER('Raw PhocalPoint Data'!G:G,
              'Raw PhocalPoint Data'!A:A = 2012,
              'Raw PhocalPoint Data'!D:D = D224,
              'Raw PhocalPoint Data'!E:E = E224,
              'Raw Phoca"&amp;"lPoint Data'!F:F = F224
            ) /
            FILTER('Raw PhocalPoint Data'!G:G,
              'Raw PhocalPoint Data'!A:A = 2011,
              'Raw PhocalPoint Data'!D:D = D224,
              'Raw PhocalPoint Data'!E:E = E224,
              'Raw Ph"&amp;"ocalPoint Data'!F:F = F224
            ) -
            (ROW(INDIRECT(""1:"" &amp; (2010 - A224))) - 1) *
            (
              (
                FILTER('Raw PhocalPoint Data'!G:G,
                  'Raw PhocalPoint Data'!A:A = 2012,
                  'R"&amp;"aw PhocalPoint Data'!D:D = D224,
                  'Raw PhocalPoint Data'!E:E = E224,
                  'Raw PhocalPoint Data'!F:F = F224
                ) /
                FILTER('Raw PhocalPoint Data'!G:G,
                  'Raw PhocalPoint Data'!A:A ="&amp;" 2011,
                  'Raw PhocalPoint Data'!D:D = D224,
                  'Raw PhocalPoint Data'!E:E = E224,
                  'Raw PhocalPoint Data'!F:F = F224
                ) - 1
              ) / 5
            )
          )
        )
      )
    "&amp;") *
    INDEX('Raw GDP data'!$I$2:$M$100,
      MATCH(D224, 'Raw GDP data'!$H$2:$H$100, 0),
      MATCH(A224, 'Raw GDP data'!$I$1:$M$1, 0)
    )
  )),
  """"
)
"),104071558.572571)</f>
        <v>104071558.57257099</v>
      </c>
      <c r="H224" s="80"/>
      <c r="I224" s="81">
        <f ca="1">IFERROR(__xludf.DUMMYFUNCTION("""COMPUTED_VALUE"""),2010)</f>
        <v>2010</v>
      </c>
      <c r="J224" s="82" t="str">
        <f ca="1">IFERROR(__xludf.DUMMYFUNCTION("""COMPUTED_VALUE"""),"Germany")</f>
        <v>Germany</v>
      </c>
      <c r="K224" s="83">
        <f ca="1">IFERROR(
  SUMIFS(
    'New Backfilled Data'!G:G,
    'New Backfilled Data'!A:A, I224,
    'New Backfilled Data'!D:D, J224,
    'New Backfilled Data'!E:E, "Online"
  ) /
  SUMIFS(
    'New Backfilled Data'!G:G,
    'New Backfilled Data'!A:A, I224,
    'New Backfilled Data'!D:D, J224
  ),
  ""
)</f>
        <v>0.30048955349529544</v>
      </c>
      <c r="L224" s="84"/>
      <c r="M224" s="84"/>
    </row>
    <row r="225" spans="1:13" ht="17" x14ac:dyDescent="0.2">
      <c r="A225" s="44">
        <v>2006</v>
      </c>
      <c r="B225" s="45" t="s">
        <v>66</v>
      </c>
      <c r="C225" s="45" t="s">
        <v>41</v>
      </c>
      <c r="D225" s="45" t="s">
        <v>42</v>
      </c>
      <c r="E225" s="45" t="s">
        <v>67</v>
      </c>
      <c r="F225" s="45" t="s">
        <v>67</v>
      </c>
      <c r="G225" s="85">
        <f ca="1">IFERROR(__xludf.DUMMYFUNCTION("IFERROR(
  IF(A225 = 2008,
    IF(E225 = ""Online"",
      FILTER('Raw PhocalPoint Data'!G:G,
        'Raw PhocalPoint Data'!A:A = 2009,
        'Raw PhocalPoint Data'!D:D = D225,
        'Raw PhocalPoint Data'!E:E = E225,
        'Raw PhocalPoint Data'!F"&amp;":F = F225
      ) /
      (
        FILTER('Raw PhocalPoint Data'!G:G,
          'Raw PhocalPoint Data'!A:A = 2012,
          'Raw PhocalPoint Data'!D:D = D225,
          'Raw PhocalPoint Data'!E:E = E225,
          'Raw PhocalPoint Data'!F:F = F225
     "&amp;"   ) /
        FILTER('Raw PhocalPoint Data'!G:G,
          'Raw PhocalPoint Data'!A:A = 2011,
          'Raw PhocalPoint Data'!D:D = D225,
          'Raw PhocalPoint Data'!E:E = E225,
          'Raw PhocalPoint Data'!F:F = F225
        )
      ),
      F"&amp;"ILTER('Raw PhocalPoint Data'!G:G,
        'Raw PhocalPoint Data'!A:A = 2009,
        'Raw PhocalPoint Data'!D:D = D225,
        'Raw PhocalPoint Data'!E:E = E225,
        'Raw PhocalPoint Data'!F:F = F225
      ) *
      (
        INDEX('Raw GDP data'!$I$"&amp;"2:$M$100,
          MATCH(D225, 'Raw GDP data'!$H$2:$H$100, 0),
          MATCH(2008, 'Raw GDP data'!$I$1:$M$1, 0)
        ) /
        INDEX('Raw GDP data'!$I$2:$M$100,
          MATCH(D225, 'Raw GDP data'!$H$2:$H$100, 0),
          MATCH(2009, 'Raw GDP d"&amp;"ata'!$I$1:$M$1, 0)
        )
      )
    ),
  IF(A225 &lt; 2008,
    (
      FILTER(G:G,
        A:A = 2008,
        D:D = D225,
        E:E = E225,
        F:F = F225
      ) /
      PRODUCT(
        ARRAYFORMULA(
          (
            (
              FIL"&amp;"TER('Raw PhocalPoint Data'!G:G,
                'Raw PhocalPoint Data'!A:A = 2012,
                'Raw PhocalPoint Data'!D:D = D225,
                'Raw PhocalPoint Data'!E:E = E225,
                'Raw PhocalPoint Data'!F:F = F225
              ) /
  "&amp;"            FILTER('Raw PhocalPoint Data'!G:G,
                'Raw PhocalPoint Data'!A:A = 2011,
                'Raw PhocalPoint Data'!D:D = D225,
                'Raw PhocalPoint Data'!E:E = E225,
                'Raw PhocalPoint Data'!F:F = F225
     "&amp;"         ) -
              ROW(INDIRECT(""1:"" &amp; (2008 - A225))) *
              (
                (
                  FILTER('Raw PhocalPoint Data'!G:G,
                    'Raw PhocalPoint Data'!A:A = 2012,
                    'Raw PhocalPoint Data'!D:D"&amp;" = D225,
                    'Raw PhocalPoint Data'!E:E = E225,
                    'Raw PhocalPoint Data'!F:F = F225
                  ) /
                  FILTER('Raw PhocalPoint Data'!G:G,
                    'Raw PhocalPoint Data'!A:A = 2011,
       "&amp;"             'Raw PhocalPoint Data'!D:D = D225,
                    'Raw PhocalPoint Data'!E:E = E225,
                    'Raw PhocalPoint Data'!F:F = F225
                  ) - 1
                ) / 5
              )
            )
          )
        )
"&amp;"      )
    ),
    (
      FILTER('Raw PhocalPoint Data'!G:G,
        'Raw PhocalPoint Data'!A:A = 2009,
        'Raw PhocalPoint Data'!D:D = D225,
        'Raw PhocalPoint Data'!E:E = E225,
        'Raw PhocalPoint Data'!F:F = F225
      ) /
      PRODUC"&amp;"T(
        ARRAYFORMULA(
          (
            FILTER('Raw PhocalPoint Data'!G:G,
              'Raw PhocalPoint Data'!A:A = 2012,
              'Raw PhocalPoint Data'!D:D = D225,
              'Raw PhocalPoint Data'!E:E = E225,
              'Raw Phoca"&amp;"lPoint Data'!F:F = F225
            ) /
            FILTER('Raw PhocalPoint Data'!G:G,
              'Raw PhocalPoint Data'!A:A = 2011,
              'Raw PhocalPoint Data'!D:D = D225,
              'Raw PhocalPoint Data'!E:E = E225,
              'Raw Ph"&amp;"ocalPoint Data'!F:F = F225
            ) -
            (ROW(INDIRECT(""1:"" &amp; (2010 - A225))) - 1) *
            (
              (
                FILTER('Raw PhocalPoint Data'!G:G,
                  'Raw PhocalPoint Data'!A:A = 2012,
                  'R"&amp;"aw PhocalPoint Data'!D:D = D225,
                  'Raw PhocalPoint Data'!E:E = E225,
                  'Raw PhocalPoint Data'!F:F = F225
                ) /
                FILTER('Raw PhocalPoint Data'!G:G,
                  'Raw PhocalPoint Data'!A:A ="&amp;" 2011,
                  'Raw PhocalPoint Data'!D:D = D225,
                  'Raw PhocalPoint Data'!E:E = E225,
                  'Raw PhocalPoint Data'!F:F = F225
                ) - 1
              ) / 5
            )
          )
        )
      )
    "&amp;") *
    INDEX('Raw GDP data'!$I$2:$M$100,
      MATCH(D225, 'Raw GDP data'!$H$2:$H$100, 0),
      MATCH(A225, 'Raw GDP data'!$I$1:$M$1, 0)
    )
  )),
  """"
)
"),4523823886.95773)</f>
        <v>4523823886.9577303</v>
      </c>
      <c r="H225" s="86"/>
      <c r="I225" s="87">
        <f ca="1">IFERROR(__xludf.DUMMYFUNCTION("""COMPUTED_VALUE"""),2010)</f>
        <v>2010</v>
      </c>
      <c r="J225" s="88" t="str">
        <f ca="1">IFERROR(__xludf.DUMMYFUNCTION("""COMPUTED_VALUE"""),"Italy")</f>
        <v>Italy</v>
      </c>
      <c r="K225" s="89">
        <f ca="1">IFERROR(
  SUMIFS(
    'New Backfilled Data'!G:G,
    'New Backfilled Data'!A:A, I225,
    'New Backfilled Data'!D:D, J225,
    'New Backfilled Data'!E:E, "Online"
  ) /
  SUMIFS(
    'New Backfilled Data'!G:G,
    'New Backfilled Data'!A:A, I225,
    'New Backfilled Data'!D:D, J225
  ),
  ""
)</f>
        <v>0.23339516082668749</v>
      </c>
      <c r="L225" s="90"/>
      <c r="M225" s="90"/>
    </row>
    <row r="226" spans="1:13" ht="17" x14ac:dyDescent="0.2">
      <c r="A226" s="37">
        <v>2006</v>
      </c>
      <c r="B226" s="38" t="s">
        <v>66</v>
      </c>
      <c r="C226" s="38" t="s">
        <v>41</v>
      </c>
      <c r="D226" s="38" t="s">
        <v>42</v>
      </c>
      <c r="E226" s="38" t="s">
        <v>69</v>
      </c>
      <c r="F226" s="38" t="s">
        <v>71</v>
      </c>
      <c r="G226" s="79">
        <f ca="1">IFERROR(__xludf.DUMMYFUNCTION("IFERROR(
  IF(A226 = 2008,
    IF(E226 = ""Online"",
      FILTER('Raw PhocalPoint Data'!G:G,
        'Raw PhocalPoint Data'!A:A = 2009,
        'Raw PhocalPoint Data'!D:D = D226,
        'Raw PhocalPoint Data'!E:E = E226,
        'Raw PhocalPoint Data'!F"&amp;":F = F226
      ) /
      (
        FILTER('Raw PhocalPoint Data'!G:G,
          'Raw PhocalPoint Data'!A:A = 2012,
          'Raw PhocalPoint Data'!D:D = D226,
          'Raw PhocalPoint Data'!E:E = E226,
          'Raw PhocalPoint Data'!F:F = F226
     "&amp;"   ) /
        FILTER('Raw PhocalPoint Data'!G:G,
          'Raw PhocalPoint Data'!A:A = 2011,
          'Raw PhocalPoint Data'!D:D = D226,
          'Raw PhocalPoint Data'!E:E = E226,
          'Raw PhocalPoint Data'!F:F = F226
        )
      ),
      F"&amp;"ILTER('Raw PhocalPoint Data'!G:G,
        'Raw PhocalPoint Data'!A:A = 2009,
        'Raw PhocalPoint Data'!D:D = D226,
        'Raw PhocalPoint Data'!E:E = E226,
        'Raw PhocalPoint Data'!F:F = F226
      ) *
      (
        INDEX('Raw GDP data'!$I$"&amp;"2:$M$100,
          MATCH(D226, 'Raw GDP data'!$H$2:$H$100, 0),
          MATCH(2008, 'Raw GDP data'!$I$1:$M$1, 0)
        ) /
        INDEX('Raw GDP data'!$I$2:$M$100,
          MATCH(D226, 'Raw GDP data'!$H$2:$H$100, 0),
          MATCH(2009, 'Raw GDP d"&amp;"ata'!$I$1:$M$1, 0)
        )
      )
    ),
  IF(A226 &lt; 2008,
    (
      FILTER(G:G,
        A:A = 2008,
        D:D = D226,
        E:E = E226,
        F:F = F226
      ) /
      PRODUCT(
        ARRAYFORMULA(
          (
            (
              FIL"&amp;"TER('Raw PhocalPoint Data'!G:G,
                'Raw PhocalPoint Data'!A:A = 2012,
                'Raw PhocalPoint Data'!D:D = D226,
                'Raw PhocalPoint Data'!E:E = E226,
                'Raw PhocalPoint Data'!F:F = F226
              ) /
  "&amp;"            FILTER('Raw PhocalPoint Data'!G:G,
                'Raw PhocalPoint Data'!A:A = 2011,
                'Raw PhocalPoint Data'!D:D = D226,
                'Raw PhocalPoint Data'!E:E = E226,
                'Raw PhocalPoint Data'!F:F = F226
     "&amp;"         ) -
              ROW(INDIRECT(""1:"" &amp; (2008 - A226))) *
              (
                (
                  FILTER('Raw PhocalPoint Data'!G:G,
                    'Raw PhocalPoint Data'!A:A = 2012,
                    'Raw PhocalPoint Data'!D:D"&amp;" = D226,
                    'Raw PhocalPoint Data'!E:E = E226,
                    'Raw PhocalPoint Data'!F:F = F226
                  ) /
                  FILTER('Raw PhocalPoint Data'!G:G,
                    'Raw PhocalPoint Data'!A:A = 2011,
       "&amp;"             'Raw PhocalPoint Data'!D:D = D226,
                    'Raw PhocalPoint Data'!E:E = E226,
                    'Raw PhocalPoint Data'!F:F = F226
                  ) - 1
                ) / 5
              )
            )
          )
        )
"&amp;"      )
    ),
    (
      FILTER('Raw PhocalPoint Data'!G:G,
        'Raw PhocalPoint Data'!A:A = 2009,
        'Raw PhocalPoint Data'!D:D = D226,
        'Raw PhocalPoint Data'!E:E = E226,
        'Raw PhocalPoint Data'!F:F = F226
      ) /
      PRODUC"&amp;"T(
        ARRAYFORMULA(
          (
            FILTER('Raw PhocalPoint Data'!G:G,
              'Raw PhocalPoint Data'!A:A = 2012,
              'Raw PhocalPoint Data'!D:D = D226,
              'Raw PhocalPoint Data'!E:E = E226,
              'Raw Phoca"&amp;"lPoint Data'!F:F = F226
            ) /
            FILTER('Raw PhocalPoint Data'!G:G,
              'Raw PhocalPoint Data'!A:A = 2011,
              'Raw PhocalPoint Data'!D:D = D226,
              'Raw PhocalPoint Data'!E:E = E226,
              'Raw Ph"&amp;"ocalPoint Data'!F:F = F226
            ) -
            (ROW(INDIRECT(""1:"" &amp; (2010 - A226))) - 1) *
            (
              (
                FILTER('Raw PhocalPoint Data'!G:G,
                  'Raw PhocalPoint Data'!A:A = 2012,
                  'R"&amp;"aw PhocalPoint Data'!D:D = D226,
                  'Raw PhocalPoint Data'!E:E = E226,
                  'Raw PhocalPoint Data'!F:F = F226
                ) /
                FILTER('Raw PhocalPoint Data'!G:G,
                  'Raw PhocalPoint Data'!A:A ="&amp;" 2011,
                  'Raw PhocalPoint Data'!D:D = D226,
                  'Raw PhocalPoint Data'!E:E = E226,
                  'Raw PhocalPoint Data'!F:F = F226
                ) - 1
              ) / 5
            )
          )
        )
      )
    "&amp;") *
    INDEX('Raw GDP data'!$I$2:$M$100,
      MATCH(D226, 'Raw GDP data'!$H$2:$H$100, 0),
      MATCH(A226, 'Raw GDP data'!$I$1:$M$1, 0)
    )
  )),
  """"
)
"),273186727.925895)</f>
        <v>273186727.92589498</v>
      </c>
      <c r="H226" s="80"/>
      <c r="I226" s="81">
        <f ca="1">IFERROR(__xludf.DUMMYFUNCTION("""COMPUTED_VALUE"""),2010)</f>
        <v>2010</v>
      </c>
      <c r="J226" s="82" t="str">
        <f ca="1">IFERROR(__xludf.DUMMYFUNCTION("""COMPUTED_VALUE"""),"Rest of Europe")</f>
        <v>Rest of Europe</v>
      </c>
      <c r="K226" s="83">
        <f ca="1">IFERROR(
  SUMIFS(
    'New Backfilled Data'!G:G,
    'New Backfilled Data'!A:A, I226,
    'New Backfilled Data'!D:D, J226,
    'New Backfilled Data'!E:E, "Online"
  ) /
  SUMIFS(
    'New Backfilled Data'!G:G,
    'New Backfilled Data'!A:A, I226,
    'New Backfilled Data'!D:D, J226
  ),
  ""
)</f>
        <v>0.26325384896620246</v>
      </c>
      <c r="L226" s="84"/>
      <c r="M226" s="84"/>
    </row>
    <row r="227" spans="1:13" ht="17" x14ac:dyDescent="0.2">
      <c r="A227" s="44">
        <v>2006</v>
      </c>
      <c r="B227" s="45" t="s">
        <v>66</v>
      </c>
      <c r="C227" s="45" t="s">
        <v>41</v>
      </c>
      <c r="D227" s="45" t="s">
        <v>42</v>
      </c>
      <c r="E227" s="45" t="s">
        <v>69</v>
      </c>
      <c r="F227" s="45" t="s">
        <v>70</v>
      </c>
      <c r="G227" s="85">
        <f ca="1">IFERROR(__xludf.DUMMYFUNCTION("IFERROR(
  IF(A227 = 2008,
    IF(E227 = ""Online"",
      FILTER('Raw PhocalPoint Data'!G:G,
        'Raw PhocalPoint Data'!A:A = 2009,
        'Raw PhocalPoint Data'!D:D = D227,
        'Raw PhocalPoint Data'!E:E = E227,
        'Raw PhocalPoint Data'!F"&amp;":F = F227
      ) /
      (
        FILTER('Raw PhocalPoint Data'!G:G,
          'Raw PhocalPoint Data'!A:A = 2012,
          'Raw PhocalPoint Data'!D:D = D227,
          'Raw PhocalPoint Data'!E:E = E227,
          'Raw PhocalPoint Data'!F:F = F227
     "&amp;"   ) /
        FILTER('Raw PhocalPoint Data'!G:G,
          'Raw PhocalPoint Data'!A:A = 2011,
          'Raw PhocalPoint Data'!D:D = D227,
          'Raw PhocalPoint Data'!E:E = E227,
          'Raw PhocalPoint Data'!F:F = F227
        )
      ),
      F"&amp;"ILTER('Raw PhocalPoint Data'!G:G,
        'Raw PhocalPoint Data'!A:A = 2009,
        'Raw PhocalPoint Data'!D:D = D227,
        'Raw PhocalPoint Data'!E:E = E227,
        'Raw PhocalPoint Data'!F:F = F227
      ) *
      (
        INDEX('Raw GDP data'!$I$"&amp;"2:$M$100,
          MATCH(D227, 'Raw GDP data'!$H$2:$H$100, 0),
          MATCH(2008, 'Raw GDP data'!$I$1:$M$1, 0)
        ) /
        INDEX('Raw GDP data'!$I$2:$M$100,
          MATCH(D227, 'Raw GDP data'!$H$2:$H$100, 0),
          MATCH(2009, 'Raw GDP d"&amp;"ata'!$I$1:$M$1, 0)
        )
      )
    ),
  IF(A227 &lt; 2008,
    (
      FILTER(G:G,
        A:A = 2008,
        D:D = D227,
        E:E = E227,
        F:F = F227
      ) /
      PRODUCT(
        ARRAYFORMULA(
          (
            (
              FIL"&amp;"TER('Raw PhocalPoint Data'!G:G,
                'Raw PhocalPoint Data'!A:A = 2012,
                'Raw PhocalPoint Data'!D:D = D227,
                'Raw PhocalPoint Data'!E:E = E227,
                'Raw PhocalPoint Data'!F:F = F227
              ) /
  "&amp;"            FILTER('Raw PhocalPoint Data'!G:G,
                'Raw PhocalPoint Data'!A:A = 2011,
                'Raw PhocalPoint Data'!D:D = D227,
                'Raw PhocalPoint Data'!E:E = E227,
                'Raw PhocalPoint Data'!F:F = F227
     "&amp;"         ) -
              ROW(INDIRECT(""1:"" &amp; (2008 - A227))) *
              (
                (
                  FILTER('Raw PhocalPoint Data'!G:G,
                    'Raw PhocalPoint Data'!A:A = 2012,
                    'Raw PhocalPoint Data'!D:D"&amp;" = D227,
                    'Raw PhocalPoint Data'!E:E = E227,
                    'Raw PhocalPoint Data'!F:F = F227
                  ) /
                  FILTER('Raw PhocalPoint Data'!G:G,
                    'Raw PhocalPoint Data'!A:A = 2011,
       "&amp;"             'Raw PhocalPoint Data'!D:D = D227,
                    'Raw PhocalPoint Data'!E:E = E227,
                    'Raw PhocalPoint Data'!F:F = F227
                  ) - 1
                ) / 5
              )
            )
          )
        )
"&amp;"      )
    ),
    (
      FILTER('Raw PhocalPoint Data'!G:G,
        'Raw PhocalPoint Data'!A:A = 2009,
        'Raw PhocalPoint Data'!D:D = D227,
        'Raw PhocalPoint Data'!E:E = E227,
        'Raw PhocalPoint Data'!F:F = F227
      ) /
      PRODUC"&amp;"T(
        ARRAYFORMULA(
          (
            FILTER('Raw PhocalPoint Data'!G:G,
              'Raw PhocalPoint Data'!A:A = 2012,
              'Raw PhocalPoint Data'!D:D = D227,
              'Raw PhocalPoint Data'!E:E = E227,
              'Raw Phoca"&amp;"lPoint Data'!F:F = F227
            ) /
            FILTER('Raw PhocalPoint Data'!G:G,
              'Raw PhocalPoint Data'!A:A = 2011,
              'Raw PhocalPoint Data'!D:D = D227,
              'Raw PhocalPoint Data'!E:E = E227,
              'Raw Ph"&amp;"ocalPoint Data'!F:F = F227
            ) -
            (ROW(INDIRECT(""1:"" &amp; (2010 - A227))) - 1) *
            (
              (
                FILTER('Raw PhocalPoint Data'!G:G,
                  'Raw PhocalPoint Data'!A:A = 2012,
                  'R"&amp;"aw PhocalPoint Data'!D:D = D227,
                  'Raw PhocalPoint Data'!E:E = E227,
                  'Raw PhocalPoint Data'!F:F = F227
                ) /
                FILTER('Raw PhocalPoint Data'!G:G,
                  'Raw PhocalPoint Data'!A:A ="&amp;" 2011,
                  'Raw PhocalPoint Data'!D:D = D227,
                  'Raw PhocalPoint Data'!E:E = E227,
                  'Raw PhocalPoint Data'!F:F = F227
                ) - 1
              ) / 5
            )
          )
        )
      )
    "&amp;") *
    INDEX('Raw GDP data'!$I$2:$M$100,
      MATCH(D227, 'Raw GDP data'!$H$2:$H$100, 0),
      MATCH(A227, 'Raw GDP data'!$I$1:$M$1, 0)
    )
  )),
  """"
)
"),258257147.525905)</f>
        <v>258257147.52590501</v>
      </c>
      <c r="H227" s="86"/>
      <c r="I227" s="87">
        <f ca="1">IFERROR(__xludf.DUMMYFUNCTION("""COMPUTED_VALUE"""),2010)</f>
        <v>2010</v>
      </c>
      <c r="J227" s="88" t="str">
        <f ca="1">IFERROR(__xludf.DUMMYFUNCTION("""COMPUTED_VALUE"""),"Scandinavia")</f>
        <v>Scandinavia</v>
      </c>
      <c r="K227" s="89">
        <f ca="1">IFERROR(
  SUMIFS(
    'New Backfilled Data'!G:G,
    'New Backfilled Data'!A:A, I227,
    'New Backfilled Data'!D:D, J227,
    'New Backfilled Data'!E:E, "Online"
  ) /
  SUMIFS(
    'New Backfilled Data'!G:G,
    'New Backfilled Data'!A:A, I227,
    'New Backfilled Data'!D:D, J227
  ),
  ""
)</f>
        <v>0.39391629908216963</v>
      </c>
      <c r="L227" s="90"/>
      <c r="M227" s="90"/>
    </row>
    <row r="228" spans="1:13" ht="17" x14ac:dyDescent="0.2">
      <c r="A228" s="37">
        <v>2006</v>
      </c>
      <c r="B228" s="38" t="s">
        <v>66</v>
      </c>
      <c r="C228" s="38" t="s">
        <v>41</v>
      </c>
      <c r="D228" s="38" t="s">
        <v>43</v>
      </c>
      <c r="E228" s="38" t="s">
        <v>67</v>
      </c>
      <c r="F228" s="38" t="s">
        <v>67</v>
      </c>
      <c r="G228" s="79">
        <f ca="1">IFERROR(__xludf.DUMMYFUNCTION("IFERROR(
  IF(A228 = 2008,
    IF(E228 = ""Online"",
      FILTER('Raw PhocalPoint Data'!G:G,
        'Raw PhocalPoint Data'!A:A = 2009,
        'Raw PhocalPoint Data'!D:D = D228,
        'Raw PhocalPoint Data'!E:E = E228,
        'Raw PhocalPoint Data'!F"&amp;":F = F228
      ) /
      (
        FILTER('Raw PhocalPoint Data'!G:G,
          'Raw PhocalPoint Data'!A:A = 2012,
          'Raw PhocalPoint Data'!D:D = D228,
          'Raw PhocalPoint Data'!E:E = E228,
          'Raw PhocalPoint Data'!F:F = F228
     "&amp;"   ) /
        FILTER('Raw PhocalPoint Data'!G:G,
          'Raw PhocalPoint Data'!A:A = 2011,
          'Raw PhocalPoint Data'!D:D = D228,
          'Raw PhocalPoint Data'!E:E = E228,
          'Raw PhocalPoint Data'!F:F = F228
        )
      ),
      F"&amp;"ILTER('Raw PhocalPoint Data'!G:G,
        'Raw PhocalPoint Data'!A:A = 2009,
        'Raw PhocalPoint Data'!D:D = D228,
        'Raw PhocalPoint Data'!E:E = E228,
        'Raw PhocalPoint Data'!F:F = F228
      ) *
      (
        INDEX('Raw GDP data'!$I$"&amp;"2:$M$100,
          MATCH(D228, 'Raw GDP data'!$H$2:$H$100, 0),
          MATCH(2008, 'Raw GDP data'!$I$1:$M$1, 0)
        ) /
        INDEX('Raw GDP data'!$I$2:$M$100,
          MATCH(D228, 'Raw GDP data'!$H$2:$H$100, 0),
          MATCH(2009, 'Raw GDP d"&amp;"ata'!$I$1:$M$1, 0)
        )
      )
    ),
  IF(A228 &lt; 2008,
    (
      FILTER(G:G,
        A:A = 2008,
        D:D = D228,
        E:E = E228,
        F:F = F228
      ) /
      PRODUCT(
        ARRAYFORMULA(
          (
            (
              FIL"&amp;"TER('Raw PhocalPoint Data'!G:G,
                'Raw PhocalPoint Data'!A:A = 2012,
                'Raw PhocalPoint Data'!D:D = D228,
                'Raw PhocalPoint Data'!E:E = E228,
                'Raw PhocalPoint Data'!F:F = F228
              ) /
  "&amp;"            FILTER('Raw PhocalPoint Data'!G:G,
                'Raw PhocalPoint Data'!A:A = 2011,
                'Raw PhocalPoint Data'!D:D = D228,
                'Raw PhocalPoint Data'!E:E = E228,
                'Raw PhocalPoint Data'!F:F = F228
     "&amp;"         ) -
              ROW(INDIRECT(""1:"" &amp; (2008 - A228))) *
              (
                (
                  FILTER('Raw PhocalPoint Data'!G:G,
                    'Raw PhocalPoint Data'!A:A = 2012,
                    'Raw PhocalPoint Data'!D:D"&amp;" = D228,
                    'Raw PhocalPoint Data'!E:E = E228,
                    'Raw PhocalPoint Data'!F:F = F228
                  ) /
                  FILTER('Raw PhocalPoint Data'!G:G,
                    'Raw PhocalPoint Data'!A:A = 2011,
       "&amp;"             'Raw PhocalPoint Data'!D:D = D228,
                    'Raw PhocalPoint Data'!E:E = E228,
                    'Raw PhocalPoint Data'!F:F = F228
                  ) - 1
                ) / 5
              )
            )
          )
        )
"&amp;"      )
    ),
    (
      FILTER('Raw PhocalPoint Data'!G:G,
        'Raw PhocalPoint Data'!A:A = 2009,
        'Raw PhocalPoint Data'!D:D = D228,
        'Raw PhocalPoint Data'!E:E = E228,
        'Raw PhocalPoint Data'!F:F = F228
      ) /
      PRODUC"&amp;"T(
        ARRAYFORMULA(
          (
            FILTER('Raw PhocalPoint Data'!G:G,
              'Raw PhocalPoint Data'!A:A = 2012,
              'Raw PhocalPoint Data'!D:D = D228,
              'Raw PhocalPoint Data'!E:E = E228,
              'Raw Phoca"&amp;"lPoint Data'!F:F = F228
            ) /
            FILTER('Raw PhocalPoint Data'!G:G,
              'Raw PhocalPoint Data'!A:A = 2011,
              'Raw PhocalPoint Data'!D:D = D228,
              'Raw PhocalPoint Data'!E:E = E228,
              'Raw Ph"&amp;"ocalPoint Data'!F:F = F228
            ) -
            (ROW(INDIRECT(""1:"" &amp; (2010 - A228))) - 1) *
            (
              (
                FILTER('Raw PhocalPoint Data'!G:G,
                  'Raw PhocalPoint Data'!A:A = 2012,
                  'R"&amp;"aw PhocalPoint Data'!D:D = D228,
                  'Raw PhocalPoint Data'!E:E = E228,
                  'Raw PhocalPoint Data'!F:F = F228
                ) /
                FILTER('Raw PhocalPoint Data'!G:G,
                  'Raw PhocalPoint Data'!A:A ="&amp;" 2011,
                  'Raw PhocalPoint Data'!D:D = D228,
                  'Raw PhocalPoint Data'!E:E = E228,
                  'Raw PhocalPoint Data'!F:F = F228
                ) - 1
              ) / 5
            )
          )
        )
      )
    "&amp;") *
    INDEX('Raw GDP data'!$I$2:$M$100,
      MATCH(D228, 'Raw GDP data'!$H$2:$H$100, 0),
      MATCH(A228, 'Raw GDP data'!$I$1:$M$1, 0)
    )
  )),
  """"
)
"),8625846489.9117)</f>
        <v>8625846489.9116993</v>
      </c>
      <c r="H228" s="80"/>
      <c r="I228" s="81">
        <f ca="1">IFERROR(__xludf.DUMMYFUNCTION("""COMPUTED_VALUE"""),2010)</f>
        <v>2010</v>
      </c>
      <c r="J228" s="82" t="str">
        <f ca="1">IFERROR(__xludf.DUMMYFUNCTION("""COMPUTED_VALUE"""),"Spain")</f>
        <v>Spain</v>
      </c>
      <c r="K228" s="83">
        <f ca="1">IFERROR(
  SUMIFS(
    'New Backfilled Data'!G:G,
    'New Backfilled Data'!A:A, I228,
    'New Backfilled Data'!D:D, J228,
    'New Backfilled Data'!E:E, "Online"
  ) /
  SUMIFS(
    'New Backfilled Data'!G:G,
    'New Backfilled Data'!A:A, I228,
    'New Backfilled Data'!D:D, J228
  ),
  ""
)</f>
        <v>0.24817457807846066</v>
      </c>
      <c r="L228" s="84"/>
      <c r="M228" s="84"/>
    </row>
    <row r="229" spans="1:13" ht="17" x14ac:dyDescent="0.2">
      <c r="A229" s="44">
        <v>2006</v>
      </c>
      <c r="B229" s="45" t="s">
        <v>66</v>
      </c>
      <c r="C229" s="45" t="s">
        <v>41</v>
      </c>
      <c r="D229" s="45" t="s">
        <v>43</v>
      </c>
      <c r="E229" s="45" t="s">
        <v>69</v>
      </c>
      <c r="F229" s="45" t="s">
        <v>71</v>
      </c>
      <c r="G229" s="85">
        <f ca="1">IFERROR(__xludf.DUMMYFUNCTION("IFERROR(
  IF(A229 = 2008,
    IF(E229 = ""Online"",
      FILTER('Raw PhocalPoint Data'!G:G,
        'Raw PhocalPoint Data'!A:A = 2009,
        'Raw PhocalPoint Data'!D:D = D229,
        'Raw PhocalPoint Data'!E:E = E229,
        'Raw PhocalPoint Data'!F"&amp;":F = F229
      ) /
      (
        FILTER('Raw PhocalPoint Data'!G:G,
          'Raw PhocalPoint Data'!A:A = 2012,
          'Raw PhocalPoint Data'!D:D = D229,
          'Raw PhocalPoint Data'!E:E = E229,
          'Raw PhocalPoint Data'!F:F = F229
     "&amp;"   ) /
        FILTER('Raw PhocalPoint Data'!G:G,
          'Raw PhocalPoint Data'!A:A = 2011,
          'Raw PhocalPoint Data'!D:D = D229,
          'Raw PhocalPoint Data'!E:E = E229,
          'Raw PhocalPoint Data'!F:F = F229
        )
      ),
      F"&amp;"ILTER('Raw PhocalPoint Data'!G:G,
        'Raw PhocalPoint Data'!A:A = 2009,
        'Raw PhocalPoint Data'!D:D = D229,
        'Raw PhocalPoint Data'!E:E = E229,
        'Raw PhocalPoint Data'!F:F = F229
      ) *
      (
        INDEX('Raw GDP data'!$I$"&amp;"2:$M$100,
          MATCH(D229, 'Raw GDP data'!$H$2:$H$100, 0),
          MATCH(2008, 'Raw GDP data'!$I$1:$M$1, 0)
        ) /
        INDEX('Raw GDP data'!$I$2:$M$100,
          MATCH(D229, 'Raw GDP data'!$H$2:$H$100, 0),
          MATCH(2009, 'Raw GDP d"&amp;"ata'!$I$1:$M$1, 0)
        )
      )
    ),
  IF(A229 &lt; 2008,
    (
      FILTER(G:G,
        A:A = 2008,
        D:D = D229,
        E:E = E229,
        F:F = F229
      ) /
      PRODUCT(
        ARRAYFORMULA(
          (
            (
              FIL"&amp;"TER('Raw PhocalPoint Data'!G:G,
                'Raw PhocalPoint Data'!A:A = 2012,
                'Raw PhocalPoint Data'!D:D = D229,
                'Raw PhocalPoint Data'!E:E = E229,
                'Raw PhocalPoint Data'!F:F = F229
              ) /
  "&amp;"            FILTER('Raw PhocalPoint Data'!G:G,
                'Raw PhocalPoint Data'!A:A = 2011,
                'Raw PhocalPoint Data'!D:D = D229,
                'Raw PhocalPoint Data'!E:E = E229,
                'Raw PhocalPoint Data'!F:F = F229
     "&amp;"         ) -
              ROW(INDIRECT(""1:"" &amp; (2008 - A229))) *
              (
                (
                  FILTER('Raw PhocalPoint Data'!G:G,
                    'Raw PhocalPoint Data'!A:A = 2012,
                    'Raw PhocalPoint Data'!D:D"&amp;" = D229,
                    'Raw PhocalPoint Data'!E:E = E229,
                    'Raw PhocalPoint Data'!F:F = F229
                  ) /
                  FILTER('Raw PhocalPoint Data'!G:G,
                    'Raw PhocalPoint Data'!A:A = 2011,
       "&amp;"             'Raw PhocalPoint Data'!D:D = D229,
                    'Raw PhocalPoint Data'!E:E = E229,
                    'Raw PhocalPoint Data'!F:F = F229
                  ) - 1
                ) / 5
              )
            )
          )
        )
"&amp;"      )
    ),
    (
      FILTER('Raw PhocalPoint Data'!G:G,
        'Raw PhocalPoint Data'!A:A = 2009,
        'Raw PhocalPoint Data'!D:D = D229,
        'Raw PhocalPoint Data'!E:E = E229,
        'Raw PhocalPoint Data'!F:F = F229
      ) /
      PRODUC"&amp;"T(
        ARRAYFORMULA(
          (
            FILTER('Raw PhocalPoint Data'!G:G,
              'Raw PhocalPoint Data'!A:A = 2012,
              'Raw PhocalPoint Data'!D:D = D229,
              'Raw PhocalPoint Data'!E:E = E229,
              'Raw Phoca"&amp;"lPoint Data'!F:F = F229
            ) /
            FILTER('Raw PhocalPoint Data'!G:G,
              'Raw PhocalPoint Data'!A:A = 2011,
              'Raw PhocalPoint Data'!D:D = D229,
              'Raw PhocalPoint Data'!E:E = E229,
              'Raw Ph"&amp;"ocalPoint Data'!F:F = F229
            ) -
            (ROW(INDIRECT(""1:"" &amp; (2010 - A229))) - 1) *
            (
              (
                FILTER('Raw PhocalPoint Data'!G:G,
                  'Raw PhocalPoint Data'!A:A = 2012,
                  'R"&amp;"aw PhocalPoint Data'!D:D = D229,
                  'Raw PhocalPoint Data'!E:E = E229,
                  'Raw PhocalPoint Data'!F:F = F229
                ) /
                FILTER('Raw PhocalPoint Data'!G:G,
                  'Raw PhocalPoint Data'!A:A ="&amp;" 2011,
                  'Raw PhocalPoint Data'!D:D = D229,
                  'Raw PhocalPoint Data'!E:E = E229,
                  'Raw PhocalPoint Data'!F:F = F229
                ) - 1
              ) / 5
            )
          )
        )
      )
    "&amp;") *
    INDEX('Raw GDP data'!$I$2:$M$100,
      MATCH(D229, 'Raw GDP data'!$H$2:$H$100, 0),
      MATCH(A229, 'Raw GDP data'!$I$1:$M$1, 0)
    )
  )),
  """"
)
"),177125567.421128)</f>
        <v>177125567.421128</v>
      </c>
      <c r="H229" s="86"/>
      <c r="I229" s="87">
        <f ca="1">IFERROR(__xludf.DUMMYFUNCTION("""COMPUTED_VALUE"""),2010)</f>
        <v>2010</v>
      </c>
      <c r="J229" s="88" t="str">
        <f ca="1">IFERROR(__xludf.DUMMYFUNCTION("""COMPUTED_VALUE"""),"U.K.")</f>
        <v>U.K.</v>
      </c>
      <c r="K229" s="89">
        <f ca="1">IFERROR(
  SUMIFS(
    'New Backfilled Data'!G:G,
    'New Backfilled Data'!A:A, I229,
    'New Backfilled Data'!D:D, J229,
    'New Backfilled Data'!E:E, "Online"
  ) /
  SUMIFS(
    'New Backfilled Data'!G:G,
    'New Backfilled Data'!A:A, I229,
    'New Backfilled Data'!D:D, J229
  ),
  ""
)</f>
        <v>0.35769716272378699</v>
      </c>
      <c r="L229" s="90"/>
      <c r="M229" s="90"/>
    </row>
    <row r="230" spans="1:13" ht="17" x14ac:dyDescent="0.2">
      <c r="A230" s="37">
        <v>2006</v>
      </c>
      <c r="B230" s="38" t="s">
        <v>66</v>
      </c>
      <c r="C230" s="38" t="s">
        <v>41</v>
      </c>
      <c r="D230" s="38" t="s">
        <v>43</v>
      </c>
      <c r="E230" s="38" t="s">
        <v>69</v>
      </c>
      <c r="F230" s="38" t="s">
        <v>70</v>
      </c>
      <c r="G230" s="79">
        <f ca="1">IFERROR(__xludf.DUMMYFUNCTION("IFERROR(
  IF(A230 = 2008,
    IF(E230 = ""Online"",
      FILTER('Raw PhocalPoint Data'!G:G,
        'Raw PhocalPoint Data'!A:A = 2009,
        'Raw PhocalPoint Data'!D:D = D230,
        'Raw PhocalPoint Data'!E:E = E230,
        'Raw PhocalPoint Data'!F"&amp;":F = F230
      ) /
      (
        FILTER('Raw PhocalPoint Data'!G:G,
          'Raw PhocalPoint Data'!A:A = 2012,
          'Raw PhocalPoint Data'!D:D = D230,
          'Raw PhocalPoint Data'!E:E = E230,
          'Raw PhocalPoint Data'!F:F = F230
     "&amp;"   ) /
        FILTER('Raw PhocalPoint Data'!G:G,
          'Raw PhocalPoint Data'!A:A = 2011,
          'Raw PhocalPoint Data'!D:D = D230,
          'Raw PhocalPoint Data'!E:E = E230,
          'Raw PhocalPoint Data'!F:F = F230
        )
      ),
      F"&amp;"ILTER('Raw PhocalPoint Data'!G:G,
        'Raw PhocalPoint Data'!A:A = 2009,
        'Raw PhocalPoint Data'!D:D = D230,
        'Raw PhocalPoint Data'!E:E = E230,
        'Raw PhocalPoint Data'!F:F = F230
      ) *
      (
        INDEX('Raw GDP data'!$I$"&amp;"2:$M$100,
          MATCH(D230, 'Raw GDP data'!$H$2:$H$100, 0),
          MATCH(2008, 'Raw GDP data'!$I$1:$M$1, 0)
        ) /
        INDEX('Raw GDP data'!$I$2:$M$100,
          MATCH(D230, 'Raw GDP data'!$H$2:$H$100, 0),
          MATCH(2009, 'Raw GDP d"&amp;"ata'!$I$1:$M$1, 0)
        )
      )
    ),
  IF(A230 &lt; 2008,
    (
      FILTER(G:G,
        A:A = 2008,
        D:D = D230,
        E:E = E230,
        F:F = F230
      ) /
      PRODUCT(
        ARRAYFORMULA(
          (
            (
              FIL"&amp;"TER('Raw PhocalPoint Data'!G:G,
                'Raw PhocalPoint Data'!A:A = 2012,
                'Raw PhocalPoint Data'!D:D = D230,
                'Raw PhocalPoint Data'!E:E = E230,
                'Raw PhocalPoint Data'!F:F = F230
              ) /
  "&amp;"            FILTER('Raw PhocalPoint Data'!G:G,
                'Raw PhocalPoint Data'!A:A = 2011,
                'Raw PhocalPoint Data'!D:D = D230,
                'Raw PhocalPoint Data'!E:E = E230,
                'Raw PhocalPoint Data'!F:F = F230
     "&amp;"         ) -
              ROW(INDIRECT(""1:"" &amp; (2008 - A230))) *
              (
                (
                  FILTER('Raw PhocalPoint Data'!G:G,
                    'Raw PhocalPoint Data'!A:A = 2012,
                    'Raw PhocalPoint Data'!D:D"&amp;" = D230,
                    'Raw PhocalPoint Data'!E:E = E230,
                    'Raw PhocalPoint Data'!F:F = F230
                  ) /
                  FILTER('Raw PhocalPoint Data'!G:G,
                    'Raw PhocalPoint Data'!A:A = 2011,
       "&amp;"             'Raw PhocalPoint Data'!D:D = D230,
                    'Raw PhocalPoint Data'!E:E = E230,
                    'Raw PhocalPoint Data'!F:F = F230
                  ) - 1
                ) / 5
              )
            )
          )
        )
"&amp;"      )
    ),
    (
      FILTER('Raw PhocalPoint Data'!G:G,
        'Raw PhocalPoint Data'!A:A = 2009,
        'Raw PhocalPoint Data'!D:D = D230,
        'Raw PhocalPoint Data'!E:E = E230,
        'Raw PhocalPoint Data'!F:F = F230
      ) /
      PRODUC"&amp;"T(
        ARRAYFORMULA(
          (
            FILTER('Raw PhocalPoint Data'!G:G,
              'Raw PhocalPoint Data'!A:A = 2012,
              'Raw PhocalPoint Data'!D:D = D230,
              'Raw PhocalPoint Data'!E:E = E230,
              'Raw Phoca"&amp;"lPoint Data'!F:F = F230
            ) /
            FILTER('Raw PhocalPoint Data'!G:G,
              'Raw PhocalPoint Data'!A:A = 2011,
              'Raw PhocalPoint Data'!D:D = D230,
              'Raw PhocalPoint Data'!E:E = E230,
              'Raw Ph"&amp;"ocalPoint Data'!F:F = F230
            ) -
            (ROW(INDIRECT(""1:"" &amp; (2010 - A230))) - 1) *
            (
              (
                FILTER('Raw PhocalPoint Data'!G:G,
                  'Raw PhocalPoint Data'!A:A = 2012,
                  'R"&amp;"aw PhocalPoint Data'!D:D = D230,
                  'Raw PhocalPoint Data'!E:E = E230,
                  'Raw PhocalPoint Data'!F:F = F230
                ) /
                FILTER('Raw PhocalPoint Data'!G:G,
                  'Raw PhocalPoint Data'!A:A ="&amp;" 2011,
                  'Raw PhocalPoint Data'!D:D = D230,
                  'Raw PhocalPoint Data'!E:E = E230,
                  'Raw PhocalPoint Data'!F:F = F230
                ) - 1
              ) / 5
            )
          )
        )
      )
    "&amp;") *
    INDEX('Raw GDP data'!$I$2:$M$100,
      MATCH(D230, 'Raw GDP data'!$H$2:$H$100, 0),
      MATCH(A230, 'Raw GDP data'!$I$1:$M$1, 0)
    )
  )),
  """"
)
"),179573995.883224)</f>
        <v>179573995.88322401</v>
      </c>
      <c r="H230" s="80"/>
      <c r="I230" s="81">
        <f ca="1">IFERROR(__xludf.DUMMYFUNCTION("""COMPUTED_VALUE"""),2010)</f>
        <v>2010</v>
      </c>
      <c r="J230" s="82" t="str">
        <f ca="1">IFERROR(__xludf.DUMMYFUNCTION("""COMPUTED_VALUE"""),"Argentina")</f>
        <v>Argentina</v>
      </c>
      <c r="K230" s="83">
        <f ca="1">IFERROR(
  SUMIFS(
    'New Backfilled Data'!G:G,
    'New Backfilled Data'!A:A, I230,
    'New Backfilled Data'!D:D, J230,
    'New Backfilled Data'!E:E, "Online"
  ) /
  SUMIFS(
    'New Backfilled Data'!G:G,
    'New Backfilled Data'!A:A, I230,
    'New Backfilled Data'!D:D, J230
  ),
  ""
)</f>
        <v>6.5738604306788587E-2</v>
      </c>
      <c r="L230" s="84"/>
      <c r="M230" s="84"/>
    </row>
    <row r="231" spans="1:13" ht="17" x14ac:dyDescent="0.2">
      <c r="A231" s="44">
        <v>2006</v>
      </c>
      <c r="B231" s="45" t="s">
        <v>66</v>
      </c>
      <c r="C231" s="45" t="s">
        <v>41</v>
      </c>
      <c r="D231" s="45" t="s">
        <v>44</v>
      </c>
      <c r="E231" s="45" t="s">
        <v>67</v>
      </c>
      <c r="F231" s="45" t="s">
        <v>67</v>
      </c>
      <c r="G231" s="85">
        <f ca="1">IFERROR(__xludf.DUMMYFUNCTION("IFERROR(
  IF(A231 = 2008,
    IF(E231 = ""Online"",
      FILTER('Raw PhocalPoint Data'!G:G,
        'Raw PhocalPoint Data'!A:A = 2009,
        'Raw PhocalPoint Data'!D:D = D231,
        'Raw PhocalPoint Data'!E:E = E231,
        'Raw PhocalPoint Data'!F"&amp;":F = F231
      ) /
      (
        FILTER('Raw PhocalPoint Data'!G:G,
          'Raw PhocalPoint Data'!A:A = 2012,
          'Raw PhocalPoint Data'!D:D = D231,
          'Raw PhocalPoint Data'!E:E = E231,
          'Raw PhocalPoint Data'!F:F = F231
     "&amp;"   ) /
        FILTER('Raw PhocalPoint Data'!G:G,
          'Raw PhocalPoint Data'!A:A = 2011,
          'Raw PhocalPoint Data'!D:D = D231,
          'Raw PhocalPoint Data'!E:E = E231,
          'Raw PhocalPoint Data'!F:F = F231
        )
      ),
      F"&amp;"ILTER('Raw PhocalPoint Data'!G:G,
        'Raw PhocalPoint Data'!A:A = 2009,
        'Raw PhocalPoint Data'!D:D = D231,
        'Raw PhocalPoint Data'!E:E = E231,
        'Raw PhocalPoint Data'!F:F = F231
      ) *
      (
        INDEX('Raw GDP data'!$I$"&amp;"2:$M$100,
          MATCH(D231, 'Raw GDP data'!$H$2:$H$100, 0),
          MATCH(2008, 'Raw GDP data'!$I$1:$M$1, 0)
        ) /
        INDEX('Raw GDP data'!$I$2:$M$100,
          MATCH(D231, 'Raw GDP data'!$H$2:$H$100, 0),
          MATCH(2009, 'Raw GDP d"&amp;"ata'!$I$1:$M$1, 0)
        )
      )
    ),
  IF(A231 &lt; 2008,
    (
      FILTER(G:G,
        A:A = 2008,
        D:D = D231,
        E:E = E231,
        F:F = F231
      ) /
      PRODUCT(
        ARRAYFORMULA(
          (
            (
              FIL"&amp;"TER('Raw PhocalPoint Data'!G:G,
                'Raw PhocalPoint Data'!A:A = 2012,
                'Raw PhocalPoint Data'!D:D = D231,
                'Raw PhocalPoint Data'!E:E = E231,
                'Raw PhocalPoint Data'!F:F = F231
              ) /
  "&amp;"            FILTER('Raw PhocalPoint Data'!G:G,
                'Raw PhocalPoint Data'!A:A = 2011,
                'Raw PhocalPoint Data'!D:D = D231,
                'Raw PhocalPoint Data'!E:E = E231,
                'Raw PhocalPoint Data'!F:F = F231
     "&amp;"         ) -
              ROW(INDIRECT(""1:"" &amp; (2008 - A231))) *
              (
                (
                  FILTER('Raw PhocalPoint Data'!G:G,
                    'Raw PhocalPoint Data'!A:A = 2012,
                    'Raw PhocalPoint Data'!D:D"&amp;" = D231,
                    'Raw PhocalPoint Data'!E:E = E231,
                    'Raw PhocalPoint Data'!F:F = F231
                  ) /
                  FILTER('Raw PhocalPoint Data'!G:G,
                    'Raw PhocalPoint Data'!A:A = 2011,
       "&amp;"             'Raw PhocalPoint Data'!D:D = D231,
                    'Raw PhocalPoint Data'!E:E = E231,
                    'Raw PhocalPoint Data'!F:F = F231
                  ) - 1
                ) / 5
              )
            )
          )
        )
"&amp;"      )
    ),
    (
      FILTER('Raw PhocalPoint Data'!G:G,
        'Raw PhocalPoint Data'!A:A = 2009,
        'Raw PhocalPoint Data'!D:D = D231,
        'Raw PhocalPoint Data'!E:E = E231,
        'Raw PhocalPoint Data'!F:F = F231
      ) /
      PRODUC"&amp;"T(
        ARRAYFORMULA(
          (
            FILTER('Raw PhocalPoint Data'!G:G,
              'Raw PhocalPoint Data'!A:A = 2012,
              'Raw PhocalPoint Data'!D:D = D231,
              'Raw PhocalPoint Data'!E:E = E231,
              'Raw Phoca"&amp;"lPoint Data'!F:F = F231
            ) /
            FILTER('Raw PhocalPoint Data'!G:G,
              'Raw PhocalPoint Data'!A:A = 2011,
              'Raw PhocalPoint Data'!D:D = D231,
              'Raw PhocalPoint Data'!E:E = E231,
              'Raw Ph"&amp;"ocalPoint Data'!F:F = F231
            ) -
            (ROW(INDIRECT(""1:"" &amp; (2010 - A231))) - 1) *
            (
              (
                FILTER('Raw PhocalPoint Data'!G:G,
                  'Raw PhocalPoint Data'!A:A = 2012,
                  'R"&amp;"aw PhocalPoint Data'!D:D = D231,
                  'Raw PhocalPoint Data'!E:E = E231,
                  'Raw PhocalPoint Data'!F:F = F231
                ) /
                FILTER('Raw PhocalPoint Data'!G:G,
                  'Raw PhocalPoint Data'!A:A ="&amp;" 2011,
                  'Raw PhocalPoint Data'!D:D = D231,
                  'Raw PhocalPoint Data'!E:E = E231,
                  'Raw PhocalPoint Data'!F:F = F231
                ) - 1
              ) / 5
            )
          )
        )
      )
    "&amp;") *
    INDEX('Raw GDP data'!$I$2:$M$100,
      MATCH(D231, 'Raw GDP data'!$H$2:$H$100, 0),
      MATCH(A231, 'Raw GDP data'!$I$1:$M$1, 0)
    )
  )),
  """"
)
"),9978307790.83907)</f>
        <v>9978307790.8390694</v>
      </c>
      <c r="H231" s="86"/>
      <c r="I231" s="87">
        <f ca="1">IFERROR(__xludf.DUMMYFUNCTION("""COMPUTED_VALUE"""),2010)</f>
        <v>2010</v>
      </c>
      <c r="J231" s="88" t="str">
        <f ca="1">IFERROR(__xludf.DUMMYFUNCTION("""COMPUTED_VALUE"""),"Brazil")</f>
        <v>Brazil</v>
      </c>
      <c r="K231" s="89">
        <f ca="1">IFERROR(
  SUMIFS(
    'New Backfilled Data'!G:G,
    'New Backfilled Data'!A:A, I231,
    'New Backfilled Data'!D:D, J231,
    'New Backfilled Data'!E:E, "Online"
  ) /
  SUMIFS(
    'New Backfilled Data'!G:G,
    'New Backfilled Data'!A:A, I231,
    'New Backfilled Data'!D:D, J231
  ),
  ""
)</f>
        <v>0.12610424580025642</v>
      </c>
      <c r="L231" s="90"/>
      <c r="M231" s="90"/>
    </row>
    <row r="232" spans="1:13" ht="17" x14ac:dyDescent="0.2">
      <c r="A232" s="37">
        <v>2006</v>
      </c>
      <c r="B232" s="38" t="s">
        <v>66</v>
      </c>
      <c r="C232" s="38" t="s">
        <v>41</v>
      </c>
      <c r="D232" s="38" t="s">
        <v>44</v>
      </c>
      <c r="E232" s="38" t="s">
        <v>69</v>
      </c>
      <c r="F232" s="38" t="s">
        <v>71</v>
      </c>
      <c r="G232" s="79">
        <f ca="1">IFERROR(__xludf.DUMMYFUNCTION("IFERROR(
  IF(A232 = 2008,
    IF(E232 = ""Online"",
      FILTER('Raw PhocalPoint Data'!G:G,
        'Raw PhocalPoint Data'!A:A = 2009,
        'Raw PhocalPoint Data'!D:D = D232,
        'Raw PhocalPoint Data'!E:E = E232,
        'Raw PhocalPoint Data'!F"&amp;":F = F232
      ) /
      (
        FILTER('Raw PhocalPoint Data'!G:G,
          'Raw PhocalPoint Data'!A:A = 2012,
          'Raw PhocalPoint Data'!D:D = D232,
          'Raw PhocalPoint Data'!E:E = E232,
          'Raw PhocalPoint Data'!F:F = F232
     "&amp;"   ) /
        FILTER('Raw PhocalPoint Data'!G:G,
          'Raw PhocalPoint Data'!A:A = 2011,
          'Raw PhocalPoint Data'!D:D = D232,
          'Raw PhocalPoint Data'!E:E = E232,
          'Raw PhocalPoint Data'!F:F = F232
        )
      ),
      F"&amp;"ILTER('Raw PhocalPoint Data'!G:G,
        'Raw PhocalPoint Data'!A:A = 2009,
        'Raw PhocalPoint Data'!D:D = D232,
        'Raw PhocalPoint Data'!E:E = E232,
        'Raw PhocalPoint Data'!F:F = F232
      ) *
      (
        INDEX('Raw GDP data'!$I$"&amp;"2:$M$100,
          MATCH(D232, 'Raw GDP data'!$H$2:$H$100, 0),
          MATCH(2008, 'Raw GDP data'!$I$1:$M$1, 0)
        ) /
        INDEX('Raw GDP data'!$I$2:$M$100,
          MATCH(D232, 'Raw GDP data'!$H$2:$H$100, 0),
          MATCH(2009, 'Raw GDP d"&amp;"ata'!$I$1:$M$1, 0)
        )
      )
    ),
  IF(A232 &lt; 2008,
    (
      FILTER(G:G,
        A:A = 2008,
        D:D = D232,
        E:E = E232,
        F:F = F232
      ) /
      PRODUCT(
        ARRAYFORMULA(
          (
            (
              FIL"&amp;"TER('Raw PhocalPoint Data'!G:G,
                'Raw PhocalPoint Data'!A:A = 2012,
                'Raw PhocalPoint Data'!D:D = D232,
                'Raw PhocalPoint Data'!E:E = E232,
                'Raw PhocalPoint Data'!F:F = F232
              ) /
  "&amp;"            FILTER('Raw PhocalPoint Data'!G:G,
                'Raw PhocalPoint Data'!A:A = 2011,
                'Raw PhocalPoint Data'!D:D = D232,
                'Raw PhocalPoint Data'!E:E = E232,
                'Raw PhocalPoint Data'!F:F = F232
     "&amp;"         ) -
              ROW(INDIRECT(""1:"" &amp; (2008 - A232))) *
              (
                (
                  FILTER('Raw PhocalPoint Data'!G:G,
                    'Raw PhocalPoint Data'!A:A = 2012,
                    'Raw PhocalPoint Data'!D:D"&amp;" = D232,
                    'Raw PhocalPoint Data'!E:E = E232,
                    'Raw PhocalPoint Data'!F:F = F232
                  ) /
                  FILTER('Raw PhocalPoint Data'!G:G,
                    'Raw PhocalPoint Data'!A:A = 2011,
       "&amp;"             'Raw PhocalPoint Data'!D:D = D232,
                    'Raw PhocalPoint Data'!E:E = E232,
                    'Raw PhocalPoint Data'!F:F = F232
                  ) - 1
                ) / 5
              )
            )
          )
        )
"&amp;"      )
    ),
    (
      FILTER('Raw PhocalPoint Data'!G:G,
        'Raw PhocalPoint Data'!A:A = 2009,
        'Raw PhocalPoint Data'!D:D = D232,
        'Raw PhocalPoint Data'!E:E = E232,
        'Raw PhocalPoint Data'!F:F = F232
      ) /
      PRODUC"&amp;"T(
        ARRAYFORMULA(
          (
            FILTER('Raw PhocalPoint Data'!G:G,
              'Raw PhocalPoint Data'!A:A = 2012,
              'Raw PhocalPoint Data'!D:D = D232,
              'Raw PhocalPoint Data'!E:E = E232,
              'Raw Phoca"&amp;"lPoint Data'!F:F = F232
            ) /
            FILTER('Raw PhocalPoint Data'!G:G,
              'Raw PhocalPoint Data'!A:A = 2011,
              'Raw PhocalPoint Data'!D:D = D232,
              'Raw PhocalPoint Data'!E:E = E232,
              'Raw Ph"&amp;"ocalPoint Data'!F:F = F232
            ) -
            (ROW(INDIRECT(""1:"" &amp; (2010 - A232))) - 1) *
            (
              (
                FILTER('Raw PhocalPoint Data'!G:G,
                  'Raw PhocalPoint Data'!A:A = 2012,
                  'R"&amp;"aw PhocalPoint Data'!D:D = D232,
                  'Raw PhocalPoint Data'!E:E = E232,
                  'Raw PhocalPoint Data'!F:F = F232
                ) /
                FILTER('Raw PhocalPoint Data'!G:G,
                  'Raw PhocalPoint Data'!A:A ="&amp;" 2011,
                  'Raw PhocalPoint Data'!D:D = D232,
                  'Raw PhocalPoint Data'!E:E = E232,
                  'Raw PhocalPoint Data'!F:F = F232
                ) - 1
              ) / 5
            )
          )
        )
      )
    "&amp;") *
    INDEX('Raw GDP data'!$I$2:$M$100,
      MATCH(D232, 'Raw GDP data'!$H$2:$H$100, 0),
      MATCH(A232, 'Raw GDP data'!$I$1:$M$1, 0)
    )
  )),
  """"
)
"),448938451.108679)</f>
        <v>448938451.108679</v>
      </c>
      <c r="H232" s="80"/>
      <c r="I232" s="81">
        <f ca="1">IFERROR(__xludf.DUMMYFUNCTION("""COMPUTED_VALUE"""),2010)</f>
        <v>2010</v>
      </c>
      <c r="J232" s="82" t="str">
        <f ca="1">IFERROR(__xludf.DUMMYFUNCTION("""COMPUTED_VALUE"""),"Chile")</f>
        <v>Chile</v>
      </c>
      <c r="K232" s="83">
        <f ca="1">IFERROR(
  SUMIFS(
    'New Backfilled Data'!G:G,
    'New Backfilled Data'!A:A, I232,
    'New Backfilled Data'!D:D, J232,
    'New Backfilled Data'!E:E, "Online"
  ) /
  SUMIFS(
    'New Backfilled Data'!G:G,
    'New Backfilled Data'!A:A, I232,
    'New Backfilled Data'!D:D, J232
  ),
  ""
)</f>
        <v>0.19583511594367634</v>
      </c>
      <c r="L232" s="84"/>
      <c r="M232" s="84"/>
    </row>
    <row r="233" spans="1:13" ht="17" x14ac:dyDescent="0.2">
      <c r="A233" s="44">
        <v>2006</v>
      </c>
      <c r="B233" s="45" t="s">
        <v>66</v>
      </c>
      <c r="C233" s="45" t="s">
        <v>41</v>
      </c>
      <c r="D233" s="45" t="s">
        <v>44</v>
      </c>
      <c r="E233" s="45" t="s">
        <v>69</v>
      </c>
      <c r="F233" s="45" t="s">
        <v>70</v>
      </c>
      <c r="G233" s="85">
        <f ca="1">IFERROR(__xludf.DUMMYFUNCTION("IFERROR(
  IF(A233 = 2008,
    IF(E233 = ""Online"",
      FILTER('Raw PhocalPoint Data'!G:G,
        'Raw PhocalPoint Data'!A:A = 2009,
        'Raw PhocalPoint Data'!D:D = D233,
        'Raw PhocalPoint Data'!E:E = E233,
        'Raw PhocalPoint Data'!F"&amp;":F = F233
      ) /
      (
        FILTER('Raw PhocalPoint Data'!G:G,
          'Raw PhocalPoint Data'!A:A = 2012,
          'Raw PhocalPoint Data'!D:D = D233,
          'Raw PhocalPoint Data'!E:E = E233,
          'Raw PhocalPoint Data'!F:F = F233
     "&amp;"   ) /
        FILTER('Raw PhocalPoint Data'!G:G,
          'Raw PhocalPoint Data'!A:A = 2011,
          'Raw PhocalPoint Data'!D:D = D233,
          'Raw PhocalPoint Data'!E:E = E233,
          'Raw PhocalPoint Data'!F:F = F233
        )
      ),
      F"&amp;"ILTER('Raw PhocalPoint Data'!G:G,
        'Raw PhocalPoint Data'!A:A = 2009,
        'Raw PhocalPoint Data'!D:D = D233,
        'Raw PhocalPoint Data'!E:E = E233,
        'Raw PhocalPoint Data'!F:F = F233
      ) *
      (
        INDEX('Raw GDP data'!$I$"&amp;"2:$M$100,
          MATCH(D233, 'Raw GDP data'!$H$2:$H$100, 0),
          MATCH(2008, 'Raw GDP data'!$I$1:$M$1, 0)
        ) /
        INDEX('Raw GDP data'!$I$2:$M$100,
          MATCH(D233, 'Raw GDP data'!$H$2:$H$100, 0),
          MATCH(2009, 'Raw GDP d"&amp;"ata'!$I$1:$M$1, 0)
        )
      )
    ),
  IF(A233 &lt; 2008,
    (
      FILTER(G:G,
        A:A = 2008,
        D:D = D233,
        E:E = E233,
        F:F = F233
      ) /
      PRODUCT(
        ARRAYFORMULA(
          (
            (
              FIL"&amp;"TER('Raw PhocalPoint Data'!G:G,
                'Raw PhocalPoint Data'!A:A = 2012,
                'Raw PhocalPoint Data'!D:D = D233,
                'Raw PhocalPoint Data'!E:E = E233,
                'Raw PhocalPoint Data'!F:F = F233
              ) /
  "&amp;"            FILTER('Raw PhocalPoint Data'!G:G,
                'Raw PhocalPoint Data'!A:A = 2011,
                'Raw PhocalPoint Data'!D:D = D233,
                'Raw PhocalPoint Data'!E:E = E233,
                'Raw PhocalPoint Data'!F:F = F233
     "&amp;"         ) -
              ROW(INDIRECT(""1:"" &amp; (2008 - A233))) *
              (
                (
                  FILTER('Raw PhocalPoint Data'!G:G,
                    'Raw PhocalPoint Data'!A:A = 2012,
                    'Raw PhocalPoint Data'!D:D"&amp;" = D233,
                    'Raw PhocalPoint Data'!E:E = E233,
                    'Raw PhocalPoint Data'!F:F = F233
                  ) /
                  FILTER('Raw PhocalPoint Data'!G:G,
                    'Raw PhocalPoint Data'!A:A = 2011,
       "&amp;"             'Raw PhocalPoint Data'!D:D = D233,
                    'Raw PhocalPoint Data'!E:E = E233,
                    'Raw PhocalPoint Data'!F:F = F233
                  ) - 1
                ) / 5
              )
            )
          )
        )
"&amp;"      )
    ),
    (
      FILTER('Raw PhocalPoint Data'!G:G,
        'Raw PhocalPoint Data'!A:A = 2009,
        'Raw PhocalPoint Data'!D:D = D233,
        'Raw PhocalPoint Data'!E:E = E233,
        'Raw PhocalPoint Data'!F:F = F233
      ) /
      PRODUC"&amp;"T(
        ARRAYFORMULA(
          (
            FILTER('Raw PhocalPoint Data'!G:G,
              'Raw PhocalPoint Data'!A:A = 2012,
              'Raw PhocalPoint Data'!D:D = D233,
              'Raw PhocalPoint Data'!E:E = E233,
              'Raw Phoca"&amp;"lPoint Data'!F:F = F233
            ) /
            FILTER('Raw PhocalPoint Data'!G:G,
              'Raw PhocalPoint Data'!A:A = 2011,
              'Raw PhocalPoint Data'!D:D = D233,
              'Raw PhocalPoint Data'!E:E = E233,
              'Raw Ph"&amp;"ocalPoint Data'!F:F = F233
            ) -
            (ROW(INDIRECT(""1:"" &amp; (2010 - A233))) - 1) *
            (
              (
                FILTER('Raw PhocalPoint Data'!G:G,
                  'Raw PhocalPoint Data'!A:A = 2012,
                  'R"&amp;"aw PhocalPoint Data'!D:D = D233,
                  'Raw PhocalPoint Data'!E:E = E233,
                  'Raw PhocalPoint Data'!F:F = F233
                ) /
                FILTER('Raw PhocalPoint Data'!G:G,
                  'Raw PhocalPoint Data'!A:A ="&amp;" 2011,
                  'Raw PhocalPoint Data'!D:D = D233,
                  'Raw PhocalPoint Data'!E:E = E233,
                  'Raw PhocalPoint Data'!F:F = F233
                ) - 1
              ) / 5
            )
          )
        )
      )
    "&amp;") *
    INDEX('Raw GDP data'!$I$2:$M$100,
      MATCH(D233, 'Raw GDP data'!$H$2:$H$100, 0),
      MATCH(A233, 'Raw GDP data'!$I$1:$M$1, 0)
    )
  )),
  """"
)
"),232617130.244524)</f>
        <v>232617130.244524</v>
      </c>
      <c r="H233" s="86"/>
      <c r="I233" s="87">
        <f ca="1">IFERROR(__xludf.DUMMYFUNCTION("""COMPUTED_VALUE"""),2010)</f>
        <v>2010</v>
      </c>
      <c r="J233" s="88" t="str">
        <f ca="1">IFERROR(__xludf.DUMMYFUNCTION("""COMPUTED_VALUE"""),"Colombia")</f>
        <v>Colombia</v>
      </c>
      <c r="K233" s="89">
        <f ca="1">IFERROR(
  SUMIFS(
    'New Backfilled Data'!G:G,
    'New Backfilled Data'!A:A, I233,
    'New Backfilled Data'!D:D, J233,
    'New Backfilled Data'!E:E, "Online"
  ) /
  SUMIFS(
    'New Backfilled Data'!G:G,
    'New Backfilled Data'!A:A, I233,
    'New Backfilled Data'!D:D, J233
  ),
  ""
)</f>
        <v>0.10641999610135644</v>
      </c>
      <c r="L233" s="90"/>
      <c r="M233" s="90"/>
    </row>
    <row r="234" spans="1:13" ht="17" x14ac:dyDescent="0.2">
      <c r="A234" s="37">
        <v>2006</v>
      </c>
      <c r="B234" s="38" t="s">
        <v>66</v>
      </c>
      <c r="C234" s="38" t="s">
        <v>41</v>
      </c>
      <c r="D234" s="38" t="s">
        <v>45</v>
      </c>
      <c r="E234" s="38" t="s">
        <v>67</v>
      </c>
      <c r="F234" s="38" t="s">
        <v>67</v>
      </c>
      <c r="G234" s="79">
        <f ca="1">IFERROR(__xludf.DUMMYFUNCTION("IFERROR(
  IF(A234 = 2008,
    IF(E234 = ""Online"",
      FILTER('Raw PhocalPoint Data'!G:G,
        'Raw PhocalPoint Data'!A:A = 2009,
        'Raw PhocalPoint Data'!D:D = D234,
        'Raw PhocalPoint Data'!E:E = E234,
        'Raw PhocalPoint Data'!F"&amp;":F = F234
      ) /
      (
        FILTER('Raw PhocalPoint Data'!G:G,
          'Raw PhocalPoint Data'!A:A = 2012,
          'Raw PhocalPoint Data'!D:D = D234,
          'Raw PhocalPoint Data'!E:E = E234,
          'Raw PhocalPoint Data'!F:F = F234
     "&amp;"   ) /
        FILTER('Raw PhocalPoint Data'!G:G,
          'Raw PhocalPoint Data'!A:A = 2011,
          'Raw PhocalPoint Data'!D:D = D234,
          'Raw PhocalPoint Data'!E:E = E234,
          'Raw PhocalPoint Data'!F:F = F234
        )
      ),
      F"&amp;"ILTER('Raw PhocalPoint Data'!G:G,
        'Raw PhocalPoint Data'!A:A = 2009,
        'Raw PhocalPoint Data'!D:D = D234,
        'Raw PhocalPoint Data'!E:E = E234,
        'Raw PhocalPoint Data'!F:F = F234
      ) *
      (
        INDEX('Raw GDP data'!$I$"&amp;"2:$M$100,
          MATCH(D234, 'Raw GDP data'!$H$2:$H$100, 0),
          MATCH(2008, 'Raw GDP data'!$I$1:$M$1, 0)
        ) /
        INDEX('Raw GDP data'!$I$2:$M$100,
          MATCH(D234, 'Raw GDP data'!$H$2:$H$100, 0),
          MATCH(2009, 'Raw GDP d"&amp;"ata'!$I$1:$M$1, 0)
        )
      )
    ),
  IF(A234 &lt; 2008,
    (
      FILTER(G:G,
        A:A = 2008,
        D:D = D234,
        E:E = E234,
        F:F = F234
      ) /
      PRODUCT(
        ARRAYFORMULA(
          (
            (
              FIL"&amp;"TER('Raw PhocalPoint Data'!G:G,
                'Raw PhocalPoint Data'!A:A = 2012,
                'Raw PhocalPoint Data'!D:D = D234,
                'Raw PhocalPoint Data'!E:E = E234,
                'Raw PhocalPoint Data'!F:F = F234
              ) /
  "&amp;"            FILTER('Raw PhocalPoint Data'!G:G,
                'Raw PhocalPoint Data'!A:A = 2011,
                'Raw PhocalPoint Data'!D:D = D234,
                'Raw PhocalPoint Data'!E:E = E234,
                'Raw PhocalPoint Data'!F:F = F234
     "&amp;"         ) -
              ROW(INDIRECT(""1:"" &amp; (2008 - A234))) *
              (
                (
                  FILTER('Raw PhocalPoint Data'!G:G,
                    'Raw PhocalPoint Data'!A:A = 2012,
                    'Raw PhocalPoint Data'!D:D"&amp;" = D234,
                    'Raw PhocalPoint Data'!E:E = E234,
                    'Raw PhocalPoint Data'!F:F = F234
                  ) /
                  FILTER('Raw PhocalPoint Data'!G:G,
                    'Raw PhocalPoint Data'!A:A = 2011,
       "&amp;"             'Raw PhocalPoint Data'!D:D = D234,
                    'Raw PhocalPoint Data'!E:E = E234,
                    'Raw PhocalPoint Data'!F:F = F234
                  ) - 1
                ) / 5
              )
            )
          )
        )
"&amp;"      )
    ),
    (
      FILTER('Raw PhocalPoint Data'!G:G,
        'Raw PhocalPoint Data'!A:A = 2009,
        'Raw PhocalPoint Data'!D:D = D234,
        'Raw PhocalPoint Data'!E:E = E234,
        'Raw PhocalPoint Data'!F:F = F234
      ) /
      PRODUC"&amp;"T(
        ARRAYFORMULA(
          (
            FILTER('Raw PhocalPoint Data'!G:G,
              'Raw PhocalPoint Data'!A:A = 2012,
              'Raw PhocalPoint Data'!D:D = D234,
              'Raw PhocalPoint Data'!E:E = E234,
              'Raw Phoca"&amp;"lPoint Data'!F:F = F234
            ) /
            FILTER('Raw PhocalPoint Data'!G:G,
              'Raw PhocalPoint Data'!A:A = 2011,
              'Raw PhocalPoint Data'!D:D = D234,
              'Raw PhocalPoint Data'!E:E = E234,
              'Raw Ph"&amp;"ocalPoint Data'!F:F = F234
            ) -
            (ROW(INDIRECT(""1:"" &amp; (2010 - A234))) - 1) *
            (
              (
                FILTER('Raw PhocalPoint Data'!G:G,
                  'Raw PhocalPoint Data'!A:A = 2012,
                  'R"&amp;"aw PhocalPoint Data'!D:D = D234,
                  'Raw PhocalPoint Data'!E:E = E234,
                  'Raw PhocalPoint Data'!F:F = F234
                ) /
                FILTER('Raw PhocalPoint Data'!G:G,
                  'Raw PhocalPoint Data'!A:A ="&amp;" 2011,
                  'Raw PhocalPoint Data'!D:D = D234,
                  'Raw PhocalPoint Data'!E:E = E234,
                  'Raw PhocalPoint Data'!F:F = F234
                ) - 1
              ) / 5
            )
          )
        )
      )
    "&amp;") *
    INDEX('Raw GDP data'!$I$2:$M$100,
      MATCH(D234, 'Raw GDP data'!$H$2:$H$100, 0),
      MATCH(A234, 'Raw GDP data'!$I$1:$M$1, 0)
    )
  )),
  """"
)
"),19985025004.6677)</f>
        <v>19985025004.667702</v>
      </c>
      <c r="H234" s="80"/>
      <c r="I234" s="81">
        <f ca="1">IFERROR(__xludf.DUMMYFUNCTION("""COMPUTED_VALUE"""),2010)</f>
        <v>2010</v>
      </c>
      <c r="J234" s="82" t="str">
        <f ca="1">IFERROR(__xludf.DUMMYFUNCTION("""COMPUTED_VALUE"""),"Mexico")</f>
        <v>Mexico</v>
      </c>
      <c r="K234" s="83">
        <f ca="1">IFERROR(
  SUMIFS(
    'New Backfilled Data'!G:G,
    'New Backfilled Data'!A:A, I234,
    'New Backfilled Data'!D:D, J234,
    'New Backfilled Data'!E:E, "Online"
  ) /
  SUMIFS(
    'New Backfilled Data'!G:G,
    'New Backfilled Data'!A:A, I234,
    'New Backfilled Data'!D:D, J234
  ),
  ""
)</f>
        <v>0.16208005364443867</v>
      </c>
      <c r="L234" s="84"/>
      <c r="M234" s="84"/>
    </row>
    <row r="235" spans="1:13" ht="17" x14ac:dyDescent="0.2">
      <c r="A235" s="44">
        <v>2006</v>
      </c>
      <c r="B235" s="45" t="s">
        <v>66</v>
      </c>
      <c r="C235" s="45" t="s">
        <v>41</v>
      </c>
      <c r="D235" s="45" t="s">
        <v>45</v>
      </c>
      <c r="E235" s="45" t="s">
        <v>69</v>
      </c>
      <c r="F235" s="45" t="s">
        <v>71</v>
      </c>
      <c r="G235" s="85">
        <f ca="1">IFERROR(__xludf.DUMMYFUNCTION("IFERROR(
  IF(A235 = 2008,
    IF(E235 = ""Online"",
      FILTER('Raw PhocalPoint Data'!G:G,
        'Raw PhocalPoint Data'!A:A = 2009,
        'Raw PhocalPoint Data'!D:D = D235,
        'Raw PhocalPoint Data'!E:E = E235,
        'Raw PhocalPoint Data'!F"&amp;":F = F235
      ) /
      (
        FILTER('Raw PhocalPoint Data'!G:G,
          'Raw PhocalPoint Data'!A:A = 2012,
          'Raw PhocalPoint Data'!D:D = D235,
          'Raw PhocalPoint Data'!E:E = E235,
          'Raw PhocalPoint Data'!F:F = F235
     "&amp;"   ) /
        FILTER('Raw PhocalPoint Data'!G:G,
          'Raw PhocalPoint Data'!A:A = 2011,
          'Raw PhocalPoint Data'!D:D = D235,
          'Raw PhocalPoint Data'!E:E = E235,
          'Raw PhocalPoint Data'!F:F = F235
        )
      ),
      F"&amp;"ILTER('Raw PhocalPoint Data'!G:G,
        'Raw PhocalPoint Data'!A:A = 2009,
        'Raw PhocalPoint Data'!D:D = D235,
        'Raw PhocalPoint Data'!E:E = E235,
        'Raw PhocalPoint Data'!F:F = F235
      ) *
      (
        INDEX('Raw GDP data'!$I$"&amp;"2:$M$100,
          MATCH(D235, 'Raw GDP data'!$H$2:$H$100, 0),
          MATCH(2008, 'Raw GDP data'!$I$1:$M$1, 0)
        ) /
        INDEX('Raw GDP data'!$I$2:$M$100,
          MATCH(D235, 'Raw GDP data'!$H$2:$H$100, 0),
          MATCH(2009, 'Raw GDP d"&amp;"ata'!$I$1:$M$1, 0)
        )
      )
    ),
  IF(A235 &lt; 2008,
    (
      FILTER(G:G,
        A:A = 2008,
        D:D = D235,
        E:E = E235,
        F:F = F235
      ) /
      PRODUCT(
        ARRAYFORMULA(
          (
            (
              FIL"&amp;"TER('Raw PhocalPoint Data'!G:G,
                'Raw PhocalPoint Data'!A:A = 2012,
                'Raw PhocalPoint Data'!D:D = D235,
                'Raw PhocalPoint Data'!E:E = E235,
                'Raw PhocalPoint Data'!F:F = F235
              ) /
  "&amp;"            FILTER('Raw PhocalPoint Data'!G:G,
                'Raw PhocalPoint Data'!A:A = 2011,
                'Raw PhocalPoint Data'!D:D = D235,
                'Raw PhocalPoint Data'!E:E = E235,
                'Raw PhocalPoint Data'!F:F = F235
     "&amp;"         ) -
              ROW(INDIRECT(""1:"" &amp; (2008 - A235))) *
              (
                (
                  FILTER('Raw PhocalPoint Data'!G:G,
                    'Raw PhocalPoint Data'!A:A = 2012,
                    'Raw PhocalPoint Data'!D:D"&amp;" = D235,
                    'Raw PhocalPoint Data'!E:E = E235,
                    'Raw PhocalPoint Data'!F:F = F235
                  ) /
                  FILTER('Raw PhocalPoint Data'!G:G,
                    'Raw PhocalPoint Data'!A:A = 2011,
       "&amp;"             'Raw PhocalPoint Data'!D:D = D235,
                    'Raw PhocalPoint Data'!E:E = E235,
                    'Raw PhocalPoint Data'!F:F = F235
                  ) - 1
                ) / 5
              )
            )
          )
        )
"&amp;"      )
    ),
    (
      FILTER('Raw PhocalPoint Data'!G:G,
        'Raw PhocalPoint Data'!A:A = 2009,
        'Raw PhocalPoint Data'!D:D = D235,
        'Raw PhocalPoint Data'!E:E = E235,
        'Raw PhocalPoint Data'!F:F = F235
      ) /
      PRODUC"&amp;"T(
        ARRAYFORMULA(
          (
            FILTER('Raw PhocalPoint Data'!G:G,
              'Raw PhocalPoint Data'!A:A = 2012,
              'Raw PhocalPoint Data'!D:D = D235,
              'Raw PhocalPoint Data'!E:E = E235,
              'Raw Phoca"&amp;"lPoint Data'!F:F = F235
            ) /
            FILTER('Raw PhocalPoint Data'!G:G,
              'Raw PhocalPoint Data'!A:A = 2011,
              'Raw PhocalPoint Data'!D:D = D235,
              'Raw PhocalPoint Data'!E:E = E235,
              'Raw Ph"&amp;"ocalPoint Data'!F:F = F235
            ) -
            (ROW(INDIRECT(""1:"" &amp; (2010 - A235))) - 1) *
            (
              (
                FILTER('Raw PhocalPoint Data'!G:G,
                  'Raw PhocalPoint Data'!A:A = 2012,
                  'R"&amp;"aw PhocalPoint Data'!D:D = D235,
                  'Raw PhocalPoint Data'!E:E = E235,
                  'Raw PhocalPoint Data'!F:F = F235
                ) /
                FILTER('Raw PhocalPoint Data'!G:G,
                  'Raw PhocalPoint Data'!A:A ="&amp;" 2011,
                  'Raw PhocalPoint Data'!D:D = D235,
                  'Raw PhocalPoint Data'!E:E = E235,
                  'Raw PhocalPoint Data'!F:F = F235
                ) - 1
              ) / 5
            )
          )
        )
      )
    "&amp;") *
    INDEX('Raw GDP data'!$I$2:$M$100,
      MATCH(D235, 'Raw GDP data'!$H$2:$H$100, 0),
      MATCH(A235, 'Raw GDP data'!$I$1:$M$1, 0)
    )
  )),
  """"
)
"),1034403046.08603)</f>
        <v>1034403046.08603</v>
      </c>
      <c r="H235" s="86"/>
      <c r="I235" s="87">
        <f ca="1">IFERROR(__xludf.DUMMYFUNCTION("""COMPUTED_VALUE"""),2010)</f>
        <v>2010</v>
      </c>
      <c r="J235" s="88" t="str">
        <f ca="1">IFERROR(__xludf.DUMMYFUNCTION("""COMPUTED_VALUE"""),"Egypt")</f>
        <v>Egypt</v>
      </c>
      <c r="K235" s="89">
        <f ca="1">IFERROR(
  SUMIFS(
    'New Backfilled Data'!G:G,
    'New Backfilled Data'!A:A, I235,
    'New Backfilled Data'!D:D, J235,
    'New Backfilled Data'!E:E, "Online"
  ) /
  SUMIFS(
    'New Backfilled Data'!G:G,
    'New Backfilled Data'!A:A, I235,
    'New Backfilled Data'!D:D, J235
  ),
  ""
)</f>
        <v>7.0293952825715961E-2</v>
      </c>
      <c r="L235" s="90"/>
      <c r="M235" s="90"/>
    </row>
    <row r="236" spans="1:13" ht="17" x14ac:dyDescent="0.2">
      <c r="A236" s="37">
        <v>2006</v>
      </c>
      <c r="B236" s="38" t="s">
        <v>66</v>
      </c>
      <c r="C236" s="38" t="s">
        <v>41</v>
      </c>
      <c r="D236" s="38" t="s">
        <v>45</v>
      </c>
      <c r="E236" s="38" t="s">
        <v>69</v>
      </c>
      <c r="F236" s="38" t="s">
        <v>70</v>
      </c>
      <c r="G236" s="79">
        <f ca="1">IFERROR(__xludf.DUMMYFUNCTION("IFERROR(
  IF(A236 = 2008,
    IF(E236 = ""Online"",
      FILTER('Raw PhocalPoint Data'!G:G,
        'Raw PhocalPoint Data'!A:A = 2009,
        'Raw PhocalPoint Data'!D:D = D236,
        'Raw PhocalPoint Data'!E:E = E236,
        'Raw PhocalPoint Data'!F"&amp;":F = F236
      ) /
      (
        FILTER('Raw PhocalPoint Data'!G:G,
          'Raw PhocalPoint Data'!A:A = 2012,
          'Raw PhocalPoint Data'!D:D = D236,
          'Raw PhocalPoint Data'!E:E = E236,
          'Raw PhocalPoint Data'!F:F = F236
     "&amp;"   ) /
        FILTER('Raw PhocalPoint Data'!G:G,
          'Raw PhocalPoint Data'!A:A = 2011,
          'Raw PhocalPoint Data'!D:D = D236,
          'Raw PhocalPoint Data'!E:E = E236,
          'Raw PhocalPoint Data'!F:F = F236
        )
      ),
      F"&amp;"ILTER('Raw PhocalPoint Data'!G:G,
        'Raw PhocalPoint Data'!A:A = 2009,
        'Raw PhocalPoint Data'!D:D = D236,
        'Raw PhocalPoint Data'!E:E = E236,
        'Raw PhocalPoint Data'!F:F = F236
      ) *
      (
        INDEX('Raw GDP data'!$I$"&amp;"2:$M$100,
          MATCH(D236, 'Raw GDP data'!$H$2:$H$100, 0),
          MATCH(2008, 'Raw GDP data'!$I$1:$M$1, 0)
        ) /
        INDEX('Raw GDP data'!$I$2:$M$100,
          MATCH(D236, 'Raw GDP data'!$H$2:$H$100, 0),
          MATCH(2009, 'Raw GDP d"&amp;"ata'!$I$1:$M$1, 0)
        )
      )
    ),
  IF(A236 &lt; 2008,
    (
      FILTER(G:G,
        A:A = 2008,
        D:D = D236,
        E:E = E236,
        F:F = F236
      ) /
      PRODUCT(
        ARRAYFORMULA(
          (
            (
              FIL"&amp;"TER('Raw PhocalPoint Data'!G:G,
                'Raw PhocalPoint Data'!A:A = 2012,
                'Raw PhocalPoint Data'!D:D = D236,
                'Raw PhocalPoint Data'!E:E = E236,
                'Raw PhocalPoint Data'!F:F = F236
              ) /
  "&amp;"            FILTER('Raw PhocalPoint Data'!G:G,
                'Raw PhocalPoint Data'!A:A = 2011,
                'Raw PhocalPoint Data'!D:D = D236,
                'Raw PhocalPoint Data'!E:E = E236,
                'Raw PhocalPoint Data'!F:F = F236
     "&amp;"         ) -
              ROW(INDIRECT(""1:"" &amp; (2008 - A236))) *
              (
                (
                  FILTER('Raw PhocalPoint Data'!G:G,
                    'Raw PhocalPoint Data'!A:A = 2012,
                    'Raw PhocalPoint Data'!D:D"&amp;" = D236,
                    'Raw PhocalPoint Data'!E:E = E236,
                    'Raw PhocalPoint Data'!F:F = F236
                  ) /
                  FILTER('Raw PhocalPoint Data'!G:G,
                    'Raw PhocalPoint Data'!A:A = 2011,
       "&amp;"             'Raw PhocalPoint Data'!D:D = D236,
                    'Raw PhocalPoint Data'!E:E = E236,
                    'Raw PhocalPoint Data'!F:F = F236
                  ) - 1
                ) / 5
              )
            )
          )
        )
"&amp;"      )
    ),
    (
      FILTER('Raw PhocalPoint Data'!G:G,
        'Raw PhocalPoint Data'!A:A = 2009,
        'Raw PhocalPoint Data'!D:D = D236,
        'Raw PhocalPoint Data'!E:E = E236,
        'Raw PhocalPoint Data'!F:F = F236
      ) /
      PRODUC"&amp;"T(
        ARRAYFORMULA(
          (
            FILTER('Raw PhocalPoint Data'!G:G,
              'Raw PhocalPoint Data'!A:A = 2012,
              'Raw PhocalPoint Data'!D:D = D236,
              'Raw PhocalPoint Data'!E:E = E236,
              'Raw Phoca"&amp;"lPoint Data'!F:F = F236
            ) /
            FILTER('Raw PhocalPoint Data'!G:G,
              'Raw PhocalPoint Data'!A:A = 2011,
              'Raw PhocalPoint Data'!D:D = D236,
              'Raw PhocalPoint Data'!E:E = E236,
              'Raw Ph"&amp;"ocalPoint Data'!F:F = F236
            ) -
            (ROW(INDIRECT(""1:"" &amp; (2010 - A236))) - 1) *
            (
              (
                FILTER('Raw PhocalPoint Data'!G:G,
                  'Raw PhocalPoint Data'!A:A = 2012,
                  'R"&amp;"aw PhocalPoint Data'!D:D = D236,
                  'Raw PhocalPoint Data'!E:E = E236,
                  'Raw PhocalPoint Data'!F:F = F236
                ) /
                FILTER('Raw PhocalPoint Data'!G:G,
                  'Raw PhocalPoint Data'!A:A ="&amp;" 2011,
                  'Raw PhocalPoint Data'!D:D = D236,
                  'Raw PhocalPoint Data'!E:E = E236,
                  'Raw PhocalPoint Data'!F:F = F236
                ) - 1
              ) / 5
            )
          )
        )
      )
    "&amp;") *
    INDEX('Raw GDP data'!$I$2:$M$100,
      MATCH(D236, 'Raw GDP data'!$H$2:$H$100, 0),
      MATCH(A236, 'Raw GDP data'!$I$1:$M$1, 0)
    )
  )),
  """"
)
"),765703087.590123)</f>
        <v>765703087.59012306</v>
      </c>
      <c r="H236" s="80"/>
      <c r="I236" s="81">
        <f ca="1">IFERROR(__xludf.DUMMYFUNCTION("""COMPUTED_VALUE"""),2010)</f>
        <v>2010</v>
      </c>
      <c r="J236" s="82" t="str">
        <f ca="1">IFERROR(__xludf.DUMMYFUNCTION("""COMPUTED_VALUE"""),"Qatar")</f>
        <v>Qatar</v>
      </c>
      <c r="K236" s="83">
        <f ca="1">IFERROR(
  SUMIFS(
    'New Backfilled Data'!G:G,
    'New Backfilled Data'!A:A, I236,
    'New Backfilled Data'!D:D, J236,
    'New Backfilled Data'!E:E, "Online"
  ) /
  SUMIFS(
    'New Backfilled Data'!G:G,
    'New Backfilled Data'!A:A, I236,
    'New Backfilled Data'!D:D, J236
  ),
  ""
)</f>
        <v>0.16295578201344246</v>
      </c>
      <c r="L236" s="84"/>
      <c r="M236" s="84"/>
    </row>
    <row r="237" spans="1:13" ht="34" x14ac:dyDescent="0.2">
      <c r="A237" s="44">
        <v>2006</v>
      </c>
      <c r="B237" s="45" t="s">
        <v>66</v>
      </c>
      <c r="C237" s="45" t="s">
        <v>47</v>
      </c>
      <c r="D237" s="45" t="s">
        <v>46</v>
      </c>
      <c r="E237" s="45" t="s">
        <v>67</v>
      </c>
      <c r="F237" s="45" t="s">
        <v>67</v>
      </c>
      <c r="G237" s="85">
        <f ca="1">IFERROR(__xludf.DUMMYFUNCTION("IFERROR(
  IF(A237 = 2008,
    IF(E237 = ""Online"",
      FILTER('Raw PhocalPoint Data'!G:G,
        'Raw PhocalPoint Data'!A:A = 2009,
        'Raw PhocalPoint Data'!D:D = D237,
        'Raw PhocalPoint Data'!E:E = E237,
        'Raw PhocalPoint Data'!F"&amp;":F = F237
      ) /
      (
        FILTER('Raw PhocalPoint Data'!G:G,
          'Raw PhocalPoint Data'!A:A = 2012,
          'Raw PhocalPoint Data'!D:D = D237,
          'Raw PhocalPoint Data'!E:E = E237,
          'Raw PhocalPoint Data'!F:F = F237
     "&amp;"   ) /
        FILTER('Raw PhocalPoint Data'!G:G,
          'Raw PhocalPoint Data'!A:A = 2011,
          'Raw PhocalPoint Data'!D:D = D237,
          'Raw PhocalPoint Data'!E:E = E237,
          'Raw PhocalPoint Data'!F:F = F237
        )
      ),
      F"&amp;"ILTER('Raw PhocalPoint Data'!G:G,
        'Raw PhocalPoint Data'!A:A = 2009,
        'Raw PhocalPoint Data'!D:D = D237,
        'Raw PhocalPoint Data'!E:E = E237,
        'Raw PhocalPoint Data'!F:F = F237
      ) *
      (
        INDEX('Raw GDP data'!$I$"&amp;"2:$M$100,
          MATCH(D237, 'Raw GDP data'!$H$2:$H$100, 0),
          MATCH(2008, 'Raw GDP data'!$I$1:$M$1, 0)
        ) /
        INDEX('Raw GDP data'!$I$2:$M$100,
          MATCH(D237, 'Raw GDP data'!$H$2:$H$100, 0),
          MATCH(2009, 'Raw GDP d"&amp;"ata'!$I$1:$M$1, 0)
        )
      )
    ),
  IF(A237 &lt; 2008,
    (
      FILTER(G:G,
        A:A = 2008,
        D:D = D237,
        E:E = E237,
        F:F = F237
      ) /
      PRODUCT(
        ARRAYFORMULA(
          (
            (
              FIL"&amp;"TER('Raw PhocalPoint Data'!G:G,
                'Raw PhocalPoint Data'!A:A = 2012,
                'Raw PhocalPoint Data'!D:D = D237,
                'Raw PhocalPoint Data'!E:E = E237,
                'Raw PhocalPoint Data'!F:F = F237
              ) /
  "&amp;"            FILTER('Raw PhocalPoint Data'!G:G,
                'Raw PhocalPoint Data'!A:A = 2011,
                'Raw PhocalPoint Data'!D:D = D237,
                'Raw PhocalPoint Data'!E:E = E237,
                'Raw PhocalPoint Data'!F:F = F237
     "&amp;"         ) -
              ROW(INDIRECT(""1:"" &amp; (2008 - A237))) *
              (
                (
                  FILTER('Raw PhocalPoint Data'!G:G,
                    'Raw PhocalPoint Data'!A:A = 2012,
                    'Raw PhocalPoint Data'!D:D"&amp;" = D237,
                    'Raw PhocalPoint Data'!E:E = E237,
                    'Raw PhocalPoint Data'!F:F = F237
                  ) /
                  FILTER('Raw PhocalPoint Data'!G:G,
                    'Raw PhocalPoint Data'!A:A = 2011,
       "&amp;"             'Raw PhocalPoint Data'!D:D = D237,
                    'Raw PhocalPoint Data'!E:E = E237,
                    'Raw PhocalPoint Data'!F:F = F237
                  ) - 1
                ) / 5
              )
            )
          )
        )
"&amp;"      )
    ),
    (
      FILTER('Raw PhocalPoint Data'!G:G,
        'Raw PhocalPoint Data'!A:A = 2009,
        'Raw PhocalPoint Data'!D:D = D237,
        'Raw PhocalPoint Data'!E:E = E237,
        'Raw PhocalPoint Data'!F:F = F237
      ) /
      PRODUC"&amp;"T(
        ARRAYFORMULA(
          (
            FILTER('Raw PhocalPoint Data'!G:G,
              'Raw PhocalPoint Data'!A:A = 2012,
              'Raw PhocalPoint Data'!D:D = D237,
              'Raw PhocalPoint Data'!E:E = E237,
              'Raw Phoca"&amp;"lPoint Data'!F:F = F237
            ) /
            FILTER('Raw PhocalPoint Data'!G:G,
              'Raw PhocalPoint Data'!A:A = 2011,
              'Raw PhocalPoint Data'!D:D = D237,
              'Raw PhocalPoint Data'!E:E = E237,
              'Raw Ph"&amp;"ocalPoint Data'!F:F = F237
            ) -
            (ROW(INDIRECT(""1:"" &amp; (2010 - A237))) - 1) *
            (
              (
                FILTER('Raw PhocalPoint Data'!G:G,
                  'Raw PhocalPoint Data'!A:A = 2012,
                  'R"&amp;"aw PhocalPoint Data'!D:D = D237,
                  'Raw PhocalPoint Data'!E:E = E237,
                  'Raw PhocalPoint Data'!F:F = F237
                ) /
                FILTER('Raw PhocalPoint Data'!G:G,
                  'Raw PhocalPoint Data'!A:A ="&amp;" 2011,
                  'Raw PhocalPoint Data'!D:D = D237,
                  'Raw PhocalPoint Data'!E:E = E237,
                  'Raw PhocalPoint Data'!F:F = F237
                ) - 1
              ) / 5
            )
          )
        )
      )
    "&amp;") *
    INDEX('Raw GDP data'!$I$2:$M$100,
      MATCH(D237, 'Raw GDP data'!$H$2:$H$100, 0),
      MATCH(A237, 'Raw GDP data'!$I$1:$M$1, 0)
    )
  )),
  """"
)
"),14454476911.4311)</f>
        <v>14454476911.431101</v>
      </c>
      <c r="H237" s="86"/>
      <c r="I237" s="87">
        <f ca="1">IFERROR(__xludf.DUMMYFUNCTION("""COMPUTED_VALUE"""),2010)</f>
        <v>2010</v>
      </c>
      <c r="J237" s="88" t="str">
        <f ca="1">IFERROR(__xludf.DUMMYFUNCTION("""COMPUTED_VALUE"""),"Rest of Middle East")</f>
        <v>Rest of Middle East</v>
      </c>
      <c r="K237" s="89">
        <f ca="1">IFERROR(
  SUMIFS(
    'New Backfilled Data'!G:G,
    'New Backfilled Data'!A:A, I237,
    'New Backfilled Data'!D:D, J237,
    'New Backfilled Data'!E:E, "Online"
  ) /
  SUMIFS(
    'New Backfilled Data'!G:G,
    'New Backfilled Data'!A:A, I237,
    'New Backfilled Data'!D:D, J237
  ),
  ""
)</f>
        <v>9.7969934468082664E-2</v>
      </c>
      <c r="L237" s="90"/>
      <c r="M237" s="90"/>
    </row>
    <row r="238" spans="1:13" ht="17" x14ac:dyDescent="0.2">
      <c r="A238" s="37">
        <v>2006</v>
      </c>
      <c r="B238" s="38" t="s">
        <v>66</v>
      </c>
      <c r="C238" s="38" t="s">
        <v>47</v>
      </c>
      <c r="D238" s="38" t="s">
        <v>46</v>
      </c>
      <c r="E238" s="38" t="s">
        <v>69</v>
      </c>
      <c r="F238" s="38" t="s">
        <v>71</v>
      </c>
      <c r="G238" s="79">
        <f ca="1">IFERROR(__xludf.DUMMYFUNCTION("IFERROR(
  IF(A238 = 2008,
    IF(E238 = ""Online"",
      FILTER('Raw PhocalPoint Data'!G:G,
        'Raw PhocalPoint Data'!A:A = 2009,
        'Raw PhocalPoint Data'!D:D = D238,
        'Raw PhocalPoint Data'!E:E = E238,
        'Raw PhocalPoint Data'!F"&amp;":F = F238
      ) /
      (
        FILTER('Raw PhocalPoint Data'!G:G,
          'Raw PhocalPoint Data'!A:A = 2012,
          'Raw PhocalPoint Data'!D:D = D238,
          'Raw PhocalPoint Data'!E:E = E238,
          'Raw PhocalPoint Data'!F:F = F238
     "&amp;"   ) /
        FILTER('Raw PhocalPoint Data'!G:G,
          'Raw PhocalPoint Data'!A:A = 2011,
          'Raw PhocalPoint Data'!D:D = D238,
          'Raw PhocalPoint Data'!E:E = E238,
          'Raw PhocalPoint Data'!F:F = F238
        )
      ),
      F"&amp;"ILTER('Raw PhocalPoint Data'!G:G,
        'Raw PhocalPoint Data'!A:A = 2009,
        'Raw PhocalPoint Data'!D:D = D238,
        'Raw PhocalPoint Data'!E:E = E238,
        'Raw PhocalPoint Data'!F:F = F238
      ) *
      (
        INDEX('Raw GDP data'!$I$"&amp;"2:$M$100,
          MATCH(D238, 'Raw GDP data'!$H$2:$H$100, 0),
          MATCH(2008, 'Raw GDP data'!$I$1:$M$1, 0)
        ) /
        INDEX('Raw GDP data'!$I$2:$M$100,
          MATCH(D238, 'Raw GDP data'!$H$2:$H$100, 0),
          MATCH(2009, 'Raw GDP d"&amp;"ata'!$I$1:$M$1, 0)
        )
      )
    ),
  IF(A238 &lt; 2008,
    (
      FILTER(G:G,
        A:A = 2008,
        D:D = D238,
        E:E = E238,
        F:F = F238
      ) /
      PRODUCT(
        ARRAYFORMULA(
          (
            (
              FIL"&amp;"TER('Raw PhocalPoint Data'!G:G,
                'Raw PhocalPoint Data'!A:A = 2012,
                'Raw PhocalPoint Data'!D:D = D238,
                'Raw PhocalPoint Data'!E:E = E238,
                'Raw PhocalPoint Data'!F:F = F238
              ) /
  "&amp;"            FILTER('Raw PhocalPoint Data'!G:G,
                'Raw PhocalPoint Data'!A:A = 2011,
                'Raw PhocalPoint Data'!D:D = D238,
                'Raw PhocalPoint Data'!E:E = E238,
                'Raw PhocalPoint Data'!F:F = F238
     "&amp;"         ) -
              ROW(INDIRECT(""1:"" &amp; (2008 - A238))) *
              (
                (
                  FILTER('Raw PhocalPoint Data'!G:G,
                    'Raw PhocalPoint Data'!A:A = 2012,
                    'Raw PhocalPoint Data'!D:D"&amp;" = D238,
                    'Raw PhocalPoint Data'!E:E = E238,
                    'Raw PhocalPoint Data'!F:F = F238
                  ) /
                  FILTER('Raw PhocalPoint Data'!G:G,
                    'Raw PhocalPoint Data'!A:A = 2011,
       "&amp;"             'Raw PhocalPoint Data'!D:D = D238,
                    'Raw PhocalPoint Data'!E:E = E238,
                    'Raw PhocalPoint Data'!F:F = F238
                  ) - 1
                ) / 5
              )
            )
          )
        )
"&amp;"      )
    ),
    (
      FILTER('Raw PhocalPoint Data'!G:G,
        'Raw PhocalPoint Data'!A:A = 2009,
        'Raw PhocalPoint Data'!D:D = D238,
        'Raw PhocalPoint Data'!E:E = E238,
        'Raw PhocalPoint Data'!F:F = F238
      ) /
      PRODUC"&amp;"T(
        ARRAYFORMULA(
          (
            FILTER('Raw PhocalPoint Data'!G:G,
              'Raw PhocalPoint Data'!A:A = 2012,
              'Raw PhocalPoint Data'!D:D = D238,
              'Raw PhocalPoint Data'!E:E = E238,
              'Raw Phoca"&amp;"lPoint Data'!F:F = F238
            ) /
            FILTER('Raw PhocalPoint Data'!G:G,
              'Raw PhocalPoint Data'!A:A = 2011,
              'Raw PhocalPoint Data'!D:D = D238,
              'Raw PhocalPoint Data'!E:E = E238,
              'Raw Ph"&amp;"ocalPoint Data'!F:F = F238
            ) -
            (ROW(INDIRECT(""1:"" &amp; (2010 - A238))) - 1) *
            (
              (
                FILTER('Raw PhocalPoint Data'!G:G,
                  'Raw PhocalPoint Data'!A:A = 2012,
                  'R"&amp;"aw PhocalPoint Data'!D:D = D238,
                  'Raw PhocalPoint Data'!E:E = E238,
                  'Raw PhocalPoint Data'!F:F = F238
                ) /
                FILTER('Raw PhocalPoint Data'!G:G,
                  'Raw PhocalPoint Data'!A:A ="&amp;" 2011,
                  'Raw PhocalPoint Data'!D:D = D238,
                  'Raw PhocalPoint Data'!E:E = E238,
                  'Raw PhocalPoint Data'!F:F = F238
                ) - 1
              ) / 5
            )
          )
        )
      )
    "&amp;") *
    INDEX('Raw GDP data'!$I$2:$M$100,
      MATCH(D238, 'Raw GDP data'!$H$2:$H$100, 0),
      MATCH(A238, 'Raw GDP data'!$I$1:$M$1, 0)
    )
  )),
  """"
)
"),1880657490.69601)</f>
        <v>1880657490.6960101</v>
      </c>
      <c r="H238" s="80"/>
      <c r="I238" s="81">
        <f ca="1">IFERROR(__xludf.DUMMYFUNCTION("""COMPUTED_VALUE"""),2010)</f>
        <v>2010</v>
      </c>
      <c r="J238" s="82" t="str">
        <f ca="1">IFERROR(__xludf.DUMMYFUNCTION("""COMPUTED_VALUE"""),"Saudi Arabia")</f>
        <v>Saudi Arabia</v>
      </c>
      <c r="K238" s="83">
        <f ca="1">IFERROR(
  SUMIFS(
    'New Backfilled Data'!G:G,
    'New Backfilled Data'!A:A, I238,
    'New Backfilled Data'!D:D, J238,
    'New Backfilled Data'!E:E, "Online"
  ) /
  SUMIFS(
    'New Backfilled Data'!G:G,
    'New Backfilled Data'!A:A, I238,
    'New Backfilled Data'!D:D, J238
  ),
  ""
)</f>
        <v>0.12305810271313475</v>
      </c>
      <c r="L238" s="84"/>
      <c r="M238" s="84"/>
    </row>
    <row r="239" spans="1:13" ht="17" x14ac:dyDescent="0.2">
      <c r="A239" s="44">
        <v>2006</v>
      </c>
      <c r="B239" s="45" t="s">
        <v>66</v>
      </c>
      <c r="C239" s="45" t="s">
        <v>47</v>
      </c>
      <c r="D239" s="45" t="s">
        <v>46</v>
      </c>
      <c r="E239" s="45" t="s">
        <v>69</v>
      </c>
      <c r="F239" s="45" t="s">
        <v>70</v>
      </c>
      <c r="G239" s="85">
        <f ca="1">IFERROR(__xludf.DUMMYFUNCTION("IFERROR(
  IF(A239 = 2008,
    IF(E239 = ""Online"",
      FILTER('Raw PhocalPoint Data'!G:G,
        'Raw PhocalPoint Data'!A:A = 2009,
        'Raw PhocalPoint Data'!D:D = D239,
        'Raw PhocalPoint Data'!E:E = E239,
        'Raw PhocalPoint Data'!F"&amp;":F = F239
      ) /
      (
        FILTER('Raw PhocalPoint Data'!G:G,
          'Raw PhocalPoint Data'!A:A = 2012,
          'Raw PhocalPoint Data'!D:D = D239,
          'Raw PhocalPoint Data'!E:E = E239,
          'Raw PhocalPoint Data'!F:F = F239
     "&amp;"   ) /
        FILTER('Raw PhocalPoint Data'!G:G,
          'Raw PhocalPoint Data'!A:A = 2011,
          'Raw PhocalPoint Data'!D:D = D239,
          'Raw PhocalPoint Data'!E:E = E239,
          'Raw PhocalPoint Data'!F:F = F239
        )
      ),
      F"&amp;"ILTER('Raw PhocalPoint Data'!G:G,
        'Raw PhocalPoint Data'!A:A = 2009,
        'Raw PhocalPoint Data'!D:D = D239,
        'Raw PhocalPoint Data'!E:E = E239,
        'Raw PhocalPoint Data'!F:F = F239
      ) *
      (
        INDEX('Raw GDP data'!$I$"&amp;"2:$M$100,
          MATCH(D239, 'Raw GDP data'!$H$2:$H$100, 0),
          MATCH(2008, 'Raw GDP data'!$I$1:$M$1, 0)
        ) /
        INDEX('Raw GDP data'!$I$2:$M$100,
          MATCH(D239, 'Raw GDP data'!$H$2:$H$100, 0),
          MATCH(2009, 'Raw GDP d"&amp;"ata'!$I$1:$M$1, 0)
        )
      )
    ),
  IF(A239 &lt; 2008,
    (
      FILTER(G:G,
        A:A = 2008,
        D:D = D239,
        E:E = E239,
        F:F = F239
      ) /
      PRODUCT(
        ARRAYFORMULA(
          (
            (
              FIL"&amp;"TER('Raw PhocalPoint Data'!G:G,
                'Raw PhocalPoint Data'!A:A = 2012,
                'Raw PhocalPoint Data'!D:D = D239,
                'Raw PhocalPoint Data'!E:E = E239,
                'Raw PhocalPoint Data'!F:F = F239
              ) /
  "&amp;"            FILTER('Raw PhocalPoint Data'!G:G,
                'Raw PhocalPoint Data'!A:A = 2011,
                'Raw PhocalPoint Data'!D:D = D239,
                'Raw PhocalPoint Data'!E:E = E239,
                'Raw PhocalPoint Data'!F:F = F239
     "&amp;"         ) -
              ROW(INDIRECT(""1:"" &amp; (2008 - A239))) *
              (
                (
                  FILTER('Raw PhocalPoint Data'!G:G,
                    'Raw PhocalPoint Data'!A:A = 2012,
                    'Raw PhocalPoint Data'!D:D"&amp;" = D239,
                    'Raw PhocalPoint Data'!E:E = E239,
                    'Raw PhocalPoint Data'!F:F = F239
                  ) /
                  FILTER('Raw PhocalPoint Data'!G:G,
                    'Raw PhocalPoint Data'!A:A = 2011,
       "&amp;"             'Raw PhocalPoint Data'!D:D = D239,
                    'Raw PhocalPoint Data'!E:E = E239,
                    'Raw PhocalPoint Data'!F:F = F239
                  ) - 1
                ) / 5
              )
            )
          )
        )
"&amp;"      )
    ),
    (
      FILTER('Raw PhocalPoint Data'!G:G,
        'Raw PhocalPoint Data'!A:A = 2009,
        'Raw PhocalPoint Data'!D:D = D239,
        'Raw PhocalPoint Data'!E:E = E239,
        'Raw PhocalPoint Data'!F:F = F239
      ) /
      PRODUC"&amp;"T(
        ARRAYFORMULA(
          (
            FILTER('Raw PhocalPoint Data'!G:G,
              'Raw PhocalPoint Data'!A:A = 2012,
              'Raw PhocalPoint Data'!D:D = D239,
              'Raw PhocalPoint Data'!E:E = E239,
              'Raw Phoca"&amp;"lPoint Data'!F:F = F239
            ) /
            FILTER('Raw PhocalPoint Data'!G:G,
              'Raw PhocalPoint Data'!A:A = 2011,
              'Raw PhocalPoint Data'!D:D = D239,
              'Raw PhocalPoint Data'!E:E = E239,
              'Raw Ph"&amp;"ocalPoint Data'!F:F = F239
            ) -
            (ROW(INDIRECT(""1:"" &amp; (2010 - A239))) - 1) *
            (
              (
                FILTER('Raw PhocalPoint Data'!G:G,
                  'Raw PhocalPoint Data'!A:A = 2012,
                  'R"&amp;"aw PhocalPoint Data'!D:D = D239,
                  'Raw PhocalPoint Data'!E:E = E239,
                  'Raw PhocalPoint Data'!F:F = F239
                ) /
                FILTER('Raw PhocalPoint Data'!G:G,
                  'Raw PhocalPoint Data'!A:A ="&amp;" 2011,
                  'Raw PhocalPoint Data'!D:D = D239,
                  'Raw PhocalPoint Data'!E:E = E239,
                  'Raw PhocalPoint Data'!F:F = F239
                ) - 1
              ) / 5
            )
          )
        )
      )
    "&amp;") *
    INDEX('Raw GDP data'!$I$2:$M$100,
      MATCH(D239, 'Raw GDP data'!$H$2:$H$100, 0),
      MATCH(A239, 'Raw GDP data'!$I$1:$M$1, 0)
    )
  )),
  """"
)
"),4908538820.26698)</f>
        <v>4908538820.2669802</v>
      </c>
      <c r="H239" s="86"/>
      <c r="I239" s="87">
        <f ca="1">IFERROR(__xludf.DUMMYFUNCTION("""COMPUTED_VALUE"""),2010)</f>
        <v>2010</v>
      </c>
      <c r="J239" s="88" t="str">
        <f ca="1">IFERROR(__xludf.DUMMYFUNCTION("""COMPUTED_VALUE"""),"U.A.E.")</f>
        <v>U.A.E.</v>
      </c>
      <c r="K239" s="89">
        <f ca="1">IFERROR(
  SUMIFS(
    'New Backfilled Data'!G:G,
    'New Backfilled Data'!A:A, I239,
    'New Backfilled Data'!D:D, J239,
    'New Backfilled Data'!E:E, "Online"
  ) /
  SUMIFS(
    'New Backfilled Data'!G:G,
    'New Backfilled Data'!A:A, I239,
    'New Backfilled Data'!D:D, J239
  ),
  ""
)</f>
        <v>0.17636446021164578</v>
      </c>
      <c r="L239" s="90"/>
      <c r="M239" s="90"/>
    </row>
    <row r="240" spans="1:13" ht="17" x14ac:dyDescent="0.2">
      <c r="A240" s="37">
        <v>2006</v>
      </c>
      <c r="B240" s="38" t="s">
        <v>66</v>
      </c>
      <c r="C240" s="38" t="s">
        <v>47</v>
      </c>
      <c r="D240" s="38" t="s">
        <v>48</v>
      </c>
      <c r="E240" s="38" t="s">
        <v>72</v>
      </c>
      <c r="F240" s="38" t="s">
        <v>73</v>
      </c>
      <c r="G240" s="79">
        <f ca="1">IFERROR(__xludf.DUMMYFUNCTION("IFERROR(
  IF(A240 = 2008,
    IF(E240 = ""Online"",
      FILTER('Raw PhocalPoint Data'!G:G,
        'Raw PhocalPoint Data'!A:A = 2009,
        'Raw PhocalPoint Data'!D:D = D240,
        'Raw PhocalPoint Data'!E:E = E240,
        'Raw PhocalPoint Data'!F"&amp;":F = F240
      ) /
      (
        FILTER('Raw PhocalPoint Data'!G:G,
          'Raw PhocalPoint Data'!A:A = 2012,
          'Raw PhocalPoint Data'!D:D = D240,
          'Raw PhocalPoint Data'!E:E = E240,
          'Raw PhocalPoint Data'!F:F = F240
     "&amp;"   ) /
        FILTER('Raw PhocalPoint Data'!G:G,
          'Raw PhocalPoint Data'!A:A = 2011,
          'Raw PhocalPoint Data'!D:D = D240,
          'Raw PhocalPoint Data'!E:E = E240,
          'Raw PhocalPoint Data'!F:F = F240
        )
      ),
      F"&amp;"ILTER('Raw PhocalPoint Data'!G:G,
        'Raw PhocalPoint Data'!A:A = 2009,
        'Raw PhocalPoint Data'!D:D = D240,
        'Raw PhocalPoint Data'!E:E = E240,
        'Raw PhocalPoint Data'!F:F = F240
      ) *
      (
        INDEX('Raw GDP data'!$I$"&amp;"2:$M$100,
          MATCH(D240, 'Raw GDP data'!$H$2:$H$100, 0),
          MATCH(2008, 'Raw GDP data'!$I$1:$M$1, 0)
        ) /
        INDEX('Raw GDP data'!$I$2:$M$100,
          MATCH(D240, 'Raw GDP data'!$H$2:$H$100, 0),
          MATCH(2009, 'Raw GDP d"&amp;"ata'!$I$1:$M$1, 0)
        )
      )
    ),
  IF(A240 &lt; 2008,
    (
      FILTER(G:G,
        A:A = 2008,
        D:D = D240,
        E:E = E240,
        F:F = F240
      ) /
      PRODUCT(
        ARRAYFORMULA(
          (
            (
              FIL"&amp;"TER('Raw PhocalPoint Data'!G:G,
                'Raw PhocalPoint Data'!A:A = 2012,
                'Raw PhocalPoint Data'!D:D = D240,
                'Raw PhocalPoint Data'!E:E = E240,
                'Raw PhocalPoint Data'!F:F = F240
              ) /
  "&amp;"            FILTER('Raw PhocalPoint Data'!G:G,
                'Raw PhocalPoint Data'!A:A = 2011,
                'Raw PhocalPoint Data'!D:D = D240,
                'Raw PhocalPoint Data'!E:E = E240,
                'Raw PhocalPoint Data'!F:F = F240
     "&amp;"         ) -
              ROW(INDIRECT(""1:"" &amp; (2008 - A240))) *
              (
                (
                  FILTER('Raw PhocalPoint Data'!G:G,
                    'Raw PhocalPoint Data'!A:A = 2012,
                    'Raw PhocalPoint Data'!D:D"&amp;" = D240,
                    'Raw PhocalPoint Data'!E:E = E240,
                    'Raw PhocalPoint Data'!F:F = F240
                  ) /
                  FILTER('Raw PhocalPoint Data'!G:G,
                    'Raw PhocalPoint Data'!A:A = 2011,
       "&amp;"             'Raw PhocalPoint Data'!D:D = D240,
                    'Raw PhocalPoint Data'!E:E = E240,
                    'Raw PhocalPoint Data'!F:F = F240
                  ) - 1
                ) / 5
              )
            )
          )
        )
"&amp;"      )
    ),
    (
      FILTER('Raw PhocalPoint Data'!G:G,
        'Raw PhocalPoint Data'!A:A = 2009,
        'Raw PhocalPoint Data'!D:D = D240,
        'Raw PhocalPoint Data'!E:E = E240,
        'Raw PhocalPoint Data'!F:F = F240
      ) /
      PRODUC"&amp;"T(
        ARRAYFORMULA(
          (
            FILTER('Raw PhocalPoint Data'!G:G,
              'Raw PhocalPoint Data'!A:A = 2012,
              'Raw PhocalPoint Data'!D:D = D240,
              'Raw PhocalPoint Data'!E:E = E240,
              'Raw Phoca"&amp;"lPoint Data'!F:F = F240
            ) /
            FILTER('Raw PhocalPoint Data'!G:G,
              'Raw PhocalPoint Data'!A:A = 2011,
              'Raw PhocalPoint Data'!D:D = D240,
              'Raw PhocalPoint Data'!E:E = E240,
              'Raw Ph"&amp;"ocalPoint Data'!F:F = F240
            ) -
            (ROW(INDIRECT(""1:"" &amp; (2010 - A240))) - 1) *
            (
              (
                FILTER('Raw PhocalPoint Data'!G:G,
                  'Raw PhocalPoint Data'!A:A = 2012,
                  'R"&amp;"aw PhocalPoint Data'!D:D = D240,
                  'Raw PhocalPoint Data'!E:E = E240,
                  'Raw PhocalPoint Data'!F:F = F240
                ) /
                FILTER('Raw PhocalPoint Data'!G:G,
                  'Raw PhocalPoint Data'!A:A ="&amp;" 2011,
                  'Raw PhocalPoint Data'!D:D = D240,
                  'Raw PhocalPoint Data'!E:E = E240,
                  'Raw PhocalPoint Data'!F:F = F240
                ) - 1
              ) / 5
            )
          )
        )
      )
    "&amp;") *
    INDEX('Raw GDP data'!$I$2:$M$100,
      MATCH(D240, 'Raw GDP data'!$H$2:$H$100, 0),
      MATCH(A240, 'Raw GDP data'!$I$1:$M$1, 0)
    )
  )),
  """"
)
"),69847749580.3901)</f>
        <v>69847749580.390106</v>
      </c>
      <c r="H240" s="80"/>
      <c r="I240" s="81">
        <f ca="1">IFERROR(__xludf.DUMMYFUNCTION("""COMPUTED_VALUE"""),2010)</f>
        <v>2010</v>
      </c>
      <c r="J240" s="82" t="str">
        <f ca="1">IFERROR(__xludf.DUMMYFUNCTION("""COMPUTED_VALUE"""),"Canada")</f>
        <v>Canada</v>
      </c>
      <c r="K240" s="83">
        <f ca="1">IFERROR(
  SUMIFS(
    'New Backfilled Data'!G:G,
    'New Backfilled Data'!A:A, I240,
    'New Backfilled Data'!D:D, J240,
    'New Backfilled Data'!E:E, "Online"
  ) /
  SUMIFS(
    'New Backfilled Data'!G:G,
    'New Backfilled Data'!A:A, I240,
    'New Backfilled Data'!D:D, J240
  ),
  ""
)</f>
        <v>0.36179716220394564</v>
      </c>
      <c r="L240" s="84"/>
      <c r="M240" s="84"/>
    </row>
    <row r="241" spans="1:13" ht="17" x14ac:dyDescent="0.2">
      <c r="A241" s="44">
        <v>2006</v>
      </c>
      <c r="B241" s="45" t="s">
        <v>66</v>
      </c>
      <c r="C241" s="45" t="s">
        <v>47</v>
      </c>
      <c r="D241" s="45" t="s">
        <v>48</v>
      </c>
      <c r="E241" s="45" t="s">
        <v>67</v>
      </c>
      <c r="F241" s="45" t="s">
        <v>74</v>
      </c>
      <c r="G241" s="85">
        <f ca="1">IFERROR(__xludf.DUMMYFUNCTION("IFERROR(
  IF(A241 = 2008,
    IF(E241 = ""Online"",
      FILTER('Raw PhocalPoint Data'!G:G,
        'Raw PhocalPoint Data'!A:A = 2009,
        'Raw PhocalPoint Data'!D:D = D241,
        'Raw PhocalPoint Data'!E:E = E241,
        'Raw PhocalPoint Data'!F"&amp;":F = F241
      ) /
      (
        FILTER('Raw PhocalPoint Data'!G:G,
          'Raw PhocalPoint Data'!A:A = 2012,
          'Raw PhocalPoint Data'!D:D = D241,
          'Raw PhocalPoint Data'!E:E = E241,
          'Raw PhocalPoint Data'!F:F = F241
     "&amp;"   ) /
        FILTER('Raw PhocalPoint Data'!G:G,
          'Raw PhocalPoint Data'!A:A = 2011,
          'Raw PhocalPoint Data'!D:D = D241,
          'Raw PhocalPoint Data'!E:E = E241,
          'Raw PhocalPoint Data'!F:F = F241
        )
      ),
      F"&amp;"ILTER('Raw PhocalPoint Data'!G:G,
        'Raw PhocalPoint Data'!A:A = 2009,
        'Raw PhocalPoint Data'!D:D = D241,
        'Raw PhocalPoint Data'!E:E = E241,
        'Raw PhocalPoint Data'!F:F = F241
      ) *
      (
        INDEX('Raw GDP data'!$I$"&amp;"2:$M$100,
          MATCH(D241, 'Raw GDP data'!$H$2:$H$100, 0),
          MATCH(2008, 'Raw GDP data'!$I$1:$M$1, 0)
        ) /
        INDEX('Raw GDP data'!$I$2:$M$100,
          MATCH(D241, 'Raw GDP data'!$H$2:$H$100, 0),
          MATCH(2009, 'Raw GDP d"&amp;"ata'!$I$1:$M$1, 0)
        )
      )
    ),
  IF(A241 &lt; 2008,
    (
      FILTER(G:G,
        A:A = 2008,
        D:D = D241,
        E:E = E241,
        F:F = F241
      ) /
      PRODUCT(
        ARRAYFORMULA(
          (
            (
              FIL"&amp;"TER('Raw PhocalPoint Data'!G:G,
                'Raw PhocalPoint Data'!A:A = 2012,
                'Raw PhocalPoint Data'!D:D = D241,
                'Raw PhocalPoint Data'!E:E = E241,
                'Raw PhocalPoint Data'!F:F = F241
              ) /
  "&amp;"            FILTER('Raw PhocalPoint Data'!G:G,
                'Raw PhocalPoint Data'!A:A = 2011,
                'Raw PhocalPoint Data'!D:D = D241,
                'Raw PhocalPoint Data'!E:E = E241,
                'Raw PhocalPoint Data'!F:F = F241
     "&amp;"         ) -
              ROW(INDIRECT(""1:"" &amp; (2008 - A241))) *
              (
                (
                  FILTER('Raw PhocalPoint Data'!G:G,
                    'Raw PhocalPoint Data'!A:A = 2012,
                    'Raw PhocalPoint Data'!D:D"&amp;" = D241,
                    'Raw PhocalPoint Data'!E:E = E241,
                    'Raw PhocalPoint Data'!F:F = F241
                  ) /
                  FILTER('Raw PhocalPoint Data'!G:G,
                    'Raw PhocalPoint Data'!A:A = 2011,
       "&amp;"             'Raw PhocalPoint Data'!D:D = D241,
                    'Raw PhocalPoint Data'!E:E = E241,
                    'Raw PhocalPoint Data'!F:F = F241
                  ) - 1
                ) / 5
              )
            )
          )
        )
"&amp;"      )
    ),
    (
      FILTER('Raw PhocalPoint Data'!G:G,
        'Raw PhocalPoint Data'!A:A = 2009,
        'Raw PhocalPoint Data'!D:D = D241,
        'Raw PhocalPoint Data'!E:E = E241,
        'Raw PhocalPoint Data'!F:F = F241
      ) /
      PRODUC"&amp;"T(
        ARRAYFORMULA(
          (
            FILTER('Raw PhocalPoint Data'!G:G,
              'Raw PhocalPoint Data'!A:A = 2012,
              'Raw PhocalPoint Data'!D:D = D241,
              'Raw PhocalPoint Data'!E:E = E241,
              'Raw Phoca"&amp;"lPoint Data'!F:F = F241
            ) /
            FILTER('Raw PhocalPoint Data'!G:G,
              'Raw PhocalPoint Data'!A:A = 2011,
              'Raw PhocalPoint Data'!D:D = D241,
              'Raw PhocalPoint Data'!E:E = E241,
              'Raw Ph"&amp;"ocalPoint Data'!F:F = F241
            ) -
            (ROW(INDIRECT(""1:"" &amp; (2010 - A241))) - 1) *
            (
              (
                FILTER('Raw PhocalPoint Data'!G:G,
                  'Raw PhocalPoint Data'!A:A = 2012,
                  'R"&amp;"aw PhocalPoint Data'!D:D = D241,
                  'Raw PhocalPoint Data'!E:E = E241,
                  'Raw PhocalPoint Data'!F:F = F241
                ) /
                FILTER('Raw PhocalPoint Data'!G:G,
                  'Raw PhocalPoint Data'!A:A ="&amp;" 2011,
                  'Raw PhocalPoint Data'!D:D = D241,
                  'Raw PhocalPoint Data'!E:E = E241,
                  'Raw PhocalPoint Data'!F:F = F241
                ) - 1
              ) / 5
            )
          )
        )
      )
    "&amp;") *
    INDEX('Raw GDP data'!$I$2:$M$100,
      MATCH(D241, 'Raw GDP data'!$H$2:$H$100, 0),
      MATCH(A241, 'Raw GDP data'!$I$1:$M$1, 0)
    )
  )),
  """"
)
"),70499608070.3217)</f>
        <v>70499608070.321701</v>
      </c>
      <c r="H241" s="86"/>
      <c r="I241" s="87">
        <f ca="1">IFERROR(__xludf.DUMMYFUNCTION("""COMPUTED_VALUE"""),2010)</f>
        <v>2010</v>
      </c>
      <c r="J241" s="88" t="str">
        <f ca="1">IFERROR(__xludf.DUMMYFUNCTION("""COMPUTED_VALUE"""),"U.S.")</f>
        <v>U.S.</v>
      </c>
      <c r="K241" s="89">
        <f ca="1">IFERROR(
  SUMIFS(
    'New Backfilled Data'!G:G,
    'New Backfilled Data'!A:A, I241,
    'New Backfilled Data'!D:D, J241,
    'New Backfilled Data'!E:E, "Online"
  ) /
  SUMIFS(
    'New Backfilled Data'!G:G,
    'New Backfilled Data'!A:A, I241,
    'New Backfilled Data'!D:D, J241
  ),
  ""
)</f>
        <v>0.39260769003701401</v>
      </c>
      <c r="L241" s="90"/>
      <c r="M241" s="90"/>
    </row>
    <row r="242" spans="1:13" ht="34" x14ac:dyDescent="0.2">
      <c r="A242" s="37">
        <v>2006</v>
      </c>
      <c r="B242" s="38" t="s">
        <v>66</v>
      </c>
      <c r="C242" s="38" t="s">
        <v>47</v>
      </c>
      <c r="D242" s="38" t="s">
        <v>48</v>
      </c>
      <c r="E242" s="38" t="s">
        <v>69</v>
      </c>
      <c r="F242" s="38" t="s">
        <v>71</v>
      </c>
      <c r="G242" s="79">
        <f ca="1">IFERROR(__xludf.DUMMYFUNCTION("IFERROR(
  IF(A242 = 2008,
    IF(E242 = ""Online"",
      FILTER('Raw PhocalPoint Data'!G:G,
        'Raw PhocalPoint Data'!A:A = 2009,
        'Raw PhocalPoint Data'!D:D = D242,
        'Raw PhocalPoint Data'!E:E = E242,
        'Raw PhocalPoint Data'!F"&amp;":F = F242
      ) /
      (
        FILTER('Raw PhocalPoint Data'!G:G,
          'Raw PhocalPoint Data'!A:A = 2012,
          'Raw PhocalPoint Data'!D:D = D242,
          'Raw PhocalPoint Data'!E:E = E242,
          'Raw PhocalPoint Data'!F:F = F242
     "&amp;"   ) /
        FILTER('Raw PhocalPoint Data'!G:G,
          'Raw PhocalPoint Data'!A:A = 2011,
          'Raw PhocalPoint Data'!D:D = D242,
          'Raw PhocalPoint Data'!E:E = E242,
          'Raw PhocalPoint Data'!F:F = F242
        )
      ),
      F"&amp;"ILTER('Raw PhocalPoint Data'!G:G,
        'Raw PhocalPoint Data'!A:A = 2009,
        'Raw PhocalPoint Data'!D:D = D242,
        'Raw PhocalPoint Data'!E:E = E242,
        'Raw PhocalPoint Data'!F:F = F242
      ) *
      (
        INDEX('Raw GDP data'!$I$"&amp;"2:$M$100,
          MATCH(D242, 'Raw GDP data'!$H$2:$H$100, 0),
          MATCH(2008, 'Raw GDP data'!$I$1:$M$1, 0)
        ) /
        INDEX('Raw GDP data'!$I$2:$M$100,
          MATCH(D242, 'Raw GDP data'!$H$2:$H$100, 0),
          MATCH(2009, 'Raw GDP d"&amp;"ata'!$I$1:$M$1, 0)
        )
      )
    ),
  IF(A242 &lt; 2008,
    (
      FILTER(G:G,
        A:A = 2008,
        D:D = D242,
        E:E = E242,
        F:F = F242
      ) /
      PRODUCT(
        ARRAYFORMULA(
          (
            (
              FIL"&amp;"TER('Raw PhocalPoint Data'!G:G,
                'Raw PhocalPoint Data'!A:A = 2012,
                'Raw PhocalPoint Data'!D:D = D242,
                'Raw PhocalPoint Data'!E:E = E242,
                'Raw PhocalPoint Data'!F:F = F242
              ) /
  "&amp;"            FILTER('Raw PhocalPoint Data'!G:G,
                'Raw PhocalPoint Data'!A:A = 2011,
                'Raw PhocalPoint Data'!D:D = D242,
                'Raw PhocalPoint Data'!E:E = E242,
                'Raw PhocalPoint Data'!F:F = F242
     "&amp;"         ) -
              ROW(INDIRECT(""1:"" &amp; (2008 - A242))) *
              (
                (
                  FILTER('Raw PhocalPoint Data'!G:G,
                    'Raw PhocalPoint Data'!A:A = 2012,
                    'Raw PhocalPoint Data'!D:D"&amp;" = D242,
                    'Raw PhocalPoint Data'!E:E = E242,
                    'Raw PhocalPoint Data'!F:F = F242
                  ) /
                  FILTER('Raw PhocalPoint Data'!G:G,
                    'Raw PhocalPoint Data'!A:A = 2011,
       "&amp;"             'Raw PhocalPoint Data'!D:D = D242,
                    'Raw PhocalPoint Data'!E:E = E242,
                    'Raw PhocalPoint Data'!F:F = F242
                  ) - 1
                ) / 5
              )
            )
          )
        )
"&amp;"      )
    ),
    (
      FILTER('Raw PhocalPoint Data'!G:G,
        'Raw PhocalPoint Data'!A:A = 2009,
        'Raw PhocalPoint Data'!D:D = D242,
        'Raw PhocalPoint Data'!E:E = E242,
        'Raw PhocalPoint Data'!F:F = F242
      ) /
      PRODUC"&amp;"T(
        ARRAYFORMULA(
          (
            FILTER('Raw PhocalPoint Data'!G:G,
              'Raw PhocalPoint Data'!A:A = 2012,
              'Raw PhocalPoint Data'!D:D = D242,
              'Raw PhocalPoint Data'!E:E = E242,
              'Raw Phoca"&amp;"lPoint Data'!F:F = F242
            ) /
            FILTER('Raw PhocalPoint Data'!G:G,
              'Raw PhocalPoint Data'!A:A = 2011,
              'Raw PhocalPoint Data'!D:D = D242,
              'Raw PhocalPoint Data'!E:E = E242,
              'Raw Ph"&amp;"ocalPoint Data'!F:F = F242
            ) -
            (ROW(INDIRECT(""1:"" &amp; (2010 - A242))) - 1) *
            (
              (
                FILTER('Raw PhocalPoint Data'!G:G,
                  'Raw PhocalPoint Data'!A:A = 2012,
                  'R"&amp;"aw PhocalPoint Data'!D:D = D242,
                  'Raw PhocalPoint Data'!E:E = E242,
                  'Raw PhocalPoint Data'!F:F = F242
                ) /
                FILTER('Raw PhocalPoint Data'!G:G,
                  'Raw PhocalPoint Data'!A:A ="&amp;" 2011,
                  'Raw PhocalPoint Data'!D:D = D242,
                  'Raw PhocalPoint Data'!E:E = E242,
                  'Raw PhocalPoint Data'!F:F = F242
                ) - 1
              ) / 5
            )
          )
        )
      )
    "&amp;") *
    INDEX('Raw GDP data'!$I$2:$M$100,
      MATCH(D242, 'Raw GDP data'!$H$2:$H$100, 0),
      MATCH(A242, 'Raw GDP data'!$I$1:$M$1, 0)
    )
  )),
  """"
)
"),30441927247.3692)</f>
        <v>30441927247.369202</v>
      </c>
      <c r="H242" s="80"/>
      <c r="I242" s="81">
        <f ca="1">IFERROR(__xludf.DUMMYFUNCTION("""COMPUTED_VALUE"""),2011)</f>
        <v>2011</v>
      </c>
      <c r="J242" s="82" t="str">
        <f ca="1">IFERROR(__xludf.DUMMYFUNCTION("""COMPUTED_VALUE"""),"Australia-New Zealand")</f>
        <v>Australia-New Zealand</v>
      </c>
      <c r="K242" s="83">
        <f ca="1">IFERROR(
  SUMIFS(
    'New Backfilled Data'!G:G,
    'New Backfilled Data'!A:A, I242,
    'New Backfilled Data'!D:D, J242,
    'New Backfilled Data'!E:E, "Online"
  ) /
  SUMIFS(
    'New Backfilled Data'!G:G,
    'New Backfilled Data'!A:A, I242,
    'New Backfilled Data'!D:D, J242
  ),
  ""
)</f>
        <v>0.33646321080195268</v>
      </c>
      <c r="L242" s="84"/>
      <c r="M242" s="84"/>
    </row>
    <row r="243" spans="1:13" ht="17" x14ac:dyDescent="0.2">
      <c r="A243" s="44">
        <v>2006</v>
      </c>
      <c r="B243" s="45" t="s">
        <v>66</v>
      </c>
      <c r="C243" s="45" t="s">
        <v>47</v>
      </c>
      <c r="D243" s="45" t="s">
        <v>48</v>
      </c>
      <c r="E243" s="45" t="s">
        <v>69</v>
      </c>
      <c r="F243" s="45" t="s">
        <v>70</v>
      </c>
      <c r="G243" s="85" t="str">
        <f ca="1">IFERROR(__xludf.DUMMYFUNCTION("IFERROR(
  IF(A243 = 2008,
    IF(E243 = ""Online"",
      FILTER('Raw PhocalPoint Data'!G:G,
        'Raw PhocalPoint Data'!A:A = 2009,
        'Raw PhocalPoint Data'!D:D = D243,
        'Raw PhocalPoint Data'!E:E = E243,
        'Raw PhocalPoint Data'!F"&amp;":F = F243
      ) /
      (
        FILTER('Raw PhocalPoint Data'!G:G,
          'Raw PhocalPoint Data'!A:A = 2012,
          'Raw PhocalPoint Data'!D:D = D243,
          'Raw PhocalPoint Data'!E:E = E243,
          'Raw PhocalPoint Data'!F:F = F243
     "&amp;"   ) /
        FILTER('Raw PhocalPoint Data'!G:G,
          'Raw PhocalPoint Data'!A:A = 2011,
          'Raw PhocalPoint Data'!D:D = D243,
          'Raw PhocalPoint Data'!E:E = E243,
          'Raw PhocalPoint Data'!F:F = F243
        )
      ),
      F"&amp;"ILTER('Raw PhocalPoint Data'!G:G,
        'Raw PhocalPoint Data'!A:A = 2009,
        'Raw PhocalPoint Data'!D:D = D243,
        'Raw PhocalPoint Data'!E:E = E243,
        'Raw PhocalPoint Data'!F:F = F243
      ) *
      (
        INDEX('Raw GDP data'!$I$"&amp;"2:$M$100,
          MATCH(D243, 'Raw GDP data'!$H$2:$H$100, 0),
          MATCH(2008, 'Raw GDP data'!$I$1:$M$1, 0)
        ) /
        INDEX('Raw GDP data'!$I$2:$M$100,
          MATCH(D243, 'Raw GDP data'!$H$2:$H$100, 0),
          MATCH(2009, 'Raw GDP d"&amp;"ata'!$I$1:$M$1, 0)
        )
      )
    ),
  IF(A243 &lt; 2008,
    (
      FILTER(G:G,
        A:A = 2008,
        D:D = D243,
        E:E = E243,
        F:F = F243
      ) /
      PRODUCT(
        ARRAYFORMULA(
          (
            (
              FIL"&amp;"TER('Raw PhocalPoint Data'!G:G,
                'Raw PhocalPoint Data'!A:A = 2012,
                'Raw PhocalPoint Data'!D:D = D243,
                'Raw PhocalPoint Data'!E:E = E243,
                'Raw PhocalPoint Data'!F:F = F243
              ) /
  "&amp;"            FILTER('Raw PhocalPoint Data'!G:G,
                'Raw PhocalPoint Data'!A:A = 2011,
                'Raw PhocalPoint Data'!D:D = D243,
                'Raw PhocalPoint Data'!E:E = E243,
                'Raw PhocalPoint Data'!F:F = F243
     "&amp;"         ) -
              ROW(INDIRECT(""1:"" &amp; (2008 - A243))) *
              (
                (
                  FILTER('Raw PhocalPoint Data'!G:G,
                    'Raw PhocalPoint Data'!A:A = 2012,
                    'Raw PhocalPoint Data'!D:D"&amp;" = D243,
                    'Raw PhocalPoint Data'!E:E = E243,
                    'Raw PhocalPoint Data'!F:F = F243
                  ) /
                  FILTER('Raw PhocalPoint Data'!G:G,
                    'Raw PhocalPoint Data'!A:A = 2011,
       "&amp;"             'Raw PhocalPoint Data'!D:D = D243,
                    'Raw PhocalPoint Data'!E:E = E243,
                    'Raw PhocalPoint Data'!F:F = F243
                  ) - 1
                ) / 5
              )
            )
          )
        )
"&amp;"      )
    ),
    (
      FILTER('Raw PhocalPoint Data'!G:G,
        'Raw PhocalPoint Data'!A:A = 2009,
        'Raw PhocalPoint Data'!D:D = D243,
        'Raw PhocalPoint Data'!E:E = E243,
        'Raw PhocalPoint Data'!F:F = F243
      ) /
      PRODUC"&amp;"T(
        ARRAYFORMULA(
          (
            FILTER('Raw PhocalPoint Data'!G:G,
              'Raw PhocalPoint Data'!A:A = 2012,
              'Raw PhocalPoint Data'!D:D = D243,
              'Raw PhocalPoint Data'!E:E = E243,
              'Raw Phoca"&amp;"lPoint Data'!F:F = F243
            ) /
            FILTER('Raw PhocalPoint Data'!G:G,
              'Raw PhocalPoint Data'!A:A = 2011,
              'Raw PhocalPoint Data'!D:D = D243,
              'Raw PhocalPoint Data'!E:E = E243,
              'Raw Ph"&amp;"ocalPoint Data'!F:F = F243
            ) -
            (ROW(INDIRECT(""1:"" &amp; (2010 - A243))) - 1) *
            (
              (
                FILTER('Raw PhocalPoint Data'!G:G,
                  'Raw PhocalPoint Data'!A:A = 2012,
                  'R"&amp;"aw PhocalPoint Data'!D:D = D243,
                  'Raw PhocalPoint Data'!E:E = E243,
                  'Raw PhocalPoint Data'!F:F = F243
                ) /
                FILTER('Raw PhocalPoint Data'!G:G,
                  'Raw PhocalPoint Data'!A:A ="&amp;" 2011,
                  'Raw PhocalPoint Data'!D:D = D243,
                  'Raw PhocalPoint Data'!E:E = E243,
                  'Raw PhocalPoint Data'!F:F = F243
                ) - 1
              ) / 5
            )
          )
        )
      )
    "&amp;") *
    INDEX('Raw GDP data'!$I$2:$M$100,
      MATCH(D243, 'Raw GDP data'!$H$2:$H$100, 0),
      MATCH(A243, 'Raw GDP data'!$I$1:$M$1, 0)
    )
  )),
  """"
)
"),"")</f>
        <v/>
      </c>
      <c r="H243" s="86"/>
      <c r="I243" s="87">
        <f ca="1">IFERROR(__xludf.DUMMYFUNCTION("""COMPUTED_VALUE"""),2011)</f>
        <v>2011</v>
      </c>
      <c r="J243" s="88" t="str">
        <f ca="1">IFERROR(__xludf.DUMMYFUNCTION("""COMPUTED_VALUE"""),"China")</f>
        <v>China</v>
      </c>
      <c r="K243" s="89">
        <f ca="1">IFERROR(
  SUMIFS(
    'New Backfilled Data'!G:G,
    'New Backfilled Data'!A:A, I243,
    'New Backfilled Data'!D:D, J243,
    'New Backfilled Data'!E:E, "Online"
  ) /
  SUMIFS(
    'New Backfilled Data'!G:G,
    'New Backfilled Data'!A:A, I243,
    'New Backfilled Data'!D:D, J243
  ),
  ""
)</f>
        <v>0.11089619571946445</v>
      </c>
      <c r="L243" s="90"/>
      <c r="M243" s="90"/>
    </row>
    <row r="244" spans="1:13" ht="17" x14ac:dyDescent="0.2">
      <c r="A244" s="37">
        <v>2007</v>
      </c>
      <c r="B244" s="38" t="s">
        <v>66</v>
      </c>
      <c r="C244" s="38" t="s">
        <v>4</v>
      </c>
      <c r="D244" s="38" t="s">
        <v>3</v>
      </c>
      <c r="E244" s="38" t="s">
        <v>67</v>
      </c>
      <c r="F244" s="38" t="s">
        <v>67</v>
      </c>
      <c r="G244" s="79">
        <f ca="1">IFERROR(__xludf.DUMMYFUNCTION("IFERROR(
  IF(A244 = 2008,
    IF(E244 = ""Online"",
      FILTER('Raw PhocalPoint Data'!G:G,
        'Raw PhocalPoint Data'!A:A = 2009,
        'Raw PhocalPoint Data'!D:D = D244,
        'Raw PhocalPoint Data'!E:E = E244,
        'Raw PhocalPoint Data'!F"&amp;":F = F244
      ) /
      (
        FILTER('Raw PhocalPoint Data'!G:G,
          'Raw PhocalPoint Data'!A:A = 2012,
          'Raw PhocalPoint Data'!D:D = D244,
          'Raw PhocalPoint Data'!E:E = E244,
          'Raw PhocalPoint Data'!F:F = F244
     "&amp;"   ) /
        FILTER('Raw PhocalPoint Data'!G:G,
          'Raw PhocalPoint Data'!A:A = 2011,
          'Raw PhocalPoint Data'!D:D = D244,
          'Raw PhocalPoint Data'!E:E = E244,
          'Raw PhocalPoint Data'!F:F = F244
        )
      ),
      F"&amp;"ILTER('Raw PhocalPoint Data'!G:G,
        'Raw PhocalPoint Data'!A:A = 2009,
        'Raw PhocalPoint Data'!D:D = D244,
        'Raw PhocalPoint Data'!E:E = E244,
        'Raw PhocalPoint Data'!F:F = F244
      ) *
      (
        INDEX('Raw GDP data'!$I$"&amp;"2:$M$100,
          MATCH(D244, 'Raw GDP data'!$H$2:$H$100, 0),
          MATCH(2008, 'Raw GDP data'!$I$1:$M$1, 0)
        ) /
        INDEX('Raw GDP data'!$I$2:$M$100,
          MATCH(D244, 'Raw GDP data'!$H$2:$H$100, 0),
          MATCH(2009, 'Raw GDP d"&amp;"ata'!$I$1:$M$1, 0)
        )
      )
    ),
  IF(A244 &lt; 2008,
    (
      FILTER(G:G,
        A:A = 2008,
        D:D = D244,
        E:E = E244,
        F:F = F244
      ) /
      PRODUCT(
        ARRAYFORMULA(
          (
            (
              FIL"&amp;"TER('Raw PhocalPoint Data'!G:G,
                'Raw PhocalPoint Data'!A:A = 2012,
                'Raw PhocalPoint Data'!D:D = D244,
                'Raw PhocalPoint Data'!E:E = E244,
                'Raw PhocalPoint Data'!F:F = F244
              ) /
  "&amp;"            FILTER('Raw PhocalPoint Data'!G:G,
                'Raw PhocalPoint Data'!A:A = 2011,
                'Raw PhocalPoint Data'!D:D = D244,
                'Raw PhocalPoint Data'!E:E = E244,
                'Raw PhocalPoint Data'!F:F = F244
     "&amp;"         ) -
              ROW(INDIRECT(""1:"" &amp; (2008 - A244))) *
              (
                (
                  FILTER('Raw PhocalPoint Data'!G:G,
                    'Raw PhocalPoint Data'!A:A = 2012,
                    'Raw PhocalPoint Data'!D:D"&amp;" = D244,
                    'Raw PhocalPoint Data'!E:E = E244,
                    'Raw PhocalPoint Data'!F:F = F244
                  ) /
                  FILTER('Raw PhocalPoint Data'!G:G,
                    'Raw PhocalPoint Data'!A:A = 2011,
       "&amp;"             'Raw PhocalPoint Data'!D:D = D244,
                    'Raw PhocalPoint Data'!E:E = E244,
                    'Raw PhocalPoint Data'!F:F = F244
                  ) - 1
                ) / 5
              )
            )
          )
        )
"&amp;"      )
    ),
    (
      FILTER('Raw PhocalPoint Data'!G:G,
        'Raw PhocalPoint Data'!A:A = 2009,
        'Raw PhocalPoint Data'!D:D = D244,
        'Raw PhocalPoint Data'!E:E = E244,
        'Raw PhocalPoint Data'!F:F = F244
      ) /
      PRODUC"&amp;"T(
        ARRAYFORMULA(
          (
            FILTER('Raw PhocalPoint Data'!G:G,
              'Raw PhocalPoint Data'!A:A = 2012,
              'Raw PhocalPoint Data'!D:D = D244,
              'Raw PhocalPoint Data'!E:E = E244,
              'Raw Phoca"&amp;"lPoint Data'!F:F = F244
            ) /
            FILTER('Raw PhocalPoint Data'!G:G,
              'Raw PhocalPoint Data'!A:A = 2011,
              'Raw PhocalPoint Data'!D:D = D244,
              'Raw PhocalPoint Data'!E:E = E244,
              'Raw Ph"&amp;"ocalPoint Data'!F:F = F244
            ) -
            (ROW(INDIRECT(""1:"" &amp; (2010 - A244))) - 1) *
            (
              (
                FILTER('Raw PhocalPoint Data'!G:G,
                  'Raw PhocalPoint Data'!A:A = 2012,
                  'R"&amp;"aw PhocalPoint Data'!D:D = D244,
                  'Raw PhocalPoint Data'!E:E = E244,
                  'Raw PhocalPoint Data'!F:F = F244
                ) /
                FILTER('Raw PhocalPoint Data'!G:G,
                  'Raw PhocalPoint Data'!A:A ="&amp;" 2011,
                  'Raw PhocalPoint Data'!D:D = D244,
                  'Raw PhocalPoint Data'!E:E = E244,
                  'Raw PhocalPoint Data'!F:F = F244
                ) - 1
              ) / 5
            )
          )
        )
      )
    "&amp;") *
    INDEX('Raw GDP data'!$I$2:$M$100,
      MATCH(D244, 'Raw GDP data'!$H$2:$H$100, 0),
      MATCH(A244, 'Raw GDP data'!$I$1:$M$1, 0)
    )
  )),
  """"
)
"),17436732607.8995)</f>
        <v>17436732607.899502</v>
      </c>
      <c r="H244" s="80"/>
      <c r="I244" s="81">
        <f ca="1">IFERROR(__xludf.DUMMYFUNCTION("""COMPUTED_VALUE"""),2011)</f>
        <v>2011</v>
      </c>
      <c r="J244" s="82" t="str">
        <f ca="1">IFERROR(__xludf.DUMMYFUNCTION("""COMPUTED_VALUE"""),"Hong Kong")</f>
        <v>Hong Kong</v>
      </c>
      <c r="K244" s="83">
        <f ca="1">IFERROR(
  SUMIFS(
    'New Backfilled Data'!G:G,
    'New Backfilled Data'!A:A, I244,
    'New Backfilled Data'!D:D, J244,
    'New Backfilled Data'!E:E, "Online"
  ) /
  SUMIFS(
    'New Backfilled Data'!G:G,
    'New Backfilled Data'!A:A, I244,
    'New Backfilled Data'!D:D, J244
  ),
  ""
)</f>
        <v>7.0493086776234046E-2</v>
      </c>
      <c r="L244" s="84"/>
      <c r="M244" s="84"/>
    </row>
    <row r="245" spans="1:13" ht="17" x14ac:dyDescent="0.2">
      <c r="A245" s="44">
        <v>2007</v>
      </c>
      <c r="B245" s="45" t="s">
        <v>66</v>
      </c>
      <c r="C245" s="45" t="s">
        <v>4</v>
      </c>
      <c r="D245" s="45" t="s">
        <v>3</v>
      </c>
      <c r="E245" s="45" t="s">
        <v>69</v>
      </c>
      <c r="F245" s="45" t="s">
        <v>71</v>
      </c>
      <c r="G245" s="85">
        <f ca="1">IFERROR(__xludf.DUMMYFUNCTION("IFERROR(
  IF(A245 = 2008,
    IF(E245 = ""Online"",
      FILTER('Raw PhocalPoint Data'!G:G,
        'Raw PhocalPoint Data'!A:A = 2009,
        'Raw PhocalPoint Data'!D:D = D245,
        'Raw PhocalPoint Data'!E:E = E245,
        'Raw PhocalPoint Data'!F"&amp;":F = F245
      ) /
      (
        FILTER('Raw PhocalPoint Data'!G:G,
          'Raw PhocalPoint Data'!A:A = 2012,
          'Raw PhocalPoint Data'!D:D = D245,
          'Raw PhocalPoint Data'!E:E = E245,
          'Raw PhocalPoint Data'!F:F = F245
     "&amp;"   ) /
        FILTER('Raw PhocalPoint Data'!G:G,
          'Raw PhocalPoint Data'!A:A = 2011,
          'Raw PhocalPoint Data'!D:D = D245,
          'Raw PhocalPoint Data'!E:E = E245,
          'Raw PhocalPoint Data'!F:F = F245
        )
      ),
      F"&amp;"ILTER('Raw PhocalPoint Data'!G:G,
        'Raw PhocalPoint Data'!A:A = 2009,
        'Raw PhocalPoint Data'!D:D = D245,
        'Raw PhocalPoint Data'!E:E = E245,
        'Raw PhocalPoint Data'!F:F = F245
      ) *
      (
        INDEX('Raw GDP data'!$I$"&amp;"2:$M$100,
          MATCH(D245, 'Raw GDP data'!$H$2:$H$100, 0),
          MATCH(2008, 'Raw GDP data'!$I$1:$M$1, 0)
        ) /
        INDEX('Raw GDP data'!$I$2:$M$100,
          MATCH(D245, 'Raw GDP data'!$H$2:$H$100, 0),
          MATCH(2009, 'Raw GDP d"&amp;"ata'!$I$1:$M$1, 0)
        )
      )
    ),
  IF(A245 &lt; 2008,
    (
      FILTER(G:G,
        A:A = 2008,
        D:D = D245,
        E:E = E245,
        F:F = F245
      ) /
      PRODUCT(
        ARRAYFORMULA(
          (
            (
              FIL"&amp;"TER('Raw PhocalPoint Data'!G:G,
                'Raw PhocalPoint Data'!A:A = 2012,
                'Raw PhocalPoint Data'!D:D = D245,
                'Raw PhocalPoint Data'!E:E = E245,
                'Raw PhocalPoint Data'!F:F = F245
              ) /
  "&amp;"            FILTER('Raw PhocalPoint Data'!G:G,
                'Raw PhocalPoint Data'!A:A = 2011,
                'Raw PhocalPoint Data'!D:D = D245,
                'Raw PhocalPoint Data'!E:E = E245,
                'Raw PhocalPoint Data'!F:F = F245
     "&amp;"         ) -
              ROW(INDIRECT(""1:"" &amp; (2008 - A245))) *
              (
                (
                  FILTER('Raw PhocalPoint Data'!G:G,
                    'Raw PhocalPoint Data'!A:A = 2012,
                    'Raw PhocalPoint Data'!D:D"&amp;" = D245,
                    'Raw PhocalPoint Data'!E:E = E245,
                    'Raw PhocalPoint Data'!F:F = F245
                  ) /
                  FILTER('Raw PhocalPoint Data'!G:G,
                    'Raw PhocalPoint Data'!A:A = 2011,
       "&amp;"             'Raw PhocalPoint Data'!D:D = D245,
                    'Raw PhocalPoint Data'!E:E = E245,
                    'Raw PhocalPoint Data'!F:F = F245
                  ) - 1
                ) / 5
              )
            )
          )
        )
"&amp;"      )
    ),
    (
      FILTER('Raw PhocalPoint Data'!G:G,
        'Raw PhocalPoint Data'!A:A = 2009,
        'Raw PhocalPoint Data'!D:D = D245,
        'Raw PhocalPoint Data'!E:E = E245,
        'Raw PhocalPoint Data'!F:F = F245
      ) /
      PRODUC"&amp;"T(
        ARRAYFORMULA(
          (
            FILTER('Raw PhocalPoint Data'!G:G,
              'Raw PhocalPoint Data'!A:A = 2012,
              'Raw PhocalPoint Data'!D:D = D245,
              'Raw PhocalPoint Data'!E:E = E245,
              'Raw Phoca"&amp;"lPoint Data'!F:F = F245
            ) /
            FILTER('Raw PhocalPoint Data'!G:G,
              'Raw PhocalPoint Data'!A:A = 2011,
              'Raw PhocalPoint Data'!D:D = D245,
              'Raw PhocalPoint Data'!E:E = E245,
              'Raw Ph"&amp;"ocalPoint Data'!F:F = F245
            ) -
            (ROW(INDIRECT(""1:"" &amp; (2010 - A245))) - 1) *
            (
              (
                FILTER('Raw PhocalPoint Data'!G:G,
                  'Raw PhocalPoint Data'!A:A = 2012,
                  'R"&amp;"aw PhocalPoint Data'!D:D = D245,
                  'Raw PhocalPoint Data'!E:E = E245,
                  'Raw PhocalPoint Data'!F:F = F245
                ) /
                FILTER('Raw PhocalPoint Data'!G:G,
                  'Raw PhocalPoint Data'!A:A ="&amp;" 2011,
                  'Raw PhocalPoint Data'!D:D = D245,
                  'Raw PhocalPoint Data'!E:E = E245,
                  'Raw PhocalPoint Data'!F:F = F245
                ) - 1
              ) / 5
            )
          )
        )
      )
    "&amp;") *
    INDEX('Raw GDP data'!$I$2:$M$100,
      MATCH(D245, 'Raw GDP data'!$H$2:$H$100, 0),
      MATCH(A245, 'Raw GDP data'!$I$1:$M$1, 0)
    )
  )),
  """"
)
"),824878599.184741)</f>
        <v>824878599.18474102</v>
      </c>
      <c r="H245" s="86"/>
      <c r="I245" s="87">
        <f ca="1">IFERROR(__xludf.DUMMYFUNCTION("""COMPUTED_VALUE"""),2011)</f>
        <v>2011</v>
      </c>
      <c r="J245" s="88" t="str">
        <f ca="1">IFERROR(__xludf.DUMMYFUNCTION("""COMPUTED_VALUE"""),"India")</f>
        <v>India</v>
      </c>
      <c r="K245" s="89">
        <f ca="1">IFERROR(
  SUMIFS(
    'New Backfilled Data'!G:G,
    'New Backfilled Data'!A:A, I245,
    'New Backfilled Data'!D:D, J245,
    'New Backfilled Data'!E:E, "Online"
  ) /
  SUMIFS(
    'New Backfilled Data'!G:G,
    'New Backfilled Data'!A:A, I245,
    'New Backfilled Data'!D:D, J245
  ),
  ""
)</f>
        <v>0.27332557199445157</v>
      </c>
      <c r="L245" s="90"/>
      <c r="M245" s="90"/>
    </row>
    <row r="246" spans="1:13" ht="17" x14ac:dyDescent="0.2">
      <c r="A246" s="37">
        <v>2007</v>
      </c>
      <c r="B246" s="38" t="s">
        <v>66</v>
      </c>
      <c r="C246" s="38" t="s">
        <v>4</v>
      </c>
      <c r="D246" s="38" t="s">
        <v>3</v>
      </c>
      <c r="E246" s="38" t="s">
        <v>69</v>
      </c>
      <c r="F246" s="38" t="s">
        <v>70</v>
      </c>
      <c r="G246" s="79">
        <f ca="1">IFERROR(__xludf.DUMMYFUNCTION("IFERROR(
  IF(A246 = 2008,
    IF(E246 = ""Online"",
      FILTER('Raw PhocalPoint Data'!G:G,
        'Raw PhocalPoint Data'!A:A = 2009,
        'Raw PhocalPoint Data'!D:D = D246,
        'Raw PhocalPoint Data'!E:E = E246,
        'Raw PhocalPoint Data'!F"&amp;":F = F246
      ) /
      (
        FILTER('Raw PhocalPoint Data'!G:G,
          'Raw PhocalPoint Data'!A:A = 2012,
          'Raw PhocalPoint Data'!D:D = D246,
          'Raw PhocalPoint Data'!E:E = E246,
          'Raw PhocalPoint Data'!F:F = F246
     "&amp;"   ) /
        FILTER('Raw PhocalPoint Data'!G:G,
          'Raw PhocalPoint Data'!A:A = 2011,
          'Raw PhocalPoint Data'!D:D = D246,
          'Raw PhocalPoint Data'!E:E = E246,
          'Raw PhocalPoint Data'!F:F = F246
        )
      ),
      F"&amp;"ILTER('Raw PhocalPoint Data'!G:G,
        'Raw PhocalPoint Data'!A:A = 2009,
        'Raw PhocalPoint Data'!D:D = D246,
        'Raw PhocalPoint Data'!E:E = E246,
        'Raw PhocalPoint Data'!F:F = F246
      ) *
      (
        INDEX('Raw GDP data'!$I$"&amp;"2:$M$100,
          MATCH(D246, 'Raw GDP data'!$H$2:$H$100, 0),
          MATCH(2008, 'Raw GDP data'!$I$1:$M$1, 0)
        ) /
        INDEX('Raw GDP data'!$I$2:$M$100,
          MATCH(D246, 'Raw GDP data'!$H$2:$H$100, 0),
          MATCH(2009, 'Raw GDP d"&amp;"ata'!$I$1:$M$1, 0)
        )
      )
    ),
  IF(A246 &lt; 2008,
    (
      FILTER(G:G,
        A:A = 2008,
        D:D = D246,
        E:E = E246,
        F:F = F246
      ) /
      PRODUCT(
        ARRAYFORMULA(
          (
            (
              FIL"&amp;"TER('Raw PhocalPoint Data'!G:G,
                'Raw PhocalPoint Data'!A:A = 2012,
                'Raw PhocalPoint Data'!D:D = D246,
                'Raw PhocalPoint Data'!E:E = E246,
                'Raw PhocalPoint Data'!F:F = F246
              ) /
  "&amp;"            FILTER('Raw PhocalPoint Data'!G:G,
                'Raw PhocalPoint Data'!A:A = 2011,
                'Raw PhocalPoint Data'!D:D = D246,
                'Raw PhocalPoint Data'!E:E = E246,
                'Raw PhocalPoint Data'!F:F = F246
     "&amp;"         ) -
              ROW(INDIRECT(""1:"" &amp; (2008 - A246))) *
              (
                (
                  FILTER('Raw PhocalPoint Data'!G:G,
                    'Raw PhocalPoint Data'!A:A = 2012,
                    'Raw PhocalPoint Data'!D:D"&amp;" = D246,
                    'Raw PhocalPoint Data'!E:E = E246,
                    'Raw PhocalPoint Data'!F:F = F246
                  ) /
                  FILTER('Raw PhocalPoint Data'!G:G,
                    'Raw PhocalPoint Data'!A:A = 2011,
       "&amp;"             'Raw PhocalPoint Data'!D:D = D246,
                    'Raw PhocalPoint Data'!E:E = E246,
                    'Raw PhocalPoint Data'!F:F = F246
                  ) - 1
                ) / 5
              )
            )
          )
        )
"&amp;"      )
    ),
    (
      FILTER('Raw PhocalPoint Data'!G:G,
        'Raw PhocalPoint Data'!A:A = 2009,
        'Raw PhocalPoint Data'!D:D = D246,
        'Raw PhocalPoint Data'!E:E = E246,
        'Raw PhocalPoint Data'!F:F = F246
      ) /
      PRODUC"&amp;"T(
        ARRAYFORMULA(
          (
            FILTER('Raw PhocalPoint Data'!G:G,
              'Raw PhocalPoint Data'!A:A = 2012,
              'Raw PhocalPoint Data'!D:D = D246,
              'Raw PhocalPoint Data'!E:E = E246,
              'Raw Phoca"&amp;"lPoint Data'!F:F = F246
            ) /
            FILTER('Raw PhocalPoint Data'!G:G,
              'Raw PhocalPoint Data'!A:A = 2011,
              'Raw PhocalPoint Data'!D:D = D246,
              'Raw PhocalPoint Data'!E:E = E246,
              'Raw Ph"&amp;"ocalPoint Data'!F:F = F246
            ) -
            (ROW(INDIRECT(""1:"" &amp; (2010 - A246))) - 1) *
            (
              (
                FILTER('Raw PhocalPoint Data'!G:G,
                  'Raw PhocalPoint Data'!A:A = 2012,
                  'R"&amp;"aw PhocalPoint Data'!D:D = D246,
                  'Raw PhocalPoint Data'!E:E = E246,
                  'Raw PhocalPoint Data'!F:F = F246
                ) /
                FILTER('Raw PhocalPoint Data'!G:G,
                  'Raw PhocalPoint Data'!A:A ="&amp;" 2011,
                  'Raw PhocalPoint Data'!D:D = D246,
                  'Raw PhocalPoint Data'!E:E = E246,
                  'Raw PhocalPoint Data'!F:F = F246
                ) - 1
              ) / 5
            )
          )
        )
      )
    "&amp;") *
    INDEX('Raw GDP data'!$I$2:$M$100,
      MATCH(D246, 'Raw GDP data'!$H$2:$H$100, 0),
      MATCH(A246, 'Raw GDP data'!$I$1:$M$1, 0)
    )
  )),
  """"
)
"),5642652094.83612)</f>
        <v>5642652094.8361197</v>
      </c>
      <c r="H246" s="80"/>
      <c r="I246" s="81">
        <f ca="1">IFERROR(__xludf.DUMMYFUNCTION("""COMPUTED_VALUE"""),2011)</f>
        <v>2011</v>
      </c>
      <c r="J246" s="82" t="str">
        <f ca="1">IFERROR(__xludf.DUMMYFUNCTION("""COMPUTED_VALUE"""),"Indonesia")</f>
        <v>Indonesia</v>
      </c>
      <c r="K246" s="83">
        <f ca="1">IFERROR(
  SUMIFS(
    'New Backfilled Data'!G:G,
    'New Backfilled Data'!A:A, I246,
    'New Backfilled Data'!D:D, J246,
    'New Backfilled Data'!E:E, "Online"
  ) /
  SUMIFS(
    'New Backfilled Data'!G:G,
    'New Backfilled Data'!A:A, I246,
    'New Backfilled Data'!D:D, J246
  ),
  ""
)</f>
        <v>4.7736864186075312E-2</v>
      </c>
      <c r="L246" s="84"/>
      <c r="M246" s="84"/>
    </row>
    <row r="247" spans="1:13" ht="17" x14ac:dyDescent="0.2">
      <c r="A247" s="44">
        <v>2007</v>
      </c>
      <c r="B247" s="45" t="s">
        <v>66</v>
      </c>
      <c r="C247" s="45" t="s">
        <v>4</v>
      </c>
      <c r="D247" s="45" t="s">
        <v>5</v>
      </c>
      <c r="E247" s="45" t="s">
        <v>67</v>
      </c>
      <c r="F247" s="45" t="s">
        <v>67</v>
      </c>
      <c r="G247" s="85">
        <f ca="1">IFERROR(__xludf.DUMMYFUNCTION("IFERROR(
  IF(A247 = 2008,
    IF(E247 = ""Online"",
      FILTER('Raw PhocalPoint Data'!G:G,
        'Raw PhocalPoint Data'!A:A = 2009,
        'Raw PhocalPoint Data'!D:D = D247,
        'Raw PhocalPoint Data'!E:E = E247,
        'Raw PhocalPoint Data'!F"&amp;":F = F247
      ) /
      (
        FILTER('Raw PhocalPoint Data'!G:G,
          'Raw PhocalPoint Data'!A:A = 2012,
          'Raw PhocalPoint Data'!D:D = D247,
          'Raw PhocalPoint Data'!E:E = E247,
          'Raw PhocalPoint Data'!F:F = F247
     "&amp;"   ) /
        FILTER('Raw PhocalPoint Data'!G:G,
          'Raw PhocalPoint Data'!A:A = 2011,
          'Raw PhocalPoint Data'!D:D = D247,
          'Raw PhocalPoint Data'!E:E = E247,
          'Raw PhocalPoint Data'!F:F = F247
        )
      ),
      F"&amp;"ILTER('Raw PhocalPoint Data'!G:G,
        'Raw PhocalPoint Data'!A:A = 2009,
        'Raw PhocalPoint Data'!D:D = D247,
        'Raw PhocalPoint Data'!E:E = E247,
        'Raw PhocalPoint Data'!F:F = F247
      ) *
      (
        INDEX('Raw GDP data'!$I$"&amp;"2:$M$100,
          MATCH(D247, 'Raw GDP data'!$H$2:$H$100, 0),
          MATCH(2008, 'Raw GDP data'!$I$1:$M$1, 0)
        ) /
        INDEX('Raw GDP data'!$I$2:$M$100,
          MATCH(D247, 'Raw GDP data'!$H$2:$H$100, 0),
          MATCH(2009, 'Raw GDP d"&amp;"ata'!$I$1:$M$1, 0)
        )
      )
    ),
  IF(A247 &lt; 2008,
    (
      FILTER(G:G,
        A:A = 2008,
        D:D = D247,
        E:E = E247,
        F:F = F247
      ) /
      PRODUCT(
        ARRAYFORMULA(
          (
            (
              FIL"&amp;"TER('Raw PhocalPoint Data'!G:G,
                'Raw PhocalPoint Data'!A:A = 2012,
                'Raw PhocalPoint Data'!D:D = D247,
                'Raw PhocalPoint Data'!E:E = E247,
                'Raw PhocalPoint Data'!F:F = F247
              ) /
  "&amp;"            FILTER('Raw PhocalPoint Data'!G:G,
                'Raw PhocalPoint Data'!A:A = 2011,
                'Raw PhocalPoint Data'!D:D = D247,
                'Raw PhocalPoint Data'!E:E = E247,
                'Raw PhocalPoint Data'!F:F = F247
     "&amp;"         ) -
              ROW(INDIRECT(""1:"" &amp; (2008 - A247))) *
              (
                (
                  FILTER('Raw PhocalPoint Data'!G:G,
                    'Raw PhocalPoint Data'!A:A = 2012,
                    'Raw PhocalPoint Data'!D:D"&amp;" = D247,
                    'Raw PhocalPoint Data'!E:E = E247,
                    'Raw PhocalPoint Data'!F:F = F247
                  ) /
                  FILTER('Raw PhocalPoint Data'!G:G,
                    'Raw PhocalPoint Data'!A:A = 2011,
       "&amp;"             'Raw PhocalPoint Data'!D:D = D247,
                    'Raw PhocalPoint Data'!E:E = E247,
                    'Raw PhocalPoint Data'!F:F = F247
                  ) - 1
                ) / 5
              )
            )
          )
        )
"&amp;"      )
    ),
    (
      FILTER('Raw PhocalPoint Data'!G:G,
        'Raw PhocalPoint Data'!A:A = 2009,
        'Raw PhocalPoint Data'!D:D = D247,
        'Raw PhocalPoint Data'!E:E = E247,
        'Raw PhocalPoint Data'!F:F = F247
      ) /
      PRODUC"&amp;"T(
        ARRAYFORMULA(
          (
            FILTER('Raw PhocalPoint Data'!G:G,
              'Raw PhocalPoint Data'!A:A = 2012,
              'Raw PhocalPoint Data'!D:D = D247,
              'Raw PhocalPoint Data'!E:E = E247,
              'Raw Phoca"&amp;"lPoint Data'!F:F = F247
            ) /
            FILTER('Raw PhocalPoint Data'!G:G,
              'Raw PhocalPoint Data'!A:A = 2011,
              'Raw PhocalPoint Data'!D:D = D247,
              'Raw PhocalPoint Data'!E:E = E247,
              'Raw Ph"&amp;"ocalPoint Data'!F:F = F247
            ) -
            (ROW(INDIRECT(""1:"" &amp; (2010 - A247))) - 1) *
            (
              (
                FILTER('Raw PhocalPoint Data'!G:G,
                  'Raw PhocalPoint Data'!A:A = 2012,
                  'R"&amp;"aw PhocalPoint Data'!D:D = D247,
                  'Raw PhocalPoint Data'!E:E = E247,
                  'Raw PhocalPoint Data'!F:F = F247
                ) /
                FILTER('Raw PhocalPoint Data'!G:G,
                  'Raw PhocalPoint Data'!A:A ="&amp;" 2011,
                  'Raw PhocalPoint Data'!D:D = D247,
                  'Raw PhocalPoint Data'!E:E = E247,
                  'Raw PhocalPoint Data'!F:F = F247
                ) - 1
              ) / 5
            )
          )
        )
      )
    "&amp;") *
    INDEX('Raw GDP data'!$I$2:$M$100,
      MATCH(D247, 'Raw GDP data'!$H$2:$H$100, 0),
      MATCH(A247, 'Raw GDP data'!$I$1:$M$1, 0)
    )
  )),
  """"
)
"),46469739384.1253)</f>
        <v>46469739384.125298</v>
      </c>
      <c r="H247" s="86"/>
      <c r="I247" s="87">
        <f ca="1">IFERROR(__xludf.DUMMYFUNCTION("""COMPUTED_VALUE"""),2011)</f>
        <v>2011</v>
      </c>
      <c r="J247" s="88" t="str">
        <f ca="1">IFERROR(__xludf.DUMMYFUNCTION("""COMPUTED_VALUE"""),"Japan")</f>
        <v>Japan</v>
      </c>
      <c r="K247" s="89">
        <f ca="1">IFERROR(
  SUMIFS(
    'New Backfilled Data'!G:G,
    'New Backfilled Data'!A:A, I247,
    'New Backfilled Data'!D:D, J247,
    'New Backfilled Data'!E:E, "Online"
  ) /
  SUMIFS(
    'New Backfilled Data'!G:G,
    'New Backfilled Data'!A:A, I247,
    'New Backfilled Data'!D:D, J247
  ),
  ""
)</f>
        <v>0.27311361919789451</v>
      </c>
      <c r="L247" s="90"/>
      <c r="M247" s="90"/>
    </row>
    <row r="248" spans="1:13" ht="17" x14ac:dyDescent="0.2">
      <c r="A248" s="37">
        <v>2007</v>
      </c>
      <c r="B248" s="38" t="s">
        <v>66</v>
      </c>
      <c r="C248" s="38" t="s">
        <v>4</v>
      </c>
      <c r="D248" s="38" t="s">
        <v>5</v>
      </c>
      <c r="E248" s="38" t="s">
        <v>69</v>
      </c>
      <c r="F248" s="38" t="s">
        <v>71</v>
      </c>
      <c r="G248" s="79">
        <f ca="1">IFERROR(__xludf.DUMMYFUNCTION("IFERROR(
  IF(A248 = 2008,
    IF(E248 = ""Online"",
      FILTER('Raw PhocalPoint Data'!G:G,
        'Raw PhocalPoint Data'!A:A = 2009,
        'Raw PhocalPoint Data'!D:D = D248,
        'Raw PhocalPoint Data'!E:E = E248,
        'Raw PhocalPoint Data'!F"&amp;":F = F248
      ) /
      (
        FILTER('Raw PhocalPoint Data'!G:G,
          'Raw PhocalPoint Data'!A:A = 2012,
          'Raw PhocalPoint Data'!D:D = D248,
          'Raw PhocalPoint Data'!E:E = E248,
          'Raw PhocalPoint Data'!F:F = F248
     "&amp;"   ) /
        FILTER('Raw PhocalPoint Data'!G:G,
          'Raw PhocalPoint Data'!A:A = 2011,
          'Raw PhocalPoint Data'!D:D = D248,
          'Raw PhocalPoint Data'!E:E = E248,
          'Raw PhocalPoint Data'!F:F = F248
        )
      ),
      F"&amp;"ILTER('Raw PhocalPoint Data'!G:G,
        'Raw PhocalPoint Data'!A:A = 2009,
        'Raw PhocalPoint Data'!D:D = D248,
        'Raw PhocalPoint Data'!E:E = E248,
        'Raw PhocalPoint Data'!F:F = F248
      ) *
      (
        INDEX('Raw GDP data'!$I$"&amp;"2:$M$100,
          MATCH(D248, 'Raw GDP data'!$H$2:$H$100, 0),
          MATCH(2008, 'Raw GDP data'!$I$1:$M$1, 0)
        ) /
        INDEX('Raw GDP data'!$I$2:$M$100,
          MATCH(D248, 'Raw GDP data'!$H$2:$H$100, 0),
          MATCH(2009, 'Raw GDP d"&amp;"ata'!$I$1:$M$1, 0)
        )
      )
    ),
  IF(A248 &lt; 2008,
    (
      FILTER(G:G,
        A:A = 2008,
        D:D = D248,
        E:E = E248,
        F:F = F248
      ) /
      PRODUCT(
        ARRAYFORMULA(
          (
            (
              FIL"&amp;"TER('Raw PhocalPoint Data'!G:G,
                'Raw PhocalPoint Data'!A:A = 2012,
                'Raw PhocalPoint Data'!D:D = D248,
                'Raw PhocalPoint Data'!E:E = E248,
                'Raw PhocalPoint Data'!F:F = F248
              ) /
  "&amp;"            FILTER('Raw PhocalPoint Data'!G:G,
                'Raw PhocalPoint Data'!A:A = 2011,
                'Raw PhocalPoint Data'!D:D = D248,
                'Raw PhocalPoint Data'!E:E = E248,
                'Raw PhocalPoint Data'!F:F = F248
     "&amp;"         ) -
              ROW(INDIRECT(""1:"" &amp; (2008 - A248))) *
              (
                (
                  FILTER('Raw PhocalPoint Data'!G:G,
                    'Raw PhocalPoint Data'!A:A = 2012,
                    'Raw PhocalPoint Data'!D:D"&amp;" = D248,
                    'Raw PhocalPoint Data'!E:E = E248,
                    'Raw PhocalPoint Data'!F:F = F248
                  ) /
                  FILTER('Raw PhocalPoint Data'!G:G,
                    'Raw PhocalPoint Data'!A:A = 2011,
       "&amp;"             'Raw PhocalPoint Data'!D:D = D248,
                    'Raw PhocalPoint Data'!E:E = E248,
                    'Raw PhocalPoint Data'!F:F = F248
                  ) - 1
                ) / 5
              )
            )
          )
        )
"&amp;"      )
    ),
    (
      FILTER('Raw PhocalPoint Data'!G:G,
        'Raw PhocalPoint Data'!A:A = 2009,
        'Raw PhocalPoint Data'!D:D = D248,
        'Raw PhocalPoint Data'!E:E = E248,
        'Raw PhocalPoint Data'!F:F = F248
      ) /
      PRODUC"&amp;"T(
        ARRAYFORMULA(
          (
            FILTER('Raw PhocalPoint Data'!G:G,
              'Raw PhocalPoint Data'!A:A = 2012,
              'Raw PhocalPoint Data'!D:D = D248,
              'Raw PhocalPoint Data'!E:E = E248,
              'Raw Phoca"&amp;"lPoint Data'!F:F = F248
            ) /
            FILTER('Raw PhocalPoint Data'!G:G,
              'Raw PhocalPoint Data'!A:A = 2011,
              'Raw PhocalPoint Data'!D:D = D248,
              'Raw PhocalPoint Data'!E:E = E248,
              'Raw Ph"&amp;"ocalPoint Data'!F:F = F248
            ) -
            (ROW(INDIRECT(""1:"" &amp; (2010 - A248))) - 1) *
            (
              (
                FILTER('Raw PhocalPoint Data'!G:G,
                  'Raw PhocalPoint Data'!A:A = 2012,
                  'R"&amp;"aw PhocalPoint Data'!D:D = D248,
                  'Raw PhocalPoint Data'!E:E = E248,
                  'Raw PhocalPoint Data'!F:F = F248
                ) /
                FILTER('Raw PhocalPoint Data'!G:G,
                  'Raw PhocalPoint Data'!A:A ="&amp;" 2011,
                  'Raw PhocalPoint Data'!D:D = D248,
                  'Raw PhocalPoint Data'!E:E = E248,
                  'Raw PhocalPoint Data'!F:F = F248
                ) - 1
              ) / 5
            )
          )
        )
      )
    "&amp;") *
    INDEX('Raw GDP data'!$I$2:$M$100,
      MATCH(D248, 'Raw GDP data'!$H$2:$H$100, 0),
      MATCH(A248, 'Raw GDP data'!$I$1:$M$1, 0)
    )
  )),
  """"
)
"),949447223.854021)</f>
        <v>949447223.85402095</v>
      </c>
      <c r="H248" s="80"/>
      <c r="I248" s="81">
        <f ca="1">IFERROR(__xludf.DUMMYFUNCTION("""COMPUTED_VALUE"""),2011)</f>
        <v>2011</v>
      </c>
      <c r="J248" s="82" t="str">
        <f ca="1">IFERROR(__xludf.DUMMYFUNCTION("""COMPUTED_VALUE"""),"Macau")</f>
        <v>Macau</v>
      </c>
      <c r="K248" s="83">
        <f ca="1">IFERROR(
  SUMIFS(
    'New Backfilled Data'!G:G,
    'New Backfilled Data'!A:A, I248,
    'New Backfilled Data'!D:D, J248,
    'New Backfilled Data'!E:E, "Online"
  ) /
  SUMIFS(
    'New Backfilled Data'!G:G,
    'New Backfilled Data'!A:A, I248,
    'New Backfilled Data'!D:D, J248
  ),
  ""
)</f>
        <v>3.1871554364329098E-2</v>
      </c>
      <c r="L248" s="84"/>
      <c r="M248" s="84"/>
    </row>
    <row r="249" spans="1:13" ht="17" x14ac:dyDescent="0.2">
      <c r="A249" s="44">
        <v>2007</v>
      </c>
      <c r="B249" s="45" t="s">
        <v>66</v>
      </c>
      <c r="C249" s="45" t="s">
        <v>4</v>
      </c>
      <c r="D249" s="45" t="s">
        <v>5</v>
      </c>
      <c r="E249" s="45" t="s">
        <v>69</v>
      </c>
      <c r="F249" s="45" t="s">
        <v>70</v>
      </c>
      <c r="G249" s="85">
        <f ca="1">IFERROR(__xludf.DUMMYFUNCTION("IFERROR(
  IF(A249 = 2008,
    IF(E249 = ""Online"",
      FILTER('Raw PhocalPoint Data'!G:G,
        'Raw PhocalPoint Data'!A:A = 2009,
        'Raw PhocalPoint Data'!D:D = D249,
        'Raw PhocalPoint Data'!E:E = E249,
        'Raw PhocalPoint Data'!F"&amp;":F = F249
      ) /
      (
        FILTER('Raw PhocalPoint Data'!G:G,
          'Raw PhocalPoint Data'!A:A = 2012,
          'Raw PhocalPoint Data'!D:D = D249,
          'Raw PhocalPoint Data'!E:E = E249,
          'Raw PhocalPoint Data'!F:F = F249
     "&amp;"   ) /
        FILTER('Raw PhocalPoint Data'!G:G,
          'Raw PhocalPoint Data'!A:A = 2011,
          'Raw PhocalPoint Data'!D:D = D249,
          'Raw PhocalPoint Data'!E:E = E249,
          'Raw PhocalPoint Data'!F:F = F249
        )
      ),
      F"&amp;"ILTER('Raw PhocalPoint Data'!G:G,
        'Raw PhocalPoint Data'!A:A = 2009,
        'Raw PhocalPoint Data'!D:D = D249,
        'Raw PhocalPoint Data'!E:E = E249,
        'Raw PhocalPoint Data'!F:F = F249
      ) *
      (
        INDEX('Raw GDP data'!$I$"&amp;"2:$M$100,
          MATCH(D249, 'Raw GDP data'!$H$2:$H$100, 0),
          MATCH(2008, 'Raw GDP data'!$I$1:$M$1, 0)
        ) /
        INDEX('Raw GDP data'!$I$2:$M$100,
          MATCH(D249, 'Raw GDP data'!$H$2:$H$100, 0),
          MATCH(2009, 'Raw GDP d"&amp;"ata'!$I$1:$M$1, 0)
        )
      )
    ),
  IF(A249 &lt; 2008,
    (
      FILTER(G:G,
        A:A = 2008,
        D:D = D249,
        E:E = E249,
        F:F = F249
      ) /
      PRODUCT(
        ARRAYFORMULA(
          (
            (
              FIL"&amp;"TER('Raw PhocalPoint Data'!G:G,
                'Raw PhocalPoint Data'!A:A = 2012,
                'Raw PhocalPoint Data'!D:D = D249,
                'Raw PhocalPoint Data'!E:E = E249,
                'Raw PhocalPoint Data'!F:F = F249
              ) /
  "&amp;"            FILTER('Raw PhocalPoint Data'!G:G,
                'Raw PhocalPoint Data'!A:A = 2011,
                'Raw PhocalPoint Data'!D:D = D249,
                'Raw PhocalPoint Data'!E:E = E249,
                'Raw PhocalPoint Data'!F:F = F249
     "&amp;"         ) -
              ROW(INDIRECT(""1:"" &amp; (2008 - A249))) *
              (
                (
                  FILTER('Raw PhocalPoint Data'!G:G,
                    'Raw PhocalPoint Data'!A:A = 2012,
                    'Raw PhocalPoint Data'!D:D"&amp;" = D249,
                    'Raw PhocalPoint Data'!E:E = E249,
                    'Raw PhocalPoint Data'!F:F = F249
                  ) /
                  FILTER('Raw PhocalPoint Data'!G:G,
                    'Raw PhocalPoint Data'!A:A = 2011,
       "&amp;"             'Raw PhocalPoint Data'!D:D = D249,
                    'Raw PhocalPoint Data'!E:E = E249,
                    'Raw PhocalPoint Data'!F:F = F249
                  ) - 1
                ) / 5
              )
            )
          )
        )
"&amp;"      )
    ),
    (
      FILTER('Raw PhocalPoint Data'!G:G,
        'Raw PhocalPoint Data'!A:A = 2009,
        'Raw PhocalPoint Data'!D:D = D249,
        'Raw PhocalPoint Data'!E:E = E249,
        'Raw PhocalPoint Data'!F:F = F249
      ) /
      PRODUC"&amp;"T(
        ARRAYFORMULA(
          (
            FILTER('Raw PhocalPoint Data'!G:G,
              'Raw PhocalPoint Data'!A:A = 2012,
              'Raw PhocalPoint Data'!D:D = D249,
              'Raw PhocalPoint Data'!E:E = E249,
              'Raw Phoca"&amp;"lPoint Data'!F:F = F249
            ) /
            FILTER('Raw PhocalPoint Data'!G:G,
              'Raw PhocalPoint Data'!A:A = 2011,
              'Raw PhocalPoint Data'!D:D = D249,
              'Raw PhocalPoint Data'!E:E = E249,
              'Raw Ph"&amp;"ocalPoint Data'!F:F = F249
            ) -
            (ROW(INDIRECT(""1:"" &amp; (2010 - A249))) - 1) *
            (
              (
                FILTER('Raw PhocalPoint Data'!G:G,
                  'Raw PhocalPoint Data'!A:A = 2012,
                  'R"&amp;"aw PhocalPoint Data'!D:D = D249,
                  'Raw PhocalPoint Data'!E:E = E249,
                  'Raw PhocalPoint Data'!F:F = F249
                ) /
                FILTER('Raw PhocalPoint Data'!G:G,
                  'Raw PhocalPoint Data'!A:A ="&amp;" 2011,
                  'Raw PhocalPoint Data'!D:D = D249,
                  'Raw PhocalPoint Data'!E:E = E249,
                  'Raw PhocalPoint Data'!F:F = F249
                ) - 1
              ) / 5
            )
          )
        )
      )
    "&amp;") *
    INDEX('Raw GDP data'!$I$2:$M$100,
      MATCH(D249, 'Raw GDP data'!$H$2:$H$100, 0),
      MATCH(A249, 'Raw GDP data'!$I$1:$M$1, 0)
    )
  )),
  """"
)
"),1135163589.79243)</f>
        <v>1135163589.7924299</v>
      </c>
      <c r="H249" s="86"/>
      <c r="I249" s="87">
        <f ca="1">IFERROR(__xludf.DUMMYFUNCTION("""COMPUTED_VALUE"""),2011)</f>
        <v>2011</v>
      </c>
      <c r="J249" s="88" t="str">
        <f ca="1">IFERROR(__xludf.DUMMYFUNCTION("""COMPUTED_VALUE"""),"Malaysia")</f>
        <v>Malaysia</v>
      </c>
      <c r="K249" s="89">
        <f ca="1">IFERROR(
  SUMIFS(
    'New Backfilled Data'!G:G,
    'New Backfilled Data'!A:A, I249,
    'New Backfilled Data'!D:D, J249,
    'New Backfilled Data'!E:E, "Online"
  ) /
  SUMIFS(
    'New Backfilled Data'!G:G,
    'New Backfilled Data'!A:A, I249,
    'New Backfilled Data'!D:D, J249
  ),
  ""
)</f>
        <v>0.29198999647986268</v>
      </c>
      <c r="L249" s="90"/>
      <c r="M249" s="90"/>
    </row>
    <row r="250" spans="1:13" ht="17" x14ac:dyDescent="0.2">
      <c r="A250" s="37">
        <v>2007</v>
      </c>
      <c r="B250" s="38" t="s">
        <v>66</v>
      </c>
      <c r="C250" s="38" t="s">
        <v>4</v>
      </c>
      <c r="D250" s="38" t="s">
        <v>6</v>
      </c>
      <c r="E250" s="38" t="s">
        <v>67</v>
      </c>
      <c r="F250" s="38" t="s">
        <v>67</v>
      </c>
      <c r="G250" s="79">
        <f ca="1">IFERROR(__xludf.DUMMYFUNCTION("IFERROR(
  IF(A250 = 2008,
    IF(E250 = ""Online"",
      FILTER('Raw PhocalPoint Data'!G:G,
        'Raw PhocalPoint Data'!A:A = 2009,
        'Raw PhocalPoint Data'!D:D = D250,
        'Raw PhocalPoint Data'!E:E = E250,
        'Raw PhocalPoint Data'!F"&amp;":F = F250
      ) /
      (
        FILTER('Raw PhocalPoint Data'!G:G,
          'Raw PhocalPoint Data'!A:A = 2012,
          'Raw PhocalPoint Data'!D:D = D250,
          'Raw PhocalPoint Data'!E:E = E250,
          'Raw PhocalPoint Data'!F:F = F250
     "&amp;"   ) /
        FILTER('Raw PhocalPoint Data'!G:G,
          'Raw PhocalPoint Data'!A:A = 2011,
          'Raw PhocalPoint Data'!D:D = D250,
          'Raw PhocalPoint Data'!E:E = E250,
          'Raw PhocalPoint Data'!F:F = F250
        )
      ),
      F"&amp;"ILTER('Raw PhocalPoint Data'!G:G,
        'Raw PhocalPoint Data'!A:A = 2009,
        'Raw PhocalPoint Data'!D:D = D250,
        'Raw PhocalPoint Data'!E:E = E250,
        'Raw PhocalPoint Data'!F:F = F250
      ) *
      (
        INDEX('Raw GDP data'!$I$"&amp;"2:$M$100,
          MATCH(D250, 'Raw GDP data'!$H$2:$H$100, 0),
          MATCH(2008, 'Raw GDP data'!$I$1:$M$1, 0)
        ) /
        INDEX('Raw GDP data'!$I$2:$M$100,
          MATCH(D250, 'Raw GDP data'!$H$2:$H$100, 0),
          MATCH(2009, 'Raw GDP d"&amp;"ata'!$I$1:$M$1, 0)
        )
      )
    ),
  IF(A250 &lt; 2008,
    (
      FILTER(G:G,
        A:A = 2008,
        D:D = D250,
        E:E = E250,
        F:F = F250
      ) /
      PRODUCT(
        ARRAYFORMULA(
          (
            (
              FIL"&amp;"TER('Raw PhocalPoint Data'!G:G,
                'Raw PhocalPoint Data'!A:A = 2012,
                'Raw PhocalPoint Data'!D:D = D250,
                'Raw PhocalPoint Data'!E:E = E250,
                'Raw PhocalPoint Data'!F:F = F250
              ) /
  "&amp;"            FILTER('Raw PhocalPoint Data'!G:G,
                'Raw PhocalPoint Data'!A:A = 2011,
                'Raw PhocalPoint Data'!D:D = D250,
                'Raw PhocalPoint Data'!E:E = E250,
                'Raw PhocalPoint Data'!F:F = F250
     "&amp;"         ) -
              ROW(INDIRECT(""1:"" &amp; (2008 - A250))) *
              (
                (
                  FILTER('Raw PhocalPoint Data'!G:G,
                    'Raw PhocalPoint Data'!A:A = 2012,
                    'Raw PhocalPoint Data'!D:D"&amp;" = D250,
                    'Raw PhocalPoint Data'!E:E = E250,
                    'Raw PhocalPoint Data'!F:F = F250
                  ) /
                  FILTER('Raw PhocalPoint Data'!G:G,
                    'Raw PhocalPoint Data'!A:A = 2011,
       "&amp;"             'Raw PhocalPoint Data'!D:D = D250,
                    'Raw PhocalPoint Data'!E:E = E250,
                    'Raw PhocalPoint Data'!F:F = F250
                  ) - 1
                ) / 5
              )
            )
          )
        )
"&amp;"      )
    ),
    (
      FILTER('Raw PhocalPoint Data'!G:G,
        'Raw PhocalPoint Data'!A:A = 2009,
        'Raw PhocalPoint Data'!D:D = D250,
        'Raw PhocalPoint Data'!E:E = E250,
        'Raw PhocalPoint Data'!F:F = F250
      ) /
      PRODUC"&amp;"T(
        ARRAYFORMULA(
          (
            FILTER('Raw PhocalPoint Data'!G:G,
              'Raw PhocalPoint Data'!A:A = 2012,
              'Raw PhocalPoint Data'!D:D = D250,
              'Raw PhocalPoint Data'!E:E = E250,
              'Raw Phoca"&amp;"lPoint Data'!F:F = F250
            ) /
            FILTER('Raw PhocalPoint Data'!G:G,
              'Raw PhocalPoint Data'!A:A = 2011,
              'Raw PhocalPoint Data'!D:D = D250,
              'Raw PhocalPoint Data'!E:E = E250,
              'Raw Ph"&amp;"ocalPoint Data'!F:F = F250
            ) -
            (ROW(INDIRECT(""1:"" &amp; (2010 - A250))) - 1) *
            (
              (
                FILTER('Raw PhocalPoint Data'!G:G,
                  'Raw PhocalPoint Data'!A:A = 2012,
                  'R"&amp;"aw PhocalPoint Data'!D:D = D250,
                  'Raw PhocalPoint Data'!E:E = E250,
                  'Raw PhocalPoint Data'!F:F = F250
                ) /
                FILTER('Raw PhocalPoint Data'!G:G,
                  'Raw PhocalPoint Data'!A:A ="&amp;" 2011,
                  'Raw PhocalPoint Data'!D:D = D250,
                  'Raw PhocalPoint Data'!E:E = E250,
                  'Raw PhocalPoint Data'!F:F = F250
                ) - 1
              ) / 5
            )
          )
        )
      )
    "&amp;") *
    INDEX('Raw GDP data'!$I$2:$M$100,
      MATCH(D250, 'Raw GDP data'!$H$2:$H$100, 0),
      MATCH(A250, 'Raw GDP data'!$I$1:$M$1, 0)
    )
  )),
  """"
)
"),8640144011.99448)</f>
        <v>8640144011.9944801</v>
      </c>
      <c r="H250" s="80"/>
      <c r="I250" s="81">
        <f ca="1">IFERROR(__xludf.DUMMYFUNCTION("""COMPUTED_VALUE"""),2011)</f>
        <v>2011</v>
      </c>
      <c r="J250" s="82" t="str">
        <f ca="1">IFERROR(__xludf.DUMMYFUNCTION("""COMPUTED_VALUE"""),"Singapore")</f>
        <v>Singapore</v>
      </c>
      <c r="K250" s="83">
        <f ca="1">IFERROR(
  SUMIFS(
    'New Backfilled Data'!G:G,
    'New Backfilled Data'!A:A, I250,
    'New Backfilled Data'!D:D, J250,
    'New Backfilled Data'!E:E, "Online"
  ) /
  SUMIFS(
    'New Backfilled Data'!G:G,
    'New Backfilled Data'!A:A, I250,
    'New Backfilled Data'!D:D, J250
  ),
  ""
)</f>
        <v>0.26038931947189264</v>
      </c>
      <c r="L250" s="84"/>
      <c r="M250" s="84"/>
    </row>
    <row r="251" spans="1:13" ht="17" x14ac:dyDescent="0.2">
      <c r="A251" s="44">
        <v>2007</v>
      </c>
      <c r="B251" s="45" t="s">
        <v>66</v>
      </c>
      <c r="C251" s="45" t="s">
        <v>4</v>
      </c>
      <c r="D251" s="45" t="s">
        <v>6</v>
      </c>
      <c r="E251" s="45" t="s">
        <v>69</v>
      </c>
      <c r="F251" s="45" t="s">
        <v>71</v>
      </c>
      <c r="G251" s="85">
        <f ca="1">IFERROR(__xludf.DUMMYFUNCTION("IFERROR(
  IF(A251 = 2008,
    IF(E251 = ""Online"",
      FILTER('Raw PhocalPoint Data'!G:G,
        'Raw PhocalPoint Data'!A:A = 2009,
        'Raw PhocalPoint Data'!D:D = D251,
        'Raw PhocalPoint Data'!E:E = E251,
        'Raw PhocalPoint Data'!F"&amp;":F = F251
      ) /
      (
        FILTER('Raw PhocalPoint Data'!G:G,
          'Raw PhocalPoint Data'!A:A = 2012,
          'Raw PhocalPoint Data'!D:D = D251,
          'Raw PhocalPoint Data'!E:E = E251,
          'Raw PhocalPoint Data'!F:F = F251
     "&amp;"   ) /
        FILTER('Raw PhocalPoint Data'!G:G,
          'Raw PhocalPoint Data'!A:A = 2011,
          'Raw PhocalPoint Data'!D:D = D251,
          'Raw PhocalPoint Data'!E:E = E251,
          'Raw PhocalPoint Data'!F:F = F251
        )
      ),
      F"&amp;"ILTER('Raw PhocalPoint Data'!G:G,
        'Raw PhocalPoint Data'!A:A = 2009,
        'Raw PhocalPoint Data'!D:D = D251,
        'Raw PhocalPoint Data'!E:E = E251,
        'Raw PhocalPoint Data'!F:F = F251
      ) *
      (
        INDEX('Raw GDP data'!$I$"&amp;"2:$M$100,
          MATCH(D251, 'Raw GDP data'!$H$2:$H$100, 0),
          MATCH(2008, 'Raw GDP data'!$I$1:$M$1, 0)
        ) /
        INDEX('Raw GDP data'!$I$2:$M$100,
          MATCH(D251, 'Raw GDP data'!$H$2:$H$100, 0),
          MATCH(2009, 'Raw GDP d"&amp;"ata'!$I$1:$M$1, 0)
        )
      )
    ),
  IF(A251 &lt; 2008,
    (
      FILTER(G:G,
        A:A = 2008,
        D:D = D251,
        E:E = E251,
        F:F = F251
      ) /
      PRODUCT(
        ARRAYFORMULA(
          (
            (
              FIL"&amp;"TER('Raw PhocalPoint Data'!G:G,
                'Raw PhocalPoint Data'!A:A = 2012,
                'Raw PhocalPoint Data'!D:D = D251,
                'Raw PhocalPoint Data'!E:E = E251,
                'Raw PhocalPoint Data'!F:F = F251
              ) /
  "&amp;"            FILTER('Raw PhocalPoint Data'!G:G,
                'Raw PhocalPoint Data'!A:A = 2011,
                'Raw PhocalPoint Data'!D:D = D251,
                'Raw PhocalPoint Data'!E:E = E251,
                'Raw PhocalPoint Data'!F:F = F251
     "&amp;"         ) -
              ROW(INDIRECT(""1:"" &amp; (2008 - A251))) *
              (
                (
                  FILTER('Raw PhocalPoint Data'!G:G,
                    'Raw PhocalPoint Data'!A:A = 2012,
                    'Raw PhocalPoint Data'!D:D"&amp;" = D251,
                    'Raw PhocalPoint Data'!E:E = E251,
                    'Raw PhocalPoint Data'!F:F = F251
                  ) /
                  FILTER('Raw PhocalPoint Data'!G:G,
                    'Raw PhocalPoint Data'!A:A = 2011,
       "&amp;"             'Raw PhocalPoint Data'!D:D = D251,
                    'Raw PhocalPoint Data'!E:E = E251,
                    'Raw PhocalPoint Data'!F:F = F251
                  ) - 1
                ) / 5
              )
            )
          )
        )
"&amp;"      )
    ),
    (
      FILTER('Raw PhocalPoint Data'!G:G,
        'Raw PhocalPoint Data'!A:A = 2009,
        'Raw PhocalPoint Data'!D:D = D251,
        'Raw PhocalPoint Data'!E:E = E251,
        'Raw PhocalPoint Data'!F:F = F251
      ) /
      PRODUC"&amp;"T(
        ARRAYFORMULA(
          (
            FILTER('Raw PhocalPoint Data'!G:G,
              'Raw PhocalPoint Data'!A:A = 2012,
              'Raw PhocalPoint Data'!D:D = D251,
              'Raw PhocalPoint Data'!E:E = E251,
              'Raw Phoca"&amp;"lPoint Data'!F:F = F251
            ) /
            FILTER('Raw PhocalPoint Data'!G:G,
              'Raw PhocalPoint Data'!A:A = 2011,
              'Raw PhocalPoint Data'!D:D = D251,
              'Raw PhocalPoint Data'!E:E = E251,
              'Raw Ph"&amp;"ocalPoint Data'!F:F = F251
            ) -
            (ROW(INDIRECT(""1:"" &amp; (2010 - A251))) - 1) *
            (
              (
                FILTER('Raw PhocalPoint Data'!G:G,
                  'Raw PhocalPoint Data'!A:A = 2012,
                  'R"&amp;"aw PhocalPoint Data'!D:D = D251,
                  'Raw PhocalPoint Data'!E:E = E251,
                  'Raw PhocalPoint Data'!F:F = F251
                ) /
                FILTER('Raw PhocalPoint Data'!G:G,
                  'Raw PhocalPoint Data'!A:A ="&amp;" 2011,
                  'Raw PhocalPoint Data'!D:D = D251,
                  'Raw PhocalPoint Data'!E:E = E251,
                  'Raw PhocalPoint Data'!F:F = F251
                ) - 1
              ) / 5
            )
          )
        )
      )
    "&amp;") *
    INDEX('Raw GDP data'!$I$2:$M$100,
      MATCH(D251, 'Raw GDP data'!$H$2:$H$100, 0),
      MATCH(A251, 'Raw GDP data'!$I$1:$M$1, 0)
    )
  )),
  """"
)
"),58556259.0316664)</f>
        <v>58556259.031666398</v>
      </c>
      <c r="H251" s="86"/>
      <c r="I251" s="87">
        <f ca="1">IFERROR(__xludf.DUMMYFUNCTION("""COMPUTED_VALUE"""),2011)</f>
        <v>2011</v>
      </c>
      <c r="J251" s="88" t="str">
        <f ca="1">IFERROR(__xludf.DUMMYFUNCTION("""COMPUTED_VALUE"""),"South Korea")</f>
        <v>South Korea</v>
      </c>
      <c r="K251" s="89">
        <f ca="1">IFERROR(
  SUMIFS(
    'New Backfilled Data'!G:G,
    'New Backfilled Data'!A:A, I251,
    'New Backfilled Data'!D:D, J251,
    'New Backfilled Data'!E:E, "Online"
  ) /
  SUMIFS(
    'New Backfilled Data'!G:G,
    'New Backfilled Data'!A:A, I251,
    'New Backfilled Data'!D:D, J251
  ),
  ""
)</f>
        <v>0.16588911542063689</v>
      </c>
      <c r="L251" s="90"/>
      <c r="M251" s="90"/>
    </row>
    <row r="252" spans="1:13" ht="17" x14ac:dyDescent="0.2">
      <c r="A252" s="37">
        <v>2007</v>
      </c>
      <c r="B252" s="38" t="s">
        <v>66</v>
      </c>
      <c r="C252" s="38" t="s">
        <v>4</v>
      </c>
      <c r="D252" s="38" t="s">
        <v>6</v>
      </c>
      <c r="E252" s="38" t="s">
        <v>69</v>
      </c>
      <c r="F252" s="38" t="s">
        <v>70</v>
      </c>
      <c r="G252" s="79">
        <f ca="1">IFERROR(__xludf.DUMMYFUNCTION("IFERROR(
  IF(A252 = 2008,
    IF(E252 = ""Online"",
      FILTER('Raw PhocalPoint Data'!G:G,
        'Raw PhocalPoint Data'!A:A = 2009,
        'Raw PhocalPoint Data'!D:D = D252,
        'Raw PhocalPoint Data'!E:E = E252,
        'Raw PhocalPoint Data'!F"&amp;":F = F252
      ) /
      (
        FILTER('Raw PhocalPoint Data'!G:G,
          'Raw PhocalPoint Data'!A:A = 2012,
          'Raw PhocalPoint Data'!D:D = D252,
          'Raw PhocalPoint Data'!E:E = E252,
          'Raw PhocalPoint Data'!F:F = F252
     "&amp;"   ) /
        FILTER('Raw PhocalPoint Data'!G:G,
          'Raw PhocalPoint Data'!A:A = 2011,
          'Raw PhocalPoint Data'!D:D = D252,
          'Raw PhocalPoint Data'!E:E = E252,
          'Raw PhocalPoint Data'!F:F = F252
        )
      ),
      F"&amp;"ILTER('Raw PhocalPoint Data'!G:G,
        'Raw PhocalPoint Data'!A:A = 2009,
        'Raw PhocalPoint Data'!D:D = D252,
        'Raw PhocalPoint Data'!E:E = E252,
        'Raw PhocalPoint Data'!F:F = F252
      ) *
      (
        INDEX('Raw GDP data'!$I$"&amp;"2:$M$100,
          MATCH(D252, 'Raw GDP data'!$H$2:$H$100, 0),
          MATCH(2008, 'Raw GDP data'!$I$1:$M$1, 0)
        ) /
        INDEX('Raw GDP data'!$I$2:$M$100,
          MATCH(D252, 'Raw GDP data'!$H$2:$H$100, 0),
          MATCH(2009, 'Raw GDP d"&amp;"ata'!$I$1:$M$1, 0)
        )
      )
    ),
  IF(A252 &lt; 2008,
    (
      FILTER(G:G,
        A:A = 2008,
        D:D = D252,
        E:E = E252,
        F:F = F252
      ) /
      PRODUCT(
        ARRAYFORMULA(
          (
            (
              FIL"&amp;"TER('Raw PhocalPoint Data'!G:G,
                'Raw PhocalPoint Data'!A:A = 2012,
                'Raw PhocalPoint Data'!D:D = D252,
                'Raw PhocalPoint Data'!E:E = E252,
                'Raw PhocalPoint Data'!F:F = F252
              ) /
  "&amp;"            FILTER('Raw PhocalPoint Data'!G:G,
                'Raw PhocalPoint Data'!A:A = 2011,
                'Raw PhocalPoint Data'!D:D = D252,
                'Raw PhocalPoint Data'!E:E = E252,
                'Raw PhocalPoint Data'!F:F = F252
     "&amp;"         ) -
              ROW(INDIRECT(""1:"" &amp; (2008 - A252))) *
              (
                (
                  FILTER('Raw PhocalPoint Data'!G:G,
                    'Raw PhocalPoint Data'!A:A = 2012,
                    'Raw PhocalPoint Data'!D:D"&amp;" = D252,
                    'Raw PhocalPoint Data'!E:E = E252,
                    'Raw PhocalPoint Data'!F:F = F252
                  ) /
                  FILTER('Raw PhocalPoint Data'!G:G,
                    'Raw PhocalPoint Data'!A:A = 2011,
       "&amp;"             'Raw PhocalPoint Data'!D:D = D252,
                    'Raw PhocalPoint Data'!E:E = E252,
                    'Raw PhocalPoint Data'!F:F = F252
                  ) - 1
                ) / 5
              )
            )
          )
        )
"&amp;"      )
    ),
    (
      FILTER('Raw PhocalPoint Data'!G:G,
        'Raw PhocalPoint Data'!A:A = 2009,
        'Raw PhocalPoint Data'!D:D = D252,
        'Raw PhocalPoint Data'!E:E = E252,
        'Raw PhocalPoint Data'!F:F = F252
      ) /
      PRODUC"&amp;"T(
        ARRAYFORMULA(
          (
            FILTER('Raw PhocalPoint Data'!G:G,
              'Raw PhocalPoint Data'!A:A = 2012,
              'Raw PhocalPoint Data'!D:D = D252,
              'Raw PhocalPoint Data'!E:E = E252,
              'Raw Phoca"&amp;"lPoint Data'!F:F = F252
            ) /
            FILTER('Raw PhocalPoint Data'!G:G,
              'Raw PhocalPoint Data'!A:A = 2011,
              'Raw PhocalPoint Data'!D:D = D252,
              'Raw PhocalPoint Data'!E:E = E252,
              'Raw Ph"&amp;"ocalPoint Data'!F:F = F252
            ) -
            (ROW(INDIRECT(""1:"" &amp; (2010 - A252))) - 1) *
            (
              (
                FILTER('Raw PhocalPoint Data'!G:G,
                  'Raw PhocalPoint Data'!A:A = 2012,
                  'R"&amp;"aw PhocalPoint Data'!D:D = D252,
                  'Raw PhocalPoint Data'!E:E = E252,
                  'Raw PhocalPoint Data'!F:F = F252
                ) /
                FILTER('Raw PhocalPoint Data'!G:G,
                  'Raw PhocalPoint Data'!A:A ="&amp;" 2011,
                  'Raw PhocalPoint Data'!D:D = D252,
                  'Raw PhocalPoint Data'!E:E = E252,
                  'Raw PhocalPoint Data'!F:F = F252
                ) - 1
              ) / 5
            )
          )
        )
      )
    "&amp;") *
    INDEX('Raw GDP data'!$I$2:$M$100,
      MATCH(D252, 'Raw GDP data'!$H$2:$H$100, 0),
      MATCH(A252, 'Raw GDP data'!$I$1:$M$1, 0)
    )
  )),
  """"
)
"),255739868.330391)</f>
        <v>255739868.33039099</v>
      </c>
      <c r="H252" s="80"/>
      <c r="I252" s="81">
        <f ca="1">IFERROR(__xludf.DUMMYFUNCTION("""COMPUTED_VALUE"""),2011)</f>
        <v>2011</v>
      </c>
      <c r="J252" s="82" t="str">
        <f ca="1">IFERROR(__xludf.DUMMYFUNCTION("""COMPUTED_VALUE"""),"Taiwan")</f>
        <v>Taiwan</v>
      </c>
      <c r="K252" s="83">
        <f ca="1">IFERROR(
  SUMIFS(
    'New Backfilled Data'!G:G,
    'New Backfilled Data'!A:A, I252,
    'New Backfilled Data'!D:D, J252,
    'New Backfilled Data'!E:E, "Online"
  ) /
  SUMIFS(
    'New Backfilled Data'!G:G,
    'New Backfilled Data'!A:A, I252,
    'New Backfilled Data'!D:D, J252
  ),
  ""
)</f>
        <v>0.11610949188158809</v>
      </c>
      <c r="L252" s="84"/>
      <c r="M252" s="84"/>
    </row>
    <row r="253" spans="1:13" ht="17" x14ac:dyDescent="0.2">
      <c r="A253" s="44">
        <v>2007</v>
      </c>
      <c r="B253" s="45" t="s">
        <v>66</v>
      </c>
      <c r="C253" s="45" t="s">
        <v>4</v>
      </c>
      <c r="D253" s="45" t="s">
        <v>7</v>
      </c>
      <c r="E253" s="45" t="s">
        <v>67</v>
      </c>
      <c r="F253" s="45" t="s">
        <v>67</v>
      </c>
      <c r="G253" s="85">
        <f ca="1">IFERROR(__xludf.DUMMYFUNCTION("IFERROR(
  IF(A253 = 2008,
    IF(E253 = ""Online"",
      FILTER('Raw PhocalPoint Data'!G:G,
        'Raw PhocalPoint Data'!A:A = 2009,
        'Raw PhocalPoint Data'!D:D = D253,
        'Raw PhocalPoint Data'!E:E = E253,
        'Raw PhocalPoint Data'!F"&amp;":F = F253
      ) /
      (
        FILTER('Raw PhocalPoint Data'!G:G,
          'Raw PhocalPoint Data'!A:A = 2012,
          'Raw PhocalPoint Data'!D:D = D253,
          'Raw PhocalPoint Data'!E:E = E253,
          'Raw PhocalPoint Data'!F:F = F253
     "&amp;"   ) /
        FILTER('Raw PhocalPoint Data'!G:G,
          'Raw PhocalPoint Data'!A:A = 2011,
          'Raw PhocalPoint Data'!D:D = D253,
          'Raw PhocalPoint Data'!E:E = E253,
          'Raw PhocalPoint Data'!F:F = F253
        )
      ),
      F"&amp;"ILTER('Raw PhocalPoint Data'!G:G,
        'Raw PhocalPoint Data'!A:A = 2009,
        'Raw PhocalPoint Data'!D:D = D253,
        'Raw PhocalPoint Data'!E:E = E253,
        'Raw PhocalPoint Data'!F:F = F253
      ) *
      (
        INDEX('Raw GDP data'!$I$"&amp;"2:$M$100,
          MATCH(D253, 'Raw GDP data'!$H$2:$H$100, 0),
          MATCH(2008, 'Raw GDP data'!$I$1:$M$1, 0)
        ) /
        INDEX('Raw GDP data'!$I$2:$M$100,
          MATCH(D253, 'Raw GDP data'!$H$2:$H$100, 0),
          MATCH(2009, 'Raw GDP d"&amp;"ata'!$I$1:$M$1, 0)
        )
      )
    ),
  IF(A253 &lt; 2008,
    (
      FILTER(G:G,
        A:A = 2008,
        D:D = D253,
        E:E = E253,
        F:F = F253
      ) /
      PRODUCT(
        ARRAYFORMULA(
          (
            (
              FIL"&amp;"TER('Raw PhocalPoint Data'!G:G,
                'Raw PhocalPoint Data'!A:A = 2012,
                'Raw PhocalPoint Data'!D:D = D253,
                'Raw PhocalPoint Data'!E:E = E253,
                'Raw PhocalPoint Data'!F:F = F253
              ) /
  "&amp;"            FILTER('Raw PhocalPoint Data'!G:G,
                'Raw PhocalPoint Data'!A:A = 2011,
                'Raw PhocalPoint Data'!D:D = D253,
                'Raw PhocalPoint Data'!E:E = E253,
                'Raw PhocalPoint Data'!F:F = F253
     "&amp;"         ) -
              ROW(INDIRECT(""1:"" &amp; (2008 - A253))) *
              (
                (
                  FILTER('Raw PhocalPoint Data'!G:G,
                    'Raw PhocalPoint Data'!A:A = 2012,
                    'Raw PhocalPoint Data'!D:D"&amp;" = D253,
                    'Raw PhocalPoint Data'!E:E = E253,
                    'Raw PhocalPoint Data'!F:F = F253
                  ) /
                  FILTER('Raw PhocalPoint Data'!G:G,
                    'Raw PhocalPoint Data'!A:A = 2011,
       "&amp;"             'Raw PhocalPoint Data'!D:D = D253,
                    'Raw PhocalPoint Data'!E:E = E253,
                    'Raw PhocalPoint Data'!F:F = F253
                  ) - 1
                ) / 5
              )
            )
          )
        )
"&amp;"      )
    ),
    (
      FILTER('Raw PhocalPoint Data'!G:G,
        'Raw PhocalPoint Data'!A:A = 2009,
        'Raw PhocalPoint Data'!D:D = D253,
        'Raw PhocalPoint Data'!E:E = E253,
        'Raw PhocalPoint Data'!F:F = F253
      ) /
      PRODUC"&amp;"T(
        ARRAYFORMULA(
          (
            FILTER('Raw PhocalPoint Data'!G:G,
              'Raw PhocalPoint Data'!A:A = 2012,
              'Raw PhocalPoint Data'!D:D = D253,
              'Raw PhocalPoint Data'!E:E = E253,
              'Raw Phoca"&amp;"lPoint Data'!F:F = F253
            ) /
            FILTER('Raw PhocalPoint Data'!G:G,
              'Raw PhocalPoint Data'!A:A = 2011,
              'Raw PhocalPoint Data'!D:D = D253,
              'Raw PhocalPoint Data'!E:E = E253,
              'Raw Ph"&amp;"ocalPoint Data'!F:F = F253
            ) -
            (ROW(INDIRECT(""1:"" &amp; (2010 - A253))) - 1) *
            (
              (
                FILTER('Raw PhocalPoint Data'!G:G,
                  'Raw PhocalPoint Data'!A:A = 2012,
                  'R"&amp;"aw PhocalPoint Data'!D:D = D253,
                  'Raw PhocalPoint Data'!E:E = E253,
                  'Raw PhocalPoint Data'!F:F = F253
                ) /
                FILTER('Raw PhocalPoint Data'!G:G,
                  'Raw PhocalPoint Data'!A:A ="&amp;" 2011,
                  'Raw PhocalPoint Data'!D:D = D253,
                  'Raw PhocalPoint Data'!E:E = E253,
                  'Raw PhocalPoint Data'!F:F = F253
                ) - 1
              ) / 5
            )
          )
        )
      )
    "&amp;") *
    INDEX('Raw GDP data'!$I$2:$M$100,
      MATCH(D253, 'Raw GDP data'!$H$2:$H$100, 0),
      MATCH(A253, 'Raw GDP data'!$I$1:$M$1, 0)
    )
  )),
  """"
)
"),12176938249.0012)</f>
        <v>12176938249.0012</v>
      </c>
      <c r="H253" s="86"/>
      <c r="I253" s="87">
        <f ca="1">IFERROR(__xludf.DUMMYFUNCTION("""COMPUTED_VALUE"""),2011)</f>
        <v>2011</v>
      </c>
      <c r="J253" s="88" t="str">
        <f ca="1">IFERROR(__xludf.DUMMYFUNCTION("""COMPUTED_VALUE"""),"Thailand")</f>
        <v>Thailand</v>
      </c>
      <c r="K253" s="89">
        <f ca="1">IFERROR(
  SUMIFS(
    'New Backfilled Data'!G:G,
    'New Backfilled Data'!A:A, I253,
    'New Backfilled Data'!D:D, J253,
    'New Backfilled Data'!E:E, "Online"
  ) /
  SUMIFS(
    'New Backfilled Data'!G:G,
    'New Backfilled Data'!A:A, I253,
    'New Backfilled Data'!D:D, J253
  ),
  ""
)</f>
        <v>0.18996041255922116</v>
      </c>
      <c r="L253" s="90"/>
      <c r="M253" s="90"/>
    </row>
    <row r="254" spans="1:13" ht="17" x14ac:dyDescent="0.2">
      <c r="A254" s="37">
        <v>2007</v>
      </c>
      <c r="B254" s="38" t="s">
        <v>66</v>
      </c>
      <c r="C254" s="38" t="s">
        <v>4</v>
      </c>
      <c r="D254" s="38" t="s">
        <v>7</v>
      </c>
      <c r="E254" s="38" t="s">
        <v>69</v>
      </c>
      <c r="F254" s="38" t="s">
        <v>71</v>
      </c>
      <c r="G254" s="79">
        <f ca="1">IFERROR(__xludf.DUMMYFUNCTION("IFERROR(
  IF(A254 = 2008,
    IF(E254 = ""Online"",
      FILTER('Raw PhocalPoint Data'!G:G,
        'Raw PhocalPoint Data'!A:A = 2009,
        'Raw PhocalPoint Data'!D:D = D254,
        'Raw PhocalPoint Data'!E:E = E254,
        'Raw PhocalPoint Data'!F"&amp;":F = F254
      ) /
      (
        FILTER('Raw PhocalPoint Data'!G:G,
          'Raw PhocalPoint Data'!A:A = 2012,
          'Raw PhocalPoint Data'!D:D = D254,
          'Raw PhocalPoint Data'!E:E = E254,
          'Raw PhocalPoint Data'!F:F = F254
     "&amp;"   ) /
        FILTER('Raw PhocalPoint Data'!G:G,
          'Raw PhocalPoint Data'!A:A = 2011,
          'Raw PhocalPoint Data'!D:D = D254,
          'Raw PhocalPoint Data'!E:E = E254,
          'Raw PhocalPoint Data'!F:F = F254
        )
      ),
      F"&amp;"ILTER('Raw PhocalPoint Data'!G:G,
        'Raw PhocalPoint Data'!A:A = 2009,
        'Raw PhocalPoint Data'!D:D = D254,
        'Raw PhocalPoint Data'!E:E = E254,
        'Raw PhocalPoint Data'!F:F = F254
      ) *
      (
        INDEX('Raw GDP data'!$I$"&amp;"2:$M$100,
          MATCH(D254, 'Raw GDP data'!$H$2:$H$100, 0),
          MATCH(2008, 'Raw GDP data'!$I$1:$M$1, 0)
        ) /
        INDEX('Raw GDP data'!$I$2:$M$100,
          MATCH(D254, 'Raw GDP data'!$H$2:$H$100, 0),
          MATCH(2009, 'Raw GDP d"&amp;"ata'!$I$1:$M$1, 0)
        )
      )
    ),
  IF(A254 &lt; 2008,
    (
      FILTER(G:G,
        A:A = 2008,
        D:D = D254,
        E:E = E254,
        F:F = F254
      ) /
      PRODUCT(
        ARRAYFORMULA(
          (
            (
              FIL"&amp;"TER('Raw PhocalPoint Data'!G:G,
                'Raw PhocalPoint Data'!A:A = 2012,
                'Raw PhocalPoint Data'!D:D = D254,
                'Raw PhocalPoint Data'!E:E = E254,
                'Raw PhocalPoint Data'!F:F = F254
              ) /
  "&amp;"            FILTER('Raw PhocalPoint Data'!G:G,
                'Raw PhocalPoint Data'!A:A = 2011,
                'Raw PhocalPoint Data'!D:D = D254,
                'Raw PhocalPoint Data'!E:E = E254,
                'Raw PhocalPoint Data'!F:F = F254
     "&amp;"         ) -
              ROW(INDIRECT(""1:"" &amp; (2008 - A254))) *
              (
                (
                  FILTER('Raw PhocalPoint Data'!G:G,
                    'Raw PhocalPoint Data'!A:A = 2012,
                    'Raw PhocalPoint Data'!D:D"&amp;" = D254,
                    'Raw PhocalPoint Data'!E:E = E254,
                    'Raw PhocalPoint Data'!F:F = F254
                  ) /
                  FILTER('Raw PhocalPoint Data'!G:G,
                    'Raw PhocalPoint Data'!A:A = 2011,
       "&amp;"             'Raw PhocalPoint Data'!D:D = D254,
                    'Raw PhocalPoint Data'!E:E = E254,
                    'Raw PhocalPoint Data'!F:F = F254
                  ) - 1
                ) / 5
              )
            )
          )
        )
"&amp;"      )
    ),
    (
      FILTER('Raw PhocalPoint Data'!G:G,
        'Raw PhocalPoint Data'!A:A = 2009,
        'Raw PhocalPoint Data'!D:D = D254,
        'Raw PhocalPoint Data'!E:E = E254,
        'Raw PhocalPoint Data'!F:F = F254
      ) /
      PRODUC"&amp;"T(
        ARRAYFORMULA(
          (
            FILTER('Raw PhocalPoint Data'!G:G,
              'Raw PhocalPoint Data'!A:A = 2012,
              'Raw PhocalPoint Data'!D:D = D254,
              'Raw PhocalPoint Data'!E:E = E254,
              'Raw Phoca"&amp;"lPoint Data'!F:F = F254
            ) /
            FILTER('Raw PhocalPoint Data'!G:G,
              'Raw PhocalPoint Data'!A:A = 2011,
              'Raw PhocalPoint Data'!D:D = D254,
              'Raw PhocalPoint Data'!E:E = E254,
              'Raw Ph"&amp;"ocalPoint Data'!F:F = F254
            ) -
            (ROW(INDIRECT(""1:"" &amp; (2010 - A254))) - 1) *
            (
              (
                FILTER('Raw PhocalPoint Data'!G:G,
                  'Raw PhocalPoint Data'!A:A = 2012,
                  'R"&amp;"aw PhocalPoint Data'!D:D = D254,
                  'Raw PhocalPoint Data'!E:E = E254,
                  'Raw PhocalPoint Data'!F:F = F254
                ) /
                FILTER('Raw PhocalPoint Data'!G:G,
                  'Raw PhocalPoint Data'!A:A ="&amp;" 2011,
                  'Raw PhocalPoint Data'!D:D = D254,
                  'Raw PhocalPoint Data'!E:E = E254,
                  'Raw PhocalPoint Data'!F:F = F254
                ) - 1
              ) / 5
            )
          )
        )
      )
    "&amp;") *
    INDEX('Raw GDP data'!$I$2:$M$100,
      MATCH(D254, 'Raw GDP data'!$H$2:$H$100, 0),
      MATCH(A254, 'Raw GDP data'!$I$1:$M$1, 0)
    )
  )),
  """"
)
"),1229333521.29331)</f>
        <v>1229333521.2933099</v>
      </c>
      <c r="H254" s="80"/>
      <c r="I254" s="81">
        <f ca="1">IFERROR(__xludf.DUMMYFUNCTION("""COMPUTED_VALUE"""),2011)</f>
        <v>2011</v>
      </c>
      <c r="J254" s="82" t="str">
        <f ca="1">IFERROR(__xludf.DUMMYFUNCTION("""COMPUTED_VALUE"""),"Bulgaria")</f>
        <v>Bulgaria</v>
      </c>
      <c r="K254" s="83">
        <f ca="1">IFERROR(
  SUMIFS(
    'New Backfilled Data'!G:G,
    'New Backfilled Data'!A:A, I254,
    'New Backfilled Data'!D:D, J254,
    'New Backfilled Data'!E:E, "Online"
  ) /
  SUMIFS(
    'New Backfilled Data'!G:G,
    'New Backfilled Data'!A:A, I254,
    'New Backfilled Data'!D:D, J254
  ),
  ""
)</f>
        <v>0.13732612528798804</v>
      </c>
      <c r="L254" s="84"/>
      <c r="M254" s="84"/>
    </row>
    <row r="255" spans="1:13" ht="17" x14ac:dyDescent="0.2">
      <c r="A255" s="44">
        <v>2007</v>
      </c>
      <c r="B255" s="45" t="s">
        <v>66</v>
      </c>
      <c r="C255" s="45" t="s">
        <v>4</v>
      </c>
      <c r="D255" s="45" t="s">
        <v>7</v>
      </c>
      <c r="E255" s="45" t="s">
        <v>69</v>
      </c>
      <c r="F255" s="45" t="s">
        <v>70</v>
      </c>
      <c r="G255" s="85">
        <f ca="1">IFERROR(__xludf.DUMMYFUNCTION("IFERROR(
  IF(A255 = 2008,
    IF(E255 = ""Online"",
      FILTER('Raw PhocalPoint Data'!G:G,
        'Raw PhocalPoint Data'!A:A = 2009,
        'Raw PhocalPoint Data'!D:D = D255,
        'Raw PhocalPoint Data'!E:E = E255,
        'Raw PhocalPoint Data'!F"&amp;":F = F255
      ) /
      (
        FILTER('Raw PhocalPoint Data'!G:G,
          'Raw PhocalPoint Data'!A:A = 2012,
          'Raw PhocalPoint Data'!D:D = D255,
          'Raw PhocalPoint Data'!E:E = E255,
          'Raw PhocalPoint Data'!F:F = F255
     "&amp;"   ) /
        FILTER('Raw PhocalPoint Data'!G:G,
          'Raw PhocalPoint Data'!A:A = 2011,
          'Raw PhocalPoint Data'!D:D = D255,
          'Raw PhocalPoint Data'!E:E = E255,
          'Raw PhocalPoint Data'!F:F = F255
        )
      ),
      F"&amp;"ILTER('Raw PhocalPoint Data'!G:G,
        'Raw PhocalPoint Data'!A:A = 2009,
        'Raw PhocalPoint Data'!D:D = D255,
        'Raw PhocalPoint Data'!E:E = E255,
        'Raw PhocalPoint Data'!F:F = F255
      ) *
      (
        INDEX('Raw GDP data'!$I$"&amp;"2:$M$100,
          MATCH(D255, 'Raw GDP data'!$H$2:$H$100, 0),
          MATCH(2008, 'Raw GDP data'!$I$1:$M$1, 0)
        ) /
        INDEX('Raw GDP data'!$I$2:$M$100,
          MATCH(D255, 'Raw GDP data'!$H$2:$H$100, 0),
          MATCH(2009, 'Raw GDP d"&amp;"ata'!$I$1:$M$1, 0)
        )
      )
    ),
  IF(A255 &lt; 2008,
    (
      FILTER(G:G,
        A:A = 2008,
        D:D = D255,
        E:E = E255,
        F:F = F255
      ) /
      PRODUCT(
        ARRAYFORMULA(
          (
            (
              FIL"&amp;"TER('Raw PhocalPoint Data'!G:G,
                'Raw PhocalPoint Data'!A:A = 2012,
                'Raw PhocalPoint Data'!D:D = D255,
                'Raw PhocalPoint Data'!E:E = E255,
                'Raw PhocalPoint Data'!F:F = F255
              ) /
  "&amp;"            FILTER('Raw PhocalPoint Data'!G:G,
                'Raw PhocalPoint Data'!A:A = 2011,
                'Raw PhocalPoint Data'!D:D = D255,
                'Raw PhocalPoint Data'!E:E = E255,
                'Raw PhocalPoint Data'!F:F = F255
     "&amp;"         ) -
              ROW(INDIRECT(""1:"" &amp; (2008 - A255))) *
              (
                (
                  FILTER('Raw PhocalPoint Data'!G:G,
                    'Raw PhocalPoint Data'!A:A = 2012,
                    'Raw PhocalPoint Data'!D:D"&amp;" = D255,
                    'Raw PhocalPoint Data'!E:E = E255,
                    'Raw PhocalPoint Data'!F:F = F255
                  ) /
                  FILTER('Raw PhocalPoint Data'!G:G,
                    'Raw PhocalPoint Data'!A:A = 2011,
       "&amp;"             'Raw PhocalPoint Data'!D:D = D255,
                    'Raw PhocalPoint Data'!E:E = E255,
                    'Raw PhocalPoint Data'!F:F = F255
                  ) - 1
                ) / 5
              )
            )
          )
        )
"&amp;"      )
    ),
    (
      FILTER('Raw PhocalPoint Data'!G:G,
        'Raw PhocalPoint Data'!A:A = 2009,
        'Raw PhocalPoint Data'!D:D = D255,
        'Raw PhocalPoint Data'!E:E = E255,
        'Raw PhocalPoint Data'!F:F = F255
      ) /
      PRODUC"&amp;"T(
        ARRAYFORMULA(
          (
            FILTER('Raw PhocalPoint Data'!G:G,
              'Raw PhocalPoint Data'!A:A = 2012,
              'Raw PhocalPoint Data'!D:D = D255,
              'Raw PhocalPoint Data'!E:E = E255,
              'Raw Phoca"&amp;"lPoint Data'!F:F = F255
            ) /
            FILTER('Raw PhocalPoint Data'!G:G,
              'Raw PhocalPoint Data'!A:A = 2011,
              'Raw PhocalPoint Data'!D:D = D255,
              'Raw PhocalPoint Data'!E:E = E255,
              'Raw Ph"&amp;"ocalPoint Data'!F:F = F255
            ) -
            (ROW(INDIRECT(""1:"" &amp; (2010 - A255))) - 1) *
            (
              (
                FILTER('Raw PhocalPoint Data'!G:G,
                  'Raw PhocalPoint Data'!A:A = 2012,
                  'R"&amp;"aw PhocalPoint Data'!D:D = D255,
                  'Raw PhocalPoint Data'!E:E = E255,
                  'Raw PhocalPoint Data'!F:F = F255
                ) /
                FILTER('Raw PhocalPoint Data'!G:G,
                  'Raw PhocalPoint Data'!A:A ="&amp;" 2011,
                  'Raw PhocalPoint Data'!D:D = D255,
                  'Raw PhocalPoint Data'!E:E = E255,
                  'Raw PhocalPoint Data'!F:F = F255
                ) - 1
              ) / 5
            )
          )
        )
      )
    "&amp;") *
    INDEX('Raw GDP data'!$I$2:$M$100,
      MATCH(D255, 'Raw GDP data'!$H$2:$H$100, 0),
      MATCH(A255, 'Raw GDP data'!$I$1:$M$1, 0)
    )
  )),
  """"
)
"),2453581932.25715)</f>
        <v>2453581932.2571502</v>
      </c>
      <c r="H255" s="86"/>
      <c r="I255" s="87">
        <f ca="1">IFERROR(__xludf.DUMMYFUNCTION("""COMPUTED_VALUE"""),2011)</f>
        <v>2011</v>
      </c>
      <c r="J255" s="88" t="str">
        <f ca="1">IFERROR(__xludf.DUMMYFUNCTION("""COMPUTED_VALUE"""),"Czech Republic")</f>
        <v>Czech Republic</v>
      </c>
      <c r="K255" s="89">
        <f ca="1">IFERROR(
  SUMIFS(
    'New Backfilled Data'!G:G,
    'New Backfilled Data'!A:A, I255,
    'New Backfilled Data'!D:D, J255,
    'New Backfilled Data'!E:E, "Online"
  ) /
  SUMIFS(
    'New Backfilled Data'!G:G,
    'New Backfilled Data'!A:A, I255,
    'New Backfilled Data'!D:D, J255
  ),
  ""
)</f>
        <v>0.22907888411857705</v>
      </c>
      <c r="L255" s="90"/>
      <c r="M255" s="90"/>
    </row>
    <row r="256" spans="1:13" ht="17" x14ac:dyDescent="0.2">
      <c r="A256" s="37">
        <v>2007</v>
      </c>
      <c r="B256" s="38" t="s">
        <v>66</v>
      </c>
      <c r="C256" s="38" t="s">
        <v>4</v>
      </c>
      <c r="D256" s="38" t="s">
        <v>8</v>
      </c>
      <c r="E256" s="38" t="s">
        <v>67</v>
      </c>
      <c r="F256" s="38" t="s">
        <v>67</v>
      </c>
      <c r="G256" s="79">
        <f ca="1">IFERROR(__xludf.DUMMYFUNCTION("IFERROR(
  IF(A256 = 2008,
    IF(E256 = ""Online"",
      FILTER('Raw PhocalPoint Data'!G:G,
        'Raw PhocalPoint Data'!A:A = 2009,
        'Raw PhocalPoint Data'!D:D = D256,
        'Raw PhocalPoint Data'!E:E = E256,
        'Raw PhocalPoint Data'!F"&amp;":F = F256
      ) /
      (
        FILTER('Raw PhocalPoint Data'!G:G,
          'Raw PhocalPoint Data'!A:A = 2012,
          'Raw PhocalPoint Data'!D:D = D256,
          'Raw PhocalPoint Data'!E:E = E256,
          'Raw PhocalPoint Data'!F:F = F256
     "&amp;"   ) /
        FILTER('Raw PhocalPoint Data'!G:G,
          'Raw PhocalPoint Data'!A:A = 2011,
          'Raw PhocalPoint Data'!D:D = D256,
          'Raw PhocalPoint Data'!E:E = E256,
          'Raw PhocalPoint Data'!F:F = F256
        )
      ),
      F"&amp;"ILTER('Raw PhocalPoint Data'!G:G,
        'Raw PhocalPoint Data'!A:A = 2009,
        'Raw PhocalPoint Data'!D:D = D256,
        'Raw PhocalPoint Data'!E:E = E256,
        'Raw PhocalPoint Data'!F:F = F256
      ) *
      (
        INDEX('Raw GDP data'!$I$"&amp;"2:$M$100,
          MATCH(D256, 'Raw GDP data'!$H$2:$H$100, 0),
          MATCH(2008, 'Raw GDP data'!$I$1:$M$1, 0)
        ) /
        INDEX('Raw GDP data'!$I$2:$M$100,
          MATCH(D256, 'Raw GDP data'!$H$2:$H$100, 0),
          MATCH(2009, 'Raw GDP d"&amp;"ata'!$I$1:$M$1, 0)
        )
      )
    ),
  IF(A256 &lt; 2008,
    (
      FILTER(G:G,
        A:A = 2008,
        D:D = D256,
        E:E = E256,
        F:F = F256
      ) /
      PRODUCT(
        ARRAYFORMULA(
          (
            (
              FIL"&amp;"TER('Raw PhocalPoint Data'!G:G,
                'Raw PhocalPoint Data'!A:A = 2012,
                'Raw PhocalPoint Data'!D:D = D256,
                'Raw PhocalPoint Data'!E:E = E256,
                'Raw PhocalPoint Data'!F:F = F256
              ) /
  "&amp;"            FILTER('Raw PhocalPoint Data'!G:G,
                'Raw PhocalPoint Data'!A:A = 2011,
                'Raw PhocalPoint Data'!D:D = D256,
                'Raw PhocalPoint Data'!E:E = E256,
                'Raw PhocalPoint Data'!F:F = F256
     "&amp;"         ) -
              ROW(INDIRECT(""1:"" &amp; (2008 - A256))) *
              (
                (
                  FILTER('Raw PhocalPoint Data'!G:G,
                    'Raw PhocalPoint Data'!A:A = 2012,
                    'Raw PhocalPoint Data'!D:D"&amp;" = D256,
                    'Raw PhocalPoint Data'!E:E = E256,
                    'Raw PhocalPoint Data'!F:F = F256
                  ) /
                  FILTER('Raw PhocalPoint Data'!G:G,
                    'Raw PhocalPoint Data'!A:A = 2011,
       "&amp;"             'Raw PhocalPoint Data'!D:D = D256,
                    'Raw PhocalPoint Data'!E:E = E256,
                    'Raw PhocalPoint Data'!F:F = F256
                  ) - 1
                ) / 5
              )
            )
          )
        )
"&amp;"      )
    ),
    (
      FILTER('Raw PhocalPoint Data'!G:G,
        'Raw PhocalPoint Data'!A:A = 2009,
        'Raw PhocalPoint Data'!D:D = D256,
        'Raw PhocalPoint Data'!E:E = E256,
        'Raw PhocalPoint Data'!F:F = F256
      ) /
      PRODUC"&amp;"T(
        ARRAYFORMULA(
          (
            FILTER('Raw PhocalPoint Data'!G:G,
              'Raw PhocalPoint Data'!A:A = 2012,
              'Raw PhocalPoint Data'!D:D = D256,
              'Raw PhocalPoint Data'!E:E = E256,
              'Raw Phoca"&amp;"lPoint Data'!F:F = F256
            ) /
            FILTER('Raw PhocalPoint Data'!G:G,
              'Raw PhocalPoint Data'!A:A = 2011,
              'Raw PhocalPoint Data'!D:D = D256,
              'Raw PhocalPoint Data'!E:E = E256,
              'Raw Ph"&amp;"ocalPoint Data'!F:F = F256
            ) -
            (ROW(INDIRECT(""1:"" &amp; (2010 - A256))) - 1) *
            (
              (
                FILTER('Raw PhocalPoint Data'!G:G,
                  'Raw PhocalPoint Data'!A:A = 2012,
                  'R"&amp;"aw PhocalPoint Data'!D:D = D256,
                  'Raw PhocalPoint Data'!E:E = E256,
                  'Raw PhocalPoint Data'!F:F = F256
                ) /
                FILTER('Raw PhocalPoint Data'!G:G,
                  'Raw PhocalPoint Data'!A:A ="&amp;" 2011,
                  'Raw PhocalPoint Data'!D:D = D256,
                  'Raw PhocalPoint Data'!E:E = E256,
                  'Raw PhocalPoint Data'!F:F = F256
                ) - 1
              ) / 5
            )
          )
        )
      )
    "&amp;") *
    INDEX('Raw GDP data'!$I$2:$M$100,
      MATCH(D256, 'Raw GDP data'!$H$2:$H$100, 0),
      MATCH(A256, 'Raw GDP data'!$I$1:$M$1, 0)
    )
  )),
  """"
)
"),4356396363.96196)</f>
        <v>4356396363.9619598</v>
      </c>
      <c r="H256" s="80"/>
      <c r="I256" s="81">
        <f ca="1">IFERROR(__xludf.DUMMYFUNCTION("""COMPUTED_VALUE"""),2011)</f>
        <v>2011</v>
      </c>
      <c r="J256" s="82" t="str">
        <f ca="1">IFERROR(__xludf.DUMMYFUNCTION("""COMPUTED_VALUE"""),"Greece")</f>
        <v>Greece</v>
      </c>
      <c r="K256" s="83">
        <f ca="1">IFERROR(
  SUMIFS(
    'New Backfilled Data'!G:G,
    'New Backfilled Data'!A:A, I256,
    'New Backfilled Data'!D:D, J256,
    'New Backfilled Data'!E:E, "Online"
  ) /
  SUMIFS(
    'New Backfilled Data'!G:G,
    'New Backfilled Data'!A:A, I256,
    'New Backfilled Data'!D:D, J256
  ),
  ""
)</f>
        <v>0.22253425456388534</v>
      </c>
      <c r="L256" s="84"/>
      <c r="M256" s="84"/>
    </row>
    <row r="257" spans="1:13" ht="17" x14ac:dyDescent="0.2">
      <c r="A257" s="44">
        <v>2007</v>
      </c>
      <c r="B257" s="45" t="s">
        <v>66</v>
      </c>
      <c r="C257" s="45" t="s">
        <v>4</v>
      </c>
      <c r="D257" s="45" t="s">
        <v>8</v>
      </c>
      <c r="E257" s="45" t="s">
        <v>69</v>
      </c>
      <c r="F257" s="45" t="s">
        <v>71</v>
      </c>
      <c r="G257" s="85">
        <f ca="1">IFERROR(__xludf.DUMMYFUNCTION("IFERROR(
  IF(A257 = 2008,
    IF(E257 = ""Online"",
      FILTER('Raw PhocalPoint Data'!G:G,
        'Raw PhocalPoint Data'!A:A = 2009,
        'Raw PhocalPoint Data'!D:D = D257,
        'Raw PhocalPoint Data'!E:E = E257,
        'Raw PhocalPoint Data'!F"&amp;":F = F257
      ) /
      (
        FILTER('Raw PhocalPoint Data'!G:G,
          'Raw PhocalPoint Data'!A:A = 2012,
          'Raw PhocalPoint Data'!D:D = D257,
          'Raw PhocalPoint Data'!E:E = E257,
          'Raw PhocalPoint Data'!F:F = F257
     "&amp;"   ) /
        FILTER('Raw PhocalPoint Data'!G:G,
          'Raw PhocalPoint Data'!A:A = 2011,
          'Raw PhocalPoint Data'!D:D = D257,
          'Raw PhocalPoint Data'!E:E = E257,
          'Raw PhocalPoint Data'!F:F = F257
        )
      ),
      F"&amp;"ILTER('Raw PhocalPoint Data'!G:G,
        'Raw PhocalPoint Data'!A:A = 2009,
        'Raw PhocalPoint Data'!D:D = D257,
        'Raw PhocalPoint Data'!E:E = E257,
        'Raw PhocalPoint Data'!F:F = F257
      ) *
      (
        INDEX('Raw GDP data'!$I$"&amp;"2:$M$100,
          MATCH(D257, 'Raw GDP data'!$H$2:$H$100, 0),
          MATCH(2008, 'Raw GDP data'!$I$1:$M$1, 0)
        ) /
        INDEX('Raw GDP data'!$I$2:$M$100,
          MATCH(D257, 'Raw GDP data'!$H$2:$H$100, 0),
          MATCH(2009, 'Raw GDP d"&amp;"ata'!$I$1:$M$1, 0)
        )
      )
    ),
  IF(A257 &lt; 2008,
    (
      FILTER(G:G,
        A:A = 2008,
        D:D = D257,
        E:E = E257,
        F:F = F257
      ) /
      PRODUCT(
        ARRAYFORMULA(
          (
            (
              FIL"&amp;"TER('Raw PhocalPoint Data'!G:G,
                'Raw PhocalPoint Data'!A:A = 2012,
                'Raw PhocalPoint Data'!D:D = D257,
                'Raw PhocalPoint Data'!E:E = E257,
                'Raw PhocalPoint Data'!F:F = F257
              ) /
  "&amp;"            FILTER('Raw PhocalPoint Data'!G:G,
                'Raw PhocalPoint Data'!A:A = 2011,
                'Raw PhocalPoint Data'!D:D = D257,
                'Raw PhocalPoint Data'!E:E = E257,
                'Raw PhocalPoint Data'!F:F = F257
     "&amp;"         ) -
              ROW(INDIRECT(""1:"" &amp; (2008 - A257))) *
              (
                (
                  FILTER('Raw PhocalPoint Data'!G:G,
                    'Raw PhocalPoint Data'!A:A = 2012,
                    'Raw PhocalPoint Data'!D:D"&amp;" = D257,
                    'Raw PhocalPoint Data'!E:E = E257,
                    'Raw PhocalPoint Data'!F:F = F257
                  ) /
                  FILTER('Raw PhocalPoint Data'!G:G,
                    'Raw PhocalPoint Data'!A:A = 2011,
       "&amp;"             'Raw PhocalPoint Data'!D:D = D257,
                    'Raw PhocalPoint Data'!E:E = E257,
                    'Raw PhocalPoint Data'!F:F = F257
                  ) - 1
                ) / 5
              )
            )
          )
        )
"&amp;"      )
    ),
    (
      FILTER('Raw PhocalPoint Data'!G:G,
        'Raw PhocalPoint Data'!A:A = 2009,
        'Raw PhocalPoint Data'!D:D = D257,
        'Raw PhocalPoint Data'!E:E = E257,
        'Raw PhocalPoint Data'!F:F = F257
      ) /
      PRODUC"&amp;"T(
        ARRAYFORMULA(
          (
            FILTER('Raw PhocalPoint Data'!G:G,
              'Raw PhocalPoint Data'!A:A = 2012,
              'Raw PhocalPoint Data'!D:D = D257,
              'Raw PhocalPoint Data'!E:E = E257,
              'Raw Phoca"&amp;"lPoint Data'!F:F = F257
            ) /
            FILTER('Raw PhocalPoint Data'!G:G,
              'Raw PhocalPoint Data'!A:A = 2011,
              'Raw PhocalPoint Data'!D:D = D257,
              'Raw PhocalPoint Data'!E:E = E257,
              'Raw Ph"&amp;"ocalPoint Data'!F:F = F257
            ) -
            (ROW(INDIRECT(""1:"" &amp; (2010 - A257))) - 1) *
            (
              (
                FILTER('Raw PhocalPoint Data'!G:G,
                  'Raw PhocalPoint Data'!A:A = 2012,
                  'R"&amp;"aw PhocalPoint Data'!D:D = D257,
                  'Raw PhocalPoint Data'!E:E = E257,
                  'Raw PhocalPoint Data'!F:F = F257
                ) /
                FILTER('Raw PhocalPoint Data'!G:G,
                  'Raw PhocalPoint Data'!A:A ="&amp;" 2011,
                  'Raw PhocalPoint Data'!D:D = D257,
                  'Raw PhocalPoint Data'!E:E = E257,
                  'Raw PhocalPoint Data'!F:F = F257
                ) - 1
              ) / 5
            )
          )
        )
      )
    "&amp;") *
    INDEX('Raw GDP data'!$I$2:$M$100,
      MATCH(D257, 'Raw GDP data'!$H$2:$H$100, 0),
      MATCH(A257, 'Raw GDP data'!$I$1:$M$1, 0)
    )
  )),
  """"
)
"),11411664.6381838)</f>
        <v>11411664.638183801</v>
      </c>
      <c r="H257" s="86"/>
      <c r="I257" s="87">
        <f ca="1">IFERROR(__xludf.DUMMYFUNCTION("""COMPUTED_VALUE"""),2011)</f>
        <v>2011</v>
      </c>
      <c r="J257" s="88" t="str">
        <f ca="1">IFERROR(__xludf.DUMMYFUNCTION("""COMPUTED_VALUE"""),"Hungary")</f>
        <v>Hungary</v>
      </c>
      <c r="K257" s="89">
        <f ca="1">IFERROR(
  SUMIFS(
    'New Backfilled Data'!G:G,
    'New Backfilled Data'!A:A, I257,
    'New Backfilled Data'!D:D, J257,
    'New Backfilled Data'!E:E, "Online"
  ) /
  SUMIFS(
    'New Backfilled Data'!G:G,
    'New Backfilled Data'!A:A, I257,
    'New Backfilled Data'!D:D, J257
  ),
  ""
)</f>
        <v>0.2310045867296559</v>
      </c>
      <c r="L257" s="90"/>
      <c r="M257" s="90"/>
    </row>
    <row r="258" spans="1:13" ht="17" x14ac:dyDescent="0.2">
      <c r="A258" s="37">
        <v>2007</v>
      </c>
      <c r="B258" s="38" t="s">
        <v>66</v>
      </c>
      <c r="C258" s="38" t="s">
        <v>4</v>
      </c>
      <c r="D258" s="38" t="s">
        <v>8</v>
      </c>
      <c r="E258" s="38" t="s">
        <v>69</v>
      </c>
      <c r="F258" s="38" t="s">
        <v>70</v>
      </c>
      <c r="G258" s="79">
        <f ca="1">IFERROR(__xludf.DUMMYFUNCTION("IFERROR(
  IF(A258 = 2008,
    IF(E258 = ""Online"",
      FILTER('Raw PhocalPoint Data'!G:G,
        'Raw PhocalPoint Data'!A:A = 2009,
        'Raw PhocalPoint Data'!D:D = D258,
        'Raw PhocalPoint Data'!E:E = E258,
        'Raw PhocalPoint Data'!F"&amp;":F = F258
      ) /
      (
        FILTER('Raw PhocalPoint Data'!G:G,
          'Raw PhocalPoint Data'!A:A = 2012,
          'Raw PhocalPoint Data'!D:D = D258,
          'Raw PhocalPoint Data'!E:E = E258,
          'Raw PhocalPoint Data'!F:F = F258
     "&amp;"   ) /
        FILTER('Raw PhocalPoint Data'!G:G,
          'Raw PhocalPoint Data'!A:A = 2011,
          'Raw PhocalPoint Data'!D:D = D258,
          'Raw PhocalPoint Data'!E:E = E258,
          'Raw PhocalPoint Data'!F:F = F258
        )
      ),
      F"&amp;"ILTER('Raw PhocalPoint Data'!G:G,
        'Raw PhocalPoint Data'!A:A = 2009,
        'Raw PhocalPoint Data'!D:D = D258,
        'Raw PhocalPoint Data'!E:E = E258,
        'Raw PhocalPoint Data'!F:F = F258
      ) *
      (
        INDEX('Raw GDP data'!$I$"&amp;"2:$M$100,
          MATCH(D258, 'Raw GDP data'!$H$2:$H$100, 0),
          MATCH(2008, 'Raw GDP data'!$I$1:$M$1, 0)
        ) /
        INDEX('Raw GDP data'!$I$2:$M$100,
          MATCH(D258, 'Raw GDP data'!$H$2:$H$100, 0),
          MATCH(2009, 'Raw GDP d"&amp;"ata'!$I$1:$M$1, 0)
        )
      )
    ),
  IF(A258 &lt; 2008,
    (
      FILTER(G:G,
        A:A = 2008,
        D:D = D258,
        E:E = E258,
        F:F = F258
      ) /
      PRODUCT(
        ARRAYFORMULA(
          (
            (
              FIL"&amp;"TER('Raw PhocalPoint Data'!G:G,
                'Raw PhocalPoint Data'!A:A = 2012,
                'Raw PhocalPoint Data'!D:D = D258,
                'Raw PhocalPoint Data'!E:E = E258,
                'Raw PhocalPoint Data'!F:F = F258
              ) /
  "&amp;"            FILTER('Raw PhocalPoint Data'!G:G,
                'Raw PhocalPoint Data'!A:A = 2011,
                'Raw PhocalPoint Data'!D:D = D258,
                'Raw PhocalPoint Data'!E:E = E258,
                'Raw PhocalPoint Data'!F:F = F258
     "&amp;"         ) -
              ROW(INDIRECT(""1:"" &amp; (2008 - A258))) *
              (
                (
                  FILTER('Raw PhocalPoint Data'!G:G,
                    'Raw PhocalPoint Data'!A:A = 2012,
                    'Raw PhocalPoint Data'!D:D"&amp;" = D258,
                    'Raw PhocalPoint Data'!E:E = E258,
                    'Raw PhocalPoint Data'!F:F = F258
                  ) /
                  FILTER('Raw PhocalPoint Data'!G:G,
                    'Raw PhocalPoint Data'!A:A = 2011,
       "&amp;"             'Raw PhocalPoint Data'!D:D = D258,
                    'Raw PhocalPoint Data'!E:E = E258,
                    'Raw PhocalPoint Data'!F:F = F258
                  ) - 1
                ) / 5
              )
            )
          )
        )
"&amp;"      )
    ),
    (
      FILTER('Raw PhocalPoint Data'!G:G,
        'Raw PhocalPoint Data'!A:A = 2009,
        'Raw PhocalPoint Data'!D:D = D258,
        'Raw PhocalPoint Data'!E:E = E258,
        'Raw PhocalPoint Data'!F:F = F258
      ) /
      PRODUC"&amp;"T(
        ARRAYFORMULA(
          (
            FILTER('Raw PhocalPoint Data'!G:G,
              'Raw PhocalPoint Data'!A:A = 2012,
              'Raw PhocalPoint Data'!D:D = D258,
              'Raw PhocalPoint Data'!E:E = E258,
              'Raw Phoca"&amp;"lPoint Data'!F:F = F258
            ) /
            FILTER('Raw PhocalPoint Data'!G:G,
              'Raw PhocalPoint Data'!A:A = 2011,
              'Raw PhocalPoint Data'!D:D = D258,
              'Raw PhocalPoint Data'!E:E = E258,
              'Raw Ph"&amp;"ocalPoint Data'!F:F = F258
            ) -
            (ROW(INDIRECT(""1:"" &amp; (2010 - A258))) - 1) *
            (
              (
                FILTER('Raw PhocalPoint Data'!G:G,
                  'Raw PhocalPoint Data'!A:A = 2012,
                  'R"&amp;"aw PhocalPoint Data'!D:D = D258,
                  'Raw PhocalPoint Data'!E:E = E258,
                  'Raw PhocalPoint Data'!F:F = F258
                ) /
                FILTER('Raw PhocalPoint Data'!G:G,
                  'Raw PhocalPoint Data'!A:A ="&amp;" 2011,
                  'Raw PhocalPoint Data'!D:D = D258,
                  'Raw PhocalPoint Data'!E:E = E258,
                  'Raw PhocalPoint Data'!F:F = F258
                ) - 1
              ) / 5
            )
          )
        )
      )
    "&amp;") *
    INDEX('Raw GDP data'!$I$2:$M$100,
      MATCH(D258, 'Raw GDP data'!$H$2:$H$100, 0),
      MATCH(A258, 'Raw GDP data'!$I$1:$M$1, 0)
    )
  )),
  """"
)
"),47217714.8552341)</f>
        <v>47217714.855234101</v>
      </c>
      <c r="H258" s="80"/>
      <c r="I258" s="81">
        <f ca="1">IFERROR(__xludf.DUMMYFUNCTION("""COMPUTED_VALUE"""),2011)</f>
        <v>2011</v>
      </c>
      <c r="J258" s="82" t="str">
        <f ca="1">IFERROR(__xludf.DUMMYFUNCTION("""COMPUTED_VALUE"""),"Poland")</f>
        <v>Poland</v>
      </c>
      <c r="K258" s="83">
        <f ca="1">IFERROR(
  SUMIFS(
    'New Backfilled Data'!G:G,
    'New Backfilled Data'!A:A, I258,
    'New Backfilled Data'!D:D, J258,
    'New Backfilled Data'!E:E, "Online"
  ) /
  SUMIFS(
    'New Backfilled Data'!G:G,
    'New Backfilled Data'!A:A, I258,
    'New Backfilled Data'!D:D, J258
  ),
  ""
)</f>
        <v>0.21413522661439816</v>
      </c>
      <c r="L258" s="84"/>
      <c r="M258" s="84"/>
    </row>
    <row r="259" spans="1:13" ht="34" x14ac:dyDescent="0.2">
      <c r="A259" s="44">
        <v>2007</v>
      </c>
      <c r="B259" s="45" t="s">
        <v>66</v>
      </c>
      <c r="C259" s="45" t="s">
        <v>4</v>
      </c>
      <c r="D259" s="45" t="s">
        <v>9</v>
      </c>
      <c r="E259" s="45" t="s">
        <v>67</v>
      </c>
      <c r="F259" s="45" t="s">
        <v>67</v>
      </c>
      <c r="G259" s="85">
        <f ca="1">IFERROR(__xludf.DUMMYFUNCTION("IFERROR(
  IF(A259 = 2008,
    IF(E259 = ""Online"",
      FILTER('Raw PhocalPoint Data'!G:G,
        'Raw PhocalPoint Data'!A:A = 2009,
        'Raw PhocalPoint Data'!D:D = D259,
        'Raw PhocalPoint Data'!E:E = E259,
        'Raw PhocalPoint Data'!F"&amp;":F = F259
      ) /
      (
        FILTER('Raw PhocalPoint Data'!G:G,
          'Raw PhocalPoint Data'!A:A = 2012,
          'Raw PhocalPoint Data'!D:D = D259,
          'Raw PhocalPoint Data'!E:E = E259,
          'Raw PhocalPoint Data'!F:F = F259
     "&amp;"   ) /
        FILTER('Raw PhocalPoint Data'!G:G,
          'Raw PhocalPoint Data'!A:A = 2011,
          'Raw PhocalPoint Data'!D:D = D259,
          'Raw PhocalPoint Data'!E:E = E259,
          'Raw PhocalPoint Data'!F:F = F259
        )
      ),
      F"&amp;"ILTER('Raw PhocalPoint Data'!G:G,
        'Raw PhocalPoint Data'!A:A = 2009,
        'Raw PhocalPoint Data'!D:D = D259,
        'Raw PhocalPoint Data'!E:E = E259,
        'Raw PhocalPoint Data'!F:F = F259
      ) *
      (
        INDEX('Raw GDP data'!$I$"&amp;"2:$M$100,
          MATCH(D259, 'Raw GDP data'!$H$2:$H$100, 0),
          MATCH(2008, 'Raw GDP data'!$I$1:$M$1, 0)
        ) /
        INDEX('Raw GDP data'!$I$2:$M$100,
          MATCH(D259, 'Raw GDP data'!$H$2:$H$100, 0),
          MATCH(2009, 'Raw GDP d"&amp;"ata'!$I$1:$M$1, 0)
        )
      )
    ),
  IF(A259 &lt; 2008,
    (
      FILTER(G:G,
        A:A = 2008,
        D:D = D259,
        E:E = E259,
        F:F = F259
      ) /
      PRODUCT(
        ARRAYFORMULA(
          (
            (
              FIL"&amp;"TER('Raw PhocalPoint Data'!G:G,
                'Raw PhocalPoint Data'!A:A = 2012,
                'Raw PhocalPoint Data'!D:D = D259,
                'Raw PhocalPoint Data'!E:E = E259,
                'Raw PhocalPoint Data'!F:F = F259
              ) /
  "&amp;"            FILTER('Raw PhocalPoint Data'!G:G,
                'Raw PhocalPoint Data'!A:A = 2011,
                'Raw PhocalPoint Data'!D:D = D259,
                'Raw PhocalPoint Data'!E:E = E259,
                'Raw PhocalPoint Data'!F:F = F259
     "&amp;"         ) -
              ROW(INDIRECT(""1:"" &amp; (2008 - A259))) *
              (
                (
                  FILTER('Raw PhocalPoint Data'!G:G,
                    'Raw PhocalPoint Data'!A:A = 2012,
                    'Raw PhocalPoint Data'!D:D"&amp;" = D259,
                    'Raw PhocalPoint Data'!E:E = E259,
                    'Raw PhocalPoint Data'!F:F = F259
                  ) /
                  FILTER('Raw PhocalPoint Data'!G:G,
                    'Raw PhocalPoint Data'!A:A = 2011,
       "&amp;"             'Raw PhocalPoint Data'!D:D = D259,
                    'Raw PhocalPoint Data'!E:E = E259,
                    'Raw PhocalPoint Data'!F:F = F259
                  ) - 1
                ) / 5
              )
            )
          )
        )
"&amp;"      )
    ),
    (
      FILTER('Raw PhocalPoint Data'!G:G,
        'Raw PhocalPoint Data'!A:A = 2009,
        'Raw PhocalPoint Data'!D:D = D259,
        'Raw PhocalPoint Data'!E:E = E259,
        'Raw PhocalPoint Data'!F:F = F259
      ) /
      PRODUC"&amp;"T(
        ARRAYFORMULA(
          (
            FILTER('Raw PhocalPoint Data'!G:G,
              'Raw PhocalPoint Data'!A:A = 2012,
              'Raw PhocalPoint Data'!D:D = D259,
              'Raw PhocalPoint Data'!E:E = E259,
              'Raw Phoca"&amp;"lPoint Data'!F:F = F259
            ) /
            FILTER('Raw PhocalPoint Data'!G:G,
              'Raw PhocalPoint Data'!A:A = 2011,
              'Raw PhocalPoint Data'!D:D = D259,
              'Raw PhocalPoint Data'!E:E = E259,
              'Raw Ph"&amp;"ocalPoint Data'!F:F = F259
            ) -
            (ROW(INDIRECT(""1:"" &amp; (2010 - A259))) - 1) *
            (
              (
                FILTER('Raw PhocalPoint Data'!G:G,
                  'Raw PhocalPoint Data'!A:A = 2012,
                  'R"&amp;"aw PhocalPoint Data'!D:D = D259,
                  'Raw PhocalPoint Data'!E:E = E259,
                  'Raw PhocalPoint Data'!F:F = F259
                ) /
                FILTER('Raw PhocalPoint Data'!G:G,
                  'Raw PhocalPoint Data'!A:A ="&amp;" 2011,
                  'Raw PhocalPoint Data'!D:D = D259,
                  'Raw PhocalPoint Data'!E:E = E259,
                  'Raw PhocalPoint Data'!F:F = F259
                ) - 1
              ) / 5
            )
          )
        )
      )
    "&amp;") *
    INDEX('Raw GDP data'!$I$2:$M$100,
      MATCH(D259, 'Raw GDP data'!$H$2:$H$100, 0),
      MATCH(A259, 'Raw GDP data'!$I$1:$M$1, 0)
    )
  )),
  """"
)
"),66250098201.1946)</f>
        <v>66250098201.194603</v>
      </c>
      <c r="H259" s="86"/>
      <c r="I259" s="87">
        <f ca="1">IFERROR(__xludf.DUMMYFUNCTION("""COMPUTED_VALUE"""),2011)</f>
        <v>2011</v>
      </c>
      <c r="J259" s="88" t="str">
        <f ca="1">IFERROR(__xludf.DUMMYFUNCTION("""COMPUTED_VALUE"""),"Rest of Eastern Europe")</f>
        <v>Rest of Eastern Europe</v>
      </c>
      <c r="K259" s="89">
        <f ca="1">IFERROR(
  SUMIFS(
    'New Backfilled Data'!G:G,
    'New Backfilled Data'!A:A, I259,
    'New Backfilled Data'!D:D, J259,
    'New Backfilled Data'!E:E, "Online"
  ) /
  SUMIFS(
    'New Backfilled Data'!G:G,
    'New Backfilled Data'!A:A, I259,
    'New Backfilled Data'!D:D, J259
  ),
  ""
)</f>
        <v>0.11945157012803943</v>
      </c>
      <c r="L259" s="90"/>
      <c r="M259" s="90"/>
    </row>
    <row r="260" spans="1:13" ht="17" x14ac:dyDescent="0.2">
      <c r="A260" s="37">
        <v>2007</v>
      </c>
      <c r="B260" s="38" t="s">
        <v>66</v>
      </c>
      <c r="C260" s="38" t="s">
        <v>4</v>
      </c>
      <c r="D260" s="38" t="s">
        <v>9</v>
      </c>
      <c r="E260" s="38" t="s">
        <v>69</v>
      </c>
      <c r="F260" s="38" t="s">
        <v>71</v>
      </c>
      <c r="G260" s="79">
        <f ca="1">IFERROR(__xludf.DUMMYFUNCTION("IFERROR(
  IF(A260 = 2008,
    IF(E260 = ""Online"",
      FILTER('Raw PhocalPoint Data'!G:G,
        'Raw PhocalPoint Data'!A:A = 2009,
        'Raw PhocalPoint Data'!D:D = D260,
        'Raw PhocalPoint Data'!E:E = E260,
        'Raw PhocalPoint Data'!F"&amp;":F = F260
      ) /
      (
        FILTER('Raw PhocalPoint Data'!G:G,
          'Raw PhocalPoint Data'!A:A = 2012,
          'Raw PhocalPoint Data'!D:D = D260,
          'Raw PhocalPoint Data'!E:E = E260,
          'Raw PhocalPoint Data'!F:F = F260
     "&amp;"   ) /
        FILTER('Raw PhocalPoint Data'!G:G,
          'Raw PhocalPoint Data'!A:A = 2011,
          'Raw PhocalPoint Data'!D:D = D260,
          'Raw PhocalPoint Data'!E:E = E260,
          'Raw PhocalPoint Data'!F:F = F260
        )
      ),
      F"&amp;"ILTER('Raw PhocalPoint Data'!G:G,
        'Raw PhocalPoint Data'!A:A = 2009,
        'Raw PhocalPoint Data'!D:D = D260,
        'Raw PhocalPoint Data'!E:E = E260,
        'Raw PhocalPoint Data'!F:F = F260
      ) *
      (
        INDEX('Raw GDP data'!$I$"&amp;"2:$M$100,
          MATCH(D260, 'Raw GDP data'!$H$2:$H$100, 0),
          MATCH(2008, 'Raw GDP data'!$I$1:$M$1, 0)
        ) /
        INDEX('Raw GDP data'!$I$2:$M$100,
          MATCH(D260, 'Raw GDP data'!$H$2:$H$100, 0),
          MATCH(2009, 'Raw GDP d"&amp;"ata'!$I$1:$M$1, 0)
        )
      )
    ),
  IF(A260 &lt; 2008,
    (
      FILTER(G:G,
        A:A = 2008,
        D:D = D260,
        E:E = E260,
        F:F = F260
      ) /
      PRODUCT(
        ARRAYFORMULA(
          (
            (
              FIL"&amp;"TER('Raw PhocalPoint Data'!G:G,
                'Raw PhocalPoint Data'!A:A = 2012,
                'Raw PhocalPoint Data'!D:D = D260,
                'Raw PhocalPoint Data'!E:E = E260,
                'Raw PhocalPoint Data'!F:F = F260
              ) /
  "&amp;"            FILTER('Raw PhocalPoint Data'!G:G,
                'Raw PhocalPoint Data'!A:A = 2011,
                'Raw PhocalPoint Data'!D:D = D260,
                'Raw PhocalPoint Data'!E:E = E260,
                'Raw PhocalPoint Data'!F:F = F260
     "&amp;"         ) -
              ROW(INDIRECT(""1:"" &amp; (2008 - A260))) *
              (
                (
                  FILTER('Raw PhocalPoint Data'!G:G,
                    'Raw PhocalPoint Data'!A:A = 2012,
                    'Raw PhocalPoint Data'!D:D"&amp;" = D260,
                    'Raw PhocalPoint Data'!E:E = E260,
                    'Raw PhocalPoint Data'!F:F = F260
                  ) /
                  FILTER('Raw PhocalPoint Data'!G:G,
                    'Raw PhocalPoint Data'!A:A = 2011,
       "&amp;"             'Raw PhocalPoint Data'!D:D = D260,
                    'Raw PhocalPoint Data'!E:E = E260,
                    'Raw PhocalPoint Data'!F:F = F260
                  ) - 1
                ) / 5
              )
            )
          )
        )
"&amp;"      )
    ),
    (
      FILTER('Raw PhocalPoint Data'!G:G,
        'Raw PhocalPoint Data'!A:A = 2009,
        'Raw PhocalPoint Data'!D:D = D260,
        'Raw PhocalPoint Data'!E:E = E260,
        'Raw PhocalPoint Data'!F:F = F260
      ) /
      PRODUC"&amp;"T(
        ARRAYFORMULA(
          (
            FILTER('Raw PhocalPoint Data'!G:G,
              'Raw PhocalPoint Data'!A:A = 2012,
              'Raw PhocalPoint Data'!D:D = D260,
              'Raw PhocalPoint Data'!E:E = E260,
              'Raw Phoca"&amp;"lPoint Data'!F:F = F260
            ) /
            FILTER('Raw PhocalPoint Data'!G:G,
              'Raw PhocalPoint Data'!A:A = 2011,
              'Raw PhocalPoint Data'!D:D = D260,
              'Raw PhocalPoint Data'!E:E = E260,
              'Raw Ph"&amp;"ocalPoint Data'!F:F = F260
            ) -
            (ROW(INDIRECT(""1:"" &amp; (2010 - A260))) - 1) *
            (
              (
                FILTER('Raw PhocalPoint Data'!G:G,
                  'Raw PhocalPoint Data'!A:A = 2012,
                  'R"&amp;"aw PhocalPoint Data'!D:D = D260,
                  'Raw PhocalPoint Data'!E:E = E260,
                  'Raw PhocalPoint Data'!F:F = F260
                ) /
                FILTER('Raw PhocalPoint Data'!G:G,
                  'Raw PhocalPoint Data'!A:A ="&amp;" 2011,
                  'Raw PhocalPoint Data'!D:D = D260,
                  'Raw PhocalPoint Data'!E:E = E260,
                  'Raw PhocalPoint Data'!F:F = F260
                ) - 1
              ) / 5
            )
          )
        )
      )
    "&amp;") *
    INDEX('Raw GDP data'!$I$2:$M$100,
      MATCH(D260, 'Raw GDP data'!$H$2:$H$100, 0),
      MATCH(A260, 'Raw GDP data'!$I$1:$M$1, 0)
    )
  )),
  """"
)
"),4635724769.7618)</f>
        <v>4635724769.7617998</v>
      </c>
      <c r="H260" s="80"/>
      <c r="I260" s="81">
        <f ca="1">IFERROR(__xludf.DUMMYFUNCTION("""COMPUTED_VALUE"""),2011)</f>
        <v>2011</v>
      </c>
      <c r="J260" s="82" t="str">
        <f ca="1">IFERROR(__xludf.DUMMYFUNCTION("""COMPUTED_VALUE"""),"Romania")</f>
        <v>Romania</v>
      </c>
      <c r="K260" s="83">
        <f ca="1">IFERROR(
  SUMIFS(
    'New Backfilled Data'!G:G,
    'New Backfilled Data'!A:A, I260,
    'New Backfilled Data'!D:D, J260,
    'New Backfilled Data'!E:E, "Online"
  ) /
  SUMIFS(
    'New Backfilled Data'!G:G,
    'New Backfilled Data'!A:A, I260,
    'New Backfilled Data'!D:D, J260
  ),
  ""
)</f>
        <v>0.16291451802429782</v>
      </c>
      <c r="L260" s="84"/>
      <c r="M260" s="84"/>
    </row>
    <row r="261" spans="1:13" ht="17" x14ac:dyDescent="0.2">
      <c r="A261" s="44">
        <v>2007</v>
      </c>
      <c r="B261" s="45" t="s">
        <v>66</v>
      </c>
      <c r="C261" s="45" t="s">
        <v>4</v>
      </c>
      <c r="D261" s="45" t="s">
        <v>9</v>
      </c>
      <c r="E261" s="45" t="s">
        <v>69</v>
      </c>
      <c r="F261" s="45" t="s">
        <v>70</v>
      </c>
      <c r="G261" s="85">
        <f ca="1">IFERROR(__xludf.DUMMYFUNCTION("IFERROR(
  IF(A261 = 2008,
    IF(E261 = ""Online"",
      FILTER('Raw PhocalPoint Data'!G:G,
        'Raw PhocalPoint Data'!A:A = 2009,
        'Raw PhocalPoint Data'!D:D = D261,
        'Raw PhocalPoint Data'!E:E = E261,
        'Raw PhocalPoint Data'!F"&amp;":F = F261
      ) /
      (
        FILTER('Raw PhocalPoint Data'!G:G,
          'Raw PhocalPoint Data'!A:A = 2012,
          'Raw PhocalPoint Data'!D:D = D261,
          'Raw PhocalPoint Data'!E:E = E261,
          'Raw PhocalPoint Data'!F:F = F261
     "&amp;"   ) /
        FILTER('Raw PhocalPoint Data'!G:G,
          'Raw PhocalPoint Data'!A:A = 2011,
          'Raw PhocalPoint Data'!D:D = D261,
          'Raw PhocalPoint Data'!E:E = E261,
          'Raw PhocalPoint Data'!F:F = F261
        )
      ),
      F"&amp;"ILTER('Raw PhocalPoint Data'!G:G,
        'Raw PhocalPoint Data'!A:A = 2009,
        'Raw PhocalPoint Data'!D:D = D261,
        'Raw PhocalPoint Data'!E:E = E261,
        'Raw PhocalPoint Data'!F:F = F261
      ) *
      (
        INDEX('Raw GDP data'!$I$"&amp;"2:$M$100,
          MATCH(D261, 'Raw GDP data'!$H$2:$H$100, 0),
          MATCH(2008, 'Raw GDP data'!$I$1:$M$1, 0)
        ) /
        INDEX('Raw GDP data'!$I$2:$M$100,
          MATCH(D261, 'Raw GDP data'!$H$2:$H$100, 0),
          MATCH(2009, 'Raw GDP d"&amp;"ata'!$I$1:$M$1, 0)
        )
      )
    ),
  IF(A261 &lt; 2008,
    (
      FILTER(G:G,
        A:A = 2008,
        D:D = D261,
        E:E = E261,
        F:F = F261
      ) /
      PRODUCT(
        ARRAYFORMULA(
          (
            (
              FIL"&amp;"TER('Raw PhocalPoint Data'!G:G,
                'Raw PhocalPoint Data'!A:A = 2012,
                'Raw PhocalPoint Data'!D:D = D261,
                'Raw PhocalPoint Data'!E:E = E261,
                'Raw PhocalPoint Data'!F:F = F261
              ) /
  "&amp;"            FILTER('Raw PhocalPoint Data'!G:G,
                'Raw PhocalPoint Data'!A:A = 2011,
                'Raw PhocalPoint Data'!D:D = D261,
                'Raw PhocalPoint Data'!E:E = E261,
                'Raw PhocalPoint Data'!F:F = F261
     "&amp;"         ) -
              ROW(INDIRECT(""1:"" &amp; (2008 - A261))) *
              (
                (
                  FILTER('Raw PhocalPoint Data'!G:G,
                    'Raw PhocalPoint Data'!A:A = 2012,
                    'Raw PhocalPoint Data'!D:D"&amp;" = D261,
                    'Raw PhocalPoint Data'!E:E = E261,
                    'Raw PhocalPoint Data'!F:F = F261
                  ) /
                  FILTER('Raw PhocalPoint Data'!G:G,
                    'Raw PhocalPoint Data'!A:A = 2011,
       "&amp;"             'Raw PhocalPoint Data'!D:D = D261,
                    'Raw PhocalPoint Data'!E:E = E261,
                    'Raw PhocalPoint Data'!F:F = F261
                  ) - 1
                ) / 5
              )
            )
          )
        )
"&amp;"      )
    ),
    (
      FILTER('Raw PhocalPoint Data'!G:G,
        'Raw PhocalPoint Data'!A:A = 2009,
        'Raw PhocalPoint Data'!D:D = D261,
        'Raw PhocalPoint Data'!E:E = E261,
        'Raw PhocalPoint Data'!F:F = F261
      ) /
      PRODUC"&amp;"T(
        ARRAYFORMULA(
          (
            FILTER('Raw PhocalPoint Data'!G:G,
              'Raw PhocalPoint Data'!A:A = 2012,
              'Raw PhocalPoint Data'!D:D = D261,
              'Raw PhocalPoint Data'!E:E = E261,
              'Raw Phoca"&amp;"lPoint Data'!F:F = F261
            ) /
            FILTER('Raw PhocalPoint Data'!G:G,
              'Raw PhocalPoint Data'!A:A = 2011,
              'Raw PhocalPoint Data'!D:D = D261,
              'Raw PhocalPoint Data'!E:E = E261,
              'Raw Ph"&amp;"ocalPoint Data'!F:F = F261
            ) -
            (ROW(INDIRECT(""1:"" &amp; (2010 - A261))) - 1) *
            (
              (
                FILTER('Raw PhocalPoint Data'!G:G,
                  'Raw PhocalPoint Data'!A:A = 2012,
                  'R"&amp;"aw PhocalPoint Data'!D:D = D261,
                  'Raw PhocalPoint Data'!E:E = E261,
                  'Raw PhocalPoint Data'!F:F = F261
                ) /
                FILTER('Raw PhocalPoint Data'!G:G,
                  'Raw PhocalPoint Data'!A:A ="&amp;" 2011,
                  'Raw PhocalPoint Data'!D:D = D261,
                  'Raw PhocalPoint Data'!E:E = E261,
                  'Raw PhocalPoint Data'!F:F = F261
                ) - 1
              ) / 5
            )
          )
        )
      )
    "&amp;") *
    INDEX('Raw GDP data'!$I$2:$M$100,
      MATCH(D261, 'Raw GDP data'!$H$2:$H$100, 0),
      MATCH(A261, 'Raw GDP data'!$I$1:$M$1, 0)
    )
  )),
  """"
)
"),11941383599.8068)</f>
        <v>11941383599.806801</v>
      </c>
      <c r="H261" s="86"/>
      <c r="I261" s="87">
        <f ca="1">IFERROR(__xludf.DUMMYFUNCTION("""COMPUTED_VALUE"""),2011)</f>
        <v>2011</v>
      </c>
      <c r="J261" s="88" t="str">
        <f ca="1">IFERROR(__xludf.DUMMYFUNCTION("""COMPUTED_VALUE"""),"Russia")</f>
        <v>Russia</v>
      </c>
      <c r="K261" s="89">
        <f ca="1">IFERROR(
  SUMIFS(
    'New Backfilled Data'!G:G,
    'New Backfilled Data'!A:A, I261,
    'New Backfilled Data'!D:D, J261,
    'New Backfilled Data'!E:E, "Online"
  ) /
  SUMIFS(
    'New Backfilled Data'!G:G,
    'New Backfilled Data'!A:A, I261,
    'New Backfilled Data'!D:D, J261
  ),
  ""
)</f>
        <v>0.12246848233544139</v>
      </c>
      <c r="L261" s="90"/>
      <c r="M261" s="90"/>
    </row>
    <row r="262" spans="1:13" ht="17" x14ac:dyDescent="0.2">
      <c r="A262" s="37">
        <v>2007</v>
      </c>
      <c r="B262" s="38" t="s">
        <v>66</v>
      </c>
      <c r="C262" s="38" t="s">
        <v>4</v>
      </c>
      <c r="D262" s="38" t="s">
        <v>10</v>
      </c>
      <c r="E262" s="38" t="s">
        <v>67</v>
      </c>
      <c r="F262" s="38" t="s">
        <v>67</v>
      </c>
      <c r="G262" s="79">
        <f ca="1">IFERROR(__xludf.DUMMYFUNCTION("IFERROR(
  IF(A262 = 2008,
    IF(E262 = ""Online"",
      FILTER('Raw PhocalPoint Data'!G:G,
        'Raw PhocalPoint Data'!A:A = 2009,
        'Raw PhocalPoint Data'!D:D = D262,
        'Raw PhocalPoint Data'!E:E = E262,
        'Raw PhocalPoint Data'!F"&amp;":F = F262
      ) /
      (
        FILTER('Raw PhocalPoint Data'!G:G,
          'Raw PhocalPoint Data'!A:A = 2012,
          'Raw PhocalPoint Data'!D:D = D262,
          'Raw PhocalPoint Data'!E:E = E262,
          'Raw PhocalPoint Data'!F:F = F262
     "&amp;"   ) /
        FILTER('Raw PhocalPoint Data'!G:G,
          'Raw PhocalPoint Data'!A:A = 2011,
          'Raw PhocalPoint Data'!D:D = D262,
          'Raw PhocalPoint Data'!E:E = E262,
          'Raw PhocalPoint Data'!F:F = F262
        )
      ),
      F"&amp;"ILTER('Raw PhocalPoint Data'!G:G,
        'Raw PhocalPoint Data'!A:A = 2009,
        'Raw PhocalPoint Data'!D:D = D262,
        'Raw PhocalPoint Data'!E:E = E262,
        'Raw PhocalPoint Data'!F:F = F262
      ) *
      (
        INDEX('Raw GDP data'!$I$"&amp;"2:$M$100,
          MATCH(D262, 'Raw GDP data'!$H$2:$H$100, 0),
          MATCH(2008, 'Raw GDP data'!$I$1:$M$1, 0)
        ) /
        INDEX('Raw GDP data'!$I$2:$M$100,
          MATCH(D262, 'Raw GDP data'!$H$2:$H$100, 0),
          MATCH(2009, 'Raw GDP d"&amp;"ata'!$I$1:$M$1, 0)
        )
      )
    ),
  IF(A262 &lt; 2008,
    (
      FILTER(G:G,
        A:A = 2008,
        D:D = D262,
        E:E = E262,
        F:F = F262
      ) /
      PRODUCT(
        ARRAYFORMULA(
          (
            (
              FIL"&amp;"TER('Raw PhocalPoint Data'!G:G,
                'Raw PhocalPoint Data'!A:A = 2012,
                'Raw PhocalPoint Data'!D:D = D262,
                'Raw PhocalPoint Data'!E:E = E262,
                'Raw PhocalPoint Data'!F:F = F262
              ) /
  "&amp;"            FILTER('Raw PhocalPoint Data'!G:G,
                'Raw PhocalPoint Data'!A:A = 2011,
                'Raw PhocalPoint Data'!D:D = D262,
                'Raw PhocalPoint Data'!E:E = E262,
                'Raw PhocalPoint Data'!F:F = F262
     "&amp;"         ) -
              ROW(INDIRECT(""1:"" &amp; (2008 - A262))) *
              (
                (
                  FILTER('Raw PhocalPoint Data'!G:G,
                    'Raw PhocalPoint Data'!A:A = 2012,
                    'Raw PhocalPoint Data'!D:D"&amp;" = D262,
                    'Raw PhocalPoint Data'!E:E = E262,
                    'Raw PhocalPoint Data'!F:F = F262
                  ) /
                  FILTER('Raw PhocalPoint Data'!G:G,
                    'Raw PhocalPoint Data'!A:A = 2011,
       "&amp;"             'Raw PhocalPoint Data'!D:D = D262,
                    'Raw PhocalPoint Data'!E:E = E262,
                    'Raw PhocalPoint Data'!F:F = F262
                  ) - 1
                ) / 5
              )
            )
          )
        )
"&amp;"      )
    ),
    (
      FILTER('Raw PhocalPoint Data'!G:G,
        'Raw PhocalPoint Data'!A:A = 2009,
        'Raw PhocalPoint Data'!D:D = D262,
        'Raw PhocalPoint Data'!E:E = E262,
        'Raw PhocalPoint Data'!F:F = F262
      ) /
      PRODUC"&amp;"T(
        ARRAYFORMULA(
          (
            FILTER('Raw PhocalPoint Data'!G:G,
              'Raw PhocalPoint Data'!A:A = 2012,
              'Raw PhocalPoint Data'!D:D = D262,
              'Raw PhocalPoint Data'!E:E = E262,
              'Raw Phoca"&amp;"lPoint Data'!F:F = F262
            ) /
            FILTER('Raw PhocalPoint Data'!G:G,
              'Raw PhocalPoint Data'!A:A = 2011,
              'Raw PhocalPoint Data'!D:D = D262,
              'Raw PhocalPoint Data'!E:E = E262,
              'Raw Ph"&amp;"ocalPoint Data'!F:F = F262
            ) -
            (ROW(INDIRECT(""1:"" &amp; (2010 - A262))) - 1) *
            (
              (
                FILTER('Raw PhocalPoint Data'!G:G,
                  'Raw PhocalPoint Data'!A:A = 2012,
                  'R"&amp;"aw PhocalPoint Data'!D:D = D262,
                  'Raw PhocalPoint Data'!E:E = E262,
                  'Raw PhocalPoint Data'!F:F = F262
                ) /
                FILTER('Raw PhocalPoint Data'!G:G,
                  'Raw PhocalPoint Data'!A:A ="&amp;" 2011,
                  'Raw PhocalPoint Data'!D:D = D262,
                  'Raw PhocalPoint Data'!E:E = E262,
                  'Raw PhocalPoint Data'!F:F = F262
                ) - 1
              ) / 5
            )
          )
        )
      )
    "&amp;") *
    INDEX('Raw GDP data'!$I$2:$M$100,
      MATCH(D262, 'Raw GDP data'!$H$2:$H$100, 0),
      MATCH(A262, 'Raw GDP data'!$I$1:$M$1, 0)
    )
  )),
  """"
)
"),520035791.630173)</f>
        <v>520035791.63017303</v>
      </c>
      <c r="H262" s="80"/>
      <c r="I262" s="81">
        <f ca="1">IFERROR(__xludf.DUMMYFUNCTION("""COMPUTED_VALUE"""),2011)</f>
        <v>2011</v>
      </c>
      <c r="J262" s="82" t="str">
        <f ca="1">IFERROR(__xludf.DUMMYFUNCTION("""COMPUTED_VALUE"""),"Ukraine")</f>
        <v>Ukraine</v>
      </c>
      <c r="K262" s="83">
        <f ca="1">IFERROR(
  SUMIFS(
    'New Backfilled Data'!G:G,
    'New Backfilled Data'!A:A, I262,
    'New Backfilled Data'!D:D, J262,
    'New Backfilled Data'!E:E, "Online"
  ) /
  SUMIFS(
    'New Backfilled Data'!G:G,
    'New Backfilled Data'!A:A, I262,
    'New Backfilled Data'!D:D, J262
  ),
  ""
)</f>
        <v>0.17116885732089521</v>
      </c>
      <c r="L262" s="84"/>
      <c r="M262" s="84"/>
    </row>
    <row r="263" spans="1:13" ht="17" x14ac:dyDescent="0.2">
      <c r="A263" s="44">
        <v>2007</v>
      </c>
      <c r="B263" s="45" t="s">
        <v>66</v>
      </c>
      <c r="C263" s="45" t="s">
        <v>4</v>
      </c>
      <c r="D263" s="45" t="s">
        <v>10</v>
      </c>
      <c r="E263" s="45" t="s">
        <v>69</v>
      </c>
      <c r="F263" s="45" t="s">
        <v>71</v>
      </c>
      <c r="G263" s="85">
        <f ca="1">IFERROR(__xludf.DUMMYFUNCTION("IFERROR(
  IF(A263 = 2008,
    IF(E263 = ""Online"",
      FILTER('Raw PhocalPoint Data'!G:G,
        'Raw PhocalPoint Data'!A:A = 2009,
        'Raw PhocalPoint Data'!D:D = D263,
        'Raw PhocalPoint Data'!E:E = E263,
        'Raw PhocalPoint Data'!F"&amp;":F = F263
      ) /
      (
        FILTER('Raw PhocalPoint Data'!G:G,
          'Raw PhocalPoint Data'!A:A = 2012,
          'Raw PhocalPoint Data'!D:D = D263,
          'Raw PhocalPoint Data'!E:E = E263,
          'Raw PhocalPoint Data'!F:F = F263
     "&amp;"   ) /
        FILTER('Raw PhocalPoint Data'!G:G,
          'Raw PhocalPoint Data'!A:A = 2011,
          'Raw PhocalPoint Data'!D:D = D263,
          'Raw PhocalPoint Data'!E:E = E263,
          'Raw PhocalPoint Data'!F:F = F263
        )
      ),
      F"&amp;"ILTER('Raw PhocalPoint Data'!G:G,
        'Raw PhocalPoint Data'!A:A = 2009,
        'Raw PhocalPoint Data'!D:D = D263,
        'Raw PhocalPoint Data'!E:E = E263,
        'Raw PhocalPoint Data'!F:F = F263
      ) *
      (
        INDEX('Raw GDP data'!$I$"&amp;"2:$M$100,
          MATCH(D263, 'Raw GDP data'!$H$2:$H$100, 0),
          MATCH(2008, 'Raw GDP data'!$I$1:$M$1, 0)
        ) /
        INDEX('Raw GDP data'!$I$2:$M$100,
          MATCH(D263, 'Raw GDP data'!$H$2:$H$100, 0),
          MATCH(2009, 'Raw GDP d"&amp;"ata'!$I$1:$M$1, 0)
        )
      )
    ),
  IF(A263 &lt; 2008,
    (
      FILTER(G:G,
        A:A = 2008,
        D:D = D263,
        E:E = E263,
        F:F = F263
      ) /
      PRODUCT(
        ARRAYFORMULA(
          (
            (
              FIL"&amp;"TER('Raw PhocalPoint Data'!G:G,
                'Raw PhocalPoint Data'!A:A = 2012,
                'Raw PhocalPoint Data'!D:D = D263,
                'Raw PhocalPoint Data'!E:E = E263,
                'Raw PhocalPoint Data'!F:F = F263
              ) /
  "&amp;"            FILTER('Raw PhocalPoint Data'!G:G,
                'Raw PhocalPoint Data'!A:A = 2011,
                'Raw PhocalPoint Data'!D:D = D263,
                'Raw PhocalPoint Data'!E:E = E263,
                'Raw PhocalPoint Data'!F:F = F263
     "&amp;"         ) -
              ROW(INDIRECT(""1:"" &amp; (2008 - A263))) *
              (
                (
                  FILTER('Raw PhocalPoint Data'!G:G,
                    'Raw PhocalPoint Data'!A:A = 2012,
                    'Raw PhocalPoint Data'!D:D"&amp;" = D263,
                    'Raw PhocalPoint Data'!E:E = E263,
                    'Raw PhocalPoint Data'!F:F = F263
                  ) /
                  FILTER('Raw PhocalPoint Data'!G:G,
                    'Raw PhocalPoint Data'!A:A = 2011,
       "&amp;"             'Raw PhocalPoint Data'!D:D = D263,
                    'Raw PhocalPoint Data'!E:E = E263,
                    'Raw PhocalPoint Data'!F:F = F263
                  ) - 1
                ) / 5
              )
            )
          )
        )
"&amp;"      )
    ),
    (
      FILTER('Raw PhocalPoint Data'!G:G,
        'Raw PhocalPoint Data'!A:A = 2009,
        'Raw PhocalPoint Data'!D:D = D263,
        'Raw PhocalPoint Data'!E:E = E263,
        'Raw PhocalPoint Data'!F:F = F263
      ) /
      PRODUC"&amp;"T(
        ARRAYFORMULA(
          (
            FILTER('Raw PhocalPoint Data'!G:G,
              'Raw PhocalPoint Data'!A:A = 2012,
              'Raw PhocalPoint Data'!D:D = D263,
              'Raw PhocalPoint Data'!E:E = E263,
              'Raw Phoca"&amp;"lPoint Data'!F:F = F263
            ) /
            FILTER('Raw PhocalPoint Data'!G:G,
              'Raw PhocalPoint Data'!A:A = 2011,
              'Raw PhocalPoint Data'!D:D = D263,
              'Raw PhocalPoint Data'!E:E = E263,
              'Raw Ph"&amp;"ocalPoint Data'!F:F = F263
            ) -
            (ROW(INDIRECT(""1:"" &amp; (2010 - A263))) - 1) *
            (
              (
                FILTER('Raw PhocalPoint Data'!G:G,
                  'Raw PhocalPoint Data'!A:A = 2012,
                  'R"&amp;"aw PhocalPoint Data'!D:D = D263,
                  'Raw PhocalPoint Data'!E:E = E263,
                  'Raw PhocalPoint Data'!F:F = F263
                ) /
                FILTER('Raw PhocalPoint Data'!G:G,
                  'Raw PhocalPoint Data'!A:A ="&amp;" 2011,
                  'Raw PhocalPoint Data'!D:D = D263,
                  'Raw PhocalPoint Data'!E:E = E263,
                  'Raw PhocalPoint Data'!F:F = F263
                ) - 1
              ) / 5
            )
          )
        )
      )
    "&amp;") *
    INDEX('Raw GDP data'!$I$2:$M$100,
      MATCH(D263, 'Raw GDP data'!$H$2:$H$100, 0),
      MATCH(A263, 'Raw GDP data'!$I$1:$M$1, 0)
    )
  )),
  """"
)
"),2438547.03303747)</f>
        <v>2438547.0330374702</v>
      </c>
      <c r="H263" s="86"/>
      <c r="I263" s="87">
        <f ca="1">IFERROR(__xludf.DUMMYFUNCTION("""COMPUTED_VALUE"""),2011)</f>
        <v>2011</v>
      </c>
      <c r="J263" s="88" t="str">
        <f ca="1">IFERROR(__xludf.DUMMYFUNCTION("""COMPUTED_VALUE"""),"France")</f>
        <v>France</v>
      </c>
      <c r="K263" s="89">
        <f ca="1">IFERROR(
  SUMIFS(
    'New Backfilled Data'!G:G,
    'New Backfilled Data'!A:A, I263,
    'New Backfilled Data'!D:D, J263,
    'New Backfilled Data'!E:E, "Online"
  ) /
  SUMIFS(
    'New Backfilled Data'!G:G,
    'New Backfilled Data'!A:A, I263,
    'New Backfilled Data'!D:D, J263
  ),
  ""
)</f>
        <v>0.34038975681991779</v>
      </c>
      <c r="L263" s="90"/>
      <c r="M263" s="90"/>
    </row>
    <row r="264" spans="1:13" ht="17" x14ac:dyDescent="0.2">
      <c r="A264" s="37">
        <v>2007</v>
      </c>
      <c r="B264" s="38" t="s">
        <v>66</v>
      </c>
      <c r="C264" s="38" t="s">
        <v>4</v>
      </c>
      <c r="D264" s="38" t="s">
        <v>10</v>
      </c>
      <c r="E264" s="38" t="s">
        <v>69</v>
      </c>
      <c r="F264" s="38" t="s">
        <v>70</v>
      </c>
      <c r="G264" s="79">
        <f ca="1">IFERROR(__xludf.DUMMYFUNCTION("IFERROR(
  IF(A264 = 2008,
    IF(E264 = ""Online"",
      FILTER('Raw PhocalPoint Data'!G:G,
        'Raw PhocalPoint Data'!A:A = 2009,
        'Raw PhocalPoint Data'!D:D = D264,
        'Raw PhocalPoint Data'!E:E = E264,
        'Raw PhocalPoint Data'!F"&amp;":F = F264
      ) /
      (
        FILTER('Raw PhocalPoint Data'!G:G,
          'Raw PhocalPoint Data'!A:A = 2012,
          'Raw PhocalPoint Data'!D:D = D264,
          'Raw PhocalPoint Data'!E:E = E264,
          'Raw PhocalPoint Data'!F:F = F264
     "&amp;"   ) /
        FILTER('Raw PhocalPoint Data'!G:G,
          'Raw PhocalPoint Data'!A:A = 2011,
          'Raw PhocalPoint Data'!D:D = D264,
          'Raw PhocalPoint Data'!E:E = E264,
          'Raw PhocalPoint Data'!F:F = F264
        )
      ),
      F"&amp;"ILTER('Raw PhocalPoint Data'!G:G,
        'Raw PhocalPoint Data'!A:A = 2009,
        'Raw PhocalPoint Data'!D:D = D264,
        'Raw PhocalPoint Data'!E:E = E264,
        'Raw PhocalPoint Data'!F:F = F264
      ) *
      (
        INDEX('Raw GDP data'!$I$"&amp;"2:$M$100,
          MATCH(D264, 'Raw GDP data'!$H$2:$H$100, 0),
          MATCH(2008, 'Raw GDP data'!$I$1:$M$1, 0)
        ) /
        INDEX('Raw GDP data'!$I$2:$M$100,
          MATCH(D264, 'Raw GDP data'!$H$2:$H$100, 0),
          MATCH(2009, 'Raw GDP d"&amp;"ata'!$I$1:$M$1, 0)
        )
      )
    ),
  IF(A264 &lt; 2008,
    (
      FILTER(G:G,
        A:A = 2008,
        D:D = D264,
        E:E = E264,
        F:F = F264
      ) /
      PRODUCT(
        ARRAYFORMULA(
          (
            (
              FIL"&amp;"TER('Raw PhocalPoint Data'!G:G,
                'Raw PhocalPoint Data'!A:A = 2012,
                'Raw PhocalPoint Data'!D:D = D264,
                'Raw PhocalPoint Data'!E:E = E264,
                'Raw PhocalPoint Data'!F:F = F264
              ) /
  "&amp;"            FILTER('Raw PhocalPoint Data'!G:G,
                'Raw PhocalPoint Data'!A:A = 2011,
                'Raw PhocalPoint Data'!D:D = D264,
                'Raw PhocalPoint Data'!E:E = E264,
                'Raw PhocalPoint Data'!F:F = F264
     "&amp;"         ) -
              ROW(INDIRECT(""1:"" &amp; (2008 - A264))) *
              (
                (
                  FILTER('Raw PhocalPoint Data'!G:G,
                    'Raw PhocalPoint Data'!A:A = 2012,
                    'Raw PhocalPoint Data'!D:D"&amp;" = D264,
                    'Raw PhocalPoint Data'!E:E = E264,
                    'Raw PhocalPoint Data'!F:F = F264
                  ) /
                  FILTER('Raw PhocalPoint Data'!G:G,
                    'Raw PhocalPoint Data'!A:A = 2011,
       "&amp;"             'Raw PhocalPoint Data'!D:D = D264,
                    'Raw PhocalPoint Data'!E:E = E264,
                    'Raw PhocalPoint Data'!F:F = F264
                  ) - 1
                ) / 5
              )
            )
          )
        )
"&amp;"      )
    ),
    (
      FILTER('Raw PhocalPoint Data'!G:G,
        'Raw PhocalPoint Data'!A:A = 2009,
        'Raw PhocalPoint Data'!D:D = D264,
        'Raw PhocalPoint Data'!E:E = E264,
        'Raw PhocalPoint Data'!F:F = F264
      ) /
      PRODUC"&amp;"T(
        ARRAYFORMULA(
          (
            FILTER('Raw PhocalPoint Data'!G:G,
              'Raw PhocalPoint Data'!A:A = 2012,
              'Raw PhocalPoint Data'!D:D = D264,
              'Raw PhocalPoint Data'!E:E = E264,
              'Raw Phoca"&amp;"lPoint Data'!F:F = F264
            ) /
            FILTER('Raw PhocalPoint Data'!G:G,
              'Raw PhocalPoint Data'!A:A = 2011,
              'Raw PhocalPoint Data'!D:D = D264,
              'Raw PhocalPoint Data'!E:E = E264,
              'Raw Ph"&amp;"ocalPoint Data'!F:F = F264
            ) -
            (ROW(INDIRECT(""1:"" &amp; (2010 - A264))) - 1) *
            (
              (
                FILTER('Raw PhocalPoint Data'!G:G,
                  'Raw PhocalPoint Data'!A:A = 2012,
                  'R"&amp;"aw PhocalPoint Data'!D:D = D264,
                  'Raw PhocalPoint Data'!E:E = E264,
                  'Raw PhocalPoint Data'!F:F = F264
                ) /
                FILTER('Raw PhocalPoint Data'!G:G,
                  'Raw PhocalPoint Data'!A:A ="&amp;" 2011,
                  'Raw PhocalPoint Data'!D:D = D264,
                  'Raw PhocalPoint Data'!E:E = E264,
                  'Raw PhocalPoint Data'!F:F = F264
                ) - 1
              ) / 5
            )
          )
        )
      )
    "&amp;") *
    INDEX('Raw GDP data'!$I$2:$M$100,
      MATCH(D264, 'Raw GDP data'!$H$2:$H$100, 0),
      MATCH(A264, 'Raw GDP data'!$I$1:$M$1, 0)
    )
  )),
  """"
)
"),3053620.97946375)</f>
        <v>3053620.97946375</v>
      </c>
      <c r="H264" s="80"/>
      <c r="I264" s="81">
        <f ca="1">IFERROR(__xludf.DUMMYFUNCTION("""COMPUTED_VALUE"""),2011)</f>
        <v>2011</v>
      </c>
      <c r="J264" s="82" t="str">
        <f ca="1">IFERROR(__xludf.DUMMYFUNCTION("""COMPUTED_VALUE"""),"Germany")</f>
        <v>Germany</v>
      </c>
      <c r="K264" s="83">
        <f ca="1">IFERROR(
  SUMIFS(
    'New Backfilled Data'!G:G,
    'New Backfilled Data'!A:A, I264,
    'New Backfilled Data'!D:D, J264,
    'New Backfilled Data'!E:E, "Online"
  ) /
  SUMIFS(
    'New Backfilled Data'!G:G,
    'New Backfilled Data'!A:A, I264,
    'New Backfilled Data'!D:D, J264
  ),
  ""
)</f>
        <v>0.33377246128892635</v>
      </c>
      <c r="L264" s="84"/>
      <c r="M264" s="84"/>
    </row>
    <row r="265" spans="1:13" ht="17" x14ac:dyDescent="0.2">
      <c r="A265" s="44">
        <v>2007</v>
      </c>
      <c r="B265" s="45" t="s">
        <v>66</v>
      </c>
      <c r="C265" s="45" t="s">
        <v>4</v>
      </c>
      <c r="D265" s="45" t="s">
        <v>11</v>
      </c>
      <c r="E265" s="45" t="s">
        <v>67</v>
      </c>
      <c r="F265" s="45" t="s">
        <v>67</v>
      </c>
      <c r="G265" s="85">
        <f ca="1">IFERROR(__xludf.DUMMYFUNCTION("IFERROR(
  IF(A265 = 2008,
    IF(E265 = ""Online"",
      FILTER('Raw PhocalPoint Data'!G:G,
        'Raw PhocalPoint Data'!A:A = 2009,
        'Raw PhocalPoint Data'!D:D = D265,
        'Raw PhocalPoint Data'!E:E = E265,
        'Raw PhocalPoint Data'!F"&amp;":F = F265
      ) /
      (
        FILTER('Raw PhocalPoint Data'!G:G,
          'Raw PhocalPoint Data'!A:A = 2012,
          'Raw PhocalPoint Data'!D:D = D265,
          'Raw PhocalPoint Data'!E:E = E265,
          'Raw PhocalPoint Data'!F:F = F265
     "&amp;"   ) /
        FILTER('Raw PhocalPoint Data'!G:G,
          'Raw PhocalPoint Data'!A:A = 2011,
          'Raw PhocalPoint Data'!D:D = D265,
          'Raw PhocalPoint Data'!E:E = E265,
          'Raw PhocalPoint Data'!F:F = F265
        )
      ),
      F"&amp;"ILTER('Raw PhocalPoint Data'!G:G,
        'Raw PhocalPoint Data'!A:A = 2009,
        'Raw PhocalPoint Data'!D:D = D265,
        'Raw PhocalPoint Data'!E:E = E265,
        'Raw PhocalPoint Data'!F:F = F265
      ) *
      (
        INDEX('Raw GDP data'!$I$"&amp;"2:$M$100,
          MATCH(D265, 'Raw GDP data'!$H$2:$H$100, 0),
          MATCH(2008, 'Raw GDP data'!$I$1:$M$1, 0)
        ) /
        INDEX('Raw GDP data'!$I$2:$M$100,
          MATCH(D265, 'Raw GDP data'!$H$2:$H$100, 0),
          MATCH(2009, 'Raw GDP d"&amp;"ata'!$I$1:$M$1, 0)
        )
      )
    ),
  IF(A265 &lt; 2008,
    (
      FILTER(G:G,
        A:A = 2008,
        D:D = D265,
        E:E = E265,
        F:F = F265
      ) /
      PRODUCT(
        ARRAYFORMULA(
          (
            (
              FIL"&amp;"TER('Raw PhocalPoint Data'!G:G,
                'Raw PhocalPoint Data'!A:A = 2012,
                'Raw PhocalPoint Data'!D:D = D265,
                'Raw PhocalPoint Data'!E:E = E265,
                'Raw PhocalPoint Data'!F:F = F265
              ) /
  "&amp;"            FILTER('Raw PhocalPoint Data'!G:G,
                'Raw PhocalPoint Data'!A:A = 2011,
                'Raw PhocalPoint Data'!D:D = D265,
                'Raw PhocalPoint Data'!E:E = E265,
                'Raw PhocalPoint Data'!F:F = F265
     "&amp;"         ) -
              ROW(INDIRECT(""1:"" &amp; (2008 - A265))) *
              (
                (
                  FILTER('Raw PhocalPoint Data'!G:G,
                    'Raw PhocalPoint Data'!A:A = 2012,
                    'Raw PhocalPoint Data'!D:D"&amp;" = D265,
                    'Raw PhocalPoint Data'!E:E = E265,
                    'Raw PhocalPoint Data'!F:F = F265
                  ) /
                  FILTER('Raw PhocalPoint Data'!G:G,
                    'Raw PhocalPoint Data'!A:A = 2011,
       "&amp;"             'Raw PhocalPoint Data'!D:D = D265,
                    'Raw PhocalPoint Data'!E:E = E265,
                    'Raw PhocalPoint Data'!F:F = F265
                  ) - 1
                ) / 5
              )
            )
          )
        )
"&amp;"      )
    ),
    (
      FILTER('Raw PhocalPoint Data'!G:G,
        'Raw PhocalPoint Data'!A:A = 2009,
        'Raw PhocalPoint Data'!D:D = D265,
        'Raw PhocalPoint Data'!E:E = E265,
        'Raw PhocalPoint Data'!F:F = F265
      ) /
      PRODUC"&amp;"T(
        ARRAYFORMULA(
          (
            FILTER('Raw PhocalPoint Data'!G:G,
              'Raw PhocalPoint Data'!A:A = 2012,
              'Raw PhocalPoint Data'!D:D = D265,
              'Raw PhocalPoint Data'!E:E = E265,
              'Raw Phoca"&amp;"lPoint Data'!F:F = F265
            ) /
            FILTER('Raw PhocalPoint Data'!G:G,
              'Raw PhocalPoint Data'!A:A = 2011,
              'Raw PhocalPoint Data'!D:D = D265,
              'Raw PhocalPoint Data'!E:E = E265,
              'Raw Ph"&amp;"ocalPoint Data'!F:F = F265
            ) -
            (ROW(INDIRECT(""1:"" &amp; (2010 - A265))) - 1) *
            (
              (
                FILTER('Raw PhocalPoint Data'!G:G,
                  'Raw PhocalPoint Data'!A:A = 2012,
                  'R"&amp;"aw PhocalPoint Data'!D:D = D265,
                  'Raw PhocalPoint Data'!E:E = E265,
                  'Raw PhocalPoint Data'!F:F = F265
                ) /
                FILTER('Raw PhocalPoint Data'!G:G,
                  'Raw PhocalPoint Data'!A:A ="&amp;" 2011,
                  'Raw PhocalPoint Data'!D:D = D265,
                  'Raw PhocalPoint Data'!E:E = E265,
                  'Raw PhocalPoint Data'!F:F = F265
                ) - 1
              ) / 5
            )
          )
        )
      )
    "&amp;") *
    INDEX('Raw GDP data'!$I$2:$M$100,
      MATCH(D265, 'Raw GDP data'!$H$2:$H$100, 0),
      MATCH(A265, 'Raw GDP data'!$I$1:$M$1, 0)
    )
  )),
  """"
)
"),4479178791.64708)</f>
        <v>4479178791.6470804</v>
      </c>
      <c r="H265" s="86"/>
      <c r="I265" s="87">
        <f ca="1">IFERROR(__xludf.DUMMYFUNCTION("""COMPUTED_VALUE"""),2011)</f>
        <v>2011</v>
      </c>
      <c r="J265" s="88" t="str">
        <f ca="1">IFERROR(__xludf.DUMMYFUNCTION("""COMPUTED_VALUE"""),"Italy")</f>
        <v>Italy</v>
      </c>
      <c r="K265" s="89">
        <f ca="1">IFERROR(
  SUMIFS(
    'New Backfilled Data'!G:G,
    'New Backfilled Data'!A:A, I265,
    'New Backfilled Data'!D:D, J265,
    'New Backfilled Data'!E:E, "Online"
  ) /
  SUMIFS(
    'New Backfilled Data'!G:G,
    'New Backfilled Data'!A:A, I265,
    'New Backfilled Data'!D:D, J265
  ),
  ""
)</f>
        <v>0.26412058297901925</v>
      </c>
      <c r="L265" s="90"/>
      <c r="M265" s="90"/>
    </row>
    <row r="266" spans="1:13" ht="17" x14ac:dyDescent="0.2">
      <c r="A266" s="37">
        <v>2007</v>
      </c>
      <c r="B266" s="38" t="s">
        <v>66</v>
      </c>
      <c r="C266" s="38" t="s">
        <v>4</v>
      </c>
      <c r="D266" s="38" t="s">
        <v>11</v>
      </c>
      <c r="E266" s="38" t="s">
        <v>69</v>
      </c>
      <c r="F266" s="38" t="s">
        <v>71</v>
      </c>
      <c r="G266" s="79">
        <f ca="1">IFERROR(__xludf.DUMMYFUNCTION("IFERROR(
  IF(A266 = 2008,
    IF(E266 = ""Online"",
      FILTER('Raw PhocalPoint Data'!G:G,
        'Raw PhocalPoint Data'!A:A = 2009,
        'Raw PhocalPoint Data'!D:D = D266,
        'Raw PhocalPoint Data'!E:E = E266,
        'Raw PhocalPoint Data'!F"&amp;":F = F266
      ) /
      (
        FILTER('Raw PhocalPoint Data'!G:G,
          'Raw PhocalPoint Data'!A:A = 2012,
          'Raw PhocalPoint Data'!D:D = D266,
          'Raw PhocalPoint Data'!E:E = E266,
          'Raw PhocalPoint Data'!F:F = F266
     "&amp;"   ) /
        FILTER('Raw PhocalPoint Data'!G:G,
          'Raw PhocalPoint Data'!A:A = 2011,
          'Raw PhocalPoint Data'!D:D = D266,
          'Raw PhocalPoint Data'!E:E = E266,
          'Raw PhocalPoint Data'!F:F = F266
        )
      ),
      F"&amp;"ILTER('Raw PhocalPoint Data'!G:G,
        'Raw PhocalPoint Data'!A:A = 2009,
        'Raw PhocalPoint Data'!D:D = D266,
        'Raw PhocalPoint Data'!E:E = E266,
        'Raw PhocalPoint Data'!F:F = F266
      ) *
      (
        INDEX('Raw GDP data'!$I$"&amp;"2:$M$100,
          MATCH(D266, 'Raw GDP data'!$H$2:$H$100, 0),
          MATCH(2008, 'Raw GDP data'!$I$1:$M$1, 0)
        ) /
        INDEX('Raw GDP data'!$I$2:$M$100,
          MATCH(D266, 'Raw GDP data'!$H$2:$H$100, 0),
          MATCH(2009, 'Raw GDP d"&amp;"ata'!$I$1:$M$1, 0)
        )
      )
    ),
  IF(A266 &lt; 2008,
    (
      FILTER(G:G,
        A:A = 2008,
        D:D = D266,
        E:E = E266,
        F:F = F266
      ) /
      PRODUCT(
        ARRAYFORMULA(
          (
            (
              FIL"&amp;"TER('Raw PhocalPoint Data'!G:G,
                'Raw PhocalPoint Data'!A:A = 2012,
                'Raw PhocalPoint Data'!D:D = D266,
                'Raw PhocalPoint Data'!E:E = E266,
                'Raw PhocalPoint Data'!F:F = F266
              ) /
  "&amp;"            FILTER('Raw PhocalPoint Data'!G:G,
                'Raw PhocalPoint Data'!A:A = 2011,
                'Raw PhocalPoint Data'!D:D = D266,
                'Raw PhocalPoint Data'!E:E = E266,
                'Raw PhocalPoint Data'!F:F = F266
     "&amp;"         ) -
              ROW(INDIRECT(""1:"" &amp; (2008 - A266))) *
              (
                (
                  FILTER('Raw PhocalPoint Data'!G:G,
                    'Raw PhocalPoint Data'!A:A = 2012,
                    'Raw PhocalPoint Data'!D:D"&amp;" = D266,
                    'Raw PhocalPoint Data'!E:E = E266,
                    'Raw PhocalPoint Data'!F:F = F266
                  ) /
                  FILTER('Raw PhocalPoint Data'!G:G,
                    'Raw PhocalPoint Data'!A:A = 2011,
       "&amp;"             'Raw PhocalPoint Data'!D:D = D266,
                    'Raw PhocalPoint Data'!E:E = E266,
                    'Raw PhocalPoint Data'!F:F = F266
                  ) - 1
                ) / 5
              )
            )
          )
        )
"&amp;"      )
    ),
    (
      FILTER('Raw PhocalPoint Data'!G:G,
        'Raw PhocalPoint Data'!A:A = 2009,
        'Raw PhocalPoint Data'!D:D = D266,
        'Raw PhocalPoint Data'!E:E = E266,
        'Raw PhocalPoint Data'!F:F = F266
      ) /
      PRODUC"&amp;"T(
        ARRAYFORMULA(
          (
            FILTER('Raw PhocalPoint Data'!G:G,
              'Raw PhocalPoint Data'!A:A = 2012,
              'Raw PhocalPoint Data'!D:D = D266,
              'Raw PhocalPoint Data'!E:E = E266,
              'Raw Phoca"&amp;"lPoint Data'!F:F = F266
            ) /
            FILTER('Raw PhocalPoint Data'!G:G,
              'Raw PhocalPoint Data'!A:A = 2011,
              'Raw PhocalPoint Data'!D:D = D266,
              'Raw PhocalPoint Data'!E:E = E266,
              'Raw Ph"&amp;"ocalPoint Data'!F:F = F266
            ) -
            (ROW(INDIRECT(""1:"" &amp; (2010 - A266))) - 1) *
            (
              (
                FILTER('Raw PhocalPoint Data'!G:G,
                  'Raw PhocalPoint Data'!A:A = 2012,
                  'R"&amp;"aw PhocalPoint Data'!D:D = D266,
                  'Raw PhocalPoint Data'!E:E = E266,
                  'Raw PhocalPoint Data'!F:F = F266
                ) /
                FILTER('Raw PhocalPoint Data'!G:G,
                  'Raw PhocalPoint Data'!A:A ="&amp;" 2011,
                  'Raw PhocalPoint Data'!D:D = D266,
                  'Raw PhocalPoint Data'!E:E = E266,
                  'Raw PhocalPoint Data'!F:F = F266
                ) - 1
              ) / 5
            )
          )
        )
      )
    "&amp;") *
    INDEX('Raw GDP data'!$I$2:$M$100,
      MATCH(D266, 'Raw GDP data'!$H$2:$H$100, 0),
      MATCH(A266, 'Raw GDP data'!$I$1:$M$1, 0)
    )
  )),
  """"
)
"),32036690.8501354)</f>
        <v>32036690.850135401</v>
      </c>
      <c r="H266" s="80"/>
      <c r="I266" s="81">
        <f ca="1">IFERROR(__xludf.DUMMYFUNCTION("""COMPUTED_VALUE"""),2011)</f>
        <v>2011</v>
      </c>
      <c r="J266" s="82" t="str">
        <f ca="1">IFERROR(__xludf.DUMMYFUNCTION("""COMPUTED_VALUE"""),"Rest of Europe")</f>
        <v>Rest of Europe</v>
      </c>
      <c r="K266" s="83">
        <f ca="1">IFERROR(
  SUMIFS(
    'New Backfilled Data'!G:G,
    'New Backfilled Data'!A:A, I266,
    'New Backfilled Data'!D:D, J266,
    'New Backfilled Data'!E:E, "Online"
  ) /
  SUMIFS(
    'New Backfilled Data'!G:G,
    'New Backfilled Data'!A:A, I266,
    'New Backfilled Data'!D:D, J266
  ),
  ""
)</f>
        <v>0.29943413643638733</v>
      </c>
      <c r="L266" s="84"/>
      <c r="M266" s="84"/>
    </row>
    <row r="267" spans="1:13" ht="17" x14ac:dyDescent="0.2">
      <c r="A267" s="44">
        <v>2007</v>
      </c>
      <c r="B267" s="45" t="s">
        <v>66</v>
      </c>
      <c r="C267" s="45" t="s">
        <v>4</v>
      </c>
      <c r="D267" s="45" t="s">
        <v>11</v>
      </c>
      <c r="E267" s="45" t="s">
        <v>69</v>
      </c>
      <c r="F267" s="45" t="s">
        <v>70</v>
      </c>
      <c r="G267" s="85">
        <f ca="1">IFERROR(__xludf.DUMMYFUNCTION("IFERROR(
  IF(A267 = 2008,
    IF(E267 = ""Online"",
      FILTER('Raw PhocalPoint Data'!G:G,
        'Raw PhocalPoint Data'!A:A = 2009,
        'Raw PhocalPoint Data'!D:D = D267,
        'Raw PhocalPoint Data'!E:E = E267,
        'Raw PhocalPoint Data'!F"&amp;":F = F267
      ) /
      (
        FILTER('Raw PhocalPoint Data'!G:G,
          'Raw PhocalPoint Data'!A:A = 2012,
          'Raw PhocalPoint Data'!D:D = D267,
          'Raw PhocalPoint Data'!E:E = E267,
          'Raw PhocalPoint Data'!F:F = F267
     "&amp;"   ) /
        FILTER('Raw PhocalPoint Data'!G:G,
          'Raw PhocalPoint Data'!A:A = 2011,
          'Raw PhocalPoint Data'!D:D = D267,
          'Raw PhocalPoint Data'!E:E = E267,
          'Raw PhocalPoint Data'!F:F = F267
        )
      ),
      F"&amp;"ILTER('Raw PhocalPoint Data'!G:G,
        'Raw PhocalPoint Data'!A:A = 2009,
        'Raw PhocalPoint Data'!D:D = D267,
        'Raw PhocalPoint Data'!E:E = E267,
        'Raw PhocalPoint Data'!F:F = F267
      ) *
      (
        INDEX('Raw GDP data'!$I$"&amp;"2:$M$100,
          MATCH(D267, 'Raw GDP data'!$H$2:$H$100, 0),
          MATCH(2008, 'Raw GDP data'!$I$1:$M$1, 0)
        ) /
        INDEX('Raw GDP data'!$I$2:$M$100,
          MATCH(D267, 'Raw GDP data'!$H$2:$H$100, 0),
          MATCH(2009, 'Raw GDP d"&amp;"ata'!$I$1:$M$1, 0)
        )
      )
    ),
  IF(A267 &lt; 2008,
    (
      FILTER(G:G,
        A:A = 2008,
        D:D = D267,
        E:E = E267,
        F:F = F267
      ) /
      PRODUCT(
        ARRAYFORMULA(
          (
            (
              FIL"&amp;"TER('Raw PhocalPoint Data'!G:G,
                'Raw PhocalPoint Data'!A:A = 2012,
                'Raw PhocalPoint Data'!D:D = D267,
                'Raw PhocalPoint Data'!E:E = E267,
                'Raw PhocalPoint Data'!F:F = F267
              ) /
  "&amp;"            FILTER('Raw PhocalPoint Data'!G:G,
                'Raw PhocalPoint Data'!A:A = 2011,
                'Raw PhocalPoint Data'!D:D = D267,
                'Raw PhocalPoint Data'!E:E = E267,
                'Raw PhocalPoint Data'!F:F = F267
     "&amp;"         ) -
              ROW(INDIRECT(""1:"" &amp; (2008 - A267))) *
              (
                (
                  FILTER('Raw PhocalPoint Data'!G:G,
                    'Raw PhocalPoint Data'!A:A = 2012,
                    'Raw PhocalPoint Data'!D:D"&amp;" = D267,
                    'Raw PhocalPoint Data'!E:E = E267,
                    'Raw PhocalPoint Data'!F:F = F267
                  ) /
                  FILTER('Raw PhocalPoint Data'!G:G,
                    'Raw PhocalPoint Data'!A:A = 2011,
       "&amp;"             'Raw PhocalPoint Data'!D:D = D267,
                    'Raw PhocalPoint Data'!E:E = E267,
                    'Raw PhocalPoint Data'!F:F = F267
                  ) - 1
                ) / 5
              )
            )
          )
        )
"&amp;"      )
    ),
    (
      FILTER('Raw PhocalPoint Data'!G:G,
        'Raw PhocalPoint Data'!A:A = 2009,
        'Raw PhocalPoint Data'!D:D = D267,
        'Raw PhocalPoint Data'!E:E = E267,
        'Raw PhocalPoint Data'!F:F = F267
      ) /
      PRODUC"&amp;"T(
        ARRAYFORMULA(
          (
            FILTER('Raw PhocalPoint Data'!G:G,
              'Raw PhocalPoint Data'!A:A = 2012,
              'Raw PhocalPoint Data'!D:D = D267,
              'Raw PhocalPoint Data'!E:E = E267,
              'Raw Phoca"&amp;"lPoint Data'!F:F = F267
            ) /
            FILTER('Raw PhocalPoint Data'!G:G,
              'Raw PhocalPoint Data'!A:A = 2011,
              'Raw PhocalPoint Data'!D:D = D267,
              'Raw PhocalPoint Data'!E:E = E267,
              'Raw Ph"&amp;"ocalPoint Data'!F:F = F267
            ) -
            (ROW(INDIRECT(""1:"" &amp; (2010 - A267))) - 1) *
            (
              (
                FILTER('Raw PhocalPoint Data'!G:G,
                  'Raw PhocalPoint Data'!A:A = 2012,
                  'R"&amp;"aw PhocalPoint Data'!D:D = D267,
                  'Raw PhocalPoint Data'!E:E = E267,
                  'Raw PhocalPoint Data'!F:F = F267
                ) /
                FILTER('Raw PhocalPoint Data'!G:G,
                  'Raw PhocalPoint Data'!A:A ="&amp;" 2011,
                  'Raw PhocalPoint Data'!D:D = D267,
                  'Raw PhocalPoint Data'!E:E = E267,
                  'Raw PhocalPoint Data'!F:F = F267
                ) - 1
              ) / 5
            )
          )
        )
      )
    "&amp;") *
    INDEX('Raw GDP data'!$I$2:$M$100,
      MATCH(D267, 'Raw GDP data'!$H$2:$H$100, 0),
      MATCH(A267, 'Raw GDP data'!$I$1:$M$1, 0)
    )
  )),
  """"
)
"),1143681420.55034)</f>
        <v>1143681420.5503399</v>
      </c>
      <c r="H267" s="86"/>
      <c r="I267" s="87">
        <f ca="1">IFERROR(__xludf.DUMMYFUNCTION("""COMPUTED_VALUE"""),2011)</f>
        <v>2011</v>
      </c>
      <c r="J267" s="88" t="str">
        <f ca="1">IFERROR(__xludf.DUMMYFUNCTION("""COMPUTED_VALUE"""),"Scandinavia")</f>
        <v>Scandinavia</v>
      </c>
      <c r="K267" s="89">
        <f ca="1">IFERROR(
  SUMIFS(
    'New Backfilled Data'!G:G,
    'New Backfilled Data'!A:A, I267,
    'New Backfilled Data'!D:D, J267,
    'New Backfilled Data'!E:E, "Online"
  ) /
  SUMIFS(
    'New Backfilled Data'!G:G,
    'New Backfilled Data'!A:A, I267,
    'New Backfilled Data'!D:D, J267
  ),
  ""
)</f>
        <v>0.48379206196680169</v>
      </c>
      <c r="L267" s="90"/>
      <c r="M267" s="90"/>
    </row>
    <row r="268" spans="1:13" ht="17" x14ac:dyDescent="0.2">
      <c r="A268" s="37">
        <v>2007</v>
      </c>
      <c r="B268" s="38" t="s">
        <v>66</v>
      </c>
      <c r="C268" s="38" t="s">
        <v>4</v>
      </c>
      <c r="D268" s="38" t="s">
        <v>12</v>
      </c>
      <c r="E268" s="38" t="s">
        <v>67</v>
      </c>
      <c r="F268" s="38" t="s">
        <v>67</v>
      </c>
      <c r="G268" s="79">
        <f ca="1">IFERROR(__xludf.DUMMYFUNCTION("IFERROR(
  IF(A268 = 2008,
    IF(E268 = ""Online"",
      FILTER('Raw PhocalPoint Data'!G:G,
        'Raw PhocalPoint Data'!A:A = 2009,
        'Raw PhocalPoint Data'!D:D = D268,
        'Raw PhocalPoint Data'!E:E = E268,
        'Raw PhocalPoint Data'!F"&amp;":F = F268
      ) /
      (
        FILTER('Raw PhocalPoint Data'!G:G,
          'Raw PhocalPoint Data'!A:A = 2012,
          'Raw PhocalPoint Data'!D:D = D268,
          'Raw PhocalPoint Data'!E:E = E268,
          'Raw PhocalPoint Data'!F:F = F268
     "&amp;"   ) /
        FILTER('Raw PhocalPoint Data'!G:G,
          'Raw PhocalPoint Data'!A:A = 2011,
          'Raw PhocalPoint Data'!D:D = D268,
          'Raw PhocalPoint Data'!E:E = E268,
          'Raw PhocalPoint Data'!F:F = F268
        )
      ),
      F"&amp;"ILTER('Raw PhocalPoint Data'!G:G,
        'Raw PhocalPoint Data'!A:A = 2009,
        'Raw PhocalPoint Data'!D:D = D268,
        'Raw PhocalPoint Data'!E:E = E268,
        'Raw PhocalPoint Data'!F:F = F268
      ) *
      (
        INDEX('Raw GDP data'!$I$"&amp;"2:$M$100,
          MATCH(D268, 'Raw GDP data'!$H$2:$H$100, 0),
          MATCH(2008, 'Raw GDP data'!$I$1:$M$1, 0)
        ) /
        INDEX('Raw GDP data'!$I$2:$M$100,
          MATCH(D268, 'Raw GDP data'!$H$2:$H$100, 0),
          MATCH(2009, 'Raw GDP d"&amp;"ata'!$I$1:$M$1, 0)
        )
      )
    ),
  IF(A268 &lt; 2008,
    (
      FILTER(G:G,
        A:A = 2008,
        D:D = D268,
        E:E = E268,
        F:F = F268
      ) /
      PRODUCT(
        ARRAYFORMULA(
          (
            (
              FIL"&amp;"TER('Raw PhocalPoint Data'!G:G,
                'Raw PhocalPoint Data'!A:A = 2012,
                'Raw PhocalPoint Data'!D:D = D268,
                'Raw PhocalPoint Data'!E:E = E268,
                'Raw PhocalPoint Data'!F:F = F268
              ) /
  "&amp;"            FILTER('Raw PhocalPoint Data'!G:G,
                'Raw PhocalPoint Data'!A:A = 2011,
                'Raw PhocalPoint Data'!D:D = D268,
                'Raw PhocalPoint Data'!E:E = E268,
                'Raw PhocalPoint Data'!F:F = F268
     "&amp;"         ) -
              ROW(INDIRECT(""1:"" &amp; (2008 - A268))) *
              (
                (
                  FILTER('Raw PhocalPoint Data'!G:G,
                    'Raw PhocalPoint Data'!A:A = 2012,
                    'Raw PhocalPoint Data'!D:D"&amp;" = D268,
                    'Raw PhocalPoint Data'!E:E = E268,
                    'Raw PhocalPoint Data'!F:F = F268
                  ) /
                  FILTER('Raw PhocalPoint Data'!G:G,
                    'Raw PhocalPoint Data'!A:A = 2011,
       "&amp;"             'Raw PhocalPoint Data'!D:D = D268,
                    'Raw PhocalPoint Data'!E:E = E268,
                    'Raw PhocalPoint Data'!F:F = F268
                  ) - 1
                ) / 5
              )
            )
          )
        )
"&amp;"      )
    ),
    (
      FILTER('Raw PhocalPoint Data'!G:G,
        'Raw PhocalPoint Data'!A:A = 2009,
        'Raw PhocalPoint Data'!D:D = D268,
        'Raw PhocalPoint Data'!E:E = E268,
        'Raw PhocalPoint Data'!F:F = F268
      ) /
      PRODUC"&amp;"T(
        ARRAYFORMULA(
          (
            FILTER('Raw PhocalPoint Data'!G:G,
              'Raw PhocalPoint Data'!A:A = 2012,
              'Raw PhocalPoint Data'!D:D = D268,
              'Raw PhocalPoint Data'!E:E = E268,
              'Raw Phoca"&amp;"lPoint Data'!F:F = F268
            ) /
            FILTER('Raw PhocalPoint Data'!G:G,
              'Raw PhocalPoint Data'!A:A = 2011,
              'Raw PhocalPoint Data'!D:D = D268,
              'Raw PhocalPoint Data'!E:E = E268,
              'Raw Ph"&amp;"ocalPoint Data'!F:F = F268
            ) -
            (ROW(INDIRECT(""1:"" &amp; (2010 - A268))) - 1) *
            (
              (
                FILTER('Raw PhocalPoint Data'!G:G,
                  'Raw PhocalPoint Data'!A:A = 2012,
                  'R"&amp;"aw PhocalPoint Data'!D:D = D268,
                  'Raw PhocalPoint Data'!E:E = E268,
                  'Raw PhocalPoint Data'!F:F = F268
                ) /
                FILTER('Raw PhocalPoint Data'!G:G,
                  'Raw PhocalPoint Data'!A:A ="&amp;" 2011,
                  'Raw PhocalPoint Data'!D:D = D268,
                  'Raw PhocalPoint Data'!E:E = E268,
                  'Raw PhocalPoint Data'!F:F = F268
                ) - 1
              ) / 5
            )
          )
        )
      )
    "&amp;") *
    INDEX('Raw GDP data'!$I$2:$M$100,
      MATCH(D268, 'Raw GDP data'!$H$2:$H$100, 0),
      MATCH(A268, 'Raw GDP data'!$I$1:$M$1, 0)
    )
  )),
  """"
)
"),4949074889.8895)</f>
        <v>4949074889.8894997</v>
      </c>
      <c r="H268" s="80"/>
      <c r="I268" s="81">
        <f ca="1">IFERROR(__xludf.DUMMYFUNCTION("""COMPUTED_VALUE"""),2011)</f>
        <v>2011</v>
      </c>
      <c r="J268" s="82" t="str">
        <f ca="1">IFERROR(__xludf.DUMMYFUNCTION("""COMPUTED_VALUE"""),"Spain")</f>
        <v>Spain</v>
      </c>
      <c r="K268" s="83">
        <f ca="1">IFERROR(
  SUMIFS(
    'New Backfilled Data'!G:G,
    'New Backfilled Data'!A:A, I268,
    'New Backfilled Data'!D:D, J268,
    'New Backfilled Data'!E:E, "Online"
  ) /
  SUMIFS(
    'New Backfilled Data'!G:G,
    'New Backfilled Data'!A:A, I268,
    'New Backfilled Data'!D:D, J268
  ),
  ""
)</f>
        <v>0.28867845651967206</v>
      </c>
      <c r="L268" s="84"/>
      <c r="M268" s="84"/>
    </row>
    <row r="269" spans="1:13" ht="17" x14ac:dyDescent="0.2">
      <c r="A269" s="44">
        <v>2007</v>
      </c>
      <c r="B269" s="45" t="s">
        <v>66</v>
      </c>
      <c r="C269" s="45" t="s">
        <v>4</v>
      </c>
      <c r="D269" s="45" t="s">
        <v>12</v>
      </c>
      <c r="E269" s="45" t="s">
        <v>69</v>
      </c>
      <c r="F269" s="45" t="s">
        <v>71</v>
      </c>
      <c r="G269" s="85">
        <f ca="1">IFERROR(__xludf.DUMMYFUNCTION("IFERROR(
  IF(A269 = 2008,
    IF(E269 = ""Online"",
      FILTER('Raw PhocalPoint Data'!G:G,
        'Raw PhocalPoint Data'!A:A = 2009,
        'Raw PhocalPoint Data'!D:D = D269,
        'Raw PhocalPoint Data'!E:E = E269,
        'Raw PhocalPoint Data'!F"&amp;":F = F269
      ) /
      (
        FILTER('Raw PhocalPoint Data'!G:G,
          'Raw PhocalPoint Data'!A:A = 2012,
          'Raw PhocalPoint Data'!D:D = D269,
          'Raw PhocalPoint Data'!E:E = E269,
          'Raw PhocalPoint Data'!F:F = F269
     "&amp;"   ) /
        FILTER('Raw PhocalPoint Data'!G:G,
          'Raw PhocalPoint Data'!A:A = 2011,
          'Raw PhocalPoint Data'!D:D = D269,
          'Raw PhocalPoint Data'!E:E = E269,
          'Raw PhocalPoint Data'!F:F = F269
        )
      ),
      F"&amp;"ILTER('Raw PhocalPoint Data'!G:G,
        'Raw PhocalPoint Data'!A:A = 2009,
        'Raw PhocalPoint Data'!D:D = D269,
        'Raw PhocalPoint Data'!E:E = E269,
        'Raw PhocalPoint Data'!F:F = F269
      ) *
      (
        INDEX('Raw GDP data'!$I$"&amp;"2:$M$100,
          MATCH(D269, 'Raw GDP data'!$H$2:$H$100, 0),
          MATCH(2008, 'Raw GDP data'!$I$1:$M$1, 0)
        ) /
        INDEX('Raw GDP data'!$I$2:$M$100,
          MATCH(D269, 'Raw GDP data'!$H$2:$H$100, 0),
          MATCH(2009, 'Raw GDP d"&amp;"ata'!$I$1:$M$1, 0)
        )
      )
    ),
  IF(A269 &lt; 2008,
    (
      FILTER(G:G,
        A:A = 2008,
        D:D = D269,
        E:E = E269,
        F:F = F269
      ) /
      PRODUCT(
        ARRAYFORMULA(
          (
            (
              FIL"&amp;"TER('Raw PhocalPoint Data'!G:G,
                'Raw PhocalPoint Data'!A:A = 2012,
                'Raw PhocalPoint Data'!D:D = D269,
                'Raw PhocalPoint Data'!E:E = E269,
                'Raw PhocalPoint Data'!F:F = F269
              ) /
  "&amp;"            FILTER('Raw PhocalPoint Data'!G:G,
                'Raw PhocalPoint Data'!A:A = 2011,
                'Raw PhocalPoint Data'!D:D = D269,
                'Raw PhocalPoint Data'!E:E = E269,
                'Raw PhocalPoint Data'!F:F = F269
     "&amp;"         ) -
              ROW(INDIRECT(""1:"" &amp; (2008 - A269))) *
              (
                (
                  FILTER('Raw PhocalPoint Data'!G:G,
                    'Raw PhocalPoint Data'!A:A = 2012,
                    'Raw PhocalPoint Data'!D:D"&amp;" = D269,
                    'Raw PhocalPoint Data'!E:E = E269,
                    'Raw PhocalPoint Data'!F:F = F269
                  ) /
                  FILTER('Raw PhocalPoint Data'!G:G,
                    'Raw PhocalPoint Data'!A:A = 2011,
       "&amp;"             'Raw PhocalPoint Data'!D:D = D269,
                    'Raw PhocalPoint Data'!E:E = E269,
                    'Raw PhocalPoint Data'!F:F = F269
                  ) - 1
                ) / 5
              )
            )
          )
        )
"&amp;"      )
    ),
    (
      FILTER('Raw PhocalPoint Data'!G:G,
        'Raw PhocalPoint Data'!A:A = 2009,
        'Raw PhocalPoint Data'!D:D = D269,
        'Raw PhocalPoint Data'!E:E = E269,
        'Raw PhocalPoint Data'!F:F = F269
      ) /
      PRODUC"&amp;"T(
        ARRAYFORMULA(
          (
            FILTER('Raw PhocalPoint Data'!G:G,
              'Raw PhocalPoint Data'!A:A = 2012,
              'Raw PhocalPoint Data'!D:D = D269,
              'Raw PhocalPoint Data'!E:E = E269,
              'Raw Phoca"&amp;"lPoint Data'!F:F = F269
            ) /
            FILTER('Raw PhocalPoint Data'!G:G,
              'Raw PhocalPoint Data'!A:A = 2011,
              'Raw PhocalPoint Data'!D:D = D269,
              'Raw PhocalPoint Data'!E:E = E269,
              'Raw Ph"&amp;"ocalPoint Data'!F:F = F269
            ) -
            (ROW(INDIRECT(""1:"" &amp; (2010 - A269))) - 1) *
            (
              (
                FILTER('Raw PhocalPoint Data'!G:G,
                  'Raw PhocalPoint Data'!A:A = 2012,
                  'R"&amp;"aw PhocalPoint Data'!D:D = D269,
                  'Raw PhocalPoint Data'!E:E = E269,
                  'Raw PhocalPoint Data'!F:F = F269
                ) /
                FILTER('Raw PhocalPoint Data'!G:G,
                  'Raw PhocalPoint Data'!A:A ="&amp;" 2011,
                  'Raw PhocalPoint Data'!D:D = D269,
                  'Raw PhocalPoint Data'!E:E = E269,
                  'Raw PhocalPoint Data'!F:F = F269
                ) - 1
              ) / 5
            )
          )
        )
      )
    "&amp;") *
    INDEX('Raw GDP data'!$I$2:$M$100,
      MATCH(D269, 'Raw GDP data'!$H$2:$H$100, 0),
      MATCH(A269, 'Raw GDP data'!$I$1:$M$1, 0)
    )
  )),
  """"
)
"),131736701.455421)</f>
        <v>131736701.455421</v>
      </c>
      <c r="H269" s="86"/>
      <c r="I269" s="87">
        <f ca="1">IFERROR(__xludf.DUMMYFUNCTION("""COMPUTED_VALUE"""),2011)</f>
        <v>2011</v>
      </c>
      <c r="J269" s="88" t="str">
        <f ca="1">IFERROR(__xludf.DUMMYFUNCTION("""COMPUTED_VALUE"""),"U.K.")</f>
        <v>U.K.</v>
      </c>
      <c r="K269" s="89">
        <f ca="1">IFERROR(
  SUMIFS(
    'New Backfilled Data'!G:G,
    'New Backfilled Data'!A:A, I269,
    'New Backfilled Data'!D:D, J269,
    'New Backfilled Data'!E:E, "Online"
  ) /
  SUMIFS(
    'New Backfilled Data'!G:G,
    'New Backfilled Data'!A:A, I269,
    'New Backfilled Data'!D:D, J269
  ),
  ""
)</f>
        <v>0.4979296730204924</v>
      </c>
      <c r="L269" s="90"/>
      <c r="M269" s="90"/>
    </row>
    <row r="270" spans="1:13" ht="17" x14ac:dyDescent="0.2">
      <c r="A270" s="37">
        <v>2007</v>
      </c>
      <c r="B270" s="38" t="s">
        <v>66</v>
      </c>
      <c r="C270" s="38" t="s">
        <v>4</v>
      </c>
      <c r="D270" s="38" t="s">
        <v>12</v>
      </c>
      <c r="E270" s="38" t="s">
        <v>69</v>
      </c>
      <c r="F270" s="38" t="s">
        <v>70</v>
      </c>
      <c r="G270" s="79">
        <f ca="1">IFERROR(__xludf.DUMMYFUNCTION("IFERROR(
  IF(A270 = 2008,
    IF(E270 = ""Online"",
      FILTER('Raw PhocalPoint Data'!G:G,
        'Raw PhocalPoint Data'!A:A = 2009,
        'Raw PhocalPoint Data'!D:D = D270,
        'Raw PhocalPoint Data'!E:E = E270,
        'Raw PhocalPoint Data'!F"&amp;":F = F270
      ) /
      (
        FILTER('Raw PhocalPoint Data'!G:G,
          'Raw PhocalPoint Data'!A:A = 2012,
          'Raw PhocalPoint Data'!D:D = D270,
          'Raw PhocalPoint Data'!E:E = E270,
          'Raw PhocalPoint Data'!F:F = F270
     "&amp;"   ) /
        FILTER('Raw PhocalPoint Data'!G:G,
          'Raw PhocalPoint Data'!A:A = 2011,
          'Raw PhocalPoint Data'!D:D = D270,
          'Raw PhocalPoint Data'!E:E = E270,
          'Raw PhocalPoint Data'!F:F = F270
        )
      ),
      F"&amp;"ILTER('Raw PhocalPoint Data'!G:G,
        'Raw PhocalPoint Data'!A:A = 2009,
        'Raw PhocalPoint Data'!D:D = D270,
        'Raw PhocalPoint Data'!E:E = E270,
        'Raw PhocalPoint Data'!F:F = F270
      ) *
      (
        INDEX('Raw GDP data'!$I$"&amp;"2:$M$100,
          MATCH(D270, 'Raw GDP data'!$H$2:$H$100, 0),
          MATCH(2008, 'Raw GDP data'!$I$1:$M$1, 0)
        ) /
        INDEX('Raw GDP data'!$I$2:$M$100,
          MATCH(D270, 'Raw GDP data'!$H$2:$H$100, 0),
          MATCH(2009, 'Raw GDP d"&amp;"ata'!$I$1:$M$1, 0)
        )
      )
    ),
  IF(A270 &lt; 2008,
    (
      FILTER(G:G,
        A:A = 2008,
        D:D = D270,
        E:E = E270,
        F:F = F270
      ) /
      PRODUCT(
        ARRAYFORMULA(
          (
            (
              FIL"&amp;"TER('Raw PhocalPoint Data'!G:G,
                'Raw PhocalPoint Data'!A:A = 2012,
                'Raw PhocalPoint Data'!D:D = D270,
                'Raw PhocalPoint Data'!E:E = E270,
                'Raw PhocalPoint Data'!F:F = F270
              ) /
  "&amp;"            FILTER('Raw PhocalPoint Data'!G:G,
                'Raw PhocalPoint Data'!A:A = 2011,
                'Raw PhocalPoint Data'!D:D = D270,
                'Raw PhocalPoint Data'!E:E = E270,
                'Raw PhocalPoint Data'!F:F = F270
     "&amp;"         ) -
              ROW(INDIRECT(""1:"" &amp; (2008 - A270))) *
              (
                (
                  FILTER('Raw PhocalPoint Data'!G:G,
                    'Raw PhocalPoint Data'!A:A = 2012,
                    'Raw PhocalPoint Data'!D:D"&amp;" = D270,
                    'Raw PhocalPoint Data'!E:E = E270,
                    'Raw PhocalPoint Data'!F:F = F270
                  ) /
                  FILTER('Raw PhocalPoint Data'!G:G,
                    'Raw PhocalPoint Data'!A:A = 2011,
       "&amp;"             'Raw PhocalPoint Data'!D:D = D270,
                    'Raw PhocalPoint Data'!E:E = E270,
                    'Raw PhocalPoint Data'!F:F = F270
                  ) - 1
                ) / 5
              )
            )
          )
        )
"&amp;"      )
    ),
    (
      FILTER('Raw PhocalPoint Data'!G:G,
        'Raw PhocalPoint Data'!A:A = 2009,
        'Raw PhocalPoint Data'!D:D = D270,
        'Raw PhocalPoint Data'!E:E = E270,
        'Raw PhocalPoint Data'!F:F = F270
      ) /
      PRODUC"&amp;"T(
        ARRAYFORMULA(
          (
            FILTER('Raw PhocalPoint Data'!G:G,
              'Raw PhocalPoint Data'!A:A = 2012,
              'Raw PhocalPoint Data'!D:D = D270,
              'Raw PhocalPoint Data'!E:E = E270,
              'Raw Phoca"&amp;"lPoint Data'!F:F = F270
            ) /
            FILTER('Raw PhocalPoint Data'!G:G,
              'Raw PhocalPoint Data'!A:A = 2011,
              'Raw PhocalPoint Data'!D:D = D270,
              'Raw PhocalPoint Data'!E:E = E270,
              'Raw Ph"&amp;"ocalPoint Data'!F:F = F270
            ) -
            (ROW(INDIRECT(""1:"" &amp; (2010 - A270))) - 1) *
            (
              (
                FILTER('Raw PhocalPoint Data'!G:G,
                  'Raw PhocalPoint Data'!A:A = 2012,
                  'R"&amp;"aw PhocalPoint Data'!D:D = D270,
                  'Raw PhocalPoint Data'!E:E = E270,
                  'Raw PhocalPoint Data'!F:F = F270
                ) /
                FILTER('Raw PhocalPoint Data'!G:G,
                  'Raw PhocalPoint Data'!A:A ="&amp;" 2011,
                  'Raw PhocalPoint Data'!D:D = D270,
                  'Raw PhocalPoint Data'!E:E = E270,
                  'Raw PhocalPoint Data'!F:F = F270
                ) - 1
              ) / 5
            )
          )
        )
      )
    "&amp;") *
    INDEX('Raw GDP data'!$I$2:$M$100,
      MATCH(D270, 'Raw GDP data'!$H$2:$H$100, 0),
      MATCH(A270, 'Raw GDP data'!$I$1:$M$1, 0)
    )
  )),
  """"
)
"),1088766747.46793)</f>
        <v>1088766747.4679301</v>
      </c>
      <c r="H270" s="80"/>
      <c r="I270" s="81">
        <f ca="1">IFERROR(__xludf.DUMMYFUNCTION("""COMPUTED_VALUE"""),2011)</f>
        <v>2011</v>
      </c>
      <c r="J270" s="82" t="str">
        <f ca="1">IFERROR(__xludf.DUMMYFUNCTION("""COMPUTED_VALUE"""),"Argentina")</f>
        <v>Argentina</v>
      </c>
      <c r="K270" s="83">
        <f ca="1">IFERROR(
  SUMIFS(
    'New Backfilled Data'!G:G,
    'New Backfilled Data'!A:A, I270,
    'New Backfilled Data'!D:D, J270,
    'New Backfilled Data'!E:E, "Online"
  ) /
  SUMIFS(
    'New Backfilled Data'!G:G,
    'New Backfilled Data'!A:A, I270,
    'New Backfilled Data'!D:D, J270
  ),
  ""
)</f>
        <v>9.1129886692183595E-2</v>
      </c>
      <c r="L270" s="84"/>
      <c r="M270" s="84"/>
    </row>
    <row r="271" spans="1:13" ht="17" x14ac:dyDescent="0.2">
      <c r="A271" s="44">
        <v>2007</v>
      </c>
      <c r="B271" s="45" t="s">
        <v>66</v>
      </c>
      <c r="C271" s="45" t="s">
        <v>4</v>
      </c>
      <c r="D271" s="45" t="s">
        <v>13</v>
      </c>
      <c r="E271" s="45" t="s">
        <v>67</v>
      </c>
      <c r="F271" s="45" t="s">
        <v>67</v>
      </c>
      <c r="G271" s="85">
        <f ca="1">IFERROR(__xludf.DUMMYFUNCTION("IFERROR(
  IF(A271 = 2008,
    IF(E271 = ""Online"",
      FILTER('Raw PhocalPoint Data'!G:G,
        'Raw PhocalPoint Data'!A:A = 2009,
        'Raw PhocalPoint Data'!D:D = D271,
        'Raw PhocalPoint Data'!E:E = E271,
        'Raw PhocalPoint Data'!F"&amp;":F = F271
      ) /
      (
        FILTER('Raw PhocalPoint Data'!G:G,
          'Raw PhocalPoint Data'!A:A = 2012,
          'Raw PhocalPoint Data'!D:D = D271,
          'Raw PhocalPoint Data'!E:E = E271,
          'Raw PhocalPoint Data'!F:F = F271
     "&amp;"   ) /
        FILTER('Raw PhocalPoint Data'!G:G,
          'Raw PhocalPoint Data'!A:A = 2011,
          'Raw PhocalPoint Data'!D:D = D271,
          'Raw PhocalPoint Data'!E:E = E271,
          'Raw PhocalPoint Data'!F:F = F271
        )
      ),
      F"&amp;"ILTER('Raw PhocalPoint Data'!G:G,
        'Raw PhocalPoint Data'!A:A = 2009,
        'Raw PhocalPoint Data'!D:D = D271,
        'Raw PhocalPoint Data'!E:E = E271,
        'Raw PhocalPoint Data'!F:F = F271
      ) *
      (
        INDEX('Raw GDP data'!$I$"&amp;"2:$M$100,
          MATCH(D271, 'Raw GDP data'!$H$2:$H$100, 0),
          MATCH(2008, 'Raw GDP data'!$I$1:$M$1, 0)
        ) /
        INDEX('Raw GDP data'!$I$2:$M$100,
          MATCH(D271, 'Raw GDP data'!$H$2:$H$100, 0),
          MATCH(2009, 'Raw GDP d"&amp;"ata'!$I$1:$M$1, 0)
        )
      )
    ),
  IF(A271 &lt; 2008,
    (
      FILTER(G:G,
        A:A = 2008,
        D:D = D271,
        E:E = E271,
        F:F = F271
      ) /
      PRODUCT(
        ARRAYFORMULA(
          (
            (
              FIL"&amp;"TER('Raw PhocalPoint Data'!G:G,
                'Raw PhocalPoint Data'!A:A = 2012,
                'Raw PhocalPoint Data'!D:D = D271,
                'Raw PhocalPoint Data'!E:E = E271,
                'Raw PhocalPoint Data'!F:F = F271
              ) /
  "&amp;"            FILTER('Raw PhocalPoint Data'!G:G,
                'Raw PhocalPoint Data'!A:A = 2011,
                'Raw PhocalPoint Data'!D:D = D271,
                'Raw PhocalPoint Data'!E:E = E271,
                'Raw PhocalPoint Data'!F:F = F271
     "&amp;"         ) -
              ROW(INDIRECT(""1:"" &amp; (2008 - A271))) *
              (
                (
                  FILTER('Raw PhocalPoint Data'!G:G,
                    'Raw PhocalPoint Data'!A:A = 2012,
                    'Raw PhocalPoint Data'!D:D"&amp;" = D271,
                    'Raw PhocalPoint Data'!E:E = E271,
                    'Raw PhocalPoint Data'!F:F = F271
                  ) /
                  FILTER('Raw PhocalPoint Data'!G:G,
                    'Raw PhocalPoint Data'!A:A = 2011,
       "&amp;"             'Raw PhocalPoint Data'!D:D = D271,
                    'Raw PhocalPoint Data'!E:E = E271,
                    'Raw PhocalPoint Data'!F:F = F271
                  ) - 1
                ) / 5
              )
            )
          )
        )
"&amp;"      )
    ),
    (
      FILTER('Raw PhocalPoint Data'!G:G,
        'Raw PhocalPoint Data'!A:A = 2009,
        'Raw PhocalPoint Data'!D:D = D271,
        'Raw PhocalPoint Data'!E:E = E271,
        'Raw PhocalPoint Data'!F:F = F271
      ) /
      PRODUC"&amp;"T(
        ARRAYFORMULA(
          (
            FILTER('Raw PhocalPoint Data'!G:G,
              'Raw PhocalPoint Data'!A:A = 2012,
              'Raw PhocalPoint Data'!D:D = D271,
              'Raw PhocalPoint Data'!E:E = E271,
              'Raw Phoca"&amp;"lPoint Data'!F:F = F271
            ) /
            FILTER('Raw PhocalPoint Data'!G:G,
              'Raw PhocalPoint Data'!A:A = 2011,
              'Raw PhocalPoint Data'!D:D = D271,
              'Raw PhocalPoint Data'!E:E = E271,
              'Raw Ph"&amp;"ocalPoint Data'!F:F = F271
            ) -
            (ROW(INDIRECT(""1:"" &amp; (2010 - A271))) - 1) *
            (
              (
                FILTER('Raw PhocalPoint Data'!G:G,
                  'Raw PhocalPoint Data'!A:A = 2012,
                  'R"&amp;"aw PhocalPoint Data'!D:D = D271,
                  'Raw PhocalPoint Data'!E:E = E271,
                  'Raw PhocalPoint Data'!F:F = F271
                ) /
                FILTER('Raw PhocalPoint Data'!G:G,
                  'Raw PhocalPoint Data'!A:A ="&amp;" 2011,
                  'Raw PhocalPoint Data'!D:D = D271,
                  'Raw PhocalPoint Data'!E:E = E271,
                  'Raw PhocalPoint Data'!F:F = F271
                ) - 1
              ) / 5
            )
          )
        )
      )
    "&amp;") *
    INDEX('Raw GDP data'!$I$2:$M$100,
      MATCH(D271, 'Raw GDP data'!$H$2:$H$100, 0),
      MATCH(A271, 'Raw GDP data'!$I$1:$M$1, 0)
    )
  )),
  """"
)
"),10014577177.7722)</f>
        <v>10014577177.7722</v>
      </c>
      <c r="H271" s="86"/>
      <c r="I271" s="87">
        <f ca="1">IFERROR(__xludf.DUMMYFUNCTION("""COMPUTED_VALUE"""),2011)</f>
        <v>2011</v>
      </c>
      <c r="J271" s="88" t="str">
        <f ca="1">IFERROR(__xludf.DUMMYFUNCTION("""COMPUTED_VALUE"""),"Brazil")</f>
        <v>Brazil</v>
      </c>
      <c r="K271" s="89">
        <f ca="1">IFERROR(
  SUMIFS(
    'New Backfilled Data'!G:G,
    'New Backfilled Data'!A:A, I271,
    'New Backfilled Data'!D:D, J271,
    'New Backfilled Data'!E:E, "Online"
  ) /
  SUMIFS(
    'New Backfilled Data'!G:G,
    'New Backfilled Data'!A:A, I271,
    'New Backfilled Data'!D:D, J271
  ),
  ""
)</f>
        <v>0.15660998749235816</v>
      </c>
      <c r="L271" s="90"/>
      <c r="M271" s="90"/>
    </row>
    <row r="272" spans="1:13" ht="17" x14ac:dyDescent="0.2">
      <c r="A272" s="37">
        <v>2007</v>
      </c>
      <c r="B272" s="38" t="s">
        <v>66</v>
      </c>
      <c r="C272" s="38" t="s">
        <v>4</v>
      </c>
      <c r="D272" s="38" t="s">
        <v>13</v>
      </c>
      <c r="E272" s="38" t="s">
        <v>69</v>
      </c>
      <c r="F272" s="38" t="s">
        <v>71</v>
      </c>
      <c r="G272" s="79">
        <f ca="1">IFERROR(__xludf.DUMMYFUNCTION("IFERROR(
  IF(A272 = 2008,
    IF(E272 = ""Online"",
      FILTER('Raw PhocalPoint Data'!G:G,
        'Raw PhocalPoint Data'!A:A = 2009,
        'Raw PhocalPoint Data'!D:D = D272,
        'Raw PhocalPoint Data'!E:E = E272,
        'Raw PhocalPoint Data'!F"&amp;":F = F272
      ) /
      (
        FILTER('Raw PhocalPoint Data'!G:G,
          'Raw PhocalPoint Data'!A:A = 2012,
          'Raw PhocalPoint Data'!D:D = D272,
          'Raw PhocalPoint Data'!E:E = E272,
          'Raw PhocalPoint Data'!F:F = F272
     "&amp;"   ) /
        FILTER('Raw PhocalPoint Data'!G:G,
          'Raw PhocalPoint Data'!A:A = 2011,
          'Raw PhocalPoint Data'!D:D = D272,
          'Raw PhocalPoint Data'!E:E = E272,
          'Raw PhocalPoint Data'!F:F = F272
        )
      ),
      F"&amp;"ILTER('Raw PhocalPoint Data'!G:G,
        'Raw PhocalPoint Data'!A:A = 2009,
        'Raw PhocalPoint Data'!D:D = D272,
        'Raw PhocalPoint Data'!E:E = E272,
        'Raw PhocalPoint Data'!F:F = F272
      ) *
      (
        INDEX('Raw GDP data'!$I$"&amp;"2:$M$100,
          MATCH(D272, 'Raw GDP data'!$H$2:$H$100, 0),
          MATCH(2008, 'Raw GDP data'!$I$1:$M$1, 0)
        ) /
        INDEX('Raw GDP data'!$I$2:$M$100,
          MATCH(D272, 'Raw GDP data'!$H$2:$H$100, 0),
          MATCH(2009, 'Raw GDP d"&amp;"ata'!$I$1:$M$1, 0)
        )
      )
    ),
  IF(A272 &lt; 2008,
    (
      FILTER(G:G,
        A:A = 2008,
        D:D = D272,
        E:E = E272,
        F:F = F272
      ) /
      PRODUCT(
        ARRAYFORMULA(
          (
            (
              FIL"&amp;"TER('Raw PhocalPoint Data'!G:G,
                'Raw PhocalPoint Data'!A:A = 2012,
                'Raw PhocalPoint Data'!D:D = D272,
                'Raw PhocalPoint Data'!E:E = E272,
                'Raw PhocalPoint Data'!F:F = F272
              ) /
  "&amp;"            FILTER('Raw PhocalPoint Data'!G:G,
                'Raw PhocalPoint Data'!A:A = 2011,
                'Raw PhocalPoint Data'!D:D = D272,
                'Raw PhocalPoint Data'!E:E = E272,
                'Raw PhocalPoint Data'!F:F = F272
     "&amp;"         ) -
              ROW(INDIRECT(""1:"" &amp; (2008 - A272))) *
              (
                (
                  FILTER('Raw PhocalPoint Data'!G:G,
                    'Raw PhocalPoint Data'!A:A = 2012,
                    'Raw PhocalPoint Data'!D:D"&amp;" = D272,
                    'Raw PhocalPoint Data'!E:E = E272,
                    'Raw PhocalPoint Data'!F:F = F272
                  ) /
                  FILTER('Raw PhocalPoint Data'!G:G,
                    'Raw PhocalPoint Data'!A:A = 2011,
       "&amp;"             'Raw PhocalPoint Data'!D:D = D272,
                    'Raw PhocalPoint Data'!E:E = E272,
                    'Raw PhocalPoint Data'!F:F = F272
                  ) - 1
                ) / 5
              )
            )
          )
        )
"&amp;"      )
    ),
    (
      FILTER('Raw PhocalPoint Data'!G:G,
        'Raw PhocalPoint Data'!A:A = 2009,
        'Raw PhocalPoint Data'!D:D = D272,
        'Raw PhocalPoint Data'!E:E = E272,
        'Raw PhocalPoint Data'!F:F = F272
      ) /
      PRODUC"&amp;"T(
        ARRAYFORMULA(
          (
            FILTER('Raw PhocalPoint Data'!G:G,
              'Raw PhocalPoint Data'!A:A = 2012,
              'Raw PhocalPoint Data'!D:D = D272,
              'Raw PhocalPoint Data'!E:E = E272,
              'Raw Phoca"&amp;"lPoint Data'!F:F = F272
            ) /
            FILTER('Raw PhocalPoint Data'!G:G,
              'Raw PhocalPoint Data'!A:A = 2011,
              'Raw PhocalPoint Data'!D:D = D272,
              'Raw PhocalPoint Data'!E:E = E272,
              'Raw Ph"&amp;"ocalPoint Data'!F:F = F272
            ) -
            (ROW(INDIRECT(""1:"" &amp; (2010 - A272))) - 1) *
            (
              (
                FILTER('Raw PhocalPoint Data'!G:G,
                  'Raw PhocalPoint Data'!A:A = 2012,
                  'R"&amp;"aw PhocalPoint Data'!D:D = D272,
                  'Raw PhocalPoint Data'!E:E = E272,
                  'Raw PhocalPoint Data'!F:F = F272
                ) /
                FILTER('Raw PhocalPoint Data'!G:G,
                  'Raw PhocalPoint Data'!A:A ="&amp;" 2011,
                  'Raw PhocalPoint Data'!D:D = D272,
                  'Raw PhocalPoint Data'!E:E = E272,
                  'Raw PhocalPoint Data'!F:F = F272
                ) - 1
              ) / 5
            )
          )
        )
      )
    "&amp;") *
    INDEX('Raw GDP data'!$I$2:$M$100,
      MATCH(D272, 'Raw GDP data'!$H$2:$H$100, 0),
      MATCH(A272, 'Raw GDP data'!$I$1:$M$1, 0)
    )
  )),
  """"
)
"),21451725.219405)</f>
        <v>21451725.219404999</v>
      </c>
      <c r="H272" s="80"/>
      <c r="I272" s="81">
        <f ca="1">IFERROR(__xludf.DUMMYFUNCTION("""COMPUTED_VALUE"""),2011)</f>
        <v>2011</v>
      </c>
      <c r="J272" s="82" t="str">
        <f ca="1">IFERROR(__xludf.DUMMYFUNCTION("""COMPUTED_VALUE"""),"Chile")</f>
        <v>Chile</v>
      </c>
      <c r="K272" s="83">
        <f ca="1">IFERROR(
  SUMIFS(
    'New Backfilled Data'!G:G,
    'New Backfilled Data'!A:A, I272,
    'New Backfilled Data'!D:D, J272,
    'New Backfilled Data'!E:E, "Online"
  ) /
  SUMIFS(
    'New Backfilled Data'!G:G,
    'New Backfilled Data'!A:A, I272,
    'New Backfilled Data'!D:D, J272
  ),
  ""
)</f>
        <v>0.22406174001443868</v>
      </c>
      <c r="L272" s="84"/>
      <c r="M272" s="84"/>
    </row>
    <row r="273" spans="1:13" ht="17" x14ac:dyDescent="0.2">
      <c r="A273" s="44">
        <v>2007</v>
      </c>
      <c r="B273" s="45" t="s">
        <v>66</v>
      </c>
      <c r="C273" s="45" t="s">
        <v>4</v>
      </c>
      <c r="D273" s="45" t="s">
        <v>13</v>
      </c>
      <c r="E273" s="45" t="s">
        <v>69</v>
      </c>
      <c r="F273" s="45" t="s">
        <v>70</v>
      </c>
      <c r="G273" s="85">
        <f ca="1">IFERROR(__xludf.DUMMYFUNCTION("IFERROR(
  IF(A273 = 2008,
    IF(E273 = ""Online"",
      FILTER('Raw PhocalPoint Data'!G:G,
        'Raw PhocalPoint Data'!A:A = 2009,
        'Raw PhocalPoint Data'!D:D = D273,
        'Raw PhocalPoint Data'!E:E = E273,
        'Raw PhocalPoint Data'!F"&amp;":F = F273
      ) /
      (
        FILTER('Raw PhocalPoint Data'!G:G,
          'Raw PhocalPoint Data'!A:A = 2012,
          'Raw PhocalPoint Data'!D:D = D273,
          'Raw PhocalPoint Data'!E:E = E273,
          'Raw PhocalPoint Data'!F:F = F273
     "&amp;"   ) /
        FILTER('Raw PhocalPoint Data'!G:G,
          'Raw PhocalPoint Data'!A:A = 2011,
          'Raw PhocalPoint Data'!D:D = D273,
          'Raw PhocalPoint Data'!E:E = E273,
          'Raw PhocalPoint Data'!F:F = F273
        )
      ),
      F"&amp;"ILTER('Raw PhocalPoint Data'!G:G,
        'Raw PhocalPoint Data'!A:A = 2009,
        'Raw PhocalPoint Data'!D:D = D273,
        'Raw PhocalPoint Data'!E:E = E273,
        'Raw PhocalPoint Data'!F:F = F273
      ) *
      (
        INDEX('Raw GDP data'!$I$"&amp;"2:$M$100,
          MATCH(D273, 'Raw GDP data'!$H$2:$H$100, 0),
          MATCH(2008, 'Raw GDP data'!$I$1:$M$1, 0)
        ) /
        INDEX('Raw GDP data'!$I$2:$M$100,
          MATCH(D273, 'Raw GDP data'!$H$2:$H$100, 0),
          MATCH(2009, 'Raw GDP d"&amp;"ata'!$I$1:$M$1, 0)
        )
      )
    ),
  IF(A273 &lt; 2008,
    (
      FILTER(G:G,
        A:A = 2008,
        D:D = D273,
        E:E = E273,
        F:F = F273
      ) /
      PRODUCT(
        ARRAYFORMULA(
          (
            (
              FIL"&amp;"TER('Raw PhocalPoint Data'!G:G,
                'Raw PhocalPoint Data'!A:A = 2012,
                'Raw PhocalPoint Data'!D:D = D273,
                'Raw PhocalPoint Data'!E:E = E273,
                'Raw PhocalPoint Data'!F:F = F273
              ) /
  "&amp;"            FILTER('Raw PhocalPoint Data'!G:G,
                'Raw PhocalPoint Data'!A:A = 2011,
                'Raw PhocalPoint Data'!D:D = D273,
                'Raw PhocalPoint Data'!E:E = E273,
                'Raw PhocalPoint Data'!F:F = F273
     "&amp;"         ) -
              ROW(INDIRECT(""1:"" &amp; (2008 - A273))) *
              (
                (
                  FILTER('Raw PhocalPoint Data'!G:G,
                    'Raw PhocalPoint Data'!A:A = 2012,
                    'Raw PhocalPoint Data'!D:D"&amp;" = D273,
                    'Raw PhocalPoint Data'!E:E = E273,
                    'Raw PhocalPoint Data'!F:F = F273
                  ) /
                  FILTER('Raw PhocalPoint Data'!G:G,
                    'Raw PhocalPoint Data'!A:A = 2011,
       "&amp;"             'Raw PhocalPoint Data'!D:D = D273,
                    'Raw PhocalPoint Data'!E:E = E273,
                    'Raw PhocalPoint Data'!F:F = F273
                  ) - 1
                ) / 5
              )
            )
          )
        )
"&amp;"      )
    ),
    (
      FILTER('Raw PhocalPoint Data'!G:G,
        'Raw PhocalPoint Data'!A:A = 2009,
        'Raw PhocalPoint Data'!D:D = D273,
        'Raw PhocalPoint Data'!E:E = E273,
        'Raw PhocalPoint Data'!F:F = F273
      ) /
      PRODUC"&amp;"T(
        ARRAYFORMULA(
          (
            FILTER('Raw PhocalPoint Data'!G:G,
              'Raw PhocalPoint Data'!A:A = 2012,
              'Raw PhocalPoint Data'!D:D = D273,
              'Raw PhocalPoint Data'!E:E = E273,
              'Raw Phoca"&amp;"lPoint Data'!F:F = F273
            ) /
            FILTER('Raw PhocalPoint Data'!G:G,
              'Raw PhocalPoint Data'!A:A = 2011,
              'Raw PhocalPoint Data'!D:D = D273,
              'Raw PhocalPoint Data'!E:E = E273,
              'Raw Ph"&amp;"ocalPoint Data'!F:F = F273
            ) -
            (ROW(INDIRECT(""1:"" &amp; (2010 - A273))) - 1) *
            (
              (
                FILTER('Raw PhocalPoint Data'!G:G,
                  'Raw PhocalPoint Data'!A:A = 2012,
                  'R"&amp;"aw PhocalPoint Data'!D:D = D273,
                  'Raw PhocalPoint Data'!E:E = E273,
                  'Raw PhocalPoint Data'!F:F = F273
                ) /
                FILTER('Raw PhocalPoint Data'!G:G,
                  'Raw PhocalPoint Data'!A:A ="&amp;" 2011,
                  'Raw PhocalPoint Data'!D:D = D273,
                  'Raw PhocalPoint Data'!E:E = E273,
                  'Raw PhocalPoint Data'!F:F = F273
                ) - 1
              ) / 5
            )
          )
        )
      )
    "&amp;") *
    INDEX('Raw GDP data'!$I$2:$M$100,
      MATCH(D273, 'Raw GDP data'!$H$2:$H$100, 0),
      MATCH(A273, 'Raw GDP data'!$I$1:$M$1, 0)
    )
  )),
  """"
)
"),646496404.967943)</f>
        <v>646496404.96794295</v>
      </c>
      <c r="H273" s="86"/>
      <c r="I273" s="87">
        <f ca="1">IFERROR(__xludf.DUMMYFUNCTION("""COMPUTED_VALUE"""),2011)</f>
        <v>2011</v>
      </c>
      <c r="J273" s="88" t="str">
        <f ca="1">IFERROR(__xludf.DUMMYFUNCTION("""COMPUTED_VALUE"""),"Colombia")</f>
        <v>Colombia</v>
      </c>
      <c r="K273" s="89">
        <f ca="1">IFERROR(
  SUMIFS(
    'New Backfilled Data'!G:G,
    'New Backfilled Data'!A:A, I273,
    'New Backfilled Data'!D:D, J273,
    'New Backfilled Data'!E:E, "Online"
  ) /
  SUMIFS(
    'New Backfilled Data'!G:G,
    'New Backfilled Data'!A:A, I273,
    'New Backfilled Data'!D:D, J273
  ),
  ""
)</f>
        <v>0.14635784733626839</v>
      </c>
      <c r="L273" s="90"/>
      <c r="M273" s="90"/>
    </row>
    <row r="274" spans="1:13" ht="17" x14ac:dyDescent="0.2">
      <c r="A274" s="37">
        <v>2007</v>
      </c>
      <c r="B274" s="38" t="s">
        <v>66</v>
      </c>
      <c r="C274" s="38" t="s">
        <v>4</v>
      </c>
      <c r="D274" s="38" t="s">
        <v>14</v>
      </c>
      <c r="E274" s="38" t="s">
        <v>67</v>
      </c>
      <c r="F274" s="38" t="s">
        <v>67</v>
      </c>
      <c r="G274" s="79">
        <f ca="1">IFERROR(__xludf.DUMMYFUNCTION("IFERROR(
  IF(A274 = 2008,
    IF(E274 = ""Online"",
      FILTER('Raw PhocalPoint Data'!G:G,
        'Raw PhocalPoint Data'!A:A = 2009,
        'Raw PhocalPoint Data'!D:D = D274,
        'Raw PhocalPoint Data'!E:E = E274,
        'Raw PhocalPoint Data'!F"&amp;":F = F274
      ) /
      (
        FILTER('Raw PhocalPoint Data'!G:G,
          'Raw PhocalPoint Data'!A:A = 2012,
          'Raw PhocalPoint Data'!D:D = D274,
          'Raw PhocalPoint Data'!E:E = E274,
          'Raw PhocalPoint Data'!F:F = F274
     "&amp;"   ) /
        FILTER('Raw PhocalPoint Data'!G:G,
          'Raw PhocalPoint Data'!A:A = 2011,
          'Raw PhocalPoint Data'!D:D = D274,
          'Raw PhocalPoint Data'!E:E = E274,
          'Raw PhocalPoint Data'!F:F = F274
        )
      ),
      F"&amp;"ILTER('Raw PhocalPoint Data'!G:G,
        'Raw PhocalPoint Data'!A:A = 2009,
        'Raw PhocalPoint Data'!D:D = D274,
        'Raw PhocalPoint Data'!E:E = E274,
        'Raw PhocalPoint Data'!F:F = F274
      ) *
      (
        INDEX('Raw GDP data'!$I$"&amp;"2:$M$100,
          MATCH(D274, 'Raw GDP data'!$H$2:$H$100, 0),
          MATCH(2008, 'Raw GDP data'!$I$1:$M$1, 0)
        ) /
        INDEX('Raw GDP data'!$I$2:$M$100,
          MATCH(D274, 'Raw GDP data'!$H$2:$H$100, 0),
          MATCH(2009, 'Raw GDP d"&amp;"ata'!$I$1:$M$1, 0)
        )
      )
    ),
  IF(A274 &lt; 2008,
    (
      FILTER(G:G,
        A:A = 2008,
        D:D = D274,
        E:E = E274,
        F:F = F274
      ) /
      PRODUCT(
        ARRAYFORMULA(
          (
            (
              FIL"&amp;"TER('Raw PhocalPoint Data'!G:G,
                'Raw PhocalPoint Data'!A:A = 2012,
                'Raw PhocalPoint Data'!D:D = D274,
                'Raw PhocalPoint Data'!E:E = E274,
                'Raw PhocalPoint Data'!F:F = F274
              ) /
  "&amp;"            FILTER('Raw PhocalPoint Data'!G:G,
                'Raw PhocalPoint Data'!A:A = 2011,
                'Raw PhocalPoint Data'!D:D = D274,
                'Raw PhocalPoint Data'!E:E = E274,
                'Raw PhocalPoint Data'!F:F = F274
     "&amp;"         ) -
              ROW(INDIRECT(""1:"" &amp; (2008 - A274))) *
              (
                (
                  FILTER('Raw PhocalPoint Data'!G:G,
                    'Raw PhocalPoint Data'!A:A = 2012,
                    'Raw PhocalPoint Data'!D:D"&amp;" = D274,
                    'Raw PhocalPoint Data'!E:E = E274,
                    'Raw PhocalPoint Data'!F:F = F274
                  ) /
                  FILTER('Raw PhocalPoint Data'!G:G,
                    'Raw PhocalPoint Data'!A:A = 2011,
       "&amp;"             'Raw PhocalPoint Data'!D:D = D274,
                    'Raw PhocalPoint Data'!E:E = E274,
                    'Raw PhocalPoint Data'!F:F = F274
                  ) - 1
                ) / 5
              )
            )
          )
        )
"&amp;"      )
    ),
    (
      FILTER('Raw PhocalPoint Data'!G:G,
        'Raw PhocalPoint Data'!A:A = 2009,
        'Raw PhocalPoint Data'!D:D = D274,
        'Raw PhocalPoint Data'!E:E = E274,
        'Raw PhocalPoint Data'!F:F = F274
      ) /
      PRODUC"&amp;"T(
        ARRAYFORMULA(
          (
            FILTER('Raw PhocalPoint Data'!G:G,
              'Raw PhocalPoint Data'!A:A = 2012,
              'Raw PhocalPoint Data'!D:D = D274,
              'Raw PhocalPoint Data'!E:E = E274,
              'Raw Phoca"&amp;"lPoint Data'!F:F = F274
            ) /
            FILTER('Raw PhocalPoint Data'!G:G,
              'Raw PhocalPoint Data'!A:A = 2011,
              'Raw PhocalPoint Data'!D:D = D274,
              'Raw PhocalPoint Data'!E:E = E274,
              'Raw Ph"&amp;"ocalPoint Data'!F:F = F274
            ) -
            (ROW(INDIRECT(""1:"" &amp; (2010 - A274))) - 1) *
            (
              (
                FILTER('Raw PhocalPoint Data'!G:G,
                  'Raw PhocalPoint Data'!A:A = 2012,
                  'R"&amp;"aw PhocalPoint Data'!D:D = D274,
                  'Raw PhocalPoint Data'!E:E = E274,
                  'Raw PhocalPoint Data'!F:F = F274
                ) /
                FILTER('Raw PhocalPoint Data'!G:G,
                  'Raw PhocalPoint Data'!A:A ="&amp;" 2011,
                  'Raw PhocalPoint Data'!D:D = D274,
                  'Raw PhocalPoint Data'!E:E = E274,
                  'Raw PhocalPoint Data'!F:F = F274
                ) - 1
              ) / 5
            )
          )
        )
      )
    "&amp;") *
    INDEX('Raw GDP data'!$I$2:$M$100,
      MATCH(D274, 'Raw GDP data'!$H$2:$H$100, 0),
      MATCH(A274, 'Raw GDP data'!$I$1:$M$1, 0)
    )
  )),
  """"
)
"),3849165902.38341)</f>
        <v>3849165902.38341</v>
      </c>
      <c r="H274" s="80"/>
      <c r="I274" s="81">
        <f ca="1">IFERROR(__xludf.DUMMYFUNCTION("""COMPUTED_VALUE"""),2011)</f>
        <v>2011</v>
      </c>
      <c r="J274" s="82" t="str">
        <f ca="1">IFERROR(__xludf.DUMMYFUNCTION("""COMPUTED_VALUE"""),"Mexico")</f>
        <v>Mexico</v>
      </c>
      <c r="K274" s="83">
        <f ca="1">IFERROR(
  SUMIFS(
    'New Backfilled Data'!G:G,
    'New Backfilled Data'!A:A, I274,
    'New Backfilled Data'!D:D, J274,
    'New Backfilled Data'!E:E, "Online"
  ) /
  SUMIFS(
    'New Backfilled Data'!G:G,
    'New Backfilled Data'!A:A, I274,
    'New Backfilled Data'!D:D, J274
  ),
  ""
)</f>
        <v>0.19254674741453448</v>
      </c>
      <c r="L274" s="84"/>
      <c r="M274" s="84"/>
    </row>
    <row r="275" spans="1:13" ht="17" x14ac:dyDescent="0.2">
      <c r="A275" s="44">
        <v>2007</v>
      </c>
      <c r="B275" s="45" t="s">
        <v>66</v>
      </c>
      <c r="C275" s="45" t="s">
        <v>4</v>
      </c>
      <c r="D275" s="45" t="s">
        <v>14</v>
      </c>
      <c r="E275" s="45" t="s">
        <v>69</v>
      </c>
      <c r="F275" s="45" t="s">
        <v>71</v>
      </c>
      <c r="G275" s="85">
        <f ca="1">IFERROR(__xludf.DUMMYFUNCTION("IFERROR(
  IF(A275 = 2008,
    IF(E275 = ""Online"",
      FILTER('Raw PhocalPoint Data'!G:G,
        'Raw PhocalPoint Data'!A:A = 2009,
        'Raw PhocalPoint Data'!D:D = D275,
        'Raw PhocalPoint Data'!E:E = E275,
        'Raw PhocalPoint Data'!F"&amp;":F = F275
      ) /
      (
        FILTER('Raw PhocalPoint Data'!G:G,
          'Raw PhocalPoint Data'!A:A = 2012,
          'Raw PhocalPoint Data'!D:D = D275,
          'Raw PhocalPoint Data'!E:E = E275,
          'Raw PhocalPoint Data'!F:F = F275
     "&amp;"   ) /
        FILTER('Raw PhocalPoint Data'!G:G,
          'Raw PhocalPoint Data'!A:A = 2011,
          'Raw PhocalPoint Data'!D:D = D275,
          'Raw PhocalPoint Data'!E:E = E275,
          'Raw PhocalPoint Data'!F:F = F275
        )
      ),
      F"&amp;"ILTER('Raw PhocalPoint Data'!G:G,
        'Raw PhocalPoint Data'!A:A = 2009,
        'Raw PhocalPoint Data'!D:D = D275,
        'Raw PhocalPoint Data'!E:E = E275,
        'Raw PhocalPoint Data'!F:F = F275
      ) *
      (
        INDEX('Raw GDP data'!$I$"&amp;"2:$M$100,
          MATCH(D275, 'Raw GDP data'!$H$2:$H$100, 0),
          MATCH(2008, 'Raw GDP data'!$I$1:$M$1, 0)
        ) /
        INDEX('Raw GDP data'!$I$2:$M$100,
          MATCH(D275, 'Raw GDP data'!$H$2:$H$100, 0),
          MATCH(2009, 'Raw GDP d"&amp;"ata'!$I$1:$M$1, 0)
        )
      )
    ),
  IF(A275 &lt; 2008,
    (
      FILTER(G:G,
        A:A = 2008,
        D:D = D275,
        E:E = E275,
        F:F = F275
      ) /
      PRODUCT(
        ARRAYFORMULA(
          (
            (
              FIL"&amp;"TER('Raw PhocalPoint Data'!G:G,
                'Raw PhocalPoint Data'!A:A = 2012,
                'Raw PhocalPoint Data'!D:D = D275,
                'Raw PhocalPoint Data'!E:E = E275,
                'Raw PhocalPoint Data'!F:F = F275
              ) /
  "&amp;"            FILTER('Raw PhocalPoint Data'!G:G,
                'Raw PhocalPoint Data'!A:A = 2011,
                'Raw PhocalPoint Data'!D:D = D275,
                'Raw PhocalPoint Data'!E:E = E275,
                'Raw PhocalPoint Data'!F:F = F275
     "&amp;"         ) -
              ROW(INDIRECT(""1:"" &amp; (2008 - A275))) *
              (
                (
                  FILTER('Raw PhocalPoint Data'!G:G,
                    'Raw PhocalPoint Data'!A:A = 2012,
                    'Raw PhocalPoint Data'!D:D"&amp;" = D275,
                    'Raw PhocalPoint Data'!E:E = E275,
                    'Raw PhocalPoint Data'!F:F = F275
                  ) /
                  FILTER('Raw PhocalPoint Data'!G:G,
                    'Raw PhocalPoint Data'!A:A = 2011,
       "&amp;"             'Raw PhocalPoint Data'!D:D = D275,
                    'Raw PhocalPoint Data'!E:E = E275,
                    'Raw PhocalPoint Data'!F:F = F275
                  ) - 1
                ) / 5
              )
            )
          )
        )
"&amp;"      )
    ),
    (
      FILTER('Raw PhocalPoint Data'!G:G,
        'Raw PhocalPoint Data'!A:A = 2009,
        'Raw PhocalPoint Data'!D:D = D275,
        'Raw PhocalPoint Data'!E:E = E275,
        'Raw PhocalPoint Data'!F:F = F275
      ) /
      PRODUC"&amp;"T(
        ARRAYFORMULA(
          (
            FILTER('Raw PhocalPoint Data'!G:G,
              'Raw PhocalPoint Data'!A:A = 2012,
              'Raw PhocalPoint Data'!D:D = D275,
              'Raw PhocalPoint Data'!E:E = E275,
              'Raw Phoca"&amp;"lPoint Data'!F:F = F275
            ) /
            FILTER('Raw PhocalPoint Data'!G:G,
              'Raw PhocalPoint Data'!A:A = 2011,
              'Raw PhocalPoint Data'!D:D = D275,
              'Raw PhocalPoint Data'!E:E = E275,
              'Raw Ph"&amp;"ocalPoint Data'!F:F = F275
            ) -
            (ROW(INDIRECT(""1:"" &amp; (2010 - A275))) - 1) *
            (
              (
                FILTER('Raw PhocalPoint Data'!G:G,
                  'Raw PhocalPoint Data'!A:A = 2012,
                  'R"&amp;"aw PhocalPoint Data'!D:D = D275,
                  'Raw PhocalPoint Data'!E:E = E275,
                  'Raw PhocalPoint Data'!F:F = F275
                ) /
                FILTER('Raw PhocalPoint Data'!G:G,
                  'Raw PhocalPoint Data'!A:A ="&amp;" 2011,
                  'Raw PhocalPoint Data'!D:D = D275,
                  'Raw PhocalPoint Data'!E:E = E275,
                  'Raw PhocalPoint Data'!F:F = F275
                ) - 1
              ) / 5
            )
          )
        )
      )
    "&amp;") *
    INDEX('Raw GDP data'!$I$2:$M$100,
      MATCH(D275, 'Raw GDP data'!$H$2:$H$100, 0),
      MATCH(A275, 'Raw GDP data'!$I$1:$M$1, 0)
    )
  )),
  """"
)
"),51326596.6460077)</f>
        <v>51326596.646007702</v>
      </c>
      <c r="H275" s="86"/>
      <c r="I275" s="87">
        <f ca="1">IFERROR(__xludf.DUMMYFUNCTION("""COMPUTED_VALUE"""),2011)</f>
        <v>2011</v>
      </c>
      <c r="J275" s="88" t="str">
        <f ca="1">IFERROR(__xludf.DUMMYFUNCTION("""COMPUTED_VALUE"""),"Egypt")</f>
        <v>Egypt</v>
      </c>
      <c r="K275" s="89">
        <f ca="1">IFERROR(
  SUMIFS(
    'New Backfilled Data'!G:G,
    'New Backfilled Data'!A:A, I275,
    'New Backfilled Data'!D:D, J275,
    'New Backfilled Data'!E:E, "Online"
  ) /
  SUMIFS(
    'New Backfilled Data'!G:G,
    'New Backfilled Data'!A:A, I275,
    'New Backfilled Data'!D:D, J275
  ),
  ""
)</f>
        <v>7.8454732980315023E-2</v>
      </c>
      <c r="L275" s="90"/>
      <c r="M275" s="90"/>
    </row>
    <row r="276" spans="1:13" ht="17" x14ac:dyDescent="0.2">
      <c r="A276" s="37">
        <v>2007</v>
      </c>
      <c r="B276" s="38" t="s">
        <v>66</v>
      </c>
      <c r="C276" s="38" t="s">
        <v>4</v>
      </c>
      <c r="D276" s="38" t="s">
        <v>14</v>
      </c>
      <c r="E276" s="38" t="s">
        <v>69</v>
      </c>
      <c r="F276" s="38" t="s">
        <v>70</v>
      </c>
      <c r="G276" s="79">
        <f ca="1">IFERROR(__xludf.DUMMYFUNCTION("IFERROR(
  IF(A276 = 2008,
    IF(E276 = ""Online"",
      FILTER('Raw PhocalPoint Data'!G:G,
        'Raw PhocalPoint Data'!A:A = 2009,
        'Raw PhocalPoint Data'!D:D = D276,
        'Raw PhocalPoint Data'!E:E = E276,
        'Raw PhocalPoint Data'!F"&amp;":F = F276
      ) /
      (
        FILTER('Raw PhocalPoint Data'!G:G,
          'Raw PhocalPoint Data'!A:A = 2012,
          'Raw PhocalPoint Data'!D:D = D276,
          'Raw PhocalPoint Data'!E:E = E276,
          'Raw PhocalPoint Data'!F:F = F276
     "&amp;"   ) /
        FILTER('Raw PhocalPoint Data'!G:G,
          'Raw PhocalPoint Data'!A:A = 2011,
          'Raw PhocalPoint Data'!D:D = D276,
          'Raw PhocalPoint Data'!E:E = E276,
          'Raw PhocalPoint Data'!F:F = F276
        )
      ),
      F"&amp;"ILTER('Raw PhocalPoint Data'!G:G,
        'Raw PhocalPoint Data'!A:A = 2009,
        'Raw PhocalPoint Data'!D:D = D276,
        'Raw PhocalPoint Data'!E:E = E276,
        'Raw PhocalPoint Data'!F:F = F276
      ) *
      (
        INDEX('Raw GDP data'!$I$"&amp;"2:$M$100,
          MATCH(D276, 'Raw GDP data'!$H$2:$H$100, 0),
          MATCH(2008, 'Raw GDP data'!$I$1:$M$1, 0)
        ) /
        INDEX('Raw GDP data'!$I$2:$M$100,
          MATCH(D276, 'Raw GDP data'!$H$2:$H$100, 0),
          MATCH(2009, 'Raw GDP d"&amp;"ata'!$I$1:$M$1, 0)
        )
      )
    ),
  IF(A276 &lt; 2008,
    (
      FILTER(G:G,
        A:A = 2008,
        D:D = D276,
        E:E = E276,
        F:F = F276
      ) /
      PRODUCT(
        ARRAYFORMULA(
          (
            (
              FIL"&amp;"TER('Raw PhocalPoint Data'!G:G,
                'Raw PhocalPoint Data'!A:A = 2012,
                'Raw PhocalPoint Data'!D:D = D276,
                'Raw PhocalPoint Data'!E:E = E276,
                'Raw PhocalPoint Data'!F:F = F276
              ) /
  "&amp;"            FILTER('Raw PhocalPoint Data'!G:G,
                'Raw PhocalPoint Data'!A:A = 2011,
                'Raw PhocalPoint Data'!D:D = D276,
                'Raw PhocalPoint Data'!E:E = E276,
                'Raw PhocalPoint Data'!F:F = F276
     "&amp;"         ) -
              ROW(INDIRECT(""1:"" &amp; (2008 - A276))) *
              (
                (
                  FILTER('Raw PhocalPoint Data'!G:G,
                    'Raw PhocalPoint Data'!A:A = 2012,
                    'Raw PhocalPoint Data'!D:D"&amp;" = D276,
                    'Raw PhocalPoint Data'!E:E = E276,
                    'Raw PhocalPoint Data'!F:F = F276
                  ) /
                  FILTER('Raw PhocalPoint Data'!G:G,
                    'Raw PhocalPoint Data'!A:A = 2011,
       "&amp;"             'Raw PhocalPoint Data'!D:D = D276,
                    'Raw PhocalPoint Data'!E:E = E276,
                    'Raw PhocalPoint Data'!F:F = F276
                  ) - 1
                ) / 5
              )
            )
          )
        )
"&amp;"      )
    ),
    (
      FILTER('Raw PhocalPoint Data'!G:G,
        'Raw PhocalPoint Data'!A:A = 2009,
        'Raw PhocalPoint Data'!D:D = D276,
        'Raw PhocalPoint Data'!E:E = E276,
        'Raw PhocalPoint Data'!F:F = F276
      ) /
      PRODUC"&amp;"T(
        ARRAYFORMULA(
          (
            FILTER('Raw PhocalPoint Data'!G:G,
              'Raw PhocalPoint Data'!A:A = 2012,
              'Raw PhocalPoint Data'!D:D = D276,
              'Raw PhocalPoint Data'!E:E = E276,
              'Raw Phoca"&amp;"lPoint Data'!F:F = F276
            ) /
            FILTER('Raw PhocalPoint Data'!G:G,
              'Raw PhocalPoint Data'!A:A = 2011,
              'Raw PhocalPoint Data'!D:D = D276,
              'Raw PhocalPoint Data'!E:E = E276,
              'Raw Ph"&amp;"ocalPoint Data'!F:F = F276
            ) -
            (ROW(INDIRECT(""1:"" &amp; (2010 - A276))) - 1) *
            (
              (
                FILTER('Raw PhocalPoint Data'!G:G,
                  'Raw PhocalPoint Data'!A:A = 2012,
                  'R"&amp;"aw PhocalPoint Data'!D:D = D276,
                  'Raw PhocalPoint Data'!E:E = E276,
                  'Raw PhocalPoint Data'!F:F = F276
                ) /
                FILTER('Raw PhocalPoint Data'!G:G,
                  'Raw PhocalPoint Data'!A:A ="&amp;" 2011,
                  'Raw PhocalPoint Data'!D:D = D276,
                  'Raw PhocalPoint Data'!E:E = E276,
                  'Raw PhocalPoint Data'!F:F = F276
                ) - 1
              ) / 5
            )
          )
        )
      )
    "&amp;") *
    INDEX('Raw GDP data'!$I$2:$M$100,
      MATCH(D276, 'Raw GDP data'!$H$2:$H$100, 0),
      MATCH(A276, 'Raw GDP data'!$I$1:$M$1, 0)
    )
  )),
  """"
)
"),187502358.395438)</f>
        <v>187502358.39543799</v>
      </c>
      <c r="H276" s="80"/>
      <c r="I276" s="81">
        <f ca="1">IFERROR(__xludf.DUMMYFUNCTION("""COMPUTED_VALUE"""),2011)</f>
        <v>2011</v>
      </c>
      <c r="J276" s="82" t="str">
        <f ca="1">IFERROR(__xludf.DUMMYFUNCTION("""COMPUTED_VALUE"""),"Qatar")</f>
        <v>Qatar</v>
      </c>
      <c r="K276" s="83">
        <f ca="1">IFERROR(
  SUMIFS(
    'New Backfilled Data'!G:G,
    'New Backfilled Data'!A:A, I276,
    'New Backfilled Data'!D:D, J276,
    'New Backfilled Data'!E:E, "Online"
  ) /
  SUMIFS(
    'New Backfilled Data'!G:G,
    'New Backfilled Data'!A:A, I276,
    'New Backfilled Data'!D:D, J276
  ),
  ""
)</f>
        <v>0.17312410746881216</v>
      </c>
      <c r="L276" s="84"/>
      <c r="M276" s="84"/>
    </row>
    <row r="277" spans="1:13" ht="34" x14ac:dyDescent="0.2">
      <c r="A277" s="44">
        <v>2007</v>
      </c>
      <c r="B277" s="45" t="s">
        <v>66</v>
      </c>
      <c r="C277" s="45" t="s">
        <v>4</v>
      </c>
      <c r="D277" s="45" t="s">
        <v>15</v>
      </c>
      <c r="E277" s="45" t="s">
        <v>67</v>
      </c>
      <c r="F277" s="45" t="s">
        <v>67</v>
      </c>
      <c r="G277" s="85">
        <f ca="1">IFERROR(__xludf.DUMMYFUNCTION("IFERROR(
  IF(A277 = 2008,
    IF(E277 = ""Online"",
      FILTER('Raw PhocalPoint Data'!G:G,
        'Raw PhocalPoint Data'!A:A = 2009,
        'Raw PhocalPoint Data'!D:D = D277,
        'Raw PhocalPoint Data'!E:E = E277,
        'Raw PhocalPoint Data'!F"&amp;":F = F277
      ) /
      (
        FILTER('Raw PhocalPoint Data'!G:G,
          'Raw PhocalPoint Data'!A:A = 2012,
          'Raw PhocalPoint Data'!D:D = D277,
          'Raw PhocalPoint Data'!E:E = E277,
          'Raw PhocalPoint Data'!F:F = F277
     "&amp;"   ) /
        FILTER('Raw PhocalPoint Data'!G:G,
          'Raw PhocalPoint Data'!A:A = 2011,
          'Raw PhocalPoint Data'!D:D = D277,
          'Raw PhocalPoint Data'!E:E = E277,
          'Raw PhocalPoint Data'!F:F = F277
        )
      ),
      F"&amp;"ILTER('Raw PhocalPoint Data'!G:G,
        'Raw PhocalPoint Data'!A:A = 2009,
        'Raw PhocalPoint Data'!D:D = D277,
        'Raw PhocalPoint Data'!E:E = E277,
        'Raw PhocalPoint Data'!F:F = F277
      ) *
      (
        INDEX('Raw GDP data'!$I$"&amp;"2:$M$100,
          MATCH(D277, 'Raw GDP data'!$H$2:$H$100, 0),
          MATCH(2008, 'Raw GDP data'!$I$1:$M$1, 0)
        ) /
        INDEX('Raw GDP data'!$I$2:$M$100,
          MATCH(D277, 'Raw GDP data'!$H$2:$H$100, 0),
          MATCH(2009, 'Raw GDP d"&amp;"ata'!$I$1:$M$1, 0)
        )
      )
    ),
  IF(A277 &lt; 2008,
    (
      FILTER(G:G,
        A:A = 2008,
        D:D = D277,
        E:E = E277,
        F:F = F277
      ) /
      PRODUCT(
        ARRAYFORMULA(
          (
            (
              FIL"&amp;"TER('Raw PhocalPoint Data'!G:G,
                'Raw PhocalPoint Data'!A:A = 2012,
                'Raw PhocalPoint Data'!D:D = D277,
                'Raw PhocalPoint Data'!E:E = E277,
                'Raw PhocalPoint Data'!F:F = F277
              ) /
  "&amp;"            FILTER('Raw PhocalPoint Data'!G:G,
                'Raw PhocalPoint Data'!A:A = 2011,
                'Raw PhocalPoint Data'!D:D = D277,
                'Raw PhocalPoint Data'!E:E = E277,
                'Raw PhocalPoint Data'!F:F = F277
     "&amp;"         ) -
              ROW(INDIRECT(""1:"" &amp; (2008 - A277))) *
              (
                (
                  FILTER('Raw PhocalPoint Data'!G:G,
                    'Raw PhocalPoint Data'!A:A = 2012,
                    'Raw PhocalPoint Data'!D:D"&amp;" = D277,
                    'Raw PhocalPoint Data'!E:E = E277,
                    'Raw PhocalPoint Data'!F:F = F277
                  ) /
                  FILTER('Raw PhocalPoint Data'!G:G,
                    'Raw PhocalPoint Data'!A:A = 2011,
       "&amp;"             'Raw PhocalPoint Data'!D:D = D277,
                    'Raw PhocalPoint Data'!E:E = E277,
                    'Raw PhocalPoint Data'!F:F = F277
                  ) - 1
                ) / 5
              )
            )
          )
        )
"&amp;"      )
    ),
    (
      FILTER('Raw PhocalPoint Data'!G:G,
        'Raw PhocalPoint Data'!A:A = 2009,
        'Raw PhocalPoint Data'!D:D = D277,
        'Raw PhocalPoint Data'!E:E = E277,
        'Raw PhocalPoint Data'!F:F = F277
      ) /
      PRODUC"&amp;"T(
        ARRAYFORMULA(
          (
            FILTER('Raw PhocalPoint Data'!G:G,
              'Raw PhocalPoint Data'!A:A = 2012,
              'Raw PhocalPoint Data'!D:D = D277,
              'Raw PhocalPoint Data'!E:E = E277,
              'Raw Phoca"&amp;"lPoint Data'!F:F = F277
            ) /
            FILTER('Raw PhocalPoint Data'!G:G,
              'Raw PhocalPoint Data'!A:A = 2011,
              'Raw PhocalPoint Data'!D:D = D277,
              'Raw PhocalPoint Data'!E:E = E277,
              'Raw Ph"&amp;"ocalPoint Data'!F:F = F277
            ) -
            (ROW(INDIRECT(""1:"" &amp; (2010 - A277))) - 1) *
            (
              (
                FILTER('Raw PhocalPoint Data'!G:G,
                  'Raw PhocalPoint Data'!A:A = 2012,
                  'R"&amp;"aw PhocalPoint Data'!D:D = D277,
                  'Raw PhocalPoint Data'!E:E = E277,
                  'Raw PhocalPoint Data'!F:F = F277
                ) /
                FILTER('Raw PhocalPoint Data'!G:G,
                  'Raw PhocalPoint Data'!A:A ="&amp;" 2011,
                  'Raw PhocalPoint Data'!D:D = D277,
                  'Raw PhocalPoint Data'!E:E = E277,
                  'Raw PhocalPoint Data'!F:F = F277
                ) - 1
              ) / 5
            )
          )
        )
      )
    "&amp;") *
    INDEX('Raw GDP data'!$I$2:$M$100,
      MATCH(D277, 'Raw GDP data'!$H$2:$H$100, 0),
      MATCH(A277, 'Raw GDP data'!$I$1:$M$1, 0)
    )
  )),
  """"
)
"),8698931198.91582)</f>
        <v>8698931198.9158192</v>
      </c>
      <c r="H277" s="86"/>
      <c r="I277" s="87">
        <f ca="1">IFERROR(__xludf.DUMMYFUNCTION("""COMPUTED_VALUE"""),2011)</f>
        <v>2011</v>
      </c>
      <c r="J277" s="88" t="str">
        <f ca="1">IFERROR(__xludf.DUMMYFUNCTION("""COMPUTED_VALUE"""),"Rest of Middle East")</f>
        <v>Rest of Middle East</v>
      </c>
      <c r="K277" s="89">
        <f ca="1">IFERROR(
  SUMIFS(
    'New Backfilled Data'!G:G,
    'New Backfilled Data'!A:A, I277,
    'New Backfilled Data'!D:D, J277,
    'New Backfilled Data'!E:E, "Online"
  ) /
  SUMIFS(
    'New Backfilled Data'!G:G,
    'New Backfilled Data'!A:A, I277,
    'New Backfilled Data'!D:D, J277
  ),
  ""
)</f>
        <v>0.11818854343281647</v>
      </c>
      <c r="L277" s="90"/>
      <c r="M277" s="90"/>
    </row>
    <row r="278" spans="1:13" ht="17" x14ac:dyDescent="0.2">
      <c r="A278" s="37">
        <v>2007</v>
      </c>
      <c r="B278" s="38" t="s">
        <v>66</v>
      </c>
      <c r="C278" s="38" t="s">
        <v>4</v>
      </c>
      <c r="D278" s="38" t="s">
        <v>15</v>
      </c>
      <c r="E278" s="38" t="s">
        <v>69</v>
      </c>
      <c r="F278" s="38" t="s">
        <v>71</v>
      </c>
      <c r="G278" s="79">
        <f ca="1">IFERROR(__xludf.DUMMYFUNCTION("IFERROR(
  IF(A278 = 2008,
    IF(E278 = ""Online"",
      FILTER('Raw PhocalPoint Data'!G:G,
        'Raw PhocalPoint Data'!A:A = 2009,
        'Raw PhocalPoint Data'!D:D = D278,
        'Raw PhocalPoint Data'!E:E = E278,
        'Raw PhocalPoint Data'!F"&amp;":F = F278
      ) /
      (
        FILTER('Raw PhocalPoint Data'!G:G,
          'Raw PhocalPoint Data'!A:A = 2012,
          'Raw PhocalPoint Data'!D:D = D278,
          'Raw PhocalPoint Data'!E:E = E278,
          'Raw PhocalPoint Data'!F:F = F278
     "&amp;"   ) /
        FILTER('Raw PhocalPoint Data'!G:G,
          'Raw PhocalPoint Data'!A:A = 2011,
          'Raw PhocalPoint Data'!D:D = D278,
          'Raw PhocalPoint Data'!E:E = E278,
          'Raw PhocalPoint Data'!F:F = F278
        )
      ),
      F"&amp;"ILTER('Raw PhocalPoint Data'!G:G,
        'Raw PhocalPoint Data'!A:A = 2009,
        'Raw PhocalPoint Data'!D:D = D278,
        'Raw PhocalPoint Data'!E:E = E278,
        'Raw PhocalPoint Data'!F:F = F278
      ) *
      (
        INDEX('Raw GDP data'!$I$"&amp;"2:$M$100,
          MATCH(D278, 'Raw GDP data'!$H$2:$H$100, 0),
          MATCH(2008, 'Raw GDP data'!$I$1:$M$1, 0)
        ) /
        INDEX('Raw GDP data'!$I$2:$M$100,
          MATCH(D278, 'Raw GDP data'!$H$2:$H$100, 0),
          MATCH(2009, 'Raw GDP d"&amp;"ata'!$I$1:$M$1, 0)
        )
      )
    ),
  IF(A278 &lt; 2008,
    (
      FILTER(G:G,
        A:A = 2008,
        D:D = D278,
        E:E = E278,
        F:F = F278
      ) /
      PRODUCT(
        ARRAYFORMULA(
          (
            (
              FIL"&amp;"TER('Raw PhocalPoint Data'!G:G,
                'Raw PhocalPoint Data'!A:A = 2012,
                'Raw PhocalPoint Data'!D:D = D278,
                'Raw PhocalPoint Data'!E:E = E278,
                'Raw PhocalPoint Data'!F:F = F278
              ) /
  "&amp;"            FILTER('Raw PhocalPoint Data'!G:G,
                'Raw PhocalPoint Data'!A:A = 2011,
                'Raw PhocalPoint Data'!D:D = D278,
                'Raw PhocalPoint Data'!E:E = E278,
                'Raw PhocalPoint Data'!F:F = F278
     "&amp;"         ) -
              ROW(INDIRECT(""1:"" &amp; (2008 - A278))) *
              (
                (
                  FILTER('Raw PhocalPoint Data'!G:G,
                    'Raw PhocalPoint Data'!A:A = 2012,
                    'Raw PhocalPoint Data'!D:D"&amp;" = D278,
                    'Raw PhocalPoint Data'!E:E = E278,
                    'Raw PhocalPoint Data'!F:F = F278
                  ) /
                  FILTER('Raw PhocalPoint Data'!G:G,
                    'Raw PhocalPoint Data'!A:A = 2011,
       "&amp;"             'Raw PhocalPoint Data'!D:D = D278,
                    'Raw PhocalPoint Data'!E:E = E278,
                    'Raw PhocalPoint Data'!F:F = F278
                  ) - 1
                ) / 5
              )
            )
          )
        )
"&amp;"      )
    ),
    (
      FILTER('Raw PhocalPoint Data'!G:G,
        'Raw PhocalPoint Data'!A:A = 2009,
        'Raw PhocalPoint Data'!D:D = D278,
        'Raw PhocalPoint Data'!E:E = E278,
        'Raw PhocalPoint Data'!F:F = F278
      ) /
      PRODUC"&amp;"T(
        ARRAYFORMULA(
          (
            FILTER('Raw PhocalPoint Data'!G:G,
              'Raw PhocalPoint Data'!A:A = 2012,
              'Raw PhocalPoint Data'!D:D = D278,
              'Raw PhocalPoint Data'!E:E = E278,
              'Raw Phoca"&amp;"lPoint Data'!F:F = F278
            ) /
            FILTER('Raw PhocalPoint Data'!G:G,
              'Raw PhocalPoint Data'!A:A = 2011,
              'Raw PhocalPoint Data'!D:D = D278,
              'Raw PhocalPoint Data'!E:E = E278,
              'Raw Ph"&amp;"ocalPoint Data'!F:F = F278
            ) -
            (ROW(INDIRECT(""1:"" &amp; (2010 - A278))) - 1) *
            (
              (
                FILTER('Raw PhocalPoint Data'!G:G,
                  'Raw PhocalPoint Data'!A:A = 2012,
                  'R"&amp;"aw PhocalPoint Data'!D:D = D278,
                  'Raw PhocalPoint Data'!E:E = E278,
                  'Raw PhocalPoint Data'!F:F = F278
                ) /
                FILTER('Raw PhocalPoint Data'!G:G,
                  'Raw PhocalPoint Data'!A:A ="&amp;" 2011,
                  'Raw PhocalPoint Data'!D:D = D278,
                  'Raw PhocalPoint Data'!E:E = E278,
                  'Raw PhocalPoint Data'!F:F = F278
                ) - 1
              ) / 5
            )
          )
        )
      )
    "&amp;") *
    INDEX('Raw GDP data'!$I$2:$M$100,
      MATCH(D278, 'Raw GDP data'!$H$2:$H$100, 0),
      MATCH(A278, 'Raw GDP data'!$I$1:$M$1, 0)
    )
  )),
  """"
)
"),355573275.017083)</f>
        <v>355573275.01708299</v>
      </c>
      <c r="H278" s="80"/>
      <c r="I278" s="81">
        <f ca="1">IFERROR(__xludf.DUMMYFUNCTION("""COMPUTED_VALUE"""),2011)</f>
        <v>2011</v>
      </c>
      <c r="J278" s="82" t="str">
        <f ca="1">IFERROR(__xludf.DUMMYFUNCTION("""COMPUTED_VALUE"""),"Saudi Arabia")</f>
        <v>Saudi Arabia</v>
      </c>
      <c r="K278" s="83">
        <f ca="1">IFERROR(
  SUMIFS(
    'New Backfilled Data'!G:G,
    'New Backfilled Data'!A:A, I278,
    'New Backfilled Data'!D:D, J278,
    'New Backfilled Data'!E:E, "Online"
  ) /
  SUMIFS(
    'New Backfilled Data'!G:G,
    'New Backfilled Data'!A:A, I278,
    'New Backfilled Data'!D:D, J278
  ),
  ""
)</f>
        <v>0.14317127100971613</v>
      </c>
      <c r="L278" s="84"/>
      <c r="M278" s="84"/>
    </row>
    <row r="279" spans="1:13" ht="17" x14ac:dyDescent="0.2">
      <c r="A279" s="44">
        <v>2007</v>
      </c>
      <c r="B279" s="45" t="s">
        <v>66</v>
      </c>
      <c r="C279" s="45" t="s">
        <v>4</v>
      </c>
      <c r="D279" s="45" t="s">
        <v>15</v>
      </c>
      <c r="E279" s="45" t="s">
        <v>69</v>
      </c>
      <c r="F279" s="45" t="s">
        <v>70</v>
      </c>
      <c r="G279" s="85">
        <f ca="1">IFERROR(__xludf.DUMMYFUNCTION("IFERROR(
  IF(A279 = 2008,
    IF(E279 = ""Online"",
      FILTER('Raw PhocalPoint Data'!G:G,
        'Raw PhocalPoint Data'!A:A = 2009,
        'Raw PhocalPoint Data'!D:D = D279,
        'Raw PhocalPoint Data'!E:E = E279,
        'Raw PhocalPoint Data'!F"&amp;":F = F279
      ) /
      (
        FILTER('Raw PhocalPoint Data'!G:G,
          'Raw PhocalPoint Data'!A:A = 2012,
          'Raw PhocalPoint Data'!D:D = D279,
          'Raw PhocalPoint Data'!E:E = E279,
          'Raw PhocalPoint Data'!F:F = F279
     "&amp;"   ) /
        FILTER('Raw PhocalPoint Data'!G:G,
          'Raw PhocalPoint Data'!A:A = 2011,
          'Raw PhocalPoint Data'!D:D = D279,
          'Raw PhocalPoint Data'!E:E = E279,
          'Raw PhocalPoint Data'!F:F = F279
        )
      ),
      F"&amp;"ILTER('Raw PhocalPoint Data'!G:G,
        'Raw PhocalPoint Data'!A:A = 2009,
        'Raw PhocalPoint Data'!D:D = D279,
        'Raw PhocalPoint Data'!E:E = E279,
        'Raw PhocalPoint Data'!F:F = F279
      ) *
      (
        INDEX('Raw GDP data'!$I$"&amp;"2:$M$100,
          MATCH(D279, 'Raw GDP data'!$H$2:$H$100, 0),
          MATCH(2008, 'Raw GDP data'!$I$1:$M$1, 0)
        ) /
        INDEX('Raw GDP data'!$I$2:$M$100,
          MATCH(D279, 'Raw GDP data'!$H$2:$H$100, 0),
          MATCH(2009, 'Raw GDP d"&amp;"ata'!$I$1:$M$1, 0)
        )
      )
    ),
  IF(A279 &lt; 2008,
    (
      FILTER(G:G,
        A:A = 2008,
        D:D = D279,
        E:E = E279,
        F:F = F279
      ) /
      PRODUCT(
        ARRAYFORMULA(
          (
            (
              FIL"&amp;"TER('Raw PhocalPoint Data'!G:G,
                'Raw PhocalPoint Data'!A:A = 2012,
                'Raw PhocalPoint Data'!D:D = D279,
                'Raw PhocalPoint Data'!E:E = E279,
                'Raw PhocalPoint Data'!F:F = F279
              ) /
  "&amp;"            FILTER('Raw PhocalPoint Data'!G:G,
                'Raw PhocalPoint Data'!A:A = 2011,
                'Raw PhocalPoint Data'!D:D = D279,
                'Raw PhocalPoint Data'!E:E = E279,
                'Raw PhocalPoint Data'!F:F = F279
     "&amp;"         ) -
              ROW(INDIRECT(""1:"" &amp; (2008 - A279))) *
              (
                (
                  FILTER('Raw PhocalPoint Data'!G:G,
                    'Raw PhocalPoint Data'!A:A = 2012,
                    'Raw PhocalPoint Data'!D:D"&amp;" = D279,
                    'Raw PhocalPoint Data'!E:E = E279,
                    'Raw PhocalPoint Data'!F:F = F279
                  ) /
                  FILTER('Raw PhocalPoint Data'!G:G,
                    'Raw PhocalPoint Data'!A:A = 2011,
       "&amp;"             'Raw PhocalPoint Data'!D:D = D279,
                    'Raw PhocalPoint Data'!E:E = E279,
                    'Raw PhocalPoint Data'!F:F = F279
                  ) - 1
                ) / 5
              )
            )
          )
        )
"&amp;"      )
    ),
    (
      FILTER('Raw PhocalPoint Data'!G:G,
        'Raw PhocalPoint Data'!A:A = 2009,
        'Raw PhocalPoint Data'!D:D = D279,
        'Raw PhocalPoint Data'!E:E = E279,
        'Raw PhocalPoint Data'!F:F = F279
      ) /
      PRODUC"&amp;"T(
        ARRAYFORMULA(
          (
            FILTER('Raw PhocalPoint Data'!G:G,
              'Raw PhocalPoint Data'!A:A = 2012,
              'Raw PhocalPoint Data'!D:D = D279,
              'Raw PhocalPoint Data'!E:E = E279,
              'Raw Phoca"&amp;"lPoint Data'!F:F = F279
            ) /
            FILTER('Raw PhocalPoint Data'!G:G,
              'Raw PhocalPoint Data'!A:A = 2011,
              'Raw PhocalPoint Data'!D:D = D279,
              'Raw PhocalPoint Data'!E:E = E279,
              'Raw Ph"&amp;"ocalPoint Data'!F:F = F279
            ) -
            (ROW(INDIRECT(""1:"" &amp; (2010 - A279))) - 1) *
            (
              (
                FILTER('Raw PhocalPoint Data'!G:G,
                  'Raw PhocalPoint Data'!A:A = 2012,
                  'R"&amp;"aw PhocalPoint Data'!D:D = D279,
                  'Raw PhocalPoint Data'!E:E = E279,
                  'Raw PhocalPoint Data'!F:F = F279
                ) /
                FILTER('Raw PhocalPoint Data'!G:G,
                  'Raw PhocalPoint Data'!A:A ="&amp;" 2011,
                  'Raw PhocalPoint Data'!D:D = D279,
                  'Raw PhocalPoint Data'!E:E = E279,
                  'Raw PhocalPoint Data'!F:F = F279
                ) - 1
              ) / 5
            )
          )
        )
      )
    "&amp;") *
    INDEX('Raw GDP data'!$I$2:$M$100,
      MATCH(D279, 'Raw GDP data'!$H$2:$H$100, 0),
      MATCH(A279, 'Raw GDP data'!$I$1:$M$1, 0)
    )
  )),
  """"
)
"),651319800.738239)</f>
        <v>651319800.73823905</v>
      </c>
      <c r="H279" s="86"/>
      <c r="I279" s="87">
        <f ca="1">IFERROR(__xludf.DUMMYFUNCTION("""COMPUTED_VALUE"""),2011)</f>
        <v>2011</v>
      </c>
      <c r="J279" s="88" t="str">
        <f ca="1">IFERROR(__xludf.DUMMYFUNCTION("""COMPUTED_VALUE"""),"U.A.E.")</f>
        <v>U.A.E.</v>
      </c>
      <c r="K279" s="89">
        <f ca="1">IFERROR(
  SUMIFS(
    'New Backfilled Data'!G:G,
    'New Backfilled Data'!A:A, I279,
    'New Backfilled Data'!D:D, J279,
    'New Backfilled Data'!E:E, "Online"
  ) /
  SUMIFS(
    'New Backfilled Data'!G:G,
    'New Backfilled Data'!A:A, I279,
    'New Backfilled Data'!D:D, J279
  ),
  ""
)</f>
        <v>0.19834949699688226</v>
      </c>
      <c r="L279" s="90"/>
      <c r="M279" s="90"/>
    </row>
    <row r="280" spans="1:13" ht="17" x14ac:dyDescent="0.2">
      <c r="A280" s="37">
        <v>2007</v>
      </c>
      <c r="B280" s="38" t="s">
        <v>66</v>
      </c>
      <c r="C280" s="38" t="s">
        <v>17</v>
      </c>
      <c r="D280" s="38" t="s">
        <v>16</v>
      </c>
      <c r="E280" s="38" t="s">
        <v>67</v>
      </c>
      <c r="F280" s="38" t="s">
        <v>67</v>
      </c>
      <c r="G280" s="79">
        <f ca="1">IFERROR(__xludf.DUMMYFUNCTION("IFERROR(
  IF(A280 = 2008,
    IF(E280 = ""Online"",
      FILTER('Raw PhocalPoint Data'!G:G,
        'Raw PhocalPoint Data'!A:A = 2009,
        'Raw PhocalPoint Data'!D:D = D280,
        'Raw PhocalPoint Data'!E:E = E280,
        'Raw PhocalPoint Data'!F"&amp;":F = F280
      ) /
      (
        FILTER('Raw PhocalPoint Data'!G:G,
          'Raw PhocalPoint Data'!A:A = 2012,
          'Raw PhocalPoint Data'!D:D = D280,
          'Raw PhocalPoint Data'!E:E = E280,
          'Raw PhocalPoint Data'!F:F = F280
     "&amp;"   ) /
        FILTER('Raw PhocalPoint Data'!G:G,
          'Raw PhocalPoint Data'!A:A = 2011,
          'Raw PhocalPoint Data'!D:D = D280,
          'Raw PhocalPoint Data'!E:E = E280,
          'Raw PhocalPoint Data'!F:F = F280
        )
      ),
      F"&amp;"ILTER('Raw PhocalPoint Data'!G:G,
        'Raw PhocalPoint Data'!A:A = 2009,
        'Raw PhocalPoint Data'!D:D = D280,
        'Raw PhocalPoint Data'!E:E = E280,
        'Raw PhocalPoint Data'!F:F = F280
      ) *
      (
        INDEX('Raw GDP data'!$I$"&amp;"2:$M$100,
          MATCH(D280, 'Raw GDP data'!$H$2:$H$100, 0),
          MATCH(2008, 'Raw GDP data'!$I$1:$M$1, 0)
        ) /
        INDEX('Raw GDP data'!$I$2:$M$100,
          MATCH(D280, 'Raw GDP data'!$H$2:$H$100, 0),
          MATCH(2009, 'Raw GDP d"&amp;"ata'!$I$1:$M$1, 0)
        )
      )
    ),
  IF(A280 &lt; 2008,
    (
      FILTER(G:G,
        A:A = 2008,
        D:D = D280,
        E:E = E280,
        F:F = F280
      ) /
      PRODUCT(
        ARRAYFORMULA(
          (
            (
              FIL"&amp;"TER('Raw PhocalPoint Data'!G:G,
                'Raw PhocalPoint Data'!A:A = 2012,
                'Raw PhocalPoint Data'!D:D = D280,
                'Raw PhocalPoint Data'!E:E = E280,
                'Raw PhocalPoint Data'!F:F = F280
              ) /
  "&amp;"            FILTER('Raw PhocalPoint Data'!G:G,
                'Raw PhocalPoint Data'!A:A = 2011,
                'Raw PhocalPoint Data'!D:D = D280,
                'Raw PhocalPoint Data'!E:E = E280,
                'Raw PhocalPoint Data'!F:F = F280
     "&amp;"         ) -
              ROW(INDIRECT(""1:"" &amp; (2008 - A280))) *
              (
                (
                  FILTER('Raw PhocalPoint Data'!G:G,
                    'Raw PhocalPoint Data'!A:A = 2012,
                    'Raw PhocalPoint Data'!D:D"&amp;" = D280,
                    'Raw PhocalPoint Data'!E:E = E280,
                    'Raw PhocalPoint Data'!F:F = F280
                  ) /
                  FILTER('Raw PhocalPoint Data'!G:G,
                    'Raw PhocalPoint Data'!A:A = 2011,
       "&amp;"             'Raw PhocalPoint Data'!D:D = D280,
                    'Raw PhocalPoint Data'!E:E = E280,
                    'Raw PhocalPoint Data'!F:F = F280
                  ) - 1
                ) / 5
              )
            )
          )
        )
"&amp;"      )
    ),
    (
      FILTER('Raw PhocalPoint Data'!G:G,
        'Raw PhocalPoint Data'!A:A = 2009,
        'Raw PhocalPoint Data'!D:D = D280,
        'Raw PhocalPoint Data'!E:E = E280,
        'Raw PhocalPoint Data'!F:F = F280
      ) /
      PRODUC"&amp;"T(
        ARRAYFORMULA(
          (
            FILTER('Raw PhocalPoint Data'!G:G,
              'Raw PhocalPoint Data'!A:A = 2012,
              'Raw PhocalPoint Data'!D:D = D280,
              'Raw PhocalPoint Data'!E:E = E280,
              'Raw Phoca"&amp;"lPoint Data'!F:F = F280
            ) /
            FILTER('Raw PhocalPoint Data'!G:G,
              'Raw PhocalPoint Data'!A:A = 2011,
              'Raw PhocalPoint Data'!D:D = D280,
              'Raw PhocalPoint Data'!E:E = E280,
              'Raw Ph"&amp;"ocalPoint Data'!F:F = F280
            ) -
            (ROW(INDIRECT(""1:"" &amp; (2010 - A280))) - 1) *
            (
              (
                FILTER('Raw PhocalPoint Data'!G:G,
                  'Raw PhocalPoint Data'!A:A = 2012,
                  'R"&amp;"aw PhocalPoint Data'!D:D = D280,
                  'Raw PhocalPoint Data'!E:E = E280,
                  'Raw PhocalPoint Data'!F:F = F280
                ) /
                FILTER('Raw PhocalPoint Data'!G:G,
                  'Raw PhocalPoint Data'!A:A ="&amp;" 2011,
                  'Raw PhocalPoint Data'!D:D = D280,
                  'Raw PhocalPoint Data'!E:E = E280,
                  'Raw PhocalPoint Data'!F:F = F280
                ) - 1
              ) / 5
            )
          )
        )
      )
    "&amp;") *
    INDEX('Raw GDP data'!$I$2:$M$100,
      MATCH(D280, 'Raw GDP data'!$H$2:$H$100, 0),
      MATCH(A280, 'Raw GDP data'!$I$1:$M$1, 0)
    )
  )),
  """"
)
"),1353977672.31495)</f>
        <v>1353977672.31495</v>
      </c>
      <c r="H280" s="80"/>
      <c r="I280" s="81">
        <f ca="1">IFERROR(__xludf.DUMMYFUNCTION("""COMPUTED_VALUE"""),2011)</f>
        <v>2011</v>
      </c>
      <c r="J280" s="82" t="str">
        <f ca="1">IFERROR(__xludf.DUMMYFUNCTION("""COMPUTED_VALUE"""),"Canada")</f>
        <v>Canada</v>
      </c>
      <c r="K280" s="83">
        <f ca="1">IFERROR(
  SUMIFS(
    'New Backfilled Data'!G:G,
    'New Backfilled Data'!A:A, I280,
    'New Backfilled Data'!D:D, J280,
    'New Backfilled Data'!E:E, "Online"
  ) /
  SUMIFS(
    'New Backfilled Data'!G:G,
    'New Backfilled Data'!A:A, I280,
    'New Backfilled Data'!D:D, J280
  ),
  ""
)</f>
        <v>0.3604793847337322</v>
      </c>
      <c r="L280" s="84"/>
      <c r="M280" s="84"/>
    </row>
    <row r="281" spans="1:13" ht="17" x14ac:dyDescent="0.2">
      <c r="A281" s="44">
        <v>2007</v>
      </c>
      <c r="B281" s="45" t="s">
        <v>66</v>
      </c>
      <c r="C281" s="45" t="s">
        <v>17</v>
      </c>
      <c r="D281" s="45" t="s">
        <v>16</v>
      </c>
      <c r="E281" s="45" t="s">
        <v>69</v>
      </c>
      <c r="F281" s="45" t="s">
        <v>71</v>
      </c>
      <c r="G281" s="85">
        <f ca="1">IFERROR(__xludf.DUMMYFUNCTION("IFERROR(
  IF(A281 = 2008,
    IF(E281 = ""Online"",
      FILTER('Raw PhocalPoint Data'!G:G,
        'Raw PhocalPoint Data'!A:A = 2009,
        'Raw PhocalPoint Data'!D:D = D281,
        'Raw PhocalPoint Data'!E:E = E281,
        'Raw PhocalPoint Data'!F"&amp;":F = F281
      ) /
      (
        FILTER('Raw PhocalPoint Data'!G:G,
          'Raw PhocalPoint Data'!A:A = 2012,
          'Raw PhocalPoint Data'!D:D = D281,
          'Raw PhocalPoint Data'!E:E = E281,
          'Raw PhocalPoint Data'!F:F = F281
     "&amp;"   ) /
        FILTER('Raw PhocalPoint Data'!G:G,
          'Raw PhocalPoint Data'!A:A = 2011,
          'Raw PhocalPoint Data'!D:D = D281,
          'Raw PhocalPoint Data'!E:E = E281,
          'Raw PhocalPoint Data'!F:F = F281
        )
      ),
      F"&amp;"ILTER('Raw PhocalPoint Data'!G:G,
        'Raw PhocalPoint Data'!A:A = 2009,
        'Raw PhocalPoint Data'!D:D = D281,
        'Raw PhocalPoint Data'!E:E = E281,
        'Raw PhocalPoint Data'!F:F = F281
      ) *
      (
        INDEX('Raw GDP data'!$I$"&amp;"2:$M$100,
          MATCH(D281, 'Raw GDP data'!$H$2:$H$100, 0),
          MATCH(2008, 'Raw GDP data'!$I$1:$M$1, 0)
        ) /
        INDEX('Raw GDP data'!$I$2:$M$100,
          MATCH(D281, 'Raw GDP data'!$H$2:$H$100, 0),
          MATCH(2009, 'Raw GDP d"&amp;"ata'!$I$1:$M$1, 0)
        )
      )
    ),
  IF(A281 &lt; 2008,
    (
      FILTER(G:G,
        A:A = 2008,
        D:D = D281,
        E:E = E281,
        F:F = F281
      ) /
      PRODUCT(
        ARRAYFORMULA(
          (
            (
              FIL"&amp;"TER('Raw PhocalPoint Data'!G:G,
                'Raw PhocalPoint Data'!A:A = 2012,
                'Raw PhocalPoint Data'!D:D = D281,
                'Raw PhocalPoint Data'!E:E = E281,
                'Raw PhocalPoint Data'!F:F = F281
              ) /
  "&amp;"            FILTER('Raw PhocalPoint Data'!G:G,
                'Raw PhocalPoint Data'!A:A = 2011,
                'Raw PhocalPoint Data'!D:D = D281,
                'Raw PhocalPoint Data'!E:E = E281,
                'Raw PhocalPoint Data'!F:F = F281
     "&amp;"         ) -
              ROW(INDIRECT(""1:"" &amp; (2008 - A281))) *
              (
                (
                  FILTER('Raw PhocalPoint Data'!G:G,
                    'Raw PhocalPoint Data'!A:A = 2012,
                    'Raw PhocalPoint Data'!D:D"&amp;" = D281,
                    'Raw PhocalPoint Data'!E:E = E281,
                    'Raw PhocalPoint Data'!F:F = F281
                  ) /
                  FILTER('Raw PhocalPoint Data'!G:G,
                    'Raw PhocalPoint Data'!A:A = 2011,
       "&amp;"             'Raw PhocalPoint Data'!D:D = D281,
                    'Raw PhocalPoint Data'!E:E = E281,
                    'Raw PhocalPoint Data'!F:F = F281
                  ) - 1
                ) / 5
              )
            )
          )
        )
"&amp;"      )
    ),
    (
      FILTER('Raw PhocalPoint Data'!G:G,
        'Raw PhocalPoint Data'!A:A = 2009,
        'Raw PhocalPoint Data'!D:D = D281,
        'Raw PhocalPoint Data'!E:E = E281,
        'Raw PhocalPoint Data'!F:F = F281
      ) /
      PRODUC"&amp;"T(
        ARRAYFORMULA(
          (
            FILTER('Raw PhocalPoint Data'!G:G,
              'Raw PhocalPoint Data'!A:A = 2012,
              'Raw PhocalPoint Data'!D:D = D281,
              'Raw PhocalPoint Data'!E:E = E281,
              'Raw Phoca"&amp;"lPoint Data'!F:F = F281
            ) /
            FILTER('Raw PhocalPoint Data'!G:G,
              'Raw PhocalPoint Data'!A:A = 2011,
              'Raw PhocalPoint Data'!D:D = D281,
              'Raw PhocalPoint Data'!E:E = E281,
              'Raw Ph"&amp;"ocalPoint Data'!F:F = F281
            ) -
            (ROW(INDIRECT(""1:"" &amp; (2010 - A281))) - 1) *
            (
              (
                FILTER('Raw PhocalPoint Data'!G:G,
                  'Raw PhocalPoint Data'!A:A = 2012,
                  'R"&amp;"aw PhocalPoint Data'!D:D = D281,
                  'Raw PhocalPoint Data'!E:E = E281,
                  'Raw PhocalPoint Data'!F:F = F281
                ) /
                FILTER('Raw PhocalPoint Data'!G:G,
                  'Raw PhocalPoint Data'!A:A ="&amp;" 2011,
                  'Raw PhocalPoint Data'!D:D = D281,
                  'Raw PhocalPoint Data'!E:E = E281,
                  'Raw PhocalPoint Data'!F:F = F281
                ) - 1
              ) / 5
            )
          )
        )
      )
    "&amp;") *
    INDEX('Raw GDP data'!$I$2:$M$100,
      MATCH(D281, 'Raw GDP data'!$H$2:$H$100, 0),
      MATCH(A281, 'Raw GDP data'!$I$1:$M$1, 0)
    )
  )),
  """"
)
"),10563914.3490943)</f>
        <v>10563914.3490943</v>
      </c>
      <c r="H281" s="86"/>
      <c r="I281" s="87">
        <f ca="1">IFERROR(__xludf.DUMMYFUNCTION("""COMPUTED_VALUE"""),2011)</f>
        <v>2011</v>
      </c>
      <c r="J281" s="88" t="str">
        <f ca="1">IFERROR(__xludf.DUMMYFUNCTION("""COMPUTED_VALUE"""),"U.S.")</f>
        <v>U.S.</v>
      </c>
      <c r="K281" s="89">
        <f ca="1">IFERROR(
  SUMIFS(
    'New Backfilled Data'!G:G,
    'New Backfilled Data'!A:A, I281,
    'New Backfilled Data'!D:D, J281,
    'New Backfilled Data'!E:E, "Online"
  ) /
  SUMIFS(
    'New Backfilled Data'!G:G,
    'New Backfilled Data'!A:A, I281,
    'New Backfilled Data'!D:D, J281
  ),
  ""
)</f>
        <v>0.39945493060627701</v>
      </c>
      <c r="L281" s="90"/>
      <c r="M281" s="90"/>
    </row>
    <row r="282" spans="1:13" ht="34" x14ac:dyDescent="0.2">
      <c r="A282" s="37">
        <v>2007</v>
      </c>
      <c r="B282" s="38" t="s">
        <v>66</v>
      </c>
      <c r="C282" s="38" t="s">
        <v>17</v>
      </c>
      <c r="D282" s="38" t="s">
        <v>16</v>
      </c>
      <c r="E282" s="38" t="s">
        <v>69</v>
      </c>
      <c r="F282" s="38" t="s">
        <v>70</v>
      </c>
      <c r="G282" s="79">
        <f ca="1">IFERROR(__xludf.DUMMYFUNCTION("IFERROR(
  IF(A282 = 2008,
    IF(E282 = ""Online"",
      FILTER('Raw PhocalPoint Data'!G:G,
        'Raw PhocalPoint Data'!A:A = 2009,
        'Raw PhocalPoint Data'!D:D = D282,
        'Raw PhocalPoint Data'!E:E = E282,
        'Raw PhocalPoint Data'!F"&amp;":F = F282
      ) /
      (
        FILTER('Raw PhocalPoint Data'!G:G,
          'Raw PhocalPoint Data'!A:A = 2012,
          'Raw PhocalPoint Data'!D:D = D282,
          'Raw PhocalPoint Data'!E:E = E282,
          'Raw PhocalPoint Data'!F:F = F282
     "&amp;"   ) /
        FILTER('Raw PhocalPoint Data'!G:G,
          'Raw PhocalPoint Data'!A:A = 2011,
          'Raw PhocalPoint Data'!D:D = D282,
          'Raw PhocalPoint Data'!E:E = E282,
          'Raw PhocalPoint Data'!F:F = F282
        )
      ),
      F"&amp;"ILTER('Raw PhocalPoint Data'!G:G,
        'Raw PhocalPoint Data'!A:A = 2009,
        'Raw PhocalPoint Data'!D:D = D282,
        'Raw PhocalPoint Data'!E:E = E282,
        'Raw PhocalPoint Data'!F:F = F282
      ) *
      (
        INDEX('Raw GDP data'!$I$"&amp;"2:$M$100,
          MATCH(D282, 'Raw GDP data'!$H$2:$H$100, 0),
          MATCH(2008, 'Raw GDP data'!$I$1:$M$1, 0)
        ) /
        INDEX('Raw GDP data'!$I$2:$M$100,
          MATCH(D282, 'Raw GDP data'!$H$2:$H$100, 0),
          MATCH(2009, 'Raw GDP d"&amp;"ata'!$I$1:$M$1, 0)
        )
      )
    ),
  IF(A282 &lt; 2008,
    (
      FILTER(G:G,
        A:A = 2008,
        D:D = D282,
        E:E = E282,
        F:F = F282
      ) /
      PRODUCT(
        ARRAYFORMULA(
          (
            (
              FIL"&amp;"TER('Raw PhocalPoint Data'!G:G,
                'Raw PhocalPoint Data'!A:A = 2012,
                'Raw PhocalPoint Data'!D:D = D282,
                'Raw PhocalPoint Data'!E:E = E282,
                'Raw PhocalPoint Data'!F:F = F282
              ) /
  "&amp;"            FILTER('Raw PhocalPoint Data'!G:G,
                'Raw PhocalPoint Data'!A:A = 2011,
                'Raw PhocalPoint Data'!D:D = D282,
                'Raw PhocalPoint Data'!E:E = E282,
                'Raw PhocalPoint Data'!F:F = F282
     "&amp;"         ) -
              ROW(INDIRECT(""1:"" &amp; (2008 - A282))) *
              (
                (
                  FILTER('Raw PhocalPoint Data'!G:G,
                    'Raw PhocalPoint Data'!A:A = 2012,
                    'Raw PhocalPoint Data'!D:D"&amp;" = D282,
                    'Raw PhocalPoint Data'!E:E = E282,
                    'Raw PhocalPoint Data'!F:F = F282
                  ) /
                  FILTER('Raw PhocalPoint Data'!G:G,
                    'Raw PhocalPoint Data'!A:A = 2011,
       "&amp;"             'Raw PhocalPoint Data'!D:D = D282,
                    'Raw PhocalPoint Data'!E:E = E282,
                    'Raw PhocalPoint Data'!F:F = F282
                  ) - 1
                ) / 5
              )
            )
          )
        )
"&amp;"      )
    ),
    (
      FILTER('Raw PhocalPoint Data'!G:G,
        'Raw PhocalPoint Data'!A:A = 2009,
        'Raw PhocalPoint Data'!D:D = D282,
        'Raw PhocalPoint Data'!E:E = E282,
        'Raw PhocalPoint Data'!F:F = F282
      ) /
      PRODUC"&amp;"T(
        ARRAYFORMULA(
          (
            FILTER('Raw PhocalPoint Data'!G:G,
              'Raw PhocalPoint Data'!A:A = 2012,
              'Raw PhocalPoint Data'!D:D = D282,
              'Raw PhocalPoint Data'!E:E = E282,
              'Raw Phoca"&amp;"lPoint Data'!F:F = F282
            ) /
            FILTER('Raw PhocalPoint Data'!G:G,
              'Raw PhocalPoint Data'!A:A = 2011,
              'Raw PhocalPoint Data'!D:D = D282,
              'Raw PhocalPoint Data'!E:E = E282,
              'Raw Ph"&amp;"ocalPoint Data'!F:F = F282
            ) -
            (ROW(INDIRECT(""1:"" &amp; (2010 - A282))) - 1) *
            (
              (
                FILTER('Raw PhocalPoint Data'!G:G,
                  'Raw PhocalPoint Data'!A:A = 2012,
                  'R"&amp;"aw PhocalPoint Data'!D:D = D282,
                  'Raw PhocalPoint Data'!E:E = E282,
                  'Raw PhocalPoint Data'!F:F = F282
                ) /
                FILTER('Raw PhocalPoint Data'!G:G,
                  'Raw PhocalPoint Data'!A:A ="&amp;" 2011,
                  'Raw PhocalPoint Data'!D:D = D282,
                  'Raw PhocalPoint Data'!E:E = E282,
                  'Raw PhocalPoint Data'!F:F = F282
                ) - 1
              ) / 5
            )
          )
        )
      )
    "&amp;") *
    INDEX('Raw GDP data'!$I$2:$M$100,
      MATCH(D282, 'Raw GDP data'!$H$2:$H$100, 0),
      MATCH(A282, 'Raw GDP data'!$I$1:$M$1, 0)
    )
  )),
  """"
)
"),53457637.3017311)</f>
        <v>53457637.301731102</v>
      </c>
      <c r="H282" s="80"/>
      <c r="I282" s="81">
        <f ca="1">IFERROR(__xludf.DUMMYFUNCTION("""COMPUTED_VALUE"""),2012)</f>
        <v>2012</v>
      </c>
      <c r="J282" s="82" t="str">
        <f ca="1">IFERROR(__xludf.DUMMYFUNCTION("""COMPUTED_VALUE"""),"Australia-New Zealand")</f>
        <v>Australia-New Zealand</v>
      </c>
      <c r="K282" s="83">
        <f ca="1">IFERROR(
  SUMIFS(
    'New Backfilled Data'!G:G,
    'New Backfilled Data'!A:A, I282,
    'New Backfilled Data'!D:D, J282,
    'New Backfilled Data'!E:E, "Online"
  ) /
  SUMIFS(
    'New Backfilled Data'!G:G,
    'New Backfilled Data'!A:A, I282,
    'New Backfilled Data'!D:D, J282
  ),
  ""
)</f>
        <v>0.3525194421113777</v>
      </c>
      <c r="L282" s="84"/>
      <c r="M282" s="84"/>
    </row>
    <row r="283" spans="1:13" ht="17" x14ac:dyDescent="0.2">
      <c r="A283" s="44">
        <v>2007</v>
      </c>
      <c r="B283" s="45" t="s">
        <v>66</v>
      </c>
      <c r="C283" s="45" t="s">
        <v>17</v>
      </c>
      <c r="D283" s="45" t="s">
        <v>18</v>
      </c>
      <c r="E283" s="45" t="s">
        <v>67</v>
      </c>
      <c r="F283" s="45" t="s">
        <v>67</v>
      </c>
      <c r="G283" s="85">
        <f ca="1">IFERROR(__xludf.DUMMYFUNCTION("IFERROR(
  IF(A283 = 2008,
    IF(E283 = ""Online"",
      FILTER('Raw PhocalPoint Data'!G:G,
        'Raw PhocalPoint Data'!A:A = 2009,
        'Raw PhocalPoint Data'!D:D = D283,
        'Raw PhocalPoint Data'!E:E = E283,
        'Raw PhocalPoint Data'!F"&amp;":F = F283
      ) /
      (
        FILTER('Raw PhocalPoint Data'!G:G,
          'Raw PhocalPoint Data'!A:A = 2012,
          'Raw PhocalPoint Data'!D:D = D283,
          'Raw PhocalPoint Data'!E:E = E283,
          'Raw PhocalPoint Data'!F:F = F283
     "&amp;"   ) /
        FILTER('Raw PhocalPoint Data'!G:G,
          'Raw PhocalPoint Data'!A:A = 2011,
          'Raw PhocalPoint Data'!D:D = D283,
          'Raw PhocalPoint Data'!E:E = E283,
          'Raw PhocalPoint Data'!F:F = F283
        )
      ),
      F"&amp;"ILTER('Raw PhocalPoint Data'!G:G,
        'Raw PhocalPoint Data'!A:A = 2009,
        'Raw PhocalPoint Data'!D:D = D283,
        'Raw PhocalPoint Data'!E:E = E283,
        'Raw PhocalPoint Data'!F:F = F283
      ) *
      (
        INDEX('Raw GDP data'!$I$"&amp;"2:$M$100,
          MATCH(D283, 'Raw GDP data'!$H$2:$H$100, 0),
          MATCH(2008, 'Raw GDP data'!$I$1:$M$1, 0)
        ) /
        INDEX('Raw GDP data'!$I$2:$M$100,
          MATCH(D283, 'Raw GDP data'!$H$2:$H$100, 0),
          MATCH(2009, 'Raw GDP d"&amp;"ata'!$I$1:$M$1, 0)
        )
      )
    ),
  IF(A283 &lt; 2008,
    (
      FILTER(G:G,
        A:A = 2008,
        D:D = D283,
        E:E = E283,
        F:F = F283
      ) /
      PRODUCT(
        ARRAYFORMULA(
          (
            (
              FIL"&amp;"TER('Raw PhocalPoint Data'!G:G,
                'Raw PhocalPoint Data'!A:A = 2012,
                'Raw PhocalPoint Data'!D:D = D283,
                'Raw PhocalPoint Data'!E:E = E283,
                'Raw PhocalPoint Data'!F:F = F283
              ) /
  "&amp;"            FILTER('Raw PhocalPoint Data'!G:G,
                'Raw PhocalPoint Data'!A:A = 2011,
                'Raw PhocalPoint Data'!D:D = D283,
                'Raw PhocalPoint Data'!E:E = E283,
                'Raw PhocalPoint Data'!F:F = F283
     "&amp;"         ) -
              ROW(INDIRECT(""1:"" &amp; (2008 - A283))) *
              (
                (
                  FILTER('Raw PhocalPoint Data'!G:G,
                    'Raw PhocalPoint Data'!A:A = 2012,
                    'Raw PhocalPoint Data'!D:D"&amp;" = D283,
                    'Raw PhocalPoint Data'!E:E = E283,
                    'Raw PhocalPoint Data'!F:F = F283
                  ) /
                  FILTER('Raw PhocalPoint Data'!G:G,
                    'Raw PhocalPoint Data'!A:A = 2011,
       "&amp;"             'Raw PhocalPoint Data'!D:D = D283,
                    'Raw PhocalPoint Data'!E:E = E283,
                    'Raw PhocalPoint Data'!F:F = F283
                  ) - 1
                ) / 5
              )
            )
          )
        )
"&amp;"      )
    ),
    (
      FILTER('Raw PhocalPoint Data'!G:G,
        'Raw PhocalPoint Data'!A:A = 2009,
        'Raw PhocalPoint Data'!D:D = D283,
        'Raw PhocalPoint Data'!E:E = E283,
        'Raw PhocalPoint Data'!F:F = F283
      ) /
      PRODUC"&amp;"T(
        ARRAYFORMULA(
          (
            FILTER('Raw PhocalPoint Data'!G:G,
              'Raw PhocalPoint Data'!A:A = 2012,
              'Raw PhocalPoint Data'!D:D = D283,
              'Raw PhocalPoint Data'!E:E = E283,
              'Raw Phoca"&amp;"lPoint Data'!F:F = F283
            ) /
            FILTER('Raw PhocalPoint Data'!G:G,
              'Raw PhocalPoint Data'!A:A = 2011,
              'Raw PhocalPoint Data'!D:D = D283,
              'Raw PhocalPoint Data'!E:E = E283,
              'Raw Ph"&amp;"ocalPoint Data'!F:F = F283
            ) -
            (ROW(INDIRECT(""1:"" &amp; (2010 - A283))) - 1) *
            (
              (
                FILTER('Raw PhocalPoint Data'!G:G,
                  'Raw PhocalPoint Data'!A:A = 2012,
                  'R"&amp;"aw PhocalPoint Data'!D:D = D283,
                  'Raw PhocalPoint Data'!E:E = E283,
                  'Raw PhocalPoint Data'!F:F = F283
                ) /
                FILTER('Raw PhocalPoint Data'!G:G,
                  'Raw PhocalPoint Data'!A:A ="&amp;" 2011,
                  'Raw PhocalPoint Data'!D:D = D283,
                  'Raw PhocalPoint Data'!E:E = E283,
                  'Raw PhocalPoint Data'!F:F = F283
                ) - 1
              ) / 5
            )
          )
        )
      )
    "&amp;") *
    INDEX('Raw GDP data'!$I$2:$M$100,
      MATCH(D283, 'Raw GDP data'!$H$2:$H$100, 0),
      MATCH(A283, 'Raw GDP data'!$I$1:$M$1, 0)
    )
  )),
  """"
)
"),3075991984.84618)</f>
        <v>3075991984.84618</v>
      </c>
      <c r="H283" s="86"/>
      <c r="I283" s="87">
        <f ca="1">IFERROR(__xludf.DUMMYFUNCTION("""COMPUTED_VALUE"""),2012)</f>
        <v>2012</v>
      </c>
      <c r="J283" s="88" t="str">
        <f ca="1">IFERROR(__xludf.DUMMYFUNCTION("""COMPUTED_VALUE"""),"China")</f>
        <v>China</v>
      </c>
      <c r="K283" s="89">
        <f ca="1">IFERROR(
  SUMIFS(
    'New Backfilled Data'!G:G,
    'New Backfilled Data'!A:A, I283,
    'New Backfilled Data'!D:D, J283,
    'New Backfilled Data'!E:E, "Online"
  ) /
  SUMIFS(
    'New Backfilled Data'!G:G,
    'New Backfilled Data'!A:A, I283,
    'New Backfilled Data'!D:D, J283
  ),
  ""
)</f>
        <v>0.13270134351373</v>
      </c>
      <c r="L283" s="90"/>
      <c r="M283" s="90"/>
    </row>
    <row r="284" spans="1:13" ht="17" x14ac:dyDescent="0.2">
      <c r="A284" s="37">
        <v>2007</v>
      </c>
      <c r="B284" s="38" t="s">
        <v>66</v>
      </c>
      <c r="C284" s="38" t="s">
        <v>17</v>
      </c>
      <c r="D284" s="38" t="s">
        <v>18</v>
      </c>
      <c r="E284" s="38" t="s">
        <v>69</v>
      </c>
      <c r="F284" s="38" t="s">
        <v>71</v>
      </c>
      <c r="G284" s="79">
        <f ca="1">IFERROR(__xludf.DUMMYFUNCTION("IFERROR(
  IF(A284 = 2008,
    IF(E284 = ""Online"",
      FILTER('Raw PhocalPoint Data'!G:G,
        'Raw PhocalPoint Data'!A:A = 2009,
        'Raw PhocalPoint Data'!D:D = D284,
        'Raw PhocalPoint Data'!E:E = E284,
        'Raw PhocalPoint Data'!F"&amp;":F = F284
      ) /
      (
        FILTER('Raw PhocalPoint Data'!G:G,
          'Raw PhocalPoint Data'!A:A = 2012,
          'Raw PhocalPoint Data'!D:D = D284,
          'Raw PhocalPoint Data'!E:E = E284,
          'Raw PhocalPoint Data'!F:F = F284
     "&amp;"   ) /
        FILTER('Raw PhocalPoint Data'!G:G,
          'Raw PhocalPoint Data'!A:A = 2011,
          'Raw PhocalPoint Data'!D:D = D284,
          'Raw PhocalPoint Data'!E:E = E284,
          'Raw PhocalPoint Data'!F:F = F284
        )
      ),
      F"&amp;"ILTER('Raw PhocalPoint Data'!G:G,
        'Raw PhocalPoint Data'!A:A = 2009,
        'Raw PhocalPoint Data'!D:D = D284,
        'Raw PhocalPoint Data'!E:E = E284,
        'Raw PhocalPoint Data'!F:F = F284
      ) *
      (
        INDEX('Raw GDP data'!$I$"&amp;"2:$M$100,
          MATCH(D284, 'Raw GDP data'!$H$2:$H$100, 0),
          MATCH(2008, 'Raw GDP data'!$I$1:$M$1, 0)
        ) /
        INDEX('Raw GDP data'!$I$2:$M$100,
          MATCH(D284, 'Raw GDP data'!$H$2:$H$100, 0),
          MATCH(2009, 'Raw GDP d"&amp;"ata'!$I$1:$M$1, 0)
        )
      )
    ),
  IF(A284 &lt; 2008,
    (
      FILTER(G:G,
        A:A = 2008,
        D:D = D284,
        E:E = E284,
        F:F = F284
      ) /
      PRODUCT(
        ARRAYFORMULA(
          (
            (
              FIL"&amp;"TER('Raw PhocalPoint Data'!G:G,
                'Raw PhocalPoint Data'!A:A = 2012,
                'Raw PhocalPoint Data'!D:D = D284,
                'Raw PhocalPoint Data'!E:E = E284,
                'Raw PhocalPoint Data'!F:F = F284
              ) /
  "&amp;"            FILTER('Raw PhocalPoint Data'!G:G,
                'Raw PhocalPoint Data'!A:A = 2011,
                'Raw PhocalPoint Data'!D:D = D284,
                'Raw PhocalPoint Data'!E:E = E284,
                'Raw PhocalPoint Data'!F:F = F284
     "&amp;"         ) -
              ROW(INDIRECT(""1:"" &amp; (2008 - A284))) *
              (
                (
                  FILTER('Raw PhocalPoint Data'!G:G,
                    'Raw PhocalPoint Data'!A:A = 2012,
                    'Raw PhocalPoint Data'!D:D"&amp;" = D284,
                    'Raw PhocalPoint Data'!E:E = E284,
                    'Raw PhocalPoint Data'!F:F = F284
                  ) /
                  FILTER('Raw PhocalPoint Data'!G:G,
                    'Raw PhocalPoint Data'!A:A = 2011,
       "&amp;"             'Raw PhocalPoint Data'!D:D = D284,
                    'Raw PhocalPoint Data'!E:E = E284,
                    'Raw PhocalPoint Data'!F:F = F284
                  ) - 1
                ) / 5
              )
            )
          )
        )
"&amp;"      )
    ),
    (
      FILTER('Raw PhocalPoint Data'!G:G,
        'Raw PhocalPoint Data'!A:A = 2009,
        'Raw PhocalPoint Data'!D:D = D284,
        'Raw PhocalPoint Data'!E:E = E284,
        'Raw PhocalPoint Data'!F:F = F284
      ) /
      PRODUC"&amp;"T(
        ARRAYFORMULA(
          (
            FILTER('Raw PhocalPoint Data'!G:G,
              'Raw PhocalPoint Data'!A:A = 2012,
              'Raw PhocalPoint Data'!D:D = D284,
              'Raw PhocalPoint Data'!E:E = E284,
              'Raw Phoca"&amp;"lPoint Data'!F:F = F284
            ) /
            FILTER('Raw PhocalPoint Data'!G:G,
              'Raw PhocalPoint Data'!A:A = 2011,
              'Raw PhocalPoint Data'!D:D = D284,
              'Raw PhocalPoint Data'!E:E = E284,
              'Raw Ph"&amp;"ocalPoint Data'!F:F = F284
            ) -
            (ROW(INDIRECT(""1:"" &amp; (2010 - A284))) - 1) *
            (
              (
                FILTER('Raw PhocalPoint Data'!G:G,
                  'Raw PhocalPoint Data'!A:A = 2012,
                  'R"&amp;"aw PhocalPoint Data'!D:D = D284,
                  'Raw PhocalPoint Data'!E:E = E284,
                  'Raw PhocalPoint Data'!F:F = F284
                ) /
                FILTER('Raw PhocalPoint Data'!G:G,
                  'Raw PhocalPoint Data'!A:A ="&amp;" 2011,
                  'Raw PhocalPoint Data'!D:D = D284,
                  'Raw PhocalPoint Data'!E:E = E284,
                  'Raw PhocalPoint Data'!F:F = F284
                ) - 1
              ) / 5
            )
          )
        )
      )
    "&amp;") *
    INDEX('Raw GDP data'!$I$2:$M$100,
      MATCH(D284, 'Raw GDP data'!$H$2:$H$100, 0),
      MATCH(A284, 'Raw GDP data'!$I$1:$M$1, 0)
    )
  )),
  """"
)
"),220369857.916497)</f>
        <v>220369857.91649699</v>
      </c>
      <c r="H284" s="80"/>
      <c r="I284" s="81">
        <f ca="1">IFERROR(__xludf.DUMMYFUNCTION("""COMPUTED_VALUE"""),2012)</f>
        <v>2012</v>
      </c>
      <c r="J284" s="82" t="str">
        <f ca="1">IFERROR(__xludf.DUMMYFUNCTION("""COMPUTED_VALUE"""),"Hong Kong")</f>
        <v>Hong Kong</v>
      </c>
      <c r="K284" s="83">
        <f ca="1">IFERROR(
  SUMIFS(
    'New Backfilled Data'!G:G,
    'New Backfilled Data'!A:A, I284,
    'New Backfilled Data'!D:D, J284,
    'New Backfilled Data'!E:E, "Online"
  ) /
  SUMIFS(
    'New Backfilled Data'!G:G,
    'New Backfilled Data'!A:A, I284,
    'New Backfilled Data'!D:D, J284
  ),
  ""
)</f>
        <v>9.0905303294950376E-2</v>
      </c>
      <c r="L284" s="84"/>
      <c r="M284" s="84"/>
    </row>
    <row r="285" spans="1:13" ht="17" x14ac:dyDescent="0.2">
      <c r="A285" s="44">
        <v>2007</v>
      </c>
      <c r="B285" s="45" t="s">
        <v>66</v>
      </c>
      <c r="C285" s="45" t="s">
        <v>17</v>
      </c>
      <c r="D285" s="45" t="s">
        <v>18</v>
      </c>
      <c r="E285" s="45" t="s">
        <v>69</v>
      </c>
      <c r="F285" s="45" t="s">
        <v>70</v>
      </c>
      <c r="G285" s="85">
        <f ca="1">IFERROR(__xludf.DUMMYFUNCTION("IFERROR(
  IF(A285 = 2008,
    IF(E285 = ""Online"",
      FILTER('Raw PhocalPoint Data'!G:G,
        'Raw PhocalPoint Data'!A:A = 2009,
        'Raw PhocalPoint Data'!D:D = D285,
        'Raw PhocalPoint Data'!E:E = E285,
        'Raw PhocalPoint Data'!F"&amp;":F = F285
      ) /
      (
        FILTER('Raw PhocalPoint Data'!G:G,
          'Raw PhocalPoint Data'!A:A = 2012,
          'Raw PhocalPoint Data'!D:D = D285,
          'Raw PhocalPoint Data'!E:E = E285,
          'Raw PhocalPoint Data'!F:F = F285
     "&amp;"   ) /
        FILTER('Raw PhocalPoint Data'!G:G,
          'Raw PhocalPoint Data'!A:A = 2011,
          'Raw PhocalPoint Data'!D:D = D285,
          'Raw PhocalPoint Data'!E:E = E285,
          'Raw PhocalPoint Data'!F:F = F285
        )
      ),
      F"&amp;"ILTER('Raw PhocalPoint Data'!G:G,
        'Raw PhocalPoint Data'!A:A = 2009,
        'Raw PhocalPoint Data'!D:D = D285,
        'Raw PhocalPoint Data'!E:E = E285,
        'Raw PhocalPoint Data'!F:F = F285
      ) *
      (
        INDEX('Raw GDP data'!$I$"&amp;"2:$M$100,
          MATCH(D285, 'Raw GDP data'!$H$2:$H$100, 0),
          MATCH(2008, 'Raw GDP data'!$I$1:$M$1, 0)
        ) /
        INDEX('Raw GDP data'!$I$2:$M$100,
          MATCH(D285, 'Raw GDP data'!$H$2:$H$100, 0),
          MATCH(2009, 'Raw GDP d"&amp;"ata'!$I$1:$M$1, 0)
        )
      )
    ),
  IF(A285 &lt; 2008,
    (
      FILTER(G:G,
        A:A = 2008,
        D:D = D285,
        E:E = E285,
        F:F = F285
      ) /
      PRODUCT(
        ARRAYFORMULA(
          (
            (
              FIL"&amp;"TER('Raw PhocalPoint Data'!G:G,
                'Raw PhocalPoint Data'!A:A = 2012,
                'Raw PhocalPoint Data'!D:D = D285,
                'Raw PhocalPoint Data'!E:E = E285,
                'Raw PhocalPoint Data'!F:F = F285
              ) /
  "&amp;"            FILTER('Raw PhocalPoint Data'!G:G,
                'Raw PhocalPoint Data'!A:A = 2011,
                'Raw PhocalPoint Data'!D:D = D285,
                'Raw PhocalPoint Data'!E:E = E285,
                'Raw PhocalPoint Data'!F:F = F285
     "&amp;"         ) -
              ROW(INDIRECT(""1:"" &amp; (2008 - A285))) *
              (
                (
                  FILTER('Raw PhocalPoint Data'!G:G,
                    'Raw PhocalPoint Data'!A:A = 2012,
                    'Raw PhocalPoint Data'!D:D"&amp;" = D285,
                    'Raw PhocalPoint Data'!E:E = E285,
                    'Raw PhocalPoint Data'!F:F = F285
                  ) /
                  FILTER('Raw PhocalPoint Data'!G:G,
                    'Raw PhocalPoint Data'!A:A = 2011,
       "&amp;"             'Raw PhocalPoint Data'!D:D = D285,
                    'Raw PhocalPoint Data'!E:E = E285,
                    'Raw PhocalPoint Data'!F:F = F285
                  ) - 1
                ) / 5
              )
            )
          )
        )
"&amp;"      )
    ),
    (
      FILTER('Raw PhocalPoint Data'!G:G,
        'Raw PhocalPoint Data'!A:A = 2009,
        'Raw PhocalPoint Data'!D:D = D285,
        'Raw PhocalPoint Data'!E:E = E285,
        'Raw PhocalPoint Data'!F:F = F285
      ) /
      PRODUC"&amp;"T(
        ARRAYFORMULA(
          (
            FILTER('Raw PhocalPoint Data'!G:G,
              'Raw PhocalPoint Data'!A:A = 2012,
              'Raw PhocalPoint Data'!D:D = D285,
              'Raw PhocalPoint Data'!E:E = E285,
              'Raw Phoca"&amp;"lPoint Data'!F:F = F285
            ) /
            FILTER('Raw PhocalPoint Data'!G:G,
              'Raw PhocalPoint Data'!A:A = 2011,
              'Raw PhocalPoint Data'!D:D = D285,
              'Raw PhocalPoint Data'!E:E = E285,
              'Raw Ph"&amp;"ocalPoint Data'!F:F = F285
            ) -
            (ROW(INDIRECT(""1:"" &amp; (2010 - A285))) - 1) *
            (
              (
                FILTER('Raw PhocalPoint Data'!G:G,
                  'Raw PhocalPoint Data'!A:A = 2012,
                  'R"&amp;"aw PhocalPoint Data'!D:D = D285,
                  'Raw PhocalPoint Data'!E:E = E285,
                  'Raw PhocalPoint Data'!F:F = F285
                ) /
                FILTER('Raw PhocalPoint Data'!G:G,
                  'Raw PhocalPoint Data'!A:A ="&amp;" 2011,
                  'Raw PhocalPoint Data'!D:D = D285,
                  'Raw PhocalPoint Data'!E:E = E285,
                  'Raw PhocalPoint Data'!F:F = F285
                ) - 1
              ) / 5
            )
          )
        )
      )
    "&amp;") *
    INDEX('Raw GDP data'!$I$2:$M$100,
      MATCH(D285, 'Raw GDP data'!$H$2:$H$100, 0),
      MATCH(A285, 'Raw GDP data'!$I$1:$M$1, 0)
    )
  )),
  """"
)
"),182774608.088828)</f>
        <v>182774608.088828</v>
      </c>
      <c r="H285" s="86"/>
      <c r="I285" s="87">
        <f ca="1">IFERROR(__xludf.DUMMYFUNCTION("""COMPUTED_VALUE"""),2012)</f>
        <v>2012</v>
      </c>
      <c r="J285" s="88" t="str">
        <f ca="1">IFERROR(__xludf.DUMMYFUNCTION("""COMPUTED_VALUE"""),"India")</f>
        <v>India</v>
      </c>
      <c r="K285" s="89">
        <f ca="1">IFERROR(
  SUMIFS(
    'New Backfilled Data'!G:G,
    'New Backfilled Data'!A:A, I285,
    'New Backfilled Data'!D:D, J285,
    'New Backfilled Data'!E:E, "Online"
  ) /
  SUMIFS(
    'New Backfilled Data'!G:G,
    'New Backfilled Data'!A:A, I285,
    'New Backfilled Data'!D:D, J285
  ),
  ""
)</f>
        <v>0.26563662343377981</v>
      </c>
      <c r="L285" s="90"/>
      <c r="M285" s="90"/>
    </row>
    <row r="286" spans="1:13" ht="17" x14ac:dyDescent="0.2">
      <c r="A286" s="37">
        <v>2007</v>
      </c>
      <c r="B286" s="38" t="s">
        <v>66</v>
      </c>
      <c r="C286" s="38" t="s">
        <v>17</v>
      </c>
      <c r="D286" s="38" t="s">
        <v>19</v>
      </c>
      <c r="E286" s="38" t="s">
        <v>67</v>
      </c>
      <c r="F286" s="38" t="s">
        <v>67</v>
      </c>
      <c r="G286" s="79">
        <f ca="1">IFERROR(__xludf.DUMMYFUNCTION("IFERROR(
  IF(A286 = 2008,
    IF(E286 = ""Online"",
      FILTER('Raw PhocalPoint Data'!G:G,
        'Raw PhocalPoint Data'!A:A = 2009,
        'Raw PhocalPoint Data'!D:D = D286,
        'Raw PhocalPoint Data'!E:E = E286,
        'Raw PhocalPoint Data'!F"&amp;":F = F286
      ) /
      (
        FILTER('Raw PhocalPoint Data'!G:G,
          'Raw PhocalPoint Data'!A:A = 2012,
          'Raw PhocalPoint Data'!D:D = D286,
          'Raw PhocalPoint Data'!E:E = E286,
          'Raw PhocalPoint Data'!F:F = F286
     "&amp;"   ) /
        FILTER('Raw PhocalPoint Data'!G:G,
          'Raw PhocalPoint Data'!A:A = 2011,
          'Raw PhocalPoint Data'!D:D = D286,
          'Raw PhocalPoint Data'!E:E = E286,
          'Raw PhocalPoint Data'!F:F = F286
        )
      ),
      F"&amp;"ILTER('Raw PhocalPoint Data'!G:G,
        'Raw PhocalPoint Data'!A:A = 2009,
        'Raw PhocalPoint Data'!D:D = D286,
        'Raw PhocalPoint Data'!E:E = E286,
        'Raw PhocalPoint Data'!F:F = F286
      ) *
      (
        INDEX('Raw GDP data'!$I$"&amp;"2:$M$100,
          MATCH(D286, 'Raw GDP data'!$H$2:$H$100, 0),
          MATCH(2008, 'Raw GDP data'!$I$1:$M$1, 0)
        ) /
        INDEX('Raw GDP data'!$I$2:$M$100,
          MATCH(D286, 'Raw GDP data'!$H$2:$H$100, 0),
          MATCH(2009, 'Raw GDP d"&amp;"ata'!$I$1:$M$1, 0)
        )
      )
    ),
  IF(A286 &lt; 2008,
    (
      FILTER(G:G,
        A:A = 2008,
        D:D = D286,
        E:E = E286,
        F:F = F286
      ) /
      PRODUCT(
        ARRAYFORMULA(
          (
            (
              FIL"&amp;"TER('Raw PhocalPoint Data'!G:G,
                'Raw PhocalPoint Data'!A:A = 2012,
                'Raw PhocalPoint Data'!D:D = D286,
                'Raw PhocalPoint Data'!E:E = E286,
                'Raw PhocalPoint Data'!F:F = F286
              ) /
  "&amp;"            FILTER('Raw PhocalPoint Data'!G:G,
                'Raw PhocalPoint Data'!A:A = 2011,
                'Raw PhocalPoint Data'!D:D = D286,
                'Raw PhocalPoint Data'!E:E = E286,
                'Raw PhocalPoint Data'!F:F = F286
     "&amp;"         ) -
              ROW(INDIRECT(""1:"" &amp; (2008 - A286))) *
              (
                (
                  FILTER('Raw PhocalPoint Data'!G:G,
                    'Raw PhocalPoint Data'!A:A = 2012,
                    'Raw PhocalPoint Data'!D:D"&amp;" = D286,
                    'Raw PhocalPoint Data'!E:E = E286,
                    'Raw PhocalPoint Data'!F:F = F286
                  ) /
                  FILTER('Raw PhocalPoint Data'!G:G,
                    'Raw PhocalPoint Data'!A:A = 2011,
       "&amp;"             'Raw PhocalPoint Data'!D:D = D286,
                    'Raw PhocalPoint Data'!E:E = E286,
                    'Raw PhocalPoint Data'!F:F = F286
                  ) - 1
                ) / 5
              )
            )
          )
        )
"&amp;"      )
    ),
    (
      FILTER('Raw PhocalPoint Data'!G:G,
        'Raw PhocalPoint Data'!A:A = 2009,
        'Raw PhocalPoint Data'!D:D = D286,
        'Raw PhocalPoint Data'!E:E = E286,
        'Raw PhocalPoint Data'!F:F = F286
      ) /
      PRODUC"&amp;"T(
        ARRAYFORMULA(
          (
            FILTER('Raw PhocalPoint Data'!G:G,
              'Raw PhocalPoint Data'!A:A = 2012,
              'Raw PhocalPoint Data'!D:D = D286,
              'Raw PhocalPoint Data'!E:E = E286,
              'Raw Phoca"&amp;"lPoint Data'!F:F = F286
            ) /
            FILTER('Raw PhocalPoint Data'!G:G,
              'Raw PhocalPoint Data'!A:A = 2011,
              'Raw PhocalPoint Data'!D:D = D286,
              'Raw PhocalPoint Data'!E:E = E286,
              'Raw Ph"&amp;"ocalPoint Data'!F:F = F286
            ) -
            (ROW(INDIRECT(""1:"" &amp; (2010 - A286))) - 1) *
            (
              (
                FILTER('Raw PhocalPoint Data'!G:G,
                  'Raw PhocalPoint Data'!A:A = 2012,
                  'R"&amp;"aw PhocalPoint Data'!D:D = D286,
                  'Raw PhocalPoint Data'!E:E = E286,
                  'Raw PhocalPoint Data'!F:F = F286
                ) /
                FILTER('Raw PhocalPoint Data'!G:G,
                  'Raw PhocalPoint Data'!A:A ="&amp;" 2011,
                  'Raw PhocalPoint Data'!D:D = D286,
                  'Raw PhocalPoint Data'!E:E = E286,
                  'Raw PhocalPoint Data'!F:F = F286
                ) - 1
              ) / 5
            )
          )
        )
      )
    "&amp;") *
    INDEX('Raw GDP data'!$I$2:$M$100,
      MATCH(D286, 'Raw GDP data'!$H$2:$H$100, 0),
      MATCH(A286, 'Raw GDP data'!$I$1:$M$1, 0)
    )
  )),
  """"
)
"),9183327084.55497)</f>
        <v>9183327084.5549698</v>
      </c>
      <c r="H286" s="80"/>
      <c r="I286" s="81">
        <f ca="1">IFERROR(__xludf.DUMMYFUNCTION("""COMPUTED_VALUE"""),2012)</f>
        <v>2012</v>
      </c>
      <c r="J286" s="82" t="str">
        <f ca="1">IFERROR(__xludf.DUMMYFUNCTION("""COMPUTED_VALUE"""),"Indonesia")</f>
        <v>Indonesia</v>
      </c>
      <c r="K286" s="83">
        <f ca="1">IFERROR(
  SUMIFS(
    'New Backfilled Data'!G:G,
    'New Backfilled Data'!A:A, I286,
    'New Backfilled Data'!D:D, J286,
    'New Backfilled Data'!E:E, "Online"
  ) /
  SUMIFS(
    'New Backfilled Data'!G:G,
    'New Backfilled Data'!A:A, I286,
    'New Backfilled Data'!D:D, J286
  ),
  ""
)</f>
        <v>7.3248305034982475E-2</v>
      </c>
      <c r="L286" s="84"/>
      <c r="M286" s="84"/>
    </row>
    <row r="287" spans="1:13" ht="17" x14ac:dyDescent="0.2">
      <c r="A287" s="44">
        <v>2007</v>
      </c>
      <c r="B287" s="45" t="s">
        <v>66</v>
      </c>
      <c r="C287" s="45" t="s">
        <v>17</v>
      </c>
      <c r="D287" s="45" t="s">
        <v>19</v>
      </c>
      <c r="E287" s="45" t="s">
        <v>69</v>
      </c>
      <c r="F287" s="45" t="s">
        <v>71</v>
      </c>
      <c r="G287" s="85">
        <f ca="1">IFERROR(__xludf.DUMMYFUNCTION("IFERROR(
  IF(A287 = 2008,
    IF(E287 = ""Online"",
      FILTER('Raw PhocalPoint Data'!G:G,
        'Raw PhocalPoint Data'!A:A = 2009,
        'Raw PhocalPoint Data'!D:D = D287,
        'Raw PhocalPoint Data'!E:E = E287,
        'Raw PhocalPoint Data'!F"&amp;":F = F287
      ) /
      (
        FILTER('Raw PhocalPoint Data'!G:G,
          'Raw PhocalPoint Data'!A:A = 2012,
          'Raw PhocalPoint Data'!D:D = D287,
          'Raw PhocalPoint Data'!E:E = E287,
          'Raw PhocalPoint Data'!F:F = F287
     "&amp;"   ) /
        FILTER('Raw PhocalPoint Data'!G:G,
          'Raw PhocalPoint Data'!A:A = 2011,
          'Raw PhocalPoint Data'!D:D = D287,
          'Raw PhocalPoint Data'!E:E = E287,
          'Raw PhocalPoint Data'!F:F = F287
        )
      ),
      F"&amp;"ILTER('Raw PhocalPoint Data'!G:G,
        'Raw PhocalPoint Data'!A:A = 2009,
        'Raw PhocalPoint Data'!D:D = D287,
        'Raw PhocalPoint Data'!E:E = E287,
        'Raw PhocalPoint Data'!F:F = F287
      ) *
      (
        INDEX('Raw GDP data'!$I$"&amp;"2:$M$100,
          MATCH(D287, 'Raw GDP data'!$H$2:$H$100, 0),
          MATCH(2008, 'Raw GDP data'!$I$1:$M$1, 0)
        ) /
        INDEX('Raw GDP data'!$I$2:$M$100,
          MATCH(D287, 'Raw GDP data'!$H$2:$H$100, 0),
          MATCH(2009, 'Raw GDP d"&amp;"ata'!$I$1:$M$1, 0)
        )
      )
    ),
  IF(A287 &lt; 2008,
    (
      FILTER(G:G,
        A:A = 2008,
        D:D = D287,
        E:E = E287,
        F:F = F287
      ) /
      PRODUCT(
        ARRAYFORMULA(
          (
            (
              FIL"&amp;"TER('Raw PhocalPoint Data'!G:G,
                'Raw PhocalPoint Data'!A:A = 2012,
                'Raw PhocalPoint Data'!D:D = D287,
                'Raw PhocalPoint Data'!E:E = E287,
                'Raw PhocalPoint Data'!F:F = F287
              ) /
  "&amp;"            FILTER('Raw PhocalPoint Data'!G:G,
                'Raw PhocalPoint Data'!A:A = 2011,
                'Raw PhocalPoint Data'!D:D = D287,
                'Raw PhocalPoint Data'!E:E = E287,
                'Raw PhocalPoint Data'!F:F = F287
     "&amp;"         ) -
              ROW(INDIRECT(""1:"" &amp; (2008 - A287))) *
              (
                (
                  FILTER('Raw PhocalPoint Data'!G:G,
                    'Raw PhocalPoint Data'!A:A = 2012,
                    'Raw PhocalPoint Data'!D:D"&amp;" = D287,
                    'Raw PhocalPoint Data'!E:E = E287,
                    'Raw PhocalPoint Data'!F:F = F287
                  ) /
                  FILTER('Raw PhocalPoint Data'!G:G,
                    'Raw PhocalPoint Data'!A:A = 2011,
       "&amp;"             'Raw PhocalPoint Data'!D:D = D287,
                    'Raw PhocalPoint Data'!E:E = E287,
                    'Raw PhocalPoint Data'!F:F = F287
                  ) - 1
                ) / 5
              )
            )
          )
        )
"&amp;"      )
    ),
    (
      FILTER('Raw PhocalPoint Data'!G:G,
        'Raw PhocalPoint Data'!A:A = 2009,
        'Raw PhocalPoint Data'!D:D = D287,
        'Raw PhocalPoint Data'!E:E = E287,
        'Raw PhocalPoint Data'!F:F = F287
      ) /
      PRODUC"&amp;"T(
        ARRAYFORMULA(
          (
            FILTER('Raw PhocalPoint Data'!G:G,
              'Raw PhocalPoint Data'!A:A = 2012,
              'Raw PhocalPoint Data'!D:D = D287,
              'Raw PhocalPoint Data'!E:E = E287,
              'Raw Phoca"&amp;"lPoint Data'!F:F = F287
            ) /
            FILTER('Raw PhocalPoint Data'!G:G,
              'Raw PhocalPoint Data'!A:A = 2011,
              'Raw PhocalPoint Data'!D:D = D287,
              'Raw PhocalPoint Data'!E:E = E287,
              'Raw Ph"&amp;"ocalPoint Data'!F:F = F287
            ) -
            (ROW(INDIRECT(""1:"" &amp; (2010 - A287))) - 1) *
            (
              (
                FILTER('Raw PhocalPoint Data'!G:G,
                  'Raw PhocalPoint Data'!A:A = 2012,
                  'R"&amp;"aw PhocalPoint Data'!D:D = D287,
                  'Raw PhocalPoint Data'!E:E = E287,
                  'Raw PhocalPoint Data'!F:F = F287
                ) /
                FILTER('Raw PhocalPoint Data'!G:G,
                  'Raw PhocalPoint Data'!A:A ="&amp;" 2011,
                  'Raw PhocalPoint Data'!D:D = D287,
                  'Raw PhocalPoint Data'!E:E = E287,
                  'Raw PhocalPoint Data'!F:F = F287
                ) - 1
              ) / 5
            )
          )
        )
      )
    "&amp;") *
    INDEX('Raw GDP data'!$I$2:$M$100,
      MATCH(D287, 'Raw GDP data'!$H$2:$H$100, 0),
      MATCH(A287, 'Raw GDP data'!$I$1:$M$1, 0)
    )
  )),
  """"
)
"),384758099.966771)</f>
        <v>384758099.96677101</v>
      </c>
      <c r="H287" s="86"/>
      <c r="I287" s="87">
        <f ca="1">IFERROR(__xludf.DUMMYFUNCTION("""COMPUTED_VALUE"""),2012)</f>
        <v>2012</v>
      </c>
      <c r="J287" s="88" t="str">
        <f ca="1">IFERROR(__xludf.DUMMYFUNCTION("""COMPUTED_VALUE"""),"Japan")</f>
        <v>Japan</v>
      </c>
      <c r="K287" s="89">
        <f ca="1">IFERROR(
  SUMIFS(
    'New Backfilled Data'!G:G,
    'New Backfilled Data'!A:A, I287,
    'New Backfilled Data'!D:D, J287,
    'New Backfilled Data'!E:E, "Online"
  ) /
  SUMIFS(
    'New Backfilled Data'!G:G,
    'New Backfilled Data'!A:A, I287,
    'New Backfilled Data'!D:D, J287
  ),
  ""
)</f>
        <v>0.30710046645897732</v>
      </c>
      <c r="L287" s="90"/>
      <c r="M287" s="90"/>
    </row>
    <row r="288" spans="1:13" ht="17" x14ac:dyDescent="0.2">
      <c r="A288" s="37">
        <v>2007</v>
      </c>
      <c r="B288" s="38" t="s">
        <v>66</v>
      </c>
      <c r="C288" s="38" t="s">
        <v>17</v>
      </c>
      <c r="D288" s="38" t="s">
        <v>19</v>
      </c>
      <c r="E288" s="38" t="s">
        <v>69</v>
      </c>
      <c r="F288" s="38" t="s">
        <v>70</v>
      </c>
      <c r="G288" s="79">
        <f ca="1">IFERROR(__xludf.DUMMYFUNCTION("IFERROR(
  IF(A288 = 2008,
    IF(E288 = ""Online"",
      FILTER('Raw PhocalPoint Data'!G:G,
        'Raw PhocalPoint Data'!A:A = 2009,
        'Raw PhocalPoint Data'!D:D = D288,
        'Raw PhocalPoint Data'!E:E = E288,
        'Raw PhocalPoint Data'!F"&amp;":F = F288
      ) /
      (
        FILTER('Raw PhocalPoint Data'!G:G,
          'Raw PhocalPoint Data'!A:A = 2012,
          'Raw PhocalPoint Data'!D:D = D288,
          'Raw PhocalPoint Data'!E:E = E288,
          'Raw PhocalPoint Data'!F:F = F288
     "&amp;"   ) /
        FILTER('Raw PhocalPoint Data'!G:G,
          'Raw PhocalPoint Data'!A:A = 2011,
          'Raw PhocalPoint Data'!D:D = D288,
          'Raw PhocalPoint Data'!E:E = E288,
          'Raw PhocalPoint Data'!F:F = F288
        )
      ),
      F"&amp;"ILTER('Raw PhocalPoint Data'!G:G,
        'Raw PhocalPoint Data'!A:A = 2009,
        'Raw PhocalPoint Data'!D:D = D288,
        'Raw PhocalPoint Data'!E:E = E288,
        'Raw PhocalPoint Data'!F:F = F288
      ) *
      (
        INDEX('Raw GDP data'!$I$"&amp;"2:$M$100,
          MATCH(D288, 'Raw GDP data'!$H$2:$H$100, 0),
          MATCH(2008, 'Raw GDP data'!$I$1:$M$1, 0)
        ) /
        INDEX('Raw GDP data'!$I$2:$M$100,
          MATCH(D288, 'Raw GDP data'!$H$2:$H$100, 0),
          MATCH(2009, 'Raw GDP d"&amp;"ata'!$I$1:$M$1, 0)
        )
      )
    ),
  IF(A288 &lt; 2008,
    (
      FILTER(G:G,
        A:A = 2008,
        D:D = D288,
        E:E = E288,
        F:F = F288
      ) /
      PRODUCT(
        ARRAYFORMULA(
          (
            (
              FIL"&amp;"TER('Raw PhocalPoint Data'!G:G,
                'Raw PhocalPoint Data'!A:A = 2012,
                'Raw PhocalPoint Data'!D:D = D288,
                'Raw PhocalPoint Data'!E:E = E288,
                'Raw PhocalPoint Data'!F:F = F288
              ) /
  "&amp;"            FILTER('Raw PhocalPoint Data'!G:G,
                'Raw PhocalPoint Data'!A:A = 2011,
                'Raw PhocalPoint Data'!D:D = D288,
                'Raw PhocalPoint Data'!E:E = E288,
                'Raw PhocalPoint Data'!F:F = F288
     "&amp;"         ) -
              ROW(INDIRECT(""1:"" &amp; (2008 - A288))) *
              (
                (
                  FILTER('Raw PhocalPoint Data'!G:G,
                    'Raw PhocalPoint Data'!A:A = 2012,
                    'Raw PhocalPoint Data'!D:D"&amp;" = D288,
                    'Raw PhocalPoint Data'!E:E = E288,
                    'Raw PhocalPoint Data'!F:F = F288
                  ) /
                  FILTER('Raw PhocalPoint Data'!G:G,
                    'Raw PhocalPoint Data'!A:A = 2011,
       "&amp;"             'Raw PhocalPoint Data'!D:D = D288,
                    'Raw PhocalPoint Data'!E:E = E288,
                    'Raw PhocalPoint Data'!F:F = F288
                  ) - 1
                ) / 5
              )
            )
          )
        )
"&amp;"      )
    ),
    (
      FILTER('Raw PhocalPoint Data'!G:G,
        'Raw PhocalPoint Data'!A:A = 2009,
        'Raw PhocalPoint Data'!D:D = D288,
        'Raw PhocalPoint Data'!E:E = E288,
        'Raw PhocalPoint Data'!F:F = F288
      ) /
      PRODUC"&amp;"T(
        ARRAYFORMULA(
          (
            FILTER('Raw PhocalPoint Data'!G:G,
              'Raw PhocalPoint Data'!A:A = 2012,
              'Raw PhocalPoint Data'!D:D = D288,
              'Raw PhocalPoint Data'!E:E = E288,
              'Raw Phoca"&amp;"lPoint Data'!F:F = F288
            ) /
            FILTER('Raw PhocalPoint Data'!G:G,
              'Raw PhocalPoint Data'!A:A = 2011,
              'Raw PhocalPoint Data'!D:D = D288,
              'Raw PhocalPoint Data'!E:E = E288,
              'Raw Ph"&amp;"ocalPoint Data'!F:F = F288
            ) -
            (ROW(INDIRECT(""1:"" &amp; (2010 - A288))) - 1) *
            (
              (
                FILTER('Raw PhocalPoint Data'!G:G,
                  'Raw PhocalPoint Data'!A:A = 2012,
                  'R"&amp;"aw PhocalPoint Data'!D:D = D288,
                  'Raw PhocalPoint Data'!E:E = E288,
                  'Raw PhocalPoint Data'!F:F = F288
                ) /
                FILTER('Raw PhocalPoint Data'!G:G,
                  'Raw PhocalPoint Data'!A:A ="&amp;" 2011,
                  'Raw PhocalPoint Data'!D:D = D288,
                  'Raw PhocalPoint Data'!E:E = E288,
                  'Raw PhocalPoint Data'!F:F = F288
                ) - 1
              ) / 5
            )
          )
        )
      )
    "&amp;") *
    INDEX('Raw GDP data'!$I$2:$M$100,
      MATCH(D288, 'Raw GDP data'!$H$2:$H$100, 0),
      MATCH(A288, 'Raw GDP data'!$I$1:$M$1, 0)
    )
  )),
  """"
)
"),1545982956.77972)</f>
        <v>1545982956.7797201</v>
      </c>
      <c r="H288" s="80"/>
      <c r="I288" s="81">
        <f ca="1">IFERROR(__xludf.DUMMYFUNCTION("""COMPUTED_VALUE"""),2012)</f>
        <v>2012</v>
      </c>
      <c r="J288" s="82" t="str">
        <f ca="1">IFERROR(__xludf.DUMMYFUNCTION("""COMPUTED_VALUE"""),"Macau")</f>
        <v>Macau</v>
      </c>
      <c r="K288" s="83">
        <f ca="1">IFERROR(
  SUMIFS(
    'New Backfilled Data'!G:G,
    'New Backfilled Data'!A:A, I288,
    'New Backfilled Data'!D:D, J288,
    'New Backfilled Data'!E:E, "Online"
  ) /
  SUMIFS(
    'New Backfilled Data'!G:G,
    'New Backfilled Data'!A:A, I288,
    'New Backfilled Data'!D:D, J288
  ),
  ""
)</f>
        <v>5.0000000850763816E-2</v>
      </c>
      <c r="L288" s="84"/>
      <c r="M288" s="84"/>
    </row>
    <row r="289" spans="1:13" ht="17" x14ac:dyDescent="0.2">
      <c r="A289" s="44">
        <v>2007</v>
      </c>
      <c r="B289" s="45" t="s">
        <v>66</v>
      </c>
      <c r="C289" s="45" t="s">
        <v>17</v>
      </c>
      <c r="D289" s="45" t="s">
        <v>20</v>
      </c>
      <c r="E289" s="45" t="s">
        <v>67</v>
      </c>
      <c r="F289" s="45" t="s">
        <v>67</v>
      </c>
      <c r="G289" s="85">
        <f ca="1">IFERROR(__xludf.DUMMYFUNCTION("IFERROR(
  IF(A289 = 2008,
    IF(E289 = ""Online"",
      FILTER('Raw PhocalPoint Data'!G:G,
        'Raw PhocalPoint Data'!A:A = 2009,
        'Raw PhocalPoint Data'!D:D = D289,
        'Raw PhocalPoint Data'!E:E = E289,
        'Raw PhocalPoint Data'!F"&amp;":F = F289
      ) /
      (
        FILTER('Raw PhocalPoint Data'!G:G,
          'Raw PhocalPoint Data'!A:A = 2012,
          'Raw PhocalPoint Data'!D:D = D289,
          'Raw PhocalPoint Data'!E:E = E289,
          'Raw PhocalPoint Data'!F:F = F289
     "&amp;"   ) /
        FILTER('Raw PhocalPoint Data'!G:G,
          'Raw PhocalPoint Data'!A:A = 2011,
          'Raw PhocalPoint Data'!D:D = D289,
          'Raw PhocalPoint Data'!E:E = E289,
          'Raw PhocalPoint Data'!F:F = F289
        )
      ),
      F"&amp;"ILTER('Raw PhocalPoint Data'!G:G,
        'Raw PhocalPoint Data'!A:A = 2009,
        'Raw PhocalPoint Data'!D:D = D289,
        'Raw PhocalPoint Data'!E:E = E289,
        'Raw PhocalPoint Data'!F:F = F289
      ) *
      (
        INDEX('Raw GDP data'!$I$"&amp;"2:$M$100,
          MATCH(D289, 'Raw GDP data'!$H$2:$H$100, 0),
          MATCH(2008, 'Raw GDP data'!$I$1:$M$1, 0)
        ) /
        INDEX('Raw GDP data'!$I$2:$M$100,
          MATCH(D289, 'Raw GDP data'!$H$2:$H$100, 0),
          MATCH(2009, 'Raw GDP d"&amp;"ata'!$I$1:$M$1, 0)
        )
      )
    ),
  IF(A289 &lt; 2008,
    (
      FILTER(G:G,
        A:A = 2008,
        D:D = D289,
        E:E = E289,
        F:F = F289
      ) /
      PRODUCT(
        ARRAYFORMULA(
          (
            (
              FIL"&amp;"TER('Raw PhocalPoint Data'!G:G,
                'Raw PhocalPoint Data'!A:A = 2012,
                'Raw PhocalPoint Data'!D:D = D289,
                'Raw PhocalPoint Data'!E:E = E289,
                'Raw PhocalPoint Data'!F:F = F289
              ) /
  "&amp;"            FILTER('Raw PhocalPoint Data'!G:G,
                'Raw PhocalPoint Data'!A:A = 2011,
                'Raw PhocalPoint Data'!D:D = D289,
                'Raw PhocalPoint Data'!E:E = E289,
                'Raw PhocalPoint Data'!F:F = F289
     "&amp;"         ) -
              ROW(INDIRECT(""1:"" &amp; (2008 - A289))) *
              (
                (
                  FILTER('Raw PhocalPoint Data'!G:G,
                    'Raw PhocalPoint Data'!A:A = 2012,
                    'Raw PhocalPoint Data'!D:D"&amp;" = D289,
                    'Raw PhocalPoint Data'!E:E = E289,
                    'Raw PhocalPoint Data'!F:F = F289
                  ) /
                  FILTER('Raw PhocalPoint Data'!G:G,
                    'Raw PhocalPoint Data'!A:A = 2011,
       "&amp;"             'Raw PhocalPoint Data'!D:D = D289,
                    'Raw PhocalPoint Data'!E:E = E289,
                    'Raw PhocalPoint Data'!F:F = F289
                  ) - 1
                ) / 5
              )
            )
          )
        )
"&amp;"      )
    ),
    (
      FILTER('Raw PhocalPoint Data'!G:G,
        'Raw PhocalPoint Data'!A:A = 2009,
        'Raw PhocalPoint Data'!D:D = D289,
        'Raw PhocalPoint Data'!E:E = E289,
        'Raw PhocalPoint Data'!F:F = F289
      ) /
      PRODUC"&amp;"T(
        ARRAYFORMULA(
          (
            FILTER('Raw PhocalPoint Data'!G:G,
              'Raw PhocalPoint Data'!A:A = 2012,
              'Raw PhocalPoint Data'!D:D = D289,
              'Raw PhocalPoint Data'!E:E = E289,
              'Raw Phoca"&amp;"lPoint Data'!F:F = F289
            ) /
            FILTER('Raw PhocalPoint Data'!G:G,
              'Raw PhocalPoint Data'!A:A = 2011,
              'Raw PhocalPoint Data'!D:D = D289,
              'Raw PhocalPoint Data'!E:E = E289,
              'Raw Ph"&amp;"ocalPoint Data'!F:F = F289
            ) -
            (ROW(INDIRECT(""1:"" &amp; (2010 - A289))) - 1) *
            (
              (
                FILTER('Raw PhocalPoint Data'!G:G,
                  'Raw PhocalPoint Data'!A:A = 2012,
                  'R"&amp;"aw PhocalPoint Data'!D:D = D289,
                  'Raw PhocalPoint Data'!E:E = E289,
                  'Raw PhocalPoint Data'!F:F = F289
                ) /
                FILTER('Raw PhocalPoint Data'!G:G,
                  'Raw PhocalPoint Data'!A:A ="&amp;" 2011,
                  'Raw PhocalPoint Data'!D:D = D289,
                  'Raw PhocalPoint Data'!E:E = E289,
                  'Raw PhocalPoint Data'!F:F = F289
                ) - 1
              ) / 5
            )
          )
        )
      )
    "&amp;") *
    INDEX('Raw GDP data'!$I$2:$M$100,
      MATCH(D289, 'Raw GDP data'!$H$2:$H$100, 0),
      MATCH(A289, 'Raw GDP data'!$I$1:$M$1, 0)
    )
  )),
  """"
)
"),3040829228.35586)</f>
        <v>3040829228.3558602</v>
      </c>
      <c r="H289" s="86"/>
      <c r="I289" s="87">
        <f ca="1">IFERROR(__xludf.DUMMYFUNCTION("""COMPUTED_VALUE"""),2012)</f>
        <v>2012</v>
      </c>
      <c r="J289" s="88" t="str">
        <f ca="1">IFERROR(__xludf.DUMMYFUNCTION("""COMPUTED_VALUE"""),"Malaysia")</f>
        <v>Malaysia</v>
      </c>
      <c r="K289" s="89">
        <f ca="1">IFERROR(
  SUMIFS(
    'New Backfilled Data'!G:G,
    'New Backfilled Data'!A:A, I289,
    'New Backfilled Data'!D:D, J289,
    'New Backfilled Data'!E:E, "Online"
  ) /
  SUMIFS(
    'New Backfilled Data'!G:G,
    'New Backfilled Data'!A:A, I289,
    'New Backfilled Data'!D:D, J289
  ),
  ""
)</f>
        <v>0.30933832561887831</v>
      </c>
      <c r="L289" s="90"/>
      <c r="M289" s="90"/>
    </row>
    <row r="290" spans="1:13" ht="17" x14ac:dyDescent="0.2">
      <c r="A290" s="37">
        <v>2007</v>
      </c>
      <c r="B290" s="38" t="s">
        <v>66</v>
      </c>
      <c r="C290" s="38" t="s">
        <v>17</v>
      </c>
      <c r="D290" s="38" t="s">
        <v>20</v>
      </c>
      <c r="E290" s="38" t="s">
        <v>69</v>
      </c>
      <c r="F290" s="38" t="s">
        <v>71</v>
      </c>
      <c r="G290" s="79">
        <f ca="1">IFERROR(__xludf.DUMMYFUNCTION("IFERROR(
  IF(A290 = 2008,
    IF(E290 = ""Online"",
      FILTER('Raw PhocalPoint Data'!G:G,
        'Raw PhocalPoint Data'!A:A = 2009,
        'Raw PhocalPoint Data'!D:D = D290,
        'Raw PhocalPoint Data'!E:E = E290,
        'Raw PhocalPoint Data'!F"&amp;":F = F290
      ) /
      (
        FILTER('Raw PhocalPoint Data'!G:G,
          'Raw PhocalPoint Data'!A:A = 2012,
          'Raw PhocalPoint Data'!D:D = D290,
          'Raw PhocalPoint Data'!E:E = E290,
          'Raw PhocalPoint Data'!F:F = F290
     "&amp;"   ) /
        FILTER('Raw PhocalPoint Data'!G:G,
          'Raw PhocalPoint Data'!A:A = 2011,
          'Raw PhocalPoint Data'!D:D = D290,
          'Raw PhocalPoint Data'!E:E = E290,
          'Raw PhocalPoint Data'!F:F = F290
        )
      ),
      F"&amp;"ILTER('Raw PhocalPoint Data'!G:G,
        'Raw PhocalPoint Data'!A:A = 2009,
        'Raw PhocalPoint Data'!D:D = D290,
        'Raw PhocalPoint Data'!E:E = E290,
        'Raw PhocalPoint Data'!F:F = F290
      ) *
      (
        INDEX('Raw GDP data'!$I$"&amp;"2:$M$100,
          MATCH(D290, 'Raw GDP data'!$H$2:$H$100, 0),
          MATCH(2008, 'Raw GDP data'!$I$1:$M$1, 0)
        ) /
        INDEX('Raw GDP data'!$I$2:$M$100,
          MATCH(D290, 'Raw GDP data'!$H$2:$H$100, 0),
          MATCH(2009, 'Raw GDP d"&amp;"ata'!$I$1:$M$1, 0)
        )
      )
    ),
  IF(A290 &lt; 2008,
    (
      FILTER(G:G,
        A:A = 2008,
        D:D = D290,
        E:E = E290,
        F:F = F290
      ) /
      PRODUCT(
        ARRAYFORMULA(
          (
            (
              FIL"&amp;"TER('Raw PhocalPoint Data'!G:G,
                'Raw PhocalPoint Data'!A:A = 2012,
                'Raw PhocalPoint Data'!D:D = D290,
                'Raw PhocalPoint Data'!E:E = E290,
                'Raw PhocalPoint Data'!F:F = F290
              ) /
  "&amp;"            FILTER('Raw PhocalPoint Data'!G:G,
                'Raw PhocalPoint Data'!A:A = 2011,
                'Raw PhocalPoint Data'!D:D = D290,
                'Raw PhocalPoint Data'!E:E = E290,
                'Raw PhocalPoint Data'!F:F = F290
     "&amp;"         ) -
              ROW(INDIRECT(""1:"" &amp; (2008 - A290))) *
              (
                (
                  FILTER('Raw PhocalPoint Data'!G:G,
                    'Raw PhocalPoint Data'!A:A = 2012,
                    'Raw PhocalPoint Data'!D:D"&amp;" = D290,
                    'Raw PhocalPoint Data'!E:E = E290,
                    'Raw PhocalPoint Data'!F:F = F290
                  ) /
                  FILTER('Raw PhocalPoint Data'!G:G,
                    'Raw PhocalPoint Data'!A:A = 2011,
       "&amp;"             'Raw PhocalPoint Data'!D:D = D290,
                    'Raw PhocalPoint Data'!E:E = E290,
                    'Raw PhocalPoint Data'!F:F = F290
                  ) - 1
                ) / 5
              )
            )
          )
        )
"&amp;"      )
    ),
    (
      FILTER('Raw PhocalPoint Data'!G:G,
        'Raw PhocalPoint Data'!A:A = 2009,
        'Raw PhocalPoint Data'!D:D = D290,
        'Raw PhocalPoint Data'!E:E = E290,
        'Raw PhocalPoint Data'!F:F = F290
      ) /
      PRODUC"&amp;"T(
        ARRAYFORMULA(
          (
            FILTER('Raw PhocalPoint Data'!G:G,
              'Raw PhocalPoint Data'!A:A = 2012,
              'Raw PhocalPoint Data'!D:D = D290,
              'Raw PhocalPoint Data'!E:E = E290,
              'Raw Phoca"&amp;"lPoint Data'!F:F = F290
            ) /
            FILTER('Raw PhocalPoint Data'!G:G,
              'Raw PhocalPoint Data'!A:A = 2011,
              'Raw PhocalPoint Data'!D:D = D290,
              'Raw PhocalPoint Data'!E:E = E290,
              'Raw Ph"&amp;"ocalPoint Data'!F:F = F290
            ) -
            (ROW(INDIRECT(""1:"" &amp; (2010 - A290))) - 1) *
            (
              (
                FILTER('Raw PhocalPoint Data'!G:G,
                  'Raw PhocalPoint Data'!A:A = 2012,
                  'R"&amp;"aw PhocalPoint Data'!D:D = D290,
                  'Raw PhocalPoint Data'!E:E = E290,
                  'Raw PhocalPoint Data'!F:F = F290
                ) /
                FILTER('Raw PhocalPoint Data'!G:G,
                  'Raw PhocalPoint Data'!A:A ="&amp;" 2011,
                  'Raw PhocalPoint Data'!D:D = D290,
                  'Raw PhocalPoint Data'!E:E = E290,
                  'Raw PhocalPoint Data'!F:F = F290
                ) - 1
              ) / 5
            )
          )
        )
      )
    "&amp;") *
    INDEX('Raw GDP data'!$I$2:$M$100,
      MATCH(D290, 'Raw GDP data'!$H$2:$H$100, 0),
      MATCH(A290, 'Raw GDP data'!$I$1:$M$1, 0)
    )
  )),
  """"
)
"),139028252.015201)</f>
        <v>139028252.015201</v>
      </c>
      <c r="H290" s="80"/>
      <c r="I290" s="81">
        <f ca="1">IFERROR(__xludf.DUMMYFUNCTION("""COMPUTED_VALUE"""),2012)</f>
        <v>2012</v>
      </c>
      <c r="J290" s="82" t="str">
        <f ca="1">IFERROR(__xludf.DUMMYFUNCTION("""COMPUTED_VALUE"""),"Singapore")</f>
        <v>Singapore</v>
      </c>
      <c r="K290" s="83">
        <f ca="1">IFERROR(
  SUMIFS(
    'New Backfilled Data'!G:G,
    'New Backfilled Data'!A:A, I290,
    'New Backfilled Data'!D:D, J290,
    'New Backfilled Data'!E:E, "Online"
  ) /
  SUMIFS(
    'New Backfilled Data'!G:G,
    'New Backfilled Data'!A:A, I290,
    'New Backfilled Data'!D:D, J290
  ),
  ""
)</f>
        <v>0.27982804358052821</v>
      </c>
      <c r="L290" s="84"/>
      <c r="M290" s="84"/>
    </row>
    <row r="291" spans="1:13" ht="17" x14ac:dyDescent="0.2">
      <c r="A291" s="44">
        <v>2007</v>
      </c>
      <c r="B291" s="45" t="s">
        <v>66</v>
      </c>
      <c r="C291" s="45" t="s">
        <v>17</v>
      </c>
      <c r="D291" s="45" t="s">
        <v>20</v>
      </c>
      <c r="E291" s="45" t="s">
        <v>69</v>
      </c>
      <c r="F291" s="45" t="s">
        <v>70</v>
      </c>
      <c r="G291" s="85">
        <f ca="1">IFERROR(__xludf.DUMMYFUNCTION("IFERROR(
  IF(A291 = 2008,
    IF(E291 = ""Online"",
      FILTER('Raw PhocalPoint Data'!G:G,
        'Raw PhocalPoint Data'!A:A = 2009,
        'Raw PhocalPoint Data'!D:D = D291,
        'Raw PhocalPoint Data'!E:E = E291,
        'Raw PhocalPoint Data'!F"&amp;":F = F291
      ) /
      (
        FILTER('Raw PhocalPoint Data'!G:G,
          'Raw PhocalPoint Data'!A:A = 2012,
          'Raw PhocalPoint Data'!D:D = D291,
          'Raw PhocalPoint Data'!E:E = E291,
          'Raw PhocalPoint Data'!F:F = F291
     "&amp;"   ) /
        FILTER('Raw PhocalPoint Data'!G:G,
          'Raw PhocalPoint Data'!A:A = 2011,
          'Raw PhocalPoint Data'!D:D = D291,
          'Raw PhocalPoint Data'!E:E = E291,
          'Raw PhocalPoint Data'!F:F = F291
        )
      ),
      F"&amp;"ILTER('Raw PhocalPoint Data'!G:G,
        'Raw PhocalPoint Data'!A:A = 2009,
        'Raw PhocalPoint Data'!D:D = D291,
        'Raw PhocalPoint Data'!E:E = E291,
        'Raw PhocalPoint Data'!F:F = F291
      ) *
      (
        INDEX('Raw GDP data'!$I$"&amp;"2:$M$100,
          MATCH(D291, 'Raw GDP data'!$H$2:$H$100, 0),
          MATCH(2008, 'Raw GDP data'!$I$1:$M$1, 0)
        ) /
        INDEX('Raw GDP data'!$I$2:$M$100,
          MATCH(D291, 'Raw GDP data'!$H$2:$H$100, 0),
          MATCH(2009, 'Raw GDP d"&amp;"ata'!$I$1:$M$1, 0)
        )
      )
    ),
  IF(A291 &lt; 2008,
    (
      FILTER(G:G,
        A:A = 2008,
        D:D = D291,
        E:E = E291,
        F:F = F291
      ) /
      PRODUCT(
        ARRAYFORMULA(
          (
            (
              FIL"&amp;"TER('Raw PhocalPoint Data'!G:G,
                'Raw PhocalPoint Data'!A:A = 2012,
                'Raw PhocalPoint Data'!D:D = D291,
                'Raw PhocalPoint Data'!E:E = E291,
                'Raw PhocalPoint Data'!F:F = F291
              ) /
  "&amp;"            FILTER('Raw PhocalPoint Data'!G:G,
                'Raw PhocalPoint Data'!A:A = 2011,
                'Raw PhocalPoint Data'!D:D = D291,
                'Raw PhocalPoint Data'!E:E = E291,
                'Raw PhocalPoint Data'!F:F = F291
     "&amp;"         ) -
              ROW(INDIRECT(""1:"" &amp; (2008 - A291))) *
              (
                (
                  FILTER('Raw PhocalPoint Data'!G:G,
                    'Raw PhocalPoint Data'!A:A = 2012,
                    'Raw PhocalPoint Data'!D:D"&amp;" = D291,
                    'Raw PhocalPoint Data'!E:E = E291,
                    'Raw PhocalPoint Data'!F:F = F291
                  ) /
                  FILTER('Raw PhocalPoint Data'!G:G,
                    'Raw PhocalPoint Data'!A:A = 2011,
       "&amp;"             'Raw PhocalPoint Data'!D:D = D291,
                    'Raw PhocalPoint Data'!E:E = E291,
                    'Raw PhocalPoint Data'!F:F = F291
                  ) - 1
                ) / 5
              )
            )
          )
        )
"&amp;"      )
    ),
    (
      FILTER('Raw PhocalPoint Data'!G:G,
        'Raw PhocalPoint Data'!A:A = 2009,
        'Raw PhocalPoint Data'!D:D = D291,
        'Raw PhocalPoint Data'!E:E = E291,
        'Raw PhocalPoint Data'!F:F = F291
      ) /
      PRODUC"&amp;"T(
        ARRAYFORMULA(
          (
            FILTER('Raw PhocalPoint Data'!G:G,
              'Raw PhocalPoint Data'!A:A = 2012,
              'Raw PhocalPoint Data'!D:D = D291,
              'Raw PhocalPoint Data'!E:E = E291,
              'Raw Phoca"&amp;"lPoint Data'!F:F = F291
            ) /
            FILTER('Raw PhocalPoint Data'!G:G,
              'Raw PhocalPoint Data'!A:A = 2011,
              'Raw PhocalPoint Data'!D:D = D291,
              'Raw PhocalPoint Data'!E:E = E291,
              'Raw Ph"&amp;"ocalPoint Data'!F:F = F291
            ) -
            (ROW(INDIRECT(""1:"" &amp; (2010 - A291))) - 1) *
            (
              (
                FILTER('Raw PhocalPoint Data'!G:G,
                  'Raw PhocalPoint Data'!A:A = 2012,
                  'R"&amp;"aw PhocalPoint Data'!D:D = D291,
                  'Raw PhocalPoint Data'!E:E = E291,
                  'Raw PhocalPoint Data'!F:F = F291
                ) /
                FILTER('Raw PhocalPoint Data'!G:G,
                  'Raw PhocalPoint Data'!A:A ="&amp;" 2011,
                  'Raw PhocalPoint Data'!D:D = D291,
                  'Raw PhocalPoint Data'!E:E = E291,
                  'Raw PhocalPoint Data'!F:F = F291
                ) - 1
              ) / 5
            )
          )
        )
      )
    "&amp;") *
    INDEX('Raw GDP data'!$I$2:$M$100,
      MATCH(D291, 'Raw GDP data'!$H$2:$H$100, 0),
      MATCH(A291, 'Raw GDP data'!$I$1:$M$1, 0)
    )
  )),
  """"
)
"),328777079.164936)</f>
        <v>328777079.16493601</v>
      </c>
      <c r="H291" s="86"/>
      <c r="I291" s="87">
        <f ca="1">IFERROR(__xludf.DUMMYFUNCTION("""COMPUTED_VALUE"""),2012)</f>
        <v>2012</v>
      </c>
      <c r="J291" s="88" t="str">
        <f ca="1">IFERROR(__xludf.DUMMYFUNCTION("""COMPUTED_VALUE"""),"South Korea")</f>
        <v>South Korea</v>
      </c>
      <c r="K291" s="89">
        <f ca="1">IFERROR(
  SUMIFS(
    'New Backfilled Data'!G:G,
    'New Backfilled Data'!A:A, I291,
    'New Backfilled Data'!D:D, J291,
    'New Backfilled Data'!E:E, "Online"
  ) /
  SUMIFS(
    'New Backfilled Data'!G:G,
    'New Backfilled Data'!A:A, I291,
    'New Backfilled Data'!D:D, J291
  ),
  ""
)</f>
        <v>0.22726995119113752</v>
      </c>
      <c r="L291" s="90"/>
      <c r="M291" s="90"/>
    </row>
    <row r="292" spans="1:13" ht="17" x14ac:dyDescent="0.2">
      <c r="A292" s="37">
        <v>2007</v>
      </c>
      <c r="B292" s="38" t="s">
        <v>66</v>
      </c>
      <c r="C292" s="38" t="s">
        <v>17</v>
      </c>
      <c r="D292" s="38" t="s">
        <v>21</v>
      </c>
      <c r="E292" s="38" t="s">
        <v>67</v>
      </c>
      <c r="F292" s="38" t="s">
        <v>67</v>
      </c>
      <c r="G292" s="79">
        <f ca="1">IFERROR(__xludf.DUMMYFUNCTION("IFERROR(
  IF(A292 = 2008,
    IF(E292 = ""Online"",
      FILTER('Raw PhocalPoint Data'!G:G,
        'Raw PhocalPoint Data'!A:A = 2009,
        'Raw PhocalPoint Data'!D:D = D292,
        'Raw PhocalPoint Data'!E:E = E292,
        'Raw PhocalPoint Data'!F"&amp;":F = F292
      ) /
      (
        FILTER('Raw PhocalPoint Data'!G:G,
          'Raw PhocalPoint Data'!A:A = 2012,
          'Raw PhocalPoint Data'!D:D = D292,
          'Raw PhocalPoint Data'!E:E = E292,
          'Raw PhocalPoint Data'!F:F = F292
     "&amp;"   ) /
        FILTER('Raw PhocalPoint Data'!G:G,
          'Raw PhocalPoint Data'!A:A = 2011,
          'Raw PhocalPoint Data'!D:D = D292,
          'Raw PhocalPoint Data'!E:E = E292,
          'Raw PhocalPoint Data'!F:F = F292
        )
      ),
      F"&amp;"ILTER('Raw PhocalPoint Data'!G:G,
        'Raw PhocalPoint Data'!A:A = 2009,
        'Raw PhocalPoint Data'!D:D = D292,
        'Raw PhocalPoint Data'!E:E = E292,
        'Raw PhocalPoint Data'!F:F = F292
      ) *
      (
        INDEX('Raw GDP data'!$I$"&amp;"2:$M$100,
          MATCH(D292, 'Raw GDP data'!$H$2:$H$100, 0),
          MATCH(2008, 'Raw GDP data'!$I$1:$M$1, 0)
        ) /
        INDEX('Raw GDP data'!$I$2:$M$100,
          MATCH(D292, 'Raw GDP data'!$H$2:$H$100, 0),
          MATCH(2009, 'Raw GDP d"&amp;"ata'!$I$1:$M$1, 0)
        )
      )
    ),
  IF(A292 &lt; 2008,
    (
      FILTER(G:G,
        A:A = 2008,
        D:D = D292,
        E:E = E292,
        F:F = F292
      ) /
      PRODUCT(
        ARRAYFORMULA(
          (
            (
              FIL"&amp;"TER('Raw PhocalPoint Data'!G:G,
                'Raw PhocalPoint Data'!A:A = 2012,
                'Raw PhocalPoint Data'!D:D = D292,
                'Raw PhocalPoint Data'!E:E = E292,
                'Raw PhocalPoint Data'!F:F = F292
              ) /
  "&amp;"            FILTER('Raw PhocalPoint Data'!G:G,
                'Raw PhocalPoint Data'!A:A = 2011,
                'Raw PhocalPoint Data'!D:D = D292,
                'Raw PhocalPoint Data'!E:E = E292,
                'Raw PhocalPoint Data'!F:F = F292
     "&amp;"         ) -
              ROW(INDIRECT(""1:"" &amp; (2008 - A292))) *
              (
                (
                  FILTER('Raw PhocalPoint Data'!G:G,
                    'Raw PhocalPoint Data'!A:A = 2012,
                    'Raw PhocalPoint Data'!D:D"&amp;" = D292,
                    'Raw PhocalPoint Data'!E:E = E292,
                    'Raw PhocalPoint Data'!F:F = F292
                  ) /
                  FILTER('Raw PhocalPoint Data'!G:G,
                    'Raw PhocalPoint Data'!A:A = 2011,
       "&amp;"             'Raw PhocalPoint Data'!D:D = D292,
                    'Raw PhocalPoint Data'!E:E = E292,
                    'Raw PhocalPoint Data'!F:F = F292
                  ) - 1
                ) / 5
              )
            )
          )
        )
"&amp;"      )
    ),
    (
      FILTER('Raw PhocalPoint Data'!G:G,
        'Raw PhocalPoint Data'!A:A = 2009,
        'Raw PhocalPoint Data'!D:D = D292,
        'Raw PhocalPoint Data'!E:E = E292,
        'Raw PhocalPoint Data'!F:F = F292
      ) /
      PRODUC"&amp;"T(
        ARRAYFORMULA(
          (
            FILTER('Raw PhocalPoint Data'!G:G,
              'Raw PhocalPoint Data'!A:A = 2012,
              'Raw PhocalPoint Data'!D:D = D292,
              'Raw PhocalPoint Data'!E:E = E292,
              'Raw Phoca"&amp;"lPoint Data'!F:F = F292
            ) /
            FILTER('Raw PhocalPoint Data'!G:G,
              'Raw PhocalPoint Data'!A:A = 2011,
              'Raw PhocalPoint Data'!D:D = D292,
              'Raw PhocalPoint Data'!E:E = E292,
              'Raw Ph"&amp;"ocalPoint Data'!F:F = F292
            ) -
            (ROW(INDIRECT(""1:"" &amp; (2010 - A292))) - 1) *
            (
              (
                FILTER('Raw PhocalPoint Data'!G:G,
                  'Raw PhocalPoint Data'!A:A = 2012,
                  'R"&amp;"aw PhocalPoint Data'!D:D = D292,
                  'Raw PhocalPoint Data'!E:E = E292,
                  'Raw PhocalPoint Data'!F:F = F292
                ) /
                FILTER('Raw PhocalPoint Data'!G:G,
                  'Raw PhocalPoint Data'!A:A ="&amp;" 2011,
                  'Raw PhocalPoint Data'!D:D = D292,
                  'Raw PhocalPoint Data'!E:E = E292,
                  'Raw PhocalPoint Data'!F:F = F292
                ) - 1
              ) / 5
            )
          )
        )
      )
    "&amp;") *
    INDEX('Raw GDP data'!$I$2:$M$100,
      MATCH(D292, 'Raw GDP data'!$H$2:$H$100, 0),
      MATCH(A292, 'Raw GDP data'!$I$1:$M$1, 0)
    )
  )),
  """"
)
"),3718320275.79992)</f>
        <v>3718320275.7999201</v>
      </c>
      <c r="H292" s="80"/>
      <c r="I292" s="81">
        <f ca="1">IFERROR(__xludf.DUMMYFUNCTION("""COMPUTED_VALUE"""),2012)</f>
        <v>2012</v>
      </c>
      <c r="J292" s="82" t="str">
        <f ca="1">IFERROR(__xludf.DUMMYFUNCTION("""COMPUTED_VALUE"""),"Taiwan")</f>
        <v>Taiwan</v>
      </c>
      <c r="K292" s="83">
        <f ca="1">IFERROR(
  SUMIFS(
    'New Backfilled Data'!G:G,
    'New Backfilled Data'!A:A, I292,
    'New Backfilled Data'!D:D, J292,
    'New Backfilled Data'!E:E, "Online"
  ) /
  SUMIFS(
    'New Backfilled Data'!G:G,
    'New Backfilled Data'!A:A, I292,
    'New Backfilled Data'!D:D, J292
  ),
  ""
)</f>
        <v>0.13070790224471712</v>
      </c>
      <c r="L292" s="84"/>
      <c r="M292" s="84"/>
    </row>
    <row r="293" spans="1:13" ht="17" x14ac:dyDescent="0.2">
      <c r="A293" s="44">
        <v>2007</v>
      </c>
      <c r="B293" s="45" t="s">
        <v>66</v>
      </c>
      <c r="C293" s="45" t="s">
        <v>17</v>
      </c>
      <c r="D293" s="45" t="s">
        <v>21</v>
      </c>
      <c r="E293" s="45" t="s">
        <v>69</v>
      </c>
      <c r="F293" s="45" t="s">
        <v>71</v>
      </c>
      <c r="G293" s="85">
        <f ca="1">IFERROR(__xludf.DUMMYFUNCTION("IFERROR(
  IF(A293 = 2008,
    IF(E293 = ""Online"",
      FILTER('Raw PhocalPoint Data'!G:G,
        'Raw PhocalPoint Data'!A:A = 2009,
        'Raw PhocalPoint Data'!D:D = D293,
        'Raw PhocalPoint Data'!E:E = E293,
        'Raw PhocalPoint Data'!F"&amp;":F = F293
      ) /
      (
        FILTER('Raw PhocalPoint Data'!G:G,
          'Raw PhocalPoint Data'!A:A = 2012,
          'Raw PhocalPoint Data'!D:D = D293,
          'Raw PhocalPoint Data'!E:E = E293,
          'Raw PhocalPoint Data'!F:F = F293
     "&amp;"   ) /
        FILTER('Raw PhocalPoint Data'!G:G,
          'Raw PhocalPoint Data'!A:A = 2011,
          'Raw PhocalPoint Data'!D:D = D293,
          'Raw PhocalPoint Data'!E:E = E293,
          'Raw PhocalPoint Data'!F:F = F293
        )
      ),
      F"&amp;"ILTER('Raw PhocalPoint Data'!G:G,
        'Raw PhocalPoint Data'!A:A = 2009,
        'Raw PhocalPoint Data'!D:D = D293,
        'Raw PhocalPoint Data'!E:E = E293,
        'Raw PhocalPoint Data'!F:F = F293
      ) *
      (
        INDEX('Raw GDP data'!$I$"&amp;"2:$M$100,
          MATCH(D293, 'Raw GDP data'!$H$2:$H$100, 0),
          MATCH(2008, 'Raw GDP data'!$I$1:$M$1, 0)
        ) /
        INDEX('Raw GDP data'!$I$2:$M$100,
          MATCH(D293, 'Raw GDP data'!$H$2:$H$100, 0),
          MATCH(2009, 'Raw GDP d"&amp;"ata'!$I$1:$M$1, 0)
        )
      )
    ),
  IF(A293 &lt; 2008,
    (
      FILTER(G:G,
        A:A = 2008,
        D:D = D293,
        E:E = E293,
        F:F = F293
      ) /
      PRODUCT(
        ARRAYFORMULA(
          (
            (
              FIL"&amp;"TER('Raw PhocalPoint Data'!G:G,
                'Raw PhocalPoint Data'!A:A = 2012,
                'Raw PhocalPoint Data'!D:D = D293,
                'Raw PhocalPoint Data'!E:E = E293,
                'Raw PhocalPoint Data'!F:F = F293
              ) /
  "&amp;"            FILTER('Raw PhocalPoint Data'!G:G,
                'Raw PhocalPoint Data'!A:A = 2011,
                'Raw PhocalPoint Data'!D:D = D293,
                'Raw PhocalPoint Data'!E:E = E293,
                'Raw PhocalPoint Data'!F:F = F293
     "&amp;"         ) -
              ROW(INDIRECT(""1:"" &amp; (2008 - A293))) *
              (
                (
                  FILTER('Raw PhocalPoint Data'!G:G,
                    'Raw PhocalPoint Data'!A:A = 2012,
                    'Raw PhocalPoint Data'!D:D"&amp;" = D293,
                    'Raw PhocalPoint Data'!E:E = E293,
                    'Raw PhocalPoint Data'!F:F = F293
                  ) /
                  FILTER('Raw PhocalPoint Data'!G:G,
                    'Raw PhocalPoint Data'!A:A = 2011,
       "&amp;"             'Raw PhocalPoint Data'!D:D = D293,
                    'Raw PhocalPoint Data'!E:E = E293,
                    'Raw PhocalPoint Data'!F:F = F293
                  ) - 1
                ) / 5
              )
            )
          )
        )
"&amp;"      )
    ),
    (
      FILTER('Raw PhocalPoint Data'!G:G,
        'Raw PhocalPoint Data'!A:A = 2009,
        'Raw PhocalPoint Data'!D:D = D293,
        'Raw PhocalPoint Data'!E:E = E293,
        'Raw PhocalPoint Data'!F:F = F293
      ) /
      PRODUC"&amp;"T(
        ARRAYFORMULA(
          (
            FILTER('Raw PhocalPoint Data'!G:G,
              'Raw PhocalPoint Data'!A:A = 2012,
              'Raw PhocalPoint Data'!D:D = D293,
              'Raw PhocalPoint Data'!E:E = E293,
              'Raw Phoca"&amp;"lPoint Data'!F:F = F293
            ) /
            FILTER('Raw PhocalPoint Data'!G:G,
              'Raw PhocalPoint Data'!A:A = 2011,
              'Raw PhocalPoint Data'!D:D = D293,
              'Raw PhocalPoint Data'!E:E = E293,
              'Raw Ph"&amp;"ocalPoint Data'!F:F = F293
            ) -
            (ROW(INDIRECT(""1:"" &amp; (2010 - A293))) - 1) *
            (
              (
                FILTER('Raw PhocalPoint Data'!G:G,
                  'Raw PhocalPoint Data'!A:A = 2012,
                  'R"&amp;"aw PhocalPoint Data'!D:D = D293,
                  'Raw PhocalPoint Data'!E:E = E293,
                  'Raw PhocalPoint Data'!F:F = F293
                ) /
                FILTER('Raw PhocalPoint Data'!G:G,
                  'Raw PhocalPoint Data'!A:A ="&amp;" 2011,
                  'Raw PhocalPoint Data'!D:D = D293,
                  'Raw PhocalPoint Data'!E:E = E293,
                  'Raw PhocalPoint Data'!F:F = F293
                ) - 1
              ) / 5
            )
          )
        )
      )
    "&amp;") *
    INDEX('Raw GDP data'!$I$2:$M$100,
      MATCH(D293, 'Raw GDP data'!$H$2:$H$100, 0),
      MATCH(A293, 'Raw GDP data'!$I$1:$M$1, 0)
    )
  )),
  """"
)
"),161445678.896751)</f>
        <v>161445678.89675099</v>
      </c>
      <c r="H293" s="86"/>
      <c r="I293" s="87">
        <f ca="1">IFERROR(__xludf.DUMMYFUNCTION("""COMPUTED_VALUE"""),2012)</f>
        <v>2012</v>
      </c>
      <c r="J293" s="88" t="str">
        <f ca="1">IFERROR(__xludf.DUMMYFUNCTION("""COMPUTED_VALUE"""),"Thailand")</f>
        <v>Thailand</v>
      </c>
      <c r="K293" s="89">
        <f ca="1">IFERROR(
  SUMIFS(
    'New Backfilled Data'!G:G,
    'New Backfilled Data'!A:A, I293,
    'New Backfilled Data'!D:D, J293,
    'New Backfilled Data'!E:E, "Online"
  ) /
  SUMIFS(
    'New Backfilled Data'!G:G,
    'New Backfilled Data'!A:A, I293,
    'New Backfilled Data'!D:D, J293
  ),
  ""
)</f>
        <v>0.21518889730077484</v>
      </c>
      <c r="L293" s="90"/>
      <c r="M293" s="90"/>
    </row>
    <row r="294" spans="1:13" ht="17" x14ac:dyDescent="0.2">
      <c r="A294" s="37">
        <v>2007</v>
      </c>
      <c r="B294" s="38" t="s">
        <v>66</v>
      </c>
      <c r="C294" s="38" t="s">
        <v>17</v>
      </c>
      <c r="D294" s="38" t="s">
        <v>21</v>
      </c>
      <c r="E294" s="38" t="s">
        <v>69</v>
      </c>
      <c r="F294" s="38" t="s">
        <v>70</v>
      </c>
      <c r="G294" s="79">
        <f ca="1">IFERROR(__xludf.DUMMYFUNCTION("IFERROR(
  IF(A294 = 2008,
    IF(E294 = ""Online"",
      FILTER('Raw PhocalPoint Data'!G:G,
        'Raw PhocalPoint Data'!A:A = 2009,
        'Raw PhocalPoint Data'!D:D = D294,
        'Raw PhocalPoint Data'!E:E = E294,
        'Raw PhocalPoint Data'!F"&amp;":F = F294
      ) /
      (
        FILTER('Raw PhocalPoint Data'!G:G,
          'Raw PhocalPoint Data'!A:A = 2012,
          'Raw PhocalPoint Data'!D:D = D294,
          'Raw PhocalPoint Data'!E:E = E294,
          'Raw PhocalPoint Data'!F:F = F294
     "&amp;"   ) /
        FILTER('Raw PhocalPoint Data'!G:G,
          'Raw PhocalPoint Data'!A:A = 2011,
          'Raw PhocalPoint Data'!D:D = D294,
          'Raw PhocalPoint Data'!E:E = E294,
          'Raw PhocalPoint Data'!F:F = F294
        )
      ),
      F"&amp;"ILTER('Raw PhocalPoint Data'!G:G,
        'Raw PhocalPoint Data'!A:A = 2009,
        'Raw PhocalPoint Data'!D:D = D294,
        'Raw PhocalPoint Data'!E:E = E294,
        'Raw PhocalPoint Data'!F:F = F294
      ) *
      (
        INDEX('Raw GDP data'!$I$"&amp;"2:$M$100,
          MATCH(D294, 'Raw GDP data'!$H$2:$H$100, 0),
          MATCH(2008, 'Raw GDP data'!$I$1:$M$1, 0)
        ) /
        INDEX('Raw GDP data'!$I$2:$M$100,
          MATCH(D294, 'Raw GDP data'!$H$2:$H$100, 0),
          MATCH(2009, 'Raw GDP d"&amp;"ata'!$I$1:$M$1, 0)
        )
      )
    ),
  IF(A294 &lt; 2008,
    (
      FILTER(G:G,
        A:A = 2008,
        D:D = D294,
        E:E = E294,
        F:F = F294
      ) /
      PRODUCT(
        ARRAYFORMULA(
          (
            (
              FIL"&amp;"TER('Raw PhocalPoint Data'!G:G,
                'Raw PhocalPoint Data'!A:A = 2012,
                'Raw PhocalPoint Data'!D:D = D294,
                'Raw PhocalPoint Data'!E:E = E294,
                'Raw PhocalPoint Data'!F:F = F294
              ) /
  "&amp;"            FILTER('Raw PhocalPoint Data'!G:G,
                'Raw PhocalPoint Data'!A:A = 2011,
                'Raw PhocalPoint Data'!D:D = D294,
                'Raw PhocalPoint Data'!E:E = E294,
                'Raw PhocalPoint Data'!F:F = F294
     "&amp;"         ) -
              ROW(INDIRECT(""1:"" &amp; (2008 - A294))) *
              (
                (
                  FILTER('Raw PhocalPoint Data'!G:G,
                    'Raw PhocalPoint Data'!A:A = 2012,
                    'Raw PhocalPoint Data'!D:D"&amp;" = D294,
                    'Raw PhocalPoint Data'!E:E = E294,
                    'Raw PhocalPoint Data'!F:F = F294
                  ) /
                  FILTER('Raw PhocalPoint Data'!G:G,
                    'Raw PhocalPoint Data'!A:A = 2011,
       "&amp;"             'Raw PhocalPoint Data'!D:D = D294,
                    'Raw PhocalPoint Data'!E:E = E294,
                    'Raw PhocalPoint Data'!F:F = F294
                  ) - 1
                ) / 5
              )
            )
          )
        )
"&amp;"      )
    ),
    (
      FILTER('Raw PhocalPoint Data'!G:G,
        'Raw PhocalPoint Data'!A:A = 2009,
        'Raw PhocalPoint Data'!D:D = D294,
        'Raw PhocalPoint Data'!E:E = E294,
        'Raw PhocalPoint Data'!F:F = F294
      ) /
      PRODUC"&amp;"T(
        ARRAYFORMULA(
          (
            FILTER('Raw PhocalPoint Data'!G:G,
              'Raw PhocalPoint Data'!A:A = 2012,
              'Raw PhocalPoint Data'!D:D = D294,
              'Raw PhocalPoint Data'!E:E = E294,
              'Raw Phoca"&amp;"lPoint Data'!F:F = F294
            ) /
            FILTER('Raw PhocalPoint Data'!G:G,
              'Raw PhocalPoint Data'!A:A = 2011,
              'Raw PhocalPoint Data'!D:D = D294,
              'Raw PhocalPoint Data'!E:E = E294,
              'Raw Ph"&amp;"ocalPoint Data'!F:F = F294
            ) -
            (ROW(INDIRECT(""1:"" &amp; (2010 - A294))) - 1) *
            (
              (
                FILTER('Raw PhocalPoint Data'!G:G,
                  'Raw PhocalPoint Data'!A:A = 2012,
                  'R"&amp;"aw PhocalPoint Data'!D:D = D294,
                  'Raw PhocalPoint Data'!E:E = E294,
                  'Raw PhocalPoint Data'!F:F = F294
                ) /
                FILTER('Raw PhocalPoint Data'!G:G,
                  'Raw PhocalPoint Data'!A:A ="&amp;" 2011,
                  'Raw PhocalPoint Data'!D:D = D294,
                  'Raw PhocalPoint Data'!E:E = E294,
                  'Raw PhocalPoint Data'!F:F = F294
                ) - 1
              ) / 5
            )
          )
        )
      )
    "&amp;") *
    INDEX('Raw GDP data'!$I$2:$M$100,
      MATCH(D294, 'Raw GDP data'!$H$2:$H$100, 0),
      MATCH(A294, 'Raw GDP data'!$I$1:$M$1, 0)
    )
  )),
  """"
)
"),293755593.272225)</f>
        <v>293755593.27222502</v>
      </c>
      <c r="H294" s="80"/>
      <c r="I294" s="81">
        <f ca="1">IFERROR(__xludf.DUMMYFUNCTION("""COMPUTED_VALUE"""),2012)</f>
        <v>2012</v>
      </c>
      <c r="J294" s="82" t="str">
        <f ca="1">IFERROR(__xludf.DUMMYFUNCTION("""COMPUTED_VALUE"""),"Bulgaria")</f>
        <v>Bulgaria</v>
      </c>
      <c r="K294" s="83">
        <f ca="1">IFERROR(
  SUMIFS(
    'New Backfilled Data'!G:G,
    'New Backfilled Data'!A:A, I294,
    'New Backfilled Data'!D:D, J294,
    'New Backfilled Data'!E:E, "Online"
  ) /
  SUMIFS(
    'New Backfilled Data'!G:G,
    'New Backfilled Data'!A:A, I294,
    'New Backfilled Data'!D:D, J294
  ),
  ""
)</f>
        <v>0.16530440316756598</v>
      </c>
      <c r="L294" s="84"/>
      <c r="M294" s="84"/>
    </row>
    <row r="295" spans="1:13" ht="17" x14ac:dyDescent="0.2">
      <c r="A295" s="44">
        <v>2007</v>
      </c>
      <c r="B295" s="45" t="s">
        <v>66</v>
      </c>
      <c r="C295" s="45" t="s">
        <v>17</v>
      </c>
      <c r="D295" s="45" t="s">
        <v>22</v>
      </c>
      <c r="E295" s="45" t="s">
        <v>67</v>
      </c>
      <c r="F295" s="45" t="s">
        <v>67</v>
      </c>
      <c r="G295" s="85">
        <f ca="1">IFERROR(__xludf.DUMMYFUNCTION("IFERROR(
  IF(A295 = 2008,
    IF(E295 = ""Online"",
      FILTER('Raw PhocalPoint Data'!G:G,
        'Raw PhocalPoint Data'!A:A = 2009,
        'Raw PhocalPoint Data'!D:D = D295,
        'Raw PhocalPoint Data'!E:E = E295,
        'Raw PhocalPoint Data'!F"&amp;":F = F295
      ) /
      (
        FILTER('Raw PhocalPoint Data'!G:G,
          'Raw PhocalPoint Data'!A:A = 2012,
          'Raw PhocalPoint Data'!D:D = D295,
          'Raw PhocalPoint Data'!E:E = E295,
          'Raw PhocalPoint Data'!F:F = F295
     "&amp;"   ) /
        FILTER('Raw PhocalPoint Data'!G:G,
          'Raw PhocalPoint Data'!A:A = 2011,
          'Raw PhocalPoint Data'!D:D = D295,
          'Raw PhocalPoint Data'!E:E = E295,
          'Raw PhocalPoint Data'!F:F = F295
        )
      ),
      F"&amp;"ILTER('Raw PhocalPoint Data'!G:G,
        'Raw PhocalPoint Data'!A:A = 2009,
        'Raw PhocalPoint Data'!D:D = D295,
        'Raw PhocalPoint Data'!E:E = E295,
        'Raw PhocalPoint Data'!F:F = F295
      ) *
      (
        INDEX('Raw GDP data'!$I$"&amp;"2:$M$100,
          MATCH(D295, 'Raw GDP data'!$H$2:$H$100, 0),
          MATCH(2008, 'Raw GDP data'!$I$1:$M$1, 0)
        ) /
        INDEX('Raw GDP data'!$I$2:$M$100,
          MATCH(D295, 'Raw GDP data'!$H$2:$H$100, 0),
          MATCH(2009, 'Raw GDP d"&amp;"ata'!$I$1:$M$1, 0)
        )
      )
    ),
  IF(A295 &lt; 2008,
    (
      FILTER(G:G,
        A:A = 2008,
        D:D = D295,
        E:E = E295,
        F:F = F295
      ) /
      PRODUCT(
        ARRAYFORMULA(
          (
            (
              FIL"&amp;"TER('Raw PhocalPoint Data'!G:G,
                'Raw PhocalPoint Data'!A:A = 2012,
                'Raw PhocalPoint Data'!D:D = D295,
                'Raw PhocalPoint Data'!E:E = E295,
                'Raw PhocalPoint Data'!F:F = F295
              ) /
  "&amp;"            FILTER('Raw PhocalPoint Data'!G:G,
                'Raw PhocalPoint Data'!A:A = 2011,
                'Raw PhocalPoint Data'!D:D = D295,
                'Raw PhocalPoint Data'!E:E = E295,
                'Raw PhocalPoint Data'!F:F = F295
     "&amp;"         ) -
              ROW(INDIRECT(""1:"" &amp; (2008 - A295))) *
              (
                (
                  FILTER('Raw PhocalPoint Data'!G:G,
                    'Raw PhocalPoint Data'!A:A = 2012,
                    'Raw PhocalPoint Data'!D:D"&amp;" = D295,
                    'Raw PhocalPoint Data'!E:E = E295,
                    'Raw PhocalPoint Data'!F:F = F295
                  ) /
                  FILTER('Raw PhocalPoint Data'!G:G,
                    'Raw PhocalPoint Data'!A:A = 2011,
       "&amp;"             'Raw PhocalPoint Data'!D:D = D295,
                    'Raw PhocalPoint Data'!E:E = E295,
                    'Raw PhocalPoint Data'!F:F = F295
                  ) - 1
                ) / 5
              )
            )
          )
        )
"&amp;"      )
    ),
    (
      FILTER('Raw PhocalPoint Data'!G:G,
        'Raw PhocalPoint Data'!A:A = 2009,
        'Raw PhocalPoint Data'!D:D = D295,
        'Raw PhocalPoint Data'!E:E = E295,
        'Raw PhocalPoint Data'!F:F = F295
      ) /
      PRODUC"&amp;"T(
        ARRAYFORMULA(
          (
            FILTER('Raw PhocalPoint Data'!G:G,
              'Raw PhocalPoint Data'!A:A = 2012,
              'Raw PhocalPoint Data'!D:D = D295,
              'Raw PhocalPoint Data'!E:E = E295,
              'Raw Phoca"&amp;"lPoint Data'!F:F = F295
            ) /
            FILTER('Raw PhocalPoint Data'!G:G,
              'Raw PhocalPoint Data'!A:A = 2011,
              'Raw PhocalPoint Data'!D:D = D295,
              'Raw PhocalPoint Data'!E:E = E295,
              'Raw Ph"&amp;"ocalPoint Data'!F:F = F295
            ) -
            (ROW(INDIRECT(""1:"" &amp; (2010 - A295))) - 1) *
            (
              (
                FILTER('Raw PhocalPoint Data'!G:G,
                  'Raw PhocalPoint Data'!A:A = 2012,
                  'R"&amp;"aw PhocalPoint Data'!D:D = D295,
                  'Raw PhocalPoint Data'!E:E = E295,
                  'Raw PhocalPoint Data'!F:F = F295
                ) /
                FILTER('Raw PhocalPoint Data'!G:G,
                  'Raw PhocalPoint Data'!A:A ="&amp;" 2011,
                  'Raw PhocalPoint Data'!D:D = D295,
                  'Raw PhocalPoint Data'!E:E = E295,
                  'Raw PhocalPoint Data'!F:F = F295
                ) - 1
              ) / 5
            )
          )
        )
      )
    "&amp;") *
    INDEX('Raw GDP data'!$I$2:$M$100,
      MATCH(D295, 'Raw GDP data'!$H$2:$H$100, 0),
      MATCH(A295, 'Raw GDP data'!$I$1:$M$1, 0)
    )
  )),
  """"
)
"),5212523031.8765)</f>
        <v>5212523031.8765001</v>
      </c>
      <c r="H295" s="86"/>
      <c r="I295" s="87">
        <f ca="1">IFERROR(__xludf.DUMMYFUNCTION("""COMPUTED_VALUE"""),2012)</f>
        <v>2012</v>
      </c>
      <c r="J295" s="88" t="str">
        <f ca="1">IFERROR(__xludf.DUMMYFUNCTION("""COMPUTED_VALUE"""),"Czech Republic")</f>
        <v>Czech Republic</v>
      </c>
      <c r="K295" s="89">
        <f ca="1">IFERROR(
  SUMIFS(
    'New Backfilled Data'!G:G,
    'New Backfilled Data'!A:A, I295,
    'New Backfilled Data'!D:D, J295,
    'New Backfilled Data'!E:E, "Online"
  ) /
  SUMIFS(
    'New Backfilled Data'!G:G,
    'New Backfilled Data'!A:A, I295,
    'New Backfilled Data'!D:D, J295
  ),
  ""
)</f>
        <v>0.24958375334406338</v>
      </c>
      <c r="L295" s="90"/>
      <c r="M295" s="90"/>
    </row>
    <row r="296" spans="1:13" ht="17" x14ac:dyDescent="0.2">
      <c r="A296" s="37">
        <v>2007</v>
      </c>
      <c r="B296" s="38" t="s">
        <v>66</v>
      </c>
      <c r="C296" s="38" t="s">
        <v>17</v>
      </c>
      <c r="D296" s="38" t="s">
        <v>22</v>
      </c>
      <c r="E296" s="38" t="s">
        <v>69</v>
      </c>
      <c r="F296" s="38" t="s">
        <v>71</v>
      </c>
      <c r="G296" s="79">
        <f ca="1">IFERROR(__xludf.DUMMYFUNCTION("IFERROR(
  IF(A296 = 2008,
    IF(E296 = ""Online"",
      FILTER('Raw PhocalPoint Data'!G:G,
        'Raw PhocalPoint Data'!A:A = 2009,
        'Raw PhocalPoint Data'!D:D = D296,
        'Raw PhocalPoint Data'!E:E = E296,
        'Raw PhocalPoint Data'!F"&amp;":F = F296
      ) /
      (
        FILTER('Raw PhocalPoint Data'!G:G,
          'Raw PhocalPoint Data'!A:A = 2012,
          'Raw PhocalPoint Data'!D:D = D296,
          'Raw PhocalPoint Data'!E:E = E296,
          'Raw PhocalPoint Data'!F:F = F296
     "&amp;"   ) /
        FILTER('Raw PhocalPoint Data'!G:G,
          'Raw PhocalPoint Data'!A:A = 2011,
          'Raw PhocalPoint Data'!D:D = D296,
          'Raw PhocalPoint Data'!E:E = E296,
          'Raw PhocalPoint Data'!F:F = F296
        )
      ),
      F"&amp;"ILTER('Raw PhocalPoint Data'!G:G,
        'Raw PhocalPoint Data'!A:A = 2009,
        'Raw PhocalPoint Data'!D:D = D296,
        'Raw PhocalPoint Data'!E:E = E296,
        'Raw PhocalPoint Data'!F:F = F296
      ) *
      (
        INDEX('Raw GDP data'!$I$"&amp;"2:$M$100,
          MATCH(D296, 'Raw GDP data'!$H$2:$H$100, 0),
          MATCH(2008, 'Raw GDP data'!$I$1:$M$1, 0)
        ) /
        INDEX('Raw GDP data'!$I$2:$M$100,
          MATCH(D296, 'Raw GDP data'!$H$2:$H$100, 0),
          MATCH(2009, 'Raw GDP d"&amp;"ata'!$I$1:$M$1, 0)
        )
      )
    ),
  IF(A296 &lt; 2008,
    (
      FILTER(G:G,
        A:A = 2008,
        D:D = D296,
        E:E = E296,
        F:F = F296
      ) /
      PRODUCT(
        ARRAYFORMULA(
          (
            (
              FIL"&amp;"TER('Raw PhocalPoint Data'!G:G,
                'Raw PhocalPoint Data'!A:A = 2012,
                'Raw PhocalPoint Data'!D:D = D296,
                'Raw PhocalPoint Data'!E:E = E296,
                'Raw PhocalPoint Data'!F:F = F296
              ) /
  "&amp;"            FILTER('Raw PhocalPoint Data'!G:G,
                'Raw PhocalPoint Data'!A:A = 2011,
                'Raw PhocalPoint Data'!D:D = D296,
                'Raw PhocalPoint Data'!E:E = E296,
                'Raw PhocalPoint Data'!F:F = F296
     "&amp;"         ) -
              ROW(INDIRECT(""1:"" &amp; (2008 - A296))) *
              (
                (
                  FILTER('Raw PhocalPoint Data'!G:G,
                    'Raw PhocalPoint Data'!A:A = 2012,
                    'Raw PhocalPoint Data'!D:D"&amp;" = D296,
                    'Raw PhocalPoint Data'!E:E = E296,
                    'Raw PhocalPoint Data'!F:F = F296
                  ) /
                  FILTER('Raw PhocalPoint Data'!G:G,
                    'Raw PhocalPoint Data'!A:A = 2011,
       "&amp;"             'Raw PhocalPoint Data'!D:D = D296,
                    'Raw PhocalPoint Data'!E:E = E296,
                    'Raw PhocalPoint Data'!F:F = F296
                  ) - 1
                ) / 5
              )
            )
          )
        )
"&amp;"      )
    ),
    (
      FILTER('Raw PhocalPoint Data'!G:G,
        'Raw PhocalPoint Data'!A:A = 2009,
        'Raw PhocalPoint Data'!D:D = D296,
        'Raw PhocalPoint Data'!E:E = E296,
        'Raw PhocalPoint Data'!F:F = F296
      ) /
      PRODUC"&amp;"T(
        ARRAYFORMULA(
          (
            FILTER('Raw PhocalPoint Data'!G:G,
              'Raw PhocalPoint Data'!A:A = 2012,
              'Raw PhocalPoint Data'!D:D = D296,
              'Raw PhocalPoint Data'!E:E = E296,
              'Raw Phoca"&amp;"lPoint Data'!F:F = F296
            ) /
            FILTER('Raw PhocalPoint Data'!G:G,
              'Raw PhocalPoint Data'!A:A = 2011,
              'Raw PhocalPoint Data'!D:D = D296,
              'Raw PhocalPoint Data'!E:E = E296,
              'Raw Ph"&amp;"ocalPoint Data'!F:F = F296
            ) -
            (ROW(INDIRECT(""1:"" &amp; (2010 - A296))) - 1) *
            (
              (
                FILTER('Raw PhocalPoint Data'!G:G,
                  'Raw PhocalPoint Data'!A:A = 2012,
                  'R"&amp;"aw PhocalPoint Data'!D:D = D296,
                  'Raw PhocalPoint Data'!E:E = E296,
                  'Raw PhocalPoint Data'!F:F = F296
                ) /
                FILTER('Raw PhocalPoint Data'!G:G,
                  'Raw PhocalPoint Data'!A:A ="&amp;" 2011,
                  'Raw PhocalPoint Data'!D:D = D296,
                  'Raw PhocalPoint Data'!E:E = E296,
                  'Raw PhocalPoint Data'!F:F = F296
                ) - 1
              ) / 5
            )
          )
        )
      )
    "&amp;") *
    INDEX('Raw GDP data'!$I$2:$M$100,
      MATCH(D296, 'Raw GDP data'!$H$2:$H$100, 0),
      MATCH(A296, 'Raw GDP data'!$I$1:$M$1, 0)
    )
  )),
  """"
)
"),401377913.704398)</f>
        <v>401377913.70439798</v>
      </c>
      <c r="H296" s="80"/>
      <c r="I296" s="81">
        <f ca="1">IFERROR(__xludf.DUMMYFUNCTION("""COMPUTED_VALUE"""),2012)</f>
        <v>2012</v>
      </c>
      <c r="J296" s="82" t="str">
        <f ca="1">IFERROR(__xludf.DUMMYFUNCTION("""COMPUTED_VALUE"""),"Greece")</f>
        <v>Greece</v>
      </c>
      <c r="K296" s="83">
        <f ca="1">IFERROR(
  SUMIFS(
    'New Backfilled Data'!G:G,
    'New Backfilled Data'!A:A, I296,
    'New Backfilled Data'!D:D, J296,
    'New Backfilled Data'!E:E, "Online"
  ) /
  SUMIFS(
    'New Backfilled Data'!G:G,
    'New Backfilled Data'!A:A, I296,
    'New Backfilled Data'!D:D, J296
  ),
  ""
)</f>
        <v>0.24161664472396305</v>
      </c>
      <c r="L296" s="84"/>
      <c r="M296" s="84"/>
    </row>
    <row r="297" spans="1:13" ht="17" x14ac:dyDescent="0.2">
      <c r="A297" s="44">
        <v>2007</v>
      </c>
      <c r="B297" s="45" t="s">
        <v>66</v>
      </c>
      <c r="C297" s="45" t="s">
        <v>17</v>
      </c>
      <c r="D297" s="45" t="s">
        <v>22</v>
      </c>
      <c r="E297" s="45" t="s">
        <v>69</v>
      </c>
      <c r="F297" s="45" t="s">
        <v>70</v>
      </c>
      <c r="G297" s="85">
        <f ca="1">IFERROR(__xludf.DUMMYFUNCTION("IFERROR(
  IF(A297 = 2008,
    IF(E297 = ""Online"",
      FILTER('Raw PhocalPoint Data'!G:G,
        'Raw PhocalPoint Data'!A:A = 2009,
        'Raw PhocalPoint Data'!D:D = D297,
        'Raw PhocalPoint Data'!E:E = E297,
        'Raw PhocalPoint Data'!F"&amp;":F = F297
      ) /
      (
        FILTER('Raw PhocalPoint Data'!G:G,
          'Raw PhocalPoint Data'!A:A = 2012,
          'Raw PhocalPoint Data'!D:D = D297,
          'Raw PhocalPoint Data'!E:E = E297,
          'Raw PhocalPoint Data'!F:F = F297
     "&amp;"   ) /
        FILTER('Raw PhocalPoint Data'!G:G,
          'Raw PhocalPoint Data'!A:A = 2011,
          'Raw PhocalPoint Data'!D:D = D297,
          'Raw PhocalPoint Data'!E:E = E297,
          'Raw PhocalPoint Data'!F:F = F297
        )
      ),
      F"&amp;"ILTER('Raw PhocalPoint Data'!G:G,
        'Raw PhocalPoint Data'!A:A = 2009,
        'Raw PhocalPoint Data'!D:D = D297,
        'Raw PhocalPoint Data'!E:E = E297,
        'Raw PhocalPoint Data'!F:F = F297
      ) *
      (
        INDEX('Raw GDP data'!$I$"&amp;"2:$M$100,
          MATCH(D297, 'Raw GDP data'!$H$2:$H$100, 0),
          MATCH(2008, 'Raw GDP data'!$I$1:$M$1, 0)
        ) /
        INDEX('Raw GDP data'!$I$2:$M$100,
          MATCH(D297, 'Raw GDP data'!$H$2:$H$100, 0),
          MATCH(2009, 'Raw GDP d"&amp;"ata'!$I$1:$M$1, 0)
        )
      )
    ),
  IF(A297 &lt; 2008,
    (
      FILTER(G:G,
        A:A = 2008,
        D:D = D297,
        E:E = E297,
        F:F = F297
      ) /
      PRODUCT(
        ARRAYFORMULA(
          (
            (
              FIL"&amp;"TER('Raw PhocalPoint Data'!G:G,
                'Raw PhocalPoint Data'!A:A = 2012,
                'Raw PhocalPoint Data'!D:D = D297,
                'Raw PhocalPoint Data'!E:E = E297,
                'Raw PhocalPoint Data'!F:F = F297
              ) /
  "&amp;"            FILTER('Raw PhocalPoint Data'!G:G,
                'Raw PhocalPoint Data'!A:A = 2011,
                'Raw PhocalPoint Data'!D:D = D297,
                'Raw PhocalPoint Data'!E:E = E297,
                'Raw PhocalPoint Data'!F:F = F297
     "&amp;"         ) -
              ROW(INDIRECT(""1:"" &amp; (2008 - A297))) *
              (
                (
                  FILTER('Raw PhocalPoint Data'!G:G,
                    'Raw PhocalPoint Data'!A:A = 2012,
                    'Raw PhocalPoint Data'!D:D"&amp;" = D297,
                    'Raw PhocalPoint Data'!E:E = E297,
                    'Raw PhocalPoint Data'!F:F = F297
                  ) /
                  FILTER('Raw PhocalPoint Data'!G:G,
                    'Raw PhocalPoint Data'!A:A = 2011,
       "&amp;"             'Raw PhocalPoint Data'!D:D = D297,
                    'Raw PhocalPoint Data'!E:E = E297,
                    'Raw PhocalPoint Data'!F:F = F297
                  ) - 1
                ) / 5
              )
            )
          )
        )
"&amp;"      )
    ),
    (
      FILTER('Raw PhocalPoint Data'!G:G,
        'Raw PhocalPoint Data'!A:A = 2009,
        'Raw PhocalPoint Data'!D:D = D297,
        'Raw PhocalPoint Data'!E:E = E297,
        'Raw PhocalPoint Data'!F:F = F297
      ) /
      PRODUC"&amp;"T(
        ARRAYFORMULA(
          (
            FILTER('Raw PhocalPoint Data'!G:G,
              'Raw PhocalPoint Data'!A:A = 2012,
              'Raw PhocalPoint Data'!D:D = D297,
              'Raw PhocalPoint Data'!E:E = E297,
              'Raw Phoca"&amp;"lPoint Data'!F:F = F297
            ) /
            FILTER('Raw PhocalPoint Data'!G:G,
              'Raw PhocalPoint Data'!A:A = 2011,
              'Raw PhocalPoint Data'!D:D = D297,
              'Raw PhocalPoint Data'!E:E = E297,
              'Raw Ph"&amp;"ocalPoint Data'!F:F = F297
            ) -
            (ROW(INDIRECT(""1:"" &amp; (2010 - A297))) - 1) *
            (
              (
                FILTER('Raw PhocalPoint Data'!G:G,
                  'Raw PhocalPoint Data'!A:A = 2012,
                  'R"&amp;"aw PhocalPoint Data'!D:D = D297,
                  'Raw PhocalPoint Data'!E:E = E297,
                  'Raw PhocalPoint Data'!F:F = F297
                ) /
                FILTER('Raw PhocalPoint Data'!G:G,
                  'Raw PhocalPoint Data'!A:A ="&amp;" 2011,
                  'Raw PhocalPoint Data'!D:D = D297,
                  'Raw PhocalPoint Data'!E:E = E297,
                  'Raw PhocalPoint Data'!F:F = F297
                ) - 1
              ) / 5
            )
          )
        )
      )
    "&amp;") *
    INDEX('Raw GDP data'!$I$2:$M$100,
      MATCH(D297, 'Raw GDP data'!$H$2:$H$100, 0),
      MATCH(A297, 'Raw GDP data'!$I$1:$M$1, 0)
    )
  )),
  """"
)
"),285410980.943114)</f>
        <v>285410980.94311398</v>
      </c>
      <c r="H297" s="86"/>
      <c r="I297" s="87">
        <f ca="1">IFERROR(__xludf.DUMMYFUNCTION("""COMPUTED_VALUE"""),2012)</f>
        <v>2012</v>
      </c>
      <c r="J297" s="88" t="str">
        <f ca="1">IFERROR(__xludf.DUMMYFUNCTION("""COMPUTED_VALUE"""),"Hungary")</f>
        <v>Hungary</v>
      </c>
      <c r="K297" s="89">
        <f ca="1">IFERROR(
  SUMIFS(
    'New Backfilled Data'!G:G,
    'New Backfilled Data'!A:A, I297,
    'New Backfilled Data'!D:D, J297,
    'New Backfilled Data'!E:E, "Online"
  ) /
  SUMIFS(
    'New Backfilled Data'!G:G,
    'New Backfilled Data'!A:A, I297,
    'New Backfilled Data'!D:D, J297
  ),
  ""
)</f>
        <v>0.27953744907693173</v>
      </c>
      <c r="L297" s="90"/>
      <c r="M297" s="90"/>
    </row>
    <row r="298" spans="1:13" ht="17" x14ac:dyDescent="0.2">
      <c r="A298" s="37">
        <v>2007</v>
      </c>
      <c r="B298" s="38" t="s">
        <v>66</v>
      </c>
      <c r="C298" s="38" t="s">
        <v>17</v>
      </c>
      <c r="D298" s="38" t="s">
        <v>23</v>
      </c>
      <c r="E298" s="38" t="s">
        <v>67</v>
      </c>
      <c r="F298" s="38" t="s">
        <v>67</v>
      </c>
      <c r="G298" s="79">
        <f ca="1">IFERROR(__xludf.DUMMYFUNCTION("IFERROR(
  IF(A298 = 2008,
    IF(E298 = ""Online"",
      FILTER('Raw PhocalPoint Data'!G:G,
        'Raw PhocalPoint Data'!A:A = 2009,
        'Raw PhocalPoint Data'!D:D = D298,
        'Raw PhocalPoint Data'!E:E = E298,
        'Raw PhocalPoint Data'!F"&amp;":F = F298
      ) /
      (
        FILTER('Raw PhocalPoint Data'!G:G,
          'Raw PhocalPoint Data'!A:A = 2012,
          'Raw PhocalPoint Data'!D:D = D298,
          'Raw PhocalPoint Data'!E:E = E298,
          'Raw PhocalPoint Data'!F:F = F298
     "&amp;"   ) /
        FILTER('Raw PhocalPoint Data'!G:G,
          'Raw PhocalPoint Data'!A:A = 2011,
          'Raw PhocalPoint Data'!D:D = D298,
          'Raw PhocalPoint Data'!E:E = E298,
          'Raw PhocalPoint Data'!F:F = F298
        )
      ),
      F"&amp;"ILTER('Raw PhocalPoint Data'!G:G,
        'Raw PhocalPoint Data'!A:A = 2009,
        'Raw PhocalPoint Data'!D:D = D298,
        'Raw PhocalPoint Data'!E:E = E298,
        'Raw PhocalPoint Data'!F:F = F298
      ) *
      (
        INDEX('Raw GDP data'!$I$"&amp;"2:$M$100,
          MATCH(D298, 'Raw GDP data'!$H$2:$H$100, 0),
          MATCH(2008, 'Raw GDP data'!$I$1:$M$1, 0)
        ) /
        INDEX('Raw GDP data'!$I$2:$M$100,
          MATCH(D298, 'Raw GDP data'!$H$2:$H$100, 0),
          MATCH(2009, 'Raw GDP d"&amp;"ata'!$I$1:$M$1, 0)
        )
      )
    ),
  IF(A298 &lt; 2008,
    (
      FILTER(G:G,
        A:A = 2008,
        D:D = D298,
        E:E = E298,
        F:F = F298
      ) /
      PRODUCT(
        ARRAYFORMULA(
          (
            (
              FIL"&amp;"TER('Raw PhocalPoint Data'!G:G,
                'Raw PhocalPoint Data'!A:A = 2012,
                'Raw PhocalPoint Data'!D:D = D298,
                'Raw PhocalPoint Data'!E:E = E298,
                'Raw PhocalPoint Data'!F:F = F298
              ) /
  "&amp;"            FILTER('Raw PhocalPoint Data'!G:G,
                'Raw PhocalPoint Data'!A:A = 2011,
                'Raw PhocalPoint Data'!D:D = D298,
                'Raw PhocalPoint Data'!E:E = E298,
                'Raw PhocalPoint Data'!F:F = F298
     "&amp;"         ) -
              ROW(INDIRECT(""1:"" &amp; (2008 - A298))) *
              (
                (
                  FILTER('Raw PhocalPoint Data'!G:G,
                    'Raw PhocalPoint Data'!A:A = 2012,
                    'Raw PhocalPoint Data'!D:D"&amp;" = D298,
                    'Raw PhocalPoint Data'!E:E = E298,
                    'Raw PhocalPoint Data'!F:F = F298
                  ) /
                  FILTER('Raw PhocalPoint Data'!G:G,
                    'Raw PhocalPoint Data'!A:A = 2011,
       "&amp;"             'Raw PhocalPoint Data'!D:D = D298,
                    'Raw PhocalPoint Data'!E:E = E298,
                    'Raw PhocalPoint Data'!F:F = F298
                  ) - 1
                ) / 5
              )
            )
          )
        )
"&amp;"      )
    ),
    (
      FILTER('Raw PhocalPoint Data'!G:G,
        'Raw PhocalPoint Data'!A:A = 2009,
        'Raw PhocalPoint Data'!D:D = D298,
        'Raw PhocalPoint Data'!E:E = E298,
        'Raw PhocalPoint Data'!F:F = F298
      ) /
      PRODUC"&amp;"T(
        ARRAYFORMULA(
          (
            FILTER('Raw PhocalPoint Data'!G:G,
              'Raw PhocalPoint Data'!A:A = 2012,
              'Raw PhocalPoint Data'!D:D = D298,
              'Raw PhocalPoint Data'!E:E = E298,
              'Raw Phoca"&amp;"lPoint Data'!F:F = F298
            ) /
            FILTER('Raw PhocalPoint Data'!G:G,
              'Raw PhocalPoint Data'!A:A = 2011,
              'Raw PhocalPoint Data'!D:D = D298,
              'Raw PhocalPoint Data'!E:E = E298,
              'Raw Ph"&amp;"ocalPoint Data'!F:F = F298
            ) -
            (ROW(INDIRECT(""1:"" &amp; (2010 - A298))) - 1) *
            (
              (
                FILTER('Raw PhocalPoint Data'!G:G,
                  'Raw PhocalPoint Data'!A:A = 2012,
                  'R"&amp;"aw PhocalPoint Data'!D:D = D298,
                  'Raw PhocalPoint Data'!E:E = E298,
                  'Raw PhocalPoint Data'!F:F = F298
                ) /
                FILTER('Raw PhocalPoint Data'!G:G,
                  'Raw PhocalPoint Data'!A:A ="&amp;" 2011,
                  'Raw PhocalPoint Data'!D:D = D298,
                  'Raw PhocalPoint Data'!E:E = E298,
                  'Raw PhocalPoint Data'!F:F = F298
                ) - 1
              ) / 5
            )
          )
        )
      )
    "&amp;") *
    INDEX('Raw GDP data'!$I$2:$M$100,
      MATCH(D298, 'Raw GDP data'!$H$2:$H$100, 0),
      MATCH(A298, 'Raw GDP data'!$I$1:$M$1, 0)
    )
  )),
  """"
)
"),3923932262.76462)</f>
        <v>3923932262.7646198</v>
      </c>
      <c r="H298" s="80"/>
      <c r="I298" s="81">
        <f ca="1">IFERROR(__xludf.DUMMYFUNCTION("""COMPUTED_VALUE"""),2012)</f>
        <v>2012</v>
      </c>
      <c r="J298" s="82" t="str">
        <f ca="1">IFERROR(__xludf.DUMMYFUNCTION("""COMPUTED_VALUE"""),"Poland")</f>
        <v>Poland</v>
      </c>
      <c r="K298" s="83">
        <f ca="1">IFERROR(
  SUMIFS(
    'New Backfilled Data'!G:G,
    'New Backfilled Data'!A:A, I298,
    'New Backfilled Data'!D:D, J298,
    'New Backfilled Data'!E:E, "Online"
  ) /
  SUMIFS(
    'New Backfilled Data'!G:G,
    'New Backfilled Data'!A:A, I298,
    'New Backfilled Data'!D:D, J298
  ),
  ""
)</f>
        <v>0.23264559047936403</v>
      </c>
      <c r="L298" s="84"/>
      <c r="M298" s="84"/>
    </row>
    <row r="299" spans="1:13" ht="34" x14ac:dyDescent="0.2">
      <c r="A299" s="44">
        <v>2007</v>
      </c>
      <c r="B299" s="45" t="s">
        <v>66</v>
      </c>
      <c r="C299" s="45" t="s">
        <v>17</v>
      </c>
      <c r="D299" s="45" t="s">
        <v>23</v>
      </c>
      <c r="E299" s="45" t="s">
        <v>69</v>
      </c>
      <c r="F299" s="45" t="s">
        <v>71</v>
      </c>
      <c r="G299" s="85">
        <f ca="1">IFERROR(__xludf.DUMMYFUNCTION("IFERROR(
  IF(A299 = 2008,
    IF(E299 = ""Online"",
      FILTER('Raw PhocalPoint Data'!G:G,
        'Raw PhocalPoint Data'!A:A = 2009,
        'Raw PhocalPoint Data'!D:D = D299,
        'Raw PhocalPoint Data'!E:E = E299,
        'Raw PhocalPoint Data'!F"&amp;":F = F299
      ) /
      (
        FILTER('Raw PhocalPoint Data'!G:G,
          'Raw PhocalPoint Data'!A:A = 2012,
          'Raw PhocalPoint Data'!D:D = D299,
          'Raw PhocalPoint Data'!E:E = E299,
          'Raw PhocalPoint Data'!F:F = F299
     "&amp;"   ) /
        FILTER('Raw PhocalPoint Data'!G:G,
          'Raw PhocalPoint Data'!A:A = 2011,
          'Raw PhocalPoint Data'!D:D = D299,
          'Raw PhocalPoint Data'!E:E = E299,
          'Raw PhocalPoint Data'!F:F = F299
        )
      ),
      F"&amp;"ILTER('Raw PhocalPoint Data'!G:G,
        'Raw PhocalPoint Data'!A:A = 2009,
        'Raw PhocalPoint Data'!D:D = D299,
        'Raw PhocalPoint Data'!E:E = E299,
        'Raw PhocalPoint Data'!F:F = F299
      ) *
      (
        INDEX('Raw GDP data'!$I$"&amp;"2:$M$100,
          MATCH(D299, 'Raw GDP data'!$H$2:$H$100, 0),
          MATCH(2008, 'Raw GDP data'!$I$1:$M$1, 0)
        ) /
        INDEX('Raw GDP data'!$I$2:$M$100,
          MATCH(D299, 'Raw GDP data'!$H$2:$H$100, 0),
          MATCH(2009, 'Raw GDP d"&amp;"ata'!$I$1:$M$1, 0)
        )
      )
    ),
  IF(A299 &lt; 2008,
    (
      FILTER(G:G,
        A:A = 2008,
        D:D = D299,
        E:E = E299,
        F:F = F299
      ) /
      PRODUCT(
        ARRAYFORMULA(
          (
            (
              FIL"&amp;"TER('Raw PhocalPoint Data'!G:G,
                'Raw PhocalPoint Data'!A:A = 2012,
                'Raw PhocalPoint Data'!D:D = D299,
                'Raw PhocalPoint Data'!E:E = E299,
                'Raw PhocalPoint Data'!F:F = F299
              ) /
  "&amp;"            FILTER('Raw PhocalPoint Data'!G:G,
                'Raw PhocalPoint Data'!A:A = 2011,
                'Raw PhocalPoint Data'!D:D = D299,
                'Raw PhocalPoint Data'!E:E = E299,
                'Raw PhocalPoint Data'!F:F = F299
     "&amp;"         ) -
              ROW(INDIRECT(""1:"" &amp; (2008 - A299))) *
              (
                (
                  FILTER('Raw PhocalPoint Data'!G:G,
                    'Raw PhocalPoint Data'!A:A = 2012,
                    'Raw PhocalPoint Data'!D:D"&amp;" = D299,
                    'Raw PhocalPoint Data'!E:E = E299,
                    'Raw PhocalPoint Data'!F:F = F299
                  ) /
                  FILTER('Raw PhocalPoint Data'!G:G,
                    'Raw PhocalPoint Data'!A:A = 2011,
       "&amp;"             'Raw PhocalPoint Data'!D:D = D299,
                    'Raw PhocalPoint Data'!E:E = E299,
                    'Raw PhocalPoint Data'!F:F = F299
                  ) - 1
                ) / 5
              )
            )
          )
        )
"&amp;"      )
    ),
    (
      FILTER('Raw PhocalPoint Data'!G:G,
        'Raw PhocalPoint Data'!A:A = 2009,
        'Raw PhocalPoint Data'!D:D = D299,
        'Raw PhocalPoint Data'!E:E = E299,
        'Raw PhocalPoint Data'!F:F = F299
      ) /
      PRODUC"&amp;"T(
        ARRAYFORMULA(
          (
            FILTER('Raw PhocalPoint Data'!G:G,
              'Raw PhocalPoint Data'!A:A = 2012,
              'Raw PhocalPoint Data'!D:D = D299,
              'Raw PhocalPoint Data'!E:E = E299,
              'Raw Phoca"&amp;"lPoint Data'!F:F = F299
            ) /
            FILTER('Raw PhocalPoint Data'!G:G,
              'Raw PhocalPoint Data'!A:A = 2011,
              'Raw PhocalPoint Data'!D:D = D299,
              'Raw PhocalPoint Data'!E:E = E299,
              'Raw Ph"&amp;"ocalPoint Data'!F:F = F299
            ) -
            (ROW(INDIRECT(""1:"" &amp; (2010 - A299))) - 1) *
            (
              (
                FILTER('Raw PhocalPoint Data'!G:G,
                  'Raw PhocalPoint Data'!A:A = 2012,
                  'R"&amp;"aw PhocalPoint Data'!D:D = D299,
                  'Raw PhocalPoint Data'!E:E = E299,
                  'Raw PhocalPoint Data'!F:F = F299
                ) /
                FILTER('Raw PhocalPoint Data'!G:G,
                  'Raw PhocalPoint Data'!A:A ="&amp;" 2011,
                  'Raw PhocalPoint Data'!D:D = D299,
                  'Raw PhocalPoint Data'!E:E = E299,
                  'Raw PhocalPoint Data'!F:F = F299
                ) - 1
              ) / 5
            )
          )
        )
      )
    "&amp;") *
    INDEX('Raw GDP data'!$I$2:$M$100,
      MATCH(D299, 'Raw GDP data'!$H$2:$H$100, 0),
      MATCH(A299, 'Raw GDP data'!$I$1:$M$1, 0)
    )
  )),
  """"
)
"),88630565.942509)</f>
        <v>88630565.942508996</v>
      </c>
      <c r="H299" s="86"/>
      <c r="I299" s="87">
        <f ca="1">IFERROR(__xludf.DUMMYFUNCTION("""COMPUTED_VALUE"""),2012)</f>
        <v>2012</v>
      </c>
      <c r="J299" s="88" t="str">
        <f ca="1">IFERROR(__xludf.DUMMYFUNCTION("""COMPUTED_VALUE"""),"Rest of Eastern Europe")</f>
        <v>Rest of Eastern Europe</v>
      </c>
      <c r="K299" s="89">
        <f ca="1">IFERROR(
  SUMIFS(
    'New Backfilled Data'!G:G,
    'New Backfilled Data'!A:A, I299,
    'New Backfilled Data'!D:D, J299,
    'New Backfilled Data'!E:E, "Online"
  ) /
  SUMIFS(
    'New Backfilled Data'!G:G,
    'New Backfilled Data'!A:A, I299,
    'New Backfilled Data'!D:D, J299
  ),
  ""
)</f>
        <v>0.13846749937280198</v>
      </c>
      <c r="L299" s="90"/>
      <c r="M299" s="90"/>
    </row>
    <row r="300" spans="1:13" ht="17" x14ac:dyDescent="0.2">
      <c r="A300" s="37">
        <v>2007</v>
      </c>
      <c r="B300" s="38" t="s">
        <v>66</v>
      </c>
      <c r="C300" s="38" t="s">
        <v>17</v>
      </c>
      <c r="D300" s="38" t="s">
        <v>23</v>
      </c>
      <c r="E300" s="38" t="s">
        <v>69</v>
      </c>
      <c r="F300" s="38" t="s">
        <v>70</v>
      </c>
      <c r="G300" s="79">
        <f ca="1">IFERROR(__xludf.DUMMYFUNCTION("IFERROR(
  IF(A300 = 2008,
    IF(E300 = ""Online"",
      FILTER('Raw PhocalPoint Data'!G:G,
        'Raw PhocalPoint Data'!A:A = 2009,
        'Raw PhocalPoint Data'!D:D = D300,
        'Raw PhocalPoint Data'!E:E = E300,
        'Raw PhocalPoint Data'!F"&amp;":F = F300
      ) /
      (
        FILTER('Raw PhocalPoint Data'!G:G,
          'Raw PhocalPoint Data'!A:A = 2012,
          'Raw PhocalPoint Data'!D:D = D300,
          'Raw PhocalPoint Data'!E:E = E300,
          'Raw PhocalPoint Data'!F:F = F300
     "&amp;"   ) /
        FILTER('Raw PhocalPoint Data'!G:G,
          'Raw PhocalPoint Data'!A:A = 2011,
          'Raw PhocalPoint Data'!D:D = D300,
          'Raw PhocalPoint Data'!E:E = E300,
          'Raw PhocalPoint Data'!F:F = F300
        )
      ),
      F"&amp;"ILTER('Raw PhocalPoint Data'!G:G,
        'Raw PhocalPoint Data'!A:A = 2009,
        'Raw PhocalPoint Data'!D:D = D300,
        'Raw PhocalPoint Data'!E:E = E300,
        'Raw PhocalPoint Data'!F:F = F300
      ) *
      (
        INDEX('Raw GDP data'!$I$"&amp;"2:$M$100,
          MATCH(D300, 'Raw GDP data'!$H$2:$H$100, 0),
          MATCH(2008, 'Raw GDP data'!$I$1:$M$1, 0)
        ) /
        INDEX('Raw GDP data'!$I$2:$M$100,
          MATCH(D300, 'Raw GDP data'!$H$2:$H$100, 0),
          MATCH(2009, 'Raw GDP d"&amp;"ata'!$I$1:$M$1, 0)
        )
      )
    ),
  IF(A300 &lt; 2008,
    (
      FILTER(G:G,
        A:A = 2008,
        D:D = D300,
        E:E = E300,
        F:F = F300
      ) /
      PRODUCT(
        ARRAYFORMULA(
          (
            (
              FIL"&amp;"TER('Raw PhocalPoint Data'!G:G,
                'Raw PhocalPoint Data'!A:A = 2012,
                'Raw PhocalPoint Data'!D:D = D300,
                'Raw PhocalPoint Data'!E:E = E300,
                'Raw PhocalPoint Data'!F:F = F300
              ) /
  "&amp;"            FILTER('Raw PhocalPoint Data'!G:G,
                'Raw PhocalPoint Data'!A:A = 2011,
                'Raw PhocalPoint Data'!D:D = D300,
                'Raw PhocalPoint Data'!E:E = E300,
                'Raw PhocalPoint Data'!F:F = F300
     "&amp;"         ) -
              ROW(INDIRECT(""1:"" &amp; (2008 - A300))) *
              (
                (
                  FILTER('Raw PhocalPoint Data'!G:G,
                    'Raw PhocalPoint Data'!A:A = 2012,
                    'Raw PhocalPoint Data'!D:D"&amp;" = D300,
                    'Raw PhocalPoint Data'!E:E = E300,
                    'Raw PhocalPoint Data'!F:F = F300
                  ) /
                  FILTER('Raw PhocalPoint Data'!G:G,
                    'Raw PhocalPoint Data'!A:A = 2011,
       "&amp;"             'Raw PhocalPoint Data'!D:D = D300,
                    'Raw PhocalPoint Data'!E:E = E300,
                    'Raw PhocalPoint Data'!F:F = F300
                  ) - 1
                ) / 5
              )
            )
          )
        )
"&amp;"      )
    ),
    (
      FILTER('Raw PhocalPoint Data'!G:G,
        'Raw PhocalPoint Data'!A:A = 2009,
        'Raw PhocalPoint Data'!D:D = D300,
        'Raw PhocalPoint Data'!E:E = E300,
        'Raw PhocalPoint Data'!F:F = F300
      ) /
      PRODUC"&amp;"T(
        ARRAYFORMULA(
          (
            FILTER('Raw PhocalPoint Data'!G:G,
              'Raw PhocalPoint Data'!A:A = 2012,
              'Raw PhocalPoint Data'!D:D = D300,
              'Raw PhocalPoint Data'!E:E = E300,
              'Raw Phoca"&amp;"lPoint Data'!F:F = F300
            ) /
            FILTER('Raw PhocalPoint Data'!G:G,
              'Raw PhocalPoint Data'!A:A = 2011,
              'Raw PhocalPoint Data'!D:D = D300,
              'Raw PhocalPoint Data'!E:E = E300,
              'Raw Ph"&amp;"ocalPoint Data'!F:F = F300
            ) -
            (ROW(INDIRECT(""1:"" &amp; (2010 - A300))) - 1) *
            (
              (
                FILTER('Raw PhocalPoint Data'!G:G,
                  'Raw PhocalPoint Data'!A:A = 2012,
                  'R"&amp;"aw PhocalPoint Data'!D:D = D300,
                  'Raw PhocalPoint Data'!E:E = E300,
                  'Raw PhocalPoint Data'!F:F = F300
                ) /
                FILTER('Raw PhocalPoint Data'!G:G,
                  'Raw PhocalPoint Data'!A:A ="&amp;" 2011,
                  'Raw PhocalPoint Data'!D:D = D300,
                  'Raw PhocalPoint Data'!E:E = E300,
                  'Raw PhocalPoint Data'!F:F = F300
                ) - 1
              ) / 5
            )
          )
        )
      )
    "&amp;") *
    INDEX('Raw GDP data'!$I$2:$M$100,
      MATCH(D300, 'Raw GDP data'!$H$2:$H$100, 0),
      MATCH(A300, 'Raw GDP data'!$I$1:$M$1, 0)
    )
  )),
  """"
)
"),193737679.447895)</f>
        <v>193737679.44789499</v>
      </c>
      <c r="H300" s="80"/>
      <c r="I300" s="81">
        <f ca="1">IFERROR(__xludf.DUMMYFUNCTION("""COMPUTED_VALUE"""),2012)</f>
        <v>2012</v>
      </c>
      <c r="J300" s="82" t="str">
        <f ca="1">IFERROR(__xludf.DUMMYFUNCTION("""COMPUTED_VALUE"""),"Romania")</f>
        <v>Romania</v>
      </c>
      <c r="K300" s="83">
        <f ca="1">IFERROR(
  SUMIFS(
    'New Backfilled Data'!G:G,
    'New Backfilled Data'!A:A, I300,
    'New Backfilled Data'!D:D, J300,
    'New Backfilled Data'!E:E, "Online"
  ) /
  SUMIFS(
    'New Backfilled Data'!G:G,
    'New Backfilled Data'!A:A, I300,
    'New Backfilled Data'!D:D, J300
  ),
  ""
)</f>
        <v>0.20380288054087686</v>
      </c>
      <c r="L300" s="84"/>
      <c r="M300" s="84"/>
    </row>
    <row r="301" spans="1:13" ht="17" x14ac:dyDescent="0.2">
      <c r="A301" s="44">
        <v>2007</v>
      </c>
      <c r="B301" s="45" t="s">
        <v>66</v>
      </c>
      <c r="C301" s="45" t="s">
        <v>17</v>
      </c>
      <c r="D301" s="45" t="s">
        <v>24</v>
      </c>
      <c r="E301" s="45" t="s">
        <v>67</v>
      </c>
      <c r="F301" s="45" t="s">
        <v>67</v>
      </c>
      <c r="G301" s="85">
        <f ca="1">IFERROR(__xludf.DUMMYFUNCTION("IFERROR(
  IF(A301 = 2008,
    IF(E301 = ""Online"",
      FILTER('Raw PhocalPoint Data'!G:G,
        'Raw PhocalPoint Data'!A:A = 2009,
        'Raw PhocalPoint Data'!D:D = D301,
        'Raw PhocalPoint Data'!E:E = E301,
        'Raw PhocalPoint Data'!F"&amp;":F = F301
      ) /
      (
        FILTER('Raw PhocalPoint Data'!G:G,
          'Raw PhocalPoint Data'!A:A = 2012,
          'Raw PhocalPoint Data'!D:D = D301,
          'Raw PhocalPoint Data'!E:E = E301,
          'Raw PhocalPoint Data'!F:F = F301
     "&amp;"   ) /
        FILTER('Raw PhocalPoint Data'!G:G,
          'Raw PhocalPoint Data'!A:A = 2011,
          'Raw PhocalPoint Data'!D:D = D301,
          'Raw PhocalPoint Data'!E:E = E301,
          'Raw PhocalPoint Data'!F:F = F301
        )
      ),
      F"&amp;"ILTER('Raw PhocalPoint Data'!G:G,
        'Raw PhocalPoint Data'!A:A = 2009,
        'Raw PhocalPoint Data'!D:D = D301,
        'Raw PhocalPoint Data'!E:E = E301,
        'Raw PhocalPoint Data'!F:F = F301
      ) *
      (
        INDEX('Raw GDP data'!$I$"&amp;"2:$M$100,
          MATCH(D301, 'Raw GDP data'!$H$2:$H$100, 0),
          MATCH(2008, 'Raw GDP data'!$I$1:$M$1, 0)
        ) /
        INDEX('Raw GDP data'!$I$2:$M$100,
          MATCH(D301, 'Raw GDP data'!$H$2:$H$100, 0),
          MATCH(2009, 'Raw GDP d"&amp;"ata'!$I$1:$M$1, 0)
        )
      )
    ),
  IF(A301 &lt; 2008,
    (
      FILTER(G:G,
        A:A = 2008,
        D:D = D301,
        E:E = E301,
        F:F = F301
      ) /
      PRODUCT(
        ARRAYFORMULA(
          (
            (
              FIL"&amp;"TER('Raw PhocalPoint Data'!G:G,
                'Raw PhocalPoint Data'!A:A = 2012,
                'Raw PhocalPoint Data'!D:D = D301,
                'Raw PhocalPoint Data'!E:E = E301,
                'Raw PhocalPoint Data'!F:F = F301
              ) /
  "&amp;"            FILTER('Raw PhocalPoint Data'!G:G,
                'Raw PhocalPoint Data'!A:A = 2011,
                'Raw PhocalPoint Data'!D:D = D301,
                'Raw PhocalPoint Data'!E:E = E301,
                'Raw PhocalPoint Data'!F:F = F301
     "&amp;"         ) -
              ROW(INDIRECT(""1:"" &amp; (2008 - A301))) *
              (
                (
                  FILTER('Raw PhocalPoint Data'!G:G,
                    'Raw PhocalPoint Data'!A:A = 2012,
                    'Raw PhocalPoint Data'!D:D"&amp;" = D301,
                    'Raw PhocalPoint Data'!E:E = E301,
                    'Raw PhocalPoint Data'!F:F = F301
                  ) /
                  FILTER('Raw PhocalPoint Data'!G:G,
                    'Raw PhocalPoint Data'!A:A = 2011,
       "&amp;"             'Raw PhocalPoint Data'!D:D = D301,
                    'Raw PhocalPoint Data'!E:E = E301,
                    'Raw PhocalPoint Data'!F:F = F301
                  ) - 1
                ) / 5
              )
            )
          )
        )
"&amp;"      )
    ),
    (
      FILTER('Raw PhocalPoint Data'!G:G,
        'Raw PhocalPoint Data'!A:A = 2009,
        'Raw PhocalPoint Data'!D:D = D301,
        'Raw PhocalPoint Data'!E:E = E301,
        'Raw PhocalPoint Data'!F:F = F301
      ) /
      PRODUC"&amp;"T(
        ARRAYFORMULA(
          (
            FILTER('Raw PhocalPoint Data'!G:G,
              'Raw PhocalPoint Data'!A:A = 2012,
              'Raw PhocalPoint Data'!D:D = D301,
              'Raw PhocalPoint Data'!E:E = E301,
              'Raw Phoca"&amp;"lPoint Data'!F:F = F301
            ) /
            FILTER('Raw PhocalPoint Data'!G:G,
              'Raw PhocalPoint Data'!A:A = 2011,
              'Raw PhocalPoint Data'!D:D = D301,
              'Raw PhocalPoint Data'!E:E = E301,
              'Raw Ph"&amp;"ocalPoint Data'!F:F = F301
            ) -
            (ROW(INDIRECT(""1:"" &amp; (2010 - A301))) - 1) *
            (
              (
                FILTER('Raw PhocalPoint Data'!G:G,
                  'Raw PhocalPoint Data'!A:A = 2012,
                  'R"&amp;"aw PhocalPoint Data'!D:D = D301,
                  'Raw PhocalPoint Data'!E:E = E301,
                  'Raw PhocalPoint Data'!F:F = F301
                ) /
                FILTER('Raw PhocalPoint Data'!G:G,
                  'Raw PhocalPoint Data'!A:A ="&amp;" 2011,
                  'Raw PhocalPoint Data'!D:D = D301,
                  'Raw PhocalPoint Data'!E:E = E301,
                  'Raw PhocalPoint Data'!F:F = F301
                ) - 1
              ) / 5
            )
          )
        )
      )
    "&amp;") *
    INDEX('Raw GDP data'!$I$2:$M$100,
      MATCH(D301, 'Raw GDP data'!$H$2:$H$100, 0),
      MATCH(A301, 'Raw GDP data'!$I$1:$M$1, 0)
    )
  )),
  """"
)
"),45987741531.4183)</f>
        <v>45987741531.418297</v>
      </c>
      <c r="H301" s="86"/>
      <c r="I301" s="87">
        <f ca="1">IFERROR(__xludf.DUMMYFUNCTION("""COMPUTED_VALUE"""),2012)</f>
        <v>2012</v>
      </c>
      <c r="J301" s="88" t="str">
        <f ca="1">IFERROR(__xludf.DUMMYFUNCTION("""COMPUTED_VALUE"""),"Russia")</f>
        <v>Russia</v>
      </c>
      <c r="K301" s="89">
        <f ca="1">IFERROR(
  SUMIFS(
    'New Backfilled Data'!G:G,
    'New Backfilled Data'!A:A, I301,
    'New Backfilled Data'!D:D, J301,
    'New Backfilled Data'!E:E, "Online"
  ) /
  SUMIFS(
    'New Backfilled Data'!G:G,
    'New Backfilled Data'!A:A, I301,
    'New Backfilled Data'!D:D, J301
  ),
  ""
)</f>
        <v>0.17387251834639972</v>
      </c>
      <c r="L301" s="90"/>
      <c r="M301" s="90"/>
    </row>
    <row r="302" spans="1:13" ht="17" x14ac:dyDescent="0.2">
      <c r="A302" s="37">
        <v>2007</v>
      </c>
      <c r="B302" s="38" t="s">
        <v>66</v>
      </c>
      <c r="C302" s="38" t="s">
        <v>17</v>
      </c>
      <c r="D302" s="38" t="s">
        <v>24</v>
      </c>
      <c r="E302" s="38" t="s">
        <v>69</v>
      </c>
      <c r="F302" s="38" t="s">
        <v>71</v>
      </c>
      <c r="G302" s="79">
        <f ca="1">IFERROR(__xludf.DUMMYFUNCTION("IFERROR(
  IF(A302 = 2008,
    IF(E302 = ""Online"",
      FILTER('Raw PhocalPoint Data'!G:G,
        'Raw PhocalPoint Data'!A:A = 2009,
        'Raw PhocalPoint Data'!D:D = D302,
        'Raw PhocalPoint Data'!E:E = E302,
        'Raw PhocalPoint Data'!F"&amp;":F = F302
      ) /
      (
        FILTER('Raw PhocalPoint Data'!G:G,
          'Raw PhocalPoint Data'!A:A = 2012,
          'Raw PhocalPoint Data'!D:D = D302,
          'Raw PhocalPoint Data'!E:E = E302,
          'Raw PhocalPoint Data'!F:F = F302
     "&amp;"   ) /
        FILTER('Raw PhocalPoint Data'!G:G,
          'Raw PhocalPoint Data'!A:A = 2011,
          'Raw PhocalPoint Data'!D:D = D302,
          'Raw PhocalPoint Data'!E:E = E302,
          'Raw PhocalPoint Data'!F:F = F302
        )
      ),
      F"&amp;"ILTER('Raw PhocalPoint Data'!G:G,
        'Raw PhocalPoint Data'!A:A = 2009,
        'Raw PhocalPoint Data'!D:D = D302,
        'Raw PhocalPoint Data'!E:E = E302,
        'Raw PhocalPoint Data'!F:F = F302
      ) *
      (
        INDEX('Raw GDP data'!$I$"&amp;"2:$M$100,
          MATCH(D302, 'Raw GDP data'!$H$2:$H$100, 0),
          MATCH(2008, 'Raw GDP data'!$I$1:$M$1, 0)
        ) /
        INDEX('Raw GDP data'!$I$2:$M$100,
          MATCH(D302, 'Raw GDP data'!$H$2:$H$100, 0),
          MATCH(2009, 'Raw GDP d"&amp;"ata'!$I$1:$M$1, 0)
        )
      )
    ),
  IF(A302 &lt; 2008,
    (
      FILTER(G:G,
        A:A = 2008,
        D:D = D302,
        E:E = E302,
        F:F = F302
      ) /
      PRODUCT(
        ARRAYFORMULA(
          (
            (
              FIL"&amp;"TER('Raw PhocalPoint Data'!G:G,
                'Raw PhocalPoint Data'!A:A = 2012,
                'Raw PhocalPoint Data'!D:D = D302,
                'Raw PhocalPoint Data'!E:E = E302,
                'Raw PhocalPoint Data'!F:F = F302
              ) /
  "&amp;"            FILTER('Raw PhocalPoint Data'!G:G,
                'Raw PhocalPoint Data'!A:A = 2011,
                'Raw PhocalPoint Data'!D:D = D302,
                'Raw PhocalPoint Data'!E:E = E302,
                'Raw PhocalPoint Data'!F:F = F302
     "&amp;"         ) -
              ROW(INDIRECT(""1:"" &amp; (2008 - A302))) *
              (
                (
                  FILTER('Raw PhocalPoint Data'!G:G,
                    'Raw PhocalPoint Data'!A:A = 2012,
                    'Raw PhocalPoint Data'!D:D"&amp;" = D302,
                    'Raw PhocalPoint Data'!E:E = E302,
                    'Raw PhocalPoint Data'!F:F = F302
                  ) /
                  FILTER('Raw PhocalPoint Data'!G:G,
                    'Raw PhocalPoint Data'!A:A = 2011,
       "&amp;"             'Raw PhocalPoint Data'!D:D = D302,
                    'Raw PhocalPoint Data'!E:E = E302,
                    'Raw PhocalPoint Data'!F:F = F302
                  ) - 1
                ) / 5
              )
            )
          )
        )
"&amp;"      )
    ),
    (
      FILTER('Raw PhocalPoint Data'!G:G,
        'Raw PhocalPoint Data'!A:A = 2009,
        'Raw PhocalPoint Data'!D:D = D302,
        'Raw PhocalPoint Data'!E:E = E302,
        'Raw PhocalPoint Data'!F:F = F302
      ) /
      PRODUC"&amp;"T(
        ARRAYFORMULA(
          (
            FILTER('Raw PhocalPoint Data'!G:G,
              'Raw PhocalPoint Data'!A:A = 2012,
              'Raw PhocalPoint Data'!D:D = D302,
              'Raw PhocalPoint Data'!E:E = E302,
              'Raw Phoca"&amp;"lPoint Data'!F:F = F302
            ) /
            FILTER('Raw PhocalPoint Data'!G:G,
              'Raw PhocalPoint Data'!A:A = 2011,
              'Raw PhocalPoint Data'!D:D = D302,
              'Raw PhocalPoint Data'!E:E = E302,
              'Raw Ph"&amp;"ocalPoint Data'!F:F = F302
            ) -
            (ROW(INDIRECT(""1:"" &amp; (2010 - A302))) - 1) *
            (
              (
                FILTER('Raw PhocalPoint Data'!G:G,
                  'Raw PhocalPoint Data'!A:A = 2012,
                  'R"&amp;"aw PhocalPoint Data'!D:D = D302,
                  'Raw PhocalPoint Data'!E:E = E302,
                  'Raw PhocalPoint Data'!F:F = F302
                ) /
                FILTER('Raw PhocalPoint Data'!G:G,
                  'Raw PhocalPoint Data'!A:A ="&amp;" 2011,
                  'Raw PhocalPoint Data'!D:D = D302,
                  'Raw PhocalPoint Data'!E:E = E302,
                  'Raw PhocalPoint Data'!F:F = F302
                ) - 1
              ) / 5
            )
          )
        )
      )
    "&amp;") *
    INDEX('Raw GDP data'!$I$2:$M$100,
      MATCH(D302, 'Raw GDP data'!$H$2:$H$100, 0),
      MATCH(A302, 'Raw GDP data'!$I$1:$M$1, 0)
    )
  )),
  """"
)
"),469119107.092637)</f>
        <v>469119107.092637</v>
      </c>
      <c r="H302" s="80"/>
      <c r="I302" s="81">
        <f ca="1">IFERROR(__xludf.DUMMYFUNCTION("""COMPUTED_VALUE"""),2012)</f>
        <v>2012</v>
      </c>
      <c r="J302" s="82" t="str">
        <f ca="1">IFERROR(__xludf.DUMMYFUNCTION("""COMPUTED_VALUE"""),"Ukraine")</f>
        <v>Ukraine</v>
      </c>
      <c r="K302" s="83">
        <f ca="1">IFERROR(
  SUMIFS(
    'New Backfilled Data'!G:G,
    'New Backfilled Data'!A:A, I302,
    'New Backfilled Data'!D:D, J302,
    'New Backfilled Data'!E:E, "Online"
  ) /
  SUMIFS(
    'New Backfilled Data'!G:G,
    'New Backfilled Data'!A:A, I302,
    'New Backfilled Data'!D:D, J302
  ),
  ""
)</f>
        <v>0.19972794946227707</v>
      </c>
      <c r="L302" s="84"/>
      <c r="M302" s="84"/>
    </row>
    <row r="303" spans="1:13" ht="17" x14ac:dyDescent="0.2">
      <c r="A303" s="44">
        <v>2007</v>
      </c>
      <c r="B303" s="45" t="s">
        <v>66</v>
      </c>
      <c r="C303" s="45" t="s">
        <v>17</v>
      </c>
      <c r="D303" s="45" t="s">
        <v>24</v>
      </c>
      <c r="E303" s="45" t="s">
        <v>69</v>
      </c>
      <c r="F303" s="45" t="s">
        <v>70</v>
      </c>
      <c r="G303" s="85">
        <f ca="1">IFERROR(__xludf.DUMMYFUNCTION("IFERROR(
  IF(A303 = 2008,
    IF(E303 = ""Online"",
      FILTER('Raw PhocalPoint Data'!G:G,
        'Raw PhocalPoint Data'!A:A = 2009,
        'Raw PhocalPoint Data'!D:D = D303,
        'Raw PhocalPoint Data'!E:E = E303,
        'Raw PhocalPoint Data'!F"&amp;":F = F303
      ) /
      (
        FILTER('Raw PhocalPoint Data'!G:G,
          'Raw PhocalPoint Data'!A:A = 2012,
          'Raw PhocalPoint Data'!D:D = D303,
          'Raw PhocalPoint Data'!E:E = E303,
          'Raw PhocalPoint Data'!F:F = F303
     "&amp;"   ) /
        FILTER('Raw PhocalPoint Data'!G:G,
          'Raw PhocalPoint Data'!A:A = 2011,
          'Raw PhocalPoint Data'!D:D = D303,
          'Raw PhocalPoint Data'!E:E = E303,
          'Raw PhocalPoint Data'!F:F = F303
        )
      ),
      F"&amp;"ILTER('Raw PhocalPoint Data'!G:G,
        'Raw PhocalPoint Data'!A:A = 2009,
        'Raw PhocalPoint Data'!D:D = D303,
        'Raw PhocalPoint Data'!E:E = E303,
        'Raw PhocalPoint Data'!F:F = F303
      ) *
      (
        INDEX('Raw GDP data'!$I$"&amp;"2:$M$100,
          MATCH(D303, 'Raw GDP data'!$H$2:$H$100, 0),
          MATCH(2008, 'Raw GDP data'!$I$1:$M$1, 0)
        ) /
        INDEX('Raw GDP data'!$I$2:$M$100,
          MATCH(D303, 'Raw GDP data'!$H$2:$H$100, 0),
          MATCH(2009, 'Raw GDP d"&amp;"ata'!$I$1:$M$1, 0)
        )
      )
    ),
  IF(A303 &lt; 2008,
    (
      FILTER(G:G,
        A:A = 2008,
        D:D = D303,
        E:E = E303,
        F:F = F303
      ) /
      PRODUCT(
        ARRAYFORMULA(
          (
            (
              FIL"&amp;"TER('Raw PhocalPoint Data'!G:G,
                'Raw PhocalPoint Data'!A:A = 2012,
                'Raw PhocalPoint Data'!D:D = D303,
                'Raw PhocalPoint Data'!E:E = E303,
                'Raw PhocalPoint Data'!F:F = F303
              ) /
  "&amp;"            FILTER('Raw PhocalPoint Data'!G:G,
                'Raw PhocalPoint Data'!A:A = 2011,
                'Raw PhocalPoint Data'!D:D = D303,
                'Raw PhocalPoint Data'!E:E = E303,
                'Raw PhocalPoint Data'!F:F = F303
     "&amp;"         ) -
              ROW(INDIRECT(""1:"" &amp; (2008 - A303))) *
              (
                (
                  FILTER('Raw PhocalPoint Data'!G:G,
                    'Raw PhocalPoint Data'!A:A = 2012,
                    'Raw PhocalPoint Data'!D:D"&amp;" = D303,
                    'Raw PhocalPoint Data'!E:E = E303,
                    'Raw PhocalPoint Data'!F:F = F303
                  ) /
                  FILTER('Raw PhocalPoint Data'!G:G,
                    'Raw PhocalPoint Data'!A:A = 2011,
       "&amp;"             'Raw PhocalPoint Data'!D:D = D303,
                    'Raw PhocalPoint Data'!E:E = E303,
                    'Raw PhocalPoint Data'!F:F = F303
                  ) - 1
                ) / 5
              )
            )
          )
        )
"&amp;"      )
    ),
    (
      FILTER('Raw PhocalPoint Data'!G:G,
        'Raw PhocalPoint Data'!A:A = 2009,
        'Raw PhocalPoint Data'!D:D = D303,
        'Raw PhocalPoint Data'!E:E = E303,
        'Raw PhocalPoint Data'!F:F = F303
      ) /
      PRODUC"&amp;"T(
        ARRAYFORMULA(
          (
            FILTER('Raw PhocalPoint Data'!G:G,
              'Raw PhocalPoint Data'!A:A = 2012,
              'Raw PhocalPoint Data'!D:D = D303,
              'Raw PhocalPoint Data'!E:E = E303,
              'Raw Phoca"&amp;"lPoint Data'!F:F = F303
            ) /
            FILTER('Raw PhocalPoint Data'!G:G,
              'Raw PhocalPoint Data'!A:A = 2011,
              'Raw PhocalPoint Data'!D:D = D303,
              'Raw PhocalPoint Data'!E:E = E303,
              'Raw Ph"&amp;"ocalPoint Data'!F:F = F303
            ) -
            (ROW(INDIRECT(""1:"" &amp; (2010 - A303))) - 1) *
            (
              (
                FILTER('Raw PhocalPoint Data'!G:G,
                  'Raw PhocalPoint Data'!A:A = 2012,
                  'R"&amp;"aw PhocalPoint Data'!D:D = D303,
                  'Raw PhocalPoint Data'!E:E = E303,
                  'Raw PhocalPoint Data'!F:F = F303
                ) /
                FILTER('Raw PhocalPoint Data'!G:G,
                  'Raw PhocalPoint Data'!A:A ="&amp;" 2011,
                  'Raw PhocalPoint Data'!D:D = D303,
                  'Raw PhocalPoint Data'!E:E = E303,
                  'Raw PhocalPoint Data'!F:F = F303
                ) - 1
              ) / 5
            )
          )
        )
      )
    "&amp;") *
    INDEX('Raw GDP data'!$I$2:$M$100,
      MATCH(D303, 'Raw GDP data'!$H$2:$H$100, 0),
      MATCH(A303, 'Raw GDP data'!$I$1:$M$1, 0)
    )
  )),
  """"
)
"),531626879.140397)</f>
        <v>531626879.14039701</v>
      </c>
      <c r="H303" s="86"/>
      <c r="I303" s="87">
        <f ca="1">IFERROR(__xludf.DUMMYFUNCTION("""COMPUTED_VALUE"""),2012)</f>
        <v>2012</v>
      </c>
      <c r="J303" s="88" t="str">
        <f ca="1">IFERROR(__xludf.DUMMYFUNCTION("""COMPUTED_VALUE"""),"France")</f>
        <v>France</v>
      </c>
      <c r="K303" s="89">
        <f ca="1">IFERROR(
  SUMIFS(
    'New Backfilled Data'!G:G,
    'New Backfilled Data'!A:A, I303,
    'New Backfilled Data'!D:D, J303,
    'New Backfilled Data'!E:E, "Online"
  ) /
  SUMIFS(
    'New Backfilled Data'!G:G,
    'New Backfilled Data'!A:A, I303,
    'New Backfilled Data'!D:D, J303
  ),
  ""
)</f>
        <v>0.35958037978135393</v>
      </c>
      <c r="L303" s="90"/>
      <c r="M303" s="90"/>
    </row>
    <row r="304" spans="1:13" ht="17" x14ac:dyDescent="0.2">
      <c r="A304" s="37">
        <v>2007</v>
      </c>
      <c r="B304" s="38" t="s">
        <v>66</v>
      </c>
      <c r="C304" s="38" t="s">
        <v>17</v>
      </c>
      <c r="D304" s="38" t="s">
        <v>25</v>
      </c>
      <c r="E304" s="38" t="s">
        <v>67</v>
      </c>
      <c r="F304" s="38" t="s">
        <v>67</v>
      </c>
      <c r="G304" s="79">
        <f ca="1">IFERROR(__xludf.DUMMYFUNCTION("IFERROR(
  IF(A304 = 2008,
    IF(E304 = ""Online"",
      FILTER('Raw PhocalPoint Data'!G:G,
        'Raw PhocalPoint Data'!A:A = 2009,
        'Raw PhocalPoint Data'!D:D = D304,
        'Raw PhocalPoint Data'!E:E = E304,
        'Raw PhocalPoint Data'!F"&amp;":F = F304
      ) /
      (
        FILTER('Raw PhocalPoint Data'!G:G,
          'Raw PhocalPoint Data'!A:A = 2012,
          'Raw PhocalPoint Data'!D:D = D304,
          'Raw PhocalPoint Data'!E:E = E304,
          'Raw PhocalPoint Data'!F:F = F304
     "&amp;"   ) /
        FILTER('Raw PhocalPoint Data'!G:G,
          'Raw PhocalPoint Data'!A:A = 2011,
          'Raw PhocalPoint Data'!D:D = D304,
          'Raw PhocalPoint Data'!E:E = E304,
          'Raw PhocalPoint Data'!F:F = F304
        )
      ),
      F"&amp;"ILTER('Raw PhocalPoint Data'!G:G,
        'Raw PhocalPoint Data'!A:A = 2009,
        'Raw PhocalPoint Data'!D:D = D304,
        'Raw PhocalPoint Data'!E:E = E304,
        'Raw PhocalPoint Data'!F:F = F304
      ) *
      (
        INDEX('Raw GDP data'!$I$"&amp;"2:$M$100,
          MATCH(D304, 'Raw GDP data'!$H$2:$H$100, 0),
          MATCH(2008, 'Raw GDP data'!$I$1:$M$1, 0)
        ) /
        INDEX('Raw GDP data'!$I$2:$M$100,
          MATCH(D304, 'Raw GDP data'!$H$2:$H$100, 0),
          MATCH(2009, 'Raw GDP d"&amp;"ata'!$I$1:$M$1, 0)
        )
      )
    ),
  IF(A304 &lt; 2008,
    (
      FILTER(G:G,
        A:A = 2008,
        D:D = D304,
        E:E = E304,
        F:F = F304
      ) /
      PRODUCT(
        ARRAYFORMULA(
          (
            (
              FIL"&amp;"TER('Raw PhocalPoint Data'!G:G,
                'Raw PhocalPoint Data'!A:A = 2012,
                'Raw PhocalPoint Data'!D:D = D304,
                'Raw PhocalPoint Data'!E:E = E304,
                'Raw PhocalPoint Data'!F:F = F304
              ) /
  "&amp;"            FILTER('Raw PhocalPoint Data'!G:G,
                'Raw PhocalPoint Data'!A:A = 2011,
                'Raw PhocalPoint Data'!D:D = D304,
                'Raw PhocalPoint Data'!E:E = E304,
                'Raw PhocalPoint Data'!F:F = F304
     "&amp;"         ) -
              ROW(INDIRECT(""1:"" &amp; (2008 - A304))) *
              (
                (
                  FILTER('Raw PhocalPoint Data'!G:G,
                    'Raw PhocalPoint Data'!A:A = 2012,
                    'Raw PhocalPoint Data'!D:D"&amp;" = D304,
                    'Raw PhocalPoint Data'!E:E = E304,
                    'Raw PhocalPoint Data'!F:F = F304
                  ) /
                  FILTER('Raw PhocalPoint Data'!G:G,
                    'Raw PhocalPoint Data'!A:A = 2011,
       "&amp;"             'Raw PhocalPoint Data'!D:D = D304,
                    'Raw PhocalPoint Data'!E:E = E304,
                    'Raw PhocalPoint Data'!F:F = F304
                  ) - 1
                ) / 5
              )
            )
          )
        )
"&amp;"      )
    ),
    (
      FILTER('Raw PhocalPoint Data'!G:G,
        'Raw PhocalPoint Data'!A:A = 2009,
        'Raw PhocalPoint Data'!D:D = D304,
        'Raw PhocalPoint Data'!E:E = E304,
        'Raw PhocalPoint Data'!F:F = F304
      ) /
      PRODUC"&amp;"T(
        ARRAYFORMULA(
          (
            FILTER('Raw PhocalPoint Data'!G:G,
              'Raw PhocalPoint Data'!A:A = 2012,
              'Raw PhocalPoint Data'!D:D = D304,
              'Raw PhocalPoint Data'!E:E = E304,
              'Raw Phoca"&amp;"lPoint Data'!F:F = F304
            ) /
            FILTER('Raw PhocalPoint Data'!G:G,
              'Raw PhocalPoint Data'!A:A = 2011,
              'Raw PhocalPoint Data'!D:D = D304,
              'Raw PhocalPoint Data'!E:E = E304,
              'Raw Ph"&amp;"ocalPoint Data'!F:F = F304
            ) -
            (ROW(INDIRECT(""1:"" &amp; (2010 - A304))) - 1) *
            (
              (
                FILTER('Raw PhocalPoint Data'!G:G,
                  'Raw PhocalPoint Data'!A:A = 2012,
                  'R"&amp;"aw PhocalPoint Data'!D:D = D304,
                  'Raw PhocalPoint Data'!E:E = E304,
                  'Raw PhocalPoint Data'!F:F = F304
                ) /
                FILTER('Raw PhocalPoint Data'!G:G,
                  'Raw PhocalPoint Data'!A:A ="&amp;" 2011,
                  'Raw PhocalPoint Data'!D:D = D304,
                  'Raw PhocalPoint Data'!E:E = E304,
                  'Raw PhocalPoint Data'!F:F = F304
                ) - 1
              ) / 5
            )
          )
        )
      )
    "&amp;") *
    INDEX('Raw GDP data'!$I$2:$M$100,
      MATCH(D304, 'Raw GDP data'!$H$2:$H$100, 0),
      MATCH(A304, 'Raw GDP data'!$I$1:$M$1, 0)
    )
  )),
  """"
)
"),4967594132.18406)</f>
        <v>4967594132.1840601</v>
      </c>
      <c r="H304" s="80"/>
      <c r="I304" s="81">
        <f ca="1">IFERROR(__xludf.DUMMYFUNCTION("""COMPUTED_VALUE"""),2012)</f>
        <v>2012</v>
      </c>
      <c r="J304" s="82" t="str">
        <f ca="1">IFERROR(__xludf.DUMMYFUNCTION("""COMPUTED_VALUE"""),"Germany")</f>
        <v>Germany</v>
      </c>
      <c r="K304" s="83">
        <f ca="1">IFERROR(
  SUMIFS(
    'New Backfilled Data'!G:G,
    'New Backfilled Data'!A:A, I304,
    'New Backfilled Data'!D:D, J304,
    'New Backfilled Data'!E:E, "Online"
  ) /
  SUMIFS(
    'New Backfilled Data'!G:G,
    'New Backfilled Data'!A:A, I304,
    'New Backfilled Data'!D:D, J304
  ),
  ""
)</f>
        <v>0.33733010817726822</v>
      </c>
      <c r="L304" s="84"/>
      <c r="M304" s="84"/>
    </row>
    <row r="305" spans="1:13" ht="17" x14ac:dyDescent="0.2">
      <c r="A305" s="44">
        <v>2007</v>
      </c>
      <c r="B305" s="45" t="s">
        <v>66</v>
      </c>
      <c r="C305" s="45" t="s">
        <v>17</v>
      </c>
      <c r="D305" s="45" t="s">
        <v>25</v>
      </c>
      <c r="E305" s="45" t="s">
        <v>69</v>
      </c>
      <c r="F305" s="45" t="s">
        <v>71</v>
      </c>
      <c r="G305" s="85">
        <f ca="1">IFERROR(__xludf.DUMMYFUNCTION("IFERROR(
  IF(A305 = 2008,
    IF(E305 = ""Online"",
      FILTER('Raw PhocalPoint Data'!G:G,
        'Raw PhocalPoint Data'!A:A = 2009,
        'Raw PhocalPoint Data'!D:D = D305,
        'Raw PhocalPoint Data'!E:E = E305,
        'Raw PhocalPoint Data'!F"&amp;":F = F305
      ) /
      (
        FILTER('Raw PhocalPoint Data'!G:G,
          'Raw PhocalPoint Data'!A:A = 2012,
          'Raw PhocalPoint Data'!D:D = D305,
          'Raw PhocalPoint Data'!E:E = E305,
          'Raw PhocalPoint Data'!F:F = F305
     "&amp;"   ) /
        FILTER('Raw PhocalPoint Data'!G:G,
          'Raw PhocalPoint Data'!A:A = 2011,
          'Raw PhocalPoint Data'!D:D = D305,
          'Raw PhocalPoint Data'!E:E = E305,
          'Raw PhocalPoint Data'!F:F = F305
        )
      ),
      F"&amp;"ILTER('Raw PhocalPoint Data'!G:G,
        'Raw PhocalPoint Data'!A:A = 2009,
        'Raw PhocalPoint Data'!D:D = D305,
        'Raw PhocalPoint Data'!E:E = E305,
        'Raw PhocalPoint Data'!F:F = F305
      ) *
      (
        INDEX('Raw GDP data'!$I$"&amp;"2:$M$100,
          MATCH(D305, 'Raw GDP data'!$H$2:$H$100, 0),
          MATCH(2008, 'Raw GDP data'!$I$1:$M$1, 0)
        ) /
        INDEX('Raw GDP data'!$I$2:$M$100,
          MATCH(D305, 'Raw GDP data'!$H$2:$H$100, 0),
          MATCH(2009, 'Raw GDP d"&amp;"ata'!$I$1:$M$1, 0)
        )
      )
    ),
  IF(A305 &lt; 2008,
    (
      FILTER(G:G,
        A:A = 2008,
        D:D = D305,
        E:E = E305,
        F:F = F305
      ) /
      PRODUCT(
        ARRAYFORMULA(
          (
            (
              FIL"&amp;"TER('Raw PhocalPoint Data'!G:G,
                'Raw PhocalPoint Data'!A:A = 2012,
                'Raw PhocalPoint Data'!D:D = D305,
                'Raw PhocalPoint Data'!E:E = E305,
                'Raw PhocalPoint Data'!F:F = F305
              ) /
  "&amp;"            FILTER('Raw PhocalPoint Data'!G:G,
                'Raw PhocalPoint Data'!A:A = 2011,
                'Raw PhocalPoint Data'!D:D = D305,
                'Raw PhocalPoint Data'!E:E = E305,
                'Raw PhocalPoint Data'!F:F = F305
     "&amp;"         ) -
              ROW(INDIRECT(""1:"" &amp; (2008 - A305))) *
              (
                (
                  FILTER('Raw PhocalPoint Data'!G:G,
                    'Raw PhocalPoint Data'!A:A = 2012,
                    'Raw PhocalPoint Data'!D:D"&amp;" = D305,
                    'Raw PhocalPoint Data'!E:E = E305,
                    'Raw PhocalPoint Data'!F:F = F305
                  ) /
                  FILTER('Raw PhocalPoint Data'!G:G,
                    'Raw PhocalPoint Data'!A:A = 2011,
       "&amp;"             'Raw PhocalPoint Data'!D:D = D305,
                    'Raw PhocalPoint Data'!E:E = E305,
                    'Raw PhocalPoint Data'!F:F = F305
                  ) - 1
                ) / 5
              )
            )
          )
        )
"&amp;"      )
    ),
    (
      FILTER('Raw PhocalPoint Data'!G:G,
        'Raw PhocalPoint Data'!A:A = 2009,
        'Raw PhocalPoint Data'!D:D = D305,
        'Raw PhocalPoint Data'!E:E = E305,
        'Raw PhocalPoint Data'!F:F = F305
      ) /
      PRODUC"&amp;"T(
        ARRAYFORMULA(
          (
            FILTER('Raw PhocalPoint Data'!G:G,
              'Raw PhocalPoint Data'!A:A = 2012,
              'Raw PhocalPoint Data'!D:D = D305,
              'Raw PhocalPoint Data'!E:E = E305,
              'Raw Phoca"&amp;"lPoint Data'!F:F = F305
            ) /
            FILTER('Raw PhocalPoint Data'!G:G,
              'Raw PhocalPoint Data'!A:A = 2011,
              'Raw PhocalPoint Data'!D:D = D305,
              'Raw PhocalPoint Data'!E:E = E305,
              'Raw Ph"&amp;"ocalPoint Data'!F:F = F305
            ) -
            (ROW(INDIRECT(""1:"" &amp; (2010 - A305))) - 1) *
            (
              (
                FILTER('Raw PhocalPoint Data'!G:G,
                  'Raw PhocalPoint Data'!A:A = 2012,
                  'R"&amp;"aw PhocalPoint Data'!D:D = D305,
                  'Raw PhocalPoint Data'!E:E = E305,
                  'Raw PhocalPoint Data'!F:F = F305
                ) /
                FILTER('Raw PhocalPoint Data'!G:G,
                  'Raw PhocalPoint Data'!A:A ="&amp;" 2011,
                  'Raw PhocalPoint Data'!D:D = D305,
                  'Raw PhocalPoint Data'!E:E = E305,
                  'Raw PhocalPoint Data'!F:F = F305
                ) - 1
              ) / 5
            )
          )
        )
      )
    "&amp;") *
    INDEX('Raw GDP data'!$I$2:$M$100,
      MATCH(D305, 'Raw GDP data'!$H$2:$H$100, 0),
      MATCH(A305, 'Raw GDP data'!$I$1:$M$1, 0)
    )
  )),
  """"
)
"),145140006.096158)</f>
        <v>145140006.096158</v>
      </c>
      <c r="H305" s="86"/>
      <c r="I305" s="87">
        <f ca="1">IFERROR(__xludf.DUMMYFUNCTION("""COMPUTED_VALUE"""),2012)</f>
        <v>2012</v>
      </c>
      <c r="J305" s="88" t="str">
        <f ca="1">IFERROR(__xludf.DUMMYFUNCTION("""COMPUTED_VALUE"""),"Italy")</f>
        <v>Italy</v>
      </c>
      <c r="K305" s="89">
        <f ca="1">IFERROR(
  SUMIFS(
    'New Backfilled Data'!G:G,
    'New Backfilled Data'!A:A, I305,
    'New Backfilled Data'!D:D, J305,
    'New Backfilled Data'!E:E, "Online"
  ) /
  SUMIFS(
    'New Backfilled Data'!G:G,
    'New Backfilled Data'!A:A, I305,
    'New Backfilled Data'!D:D, J305
  ),
  ""
)</f>
        <v>0.28166104299998196</v>
      </c>
      <c r="L305" s="90"/>
      <c r="M305" s="90"/>
    </row>
    <row r="306" spans="1:13" ht="17" x14ac:dyDescent="0.2">
      <c r="A306" s="37">
        <v>2007</v>
      </c>
      <c r="B306" s="38" t="s">
        <v>66</v>
      </c>
      <c r="C306" s="38" t="s">
        <v>17</v>
      </c>
      <c r="D306" s="38" t="s">
        <v>25</v>
      </c>
      <c r="E306" s="38" t="s">
        <v>69</v>
      </c>
      <c r="F306" s="38" t="s">
        <v>70</v>
      </c>
      <c r="G306" s="79">
        <f ca="1">IFERROR(__xludf.DUMMYFUNCTION("IFERROR(
  IF(A306 = 2008,
    IF(E306 = ""Online"",
      FILTER('Raw PhocalPoint Data'!G:G,
        'Raw PhocalPoint Data'!A:A = 2009,
        'Raw PhocalPoint Data'!D:D = D306,
        'Raw PhocalPoint Data'!E:E = E306,
        'Raw PhocalPoint Data'!F"&amp;":F = F306
      ) /
      (
        FILTER('Raw PhocalPoint Data'!G:G,
          'Raw PhocalPoint Data'!A:A = 2012,
          'Raw PhocalPoint Data'!D:D = D306,
          'Raw PhocalPoint Data'!E:E = E306,
          'Raw PhocalPoint Data'!F:F = F306
     "&amp;"   ) /
        FILTER('Raw PhocalPoint Data'!G:G,
          'Raw PhocalPoint Data'!A:A = 2011,
          'Raw PhocalPoint Data'!D:D = D306,
          'Raw PhocalPoint Data'!E:E = E306,
          'Raw PhocalPoint Data'!F:F = F306
        )
      ),
      F"&amp;"ILTER('Raw PhocalPoint Data'!G:G,
        'Raw PhocalPoint Data'!A:A = 2009,
        'Raw PhocalPoint Data'!D:D = D306,
        'Raw PhocalPoint Data'!E:E = E306,
        'Raw PhocalPoint Data'!F:F = F306
      ) *
      (
        INDEX('Raw GDP data'!$I$"&amp;"2:$M$100,
          MATCH(D306, 'Raw GDP data'!$H$2:$H$100, 0),
          MATCH(2008, 'Raw GDP data'!$I$1:$M$1, 0)
        ) /
        INDEX('Raw GDP data'!$I$2:$M$100,
          MATCH(D306, 'Raw GDP data'!$H$2:$H$100, 0),
          MATCH(2009, 'Raw GDP d"&amp;"ata'!$I$1:$M$1, 0)
        )
      )
    ),
  IF(A306 &lt; 2008,
    (
      FILTER(G:G,
        A:A = 2008,
        D:D = D306,
        E:E = E306,
        F:F = F306
      ) /
      PRODUCT(
        ARRAYFORMULA(
          (
            (
              FIL"&amp;"TER('Raw PhocalPoint Data'!G:G,
                'Raw PhocalPoint Data'!A:A = 2012,
                'Raw PhocalPoint Data'!D:D = D306,
                'Raw PhocalPoint Data'!E:E = E306,
                'Raw PhocalPoint Data'!F:F = F306
              ) /
  "&amp;"            FILTER('Raw PhocalPoint Data'!G:G,
                'Raw PhocalPoint Data'!A:A = 2011,
                'Raw PhocalPoint Data'!D:D = D306,
                'Raw PhocalPoint Data'!E:E = E306,
                'Raw PhocalPoint Data'!F:F = F306
     "&amp;"         ) -
              ROW(INDIRECT(""1:"" &amp; (2008 - A306))) *
              (
                (
                  FILTER('Raw PhocalPoint Data'!G:G,
                    'Raw PhocalPoint Data'!A:A = 2012,
                    'Raw PhocalPoint Data'!D:D"&amp;" = D306,
                    'Raw PhocalPoint Data'!E:E = E306,
                    'Raw PhocalPoint Data'!F:F = F306
                  ) /
                  FILTER('Raw PhocalPoint Data'!G:G,
                    'Raw PhocalPoint Data'!A:A = 2011,
       "&amp;"             'Raw PhocalPoint Data'!D:D = D306,
                    'Raw PhocalPoint Data'!E:E = E306,
                    'Raw PhocalPoint Data'!F:F = F306
                  ) - 1
                ) / 5
              )
            )
          )
        )
"&amp;"      )
    ),
    (
      FILTER('Raw PhocalPoint Data'!G:G,
        'Raw PhocalPoint Data'!A:A = 2009,
        'Raw PhocalPoint Data'!D:D = D306,
        'Raw PhocalPoint Data'!E:E = E306,
        'Raw PhocalPoint Data'!F:F = F306
      ) /
      PRODUC"&amp;"T(
        ARRAYFORMULA(
          (
            FILTER('Raw PhocalPoint Data'!G:G,
              'Raw PhocalPoint Data'!A:A = 2012,
              'Raw PhocalPoint Data'!D:D = D306,
              'Raw PhocalPoint Data'!E:E = E306,
              'Raw Phoca"&amp;"lPoint Data'!F:F = F306
            ) /
            FILTER('Raw PhocalPoint Data'!G:G,
              'Raw PhocalPoint Data'!A:A = 2011,
              'Raw PhocalPoint Data'!D:D = D306,
              'Raw PhocalPoint Data'!E:E = E306,
              'Raw Ph"&amp;"ocalPoint Data'!F:F = F306
            ) -
            (ROW(INDIRECT(""1:"" &amp; (2010 - A306))) - 1) *
            (
              (
                FILTER('Raw PhocalPoint Data'!G:G,
                  'Raw PhocalPoint Data'!A:A = 2012,
                  'R"&amp;"aw PhocalPoint Data'!D:D = D306,
                  'Raw PhocalPoint Data'!E:E = E306,
                  'Raw PhocalPoint Data'!F:F = F306
                ) /
                FILTER('Raw PhocalPoint Data'!G:G,
                  'Raw PhocalPoint Data'!A:A ="&amp;" 2011,
                  'Raw PhocalPoint Data'!D:D = D306,
                  'Raw PhocalPoint Data'!E:E = E306,
                  'Raw PhocalPoint Data'!F:F = F306
                ) - 1
              ) / 5
            )
          )
        )
      )
    "&amp;") *
    INDEX('Raw GDP data'!$I$2:$M$100,
      MATCH(D306, 'Raw GDP data'!$H$2:$H$100, 0),
      MATCH(A306, 'Raw GDP data'!$I$1:$M$1, 0)
    )
  )),
  """"
)
"),200959414.124448)</f>
        <v>200959414.124448</v>
      </c>
      <c r="H306" s="80"/>
      <c r="I306" s="81">
        <f ca="1">IFERROR(__xludf.DUMMYFUNCTION("""COMPUTED_VALUE"""),2012)</f>
        <v>2012</v>
      </c>
      <c r="J306" s="82" t="str">
        <f ca="1">IFERROR(__xludf.DUMMYFUNCTION("""COMPUTED_VALUE"""),"Rest of Europe")</f>
        <v>Rest of Europe</v>
      </c>
      <c r="K306" s="83">
        <f ca="1">IFERROR(
  SUMIFS(
    'New Backfilled Data'!G:G,
    'New Backfilled Data'!A:A, I306,
    'New Backfilled Data'!D:D, J306,
    'New Backfilled Data'!E:E, "Online"
  ) /
  SUMIFS(
    'New Backfilled Data'!G:G,
    'New Backfilled Data'!A:A, I306,
    'New Backfilled Data'!D:D, J306
  ),
  ""
)</f>
        <v>0.33604972774209896</v>
      </c>
      <c r="L306" s="84"/>
      <c r="M306" s="84"/>
    </row>
    <row r="307" spans="1:13" ht="17" x14ac:dyDescent="0.2">
      <c r="A307" s="44">
        <v>2007</v>
      </c>
      <c r="B307" s="45" t="s">
        <v>66</v>
      </c>
      <c r="C307" s="45" t="s">
        <v>27</v>
      </c>
      <c r="D307" s="45" t="s">
        <v>26</v>
      </c>
      <c r="E307" s="45" t="s">
        <v>67</v>
      </c>
      <c r="F307" s="45" t="s">
        <v>67</v>
      </c>
      <c r="G307" s="85">
        <f ca="1">IFERROR(__xludf.DUMMYFUNCTION("IFERROR(
  IF(A307 = 2008,
    IF(E307 = ""Online"",
      FILTER('Raw PhocalPoint Data'!G:G,
        'Raw PhocalPoint Data'!A:A = 2009,
        'Raw PhocalPoint Data'!D:D = D307,
        'Raw PhocalPoint Data'!E:E = E307,
        'Raw PhocalPoint Data'!F"&amp;":F = F307
      ) /
      (
        FILTER('Raw PhocalPoint Data'!G:G,
          'Raw PhocalPoint Data'!A:A = 2012,
          'Raw PhocalPoint Data'!D:D = D307,
          'Raw PhocalPoint Data'!E:E = E307,
          'Raw PhocalPoint Data'!F:F = F307
     "&amp;"   ) /
        FILTER('Raw PhocalPoint Data'!G:G,
          'Raw PhocalPoint Data'!A:A = 2011,
          'Raw PhocalPoint Data'!D:D = D307,
          'Raw PhocalPoint Data'!E:E = E307,
          'Raw PhocalPoint Data'!F:F = F307
        )
      ),
      F"&amp;"ILTER('Raw PhocalPoint Data'!G:G,
        'Raw PhocalPoint Data'!A:A = 2009,
        'Raw PhocalPoint Data'!D:D = D307,
        'Raw PhocalPoint Data'!E:E = E307,
        'Raw PhocalPoint Data'!F:F = F307
      ) *
      (
        INDEX('Raw GDP data'!$I$"&amp;"2:$M$100,
          MATCH(D307, 'Raw GDP data'!$H$2:$H$100, 0),
          MATCH(2008, 'Raw GDP data'!$I$1:$M$1, 0)
        ) /
        INDEX('Raw GDP data'!$I$2:$M$100,
          MATCH(D307, 'Raw GDP data'!$H$2:$H$100, 0),
          MATCH(2009, 'Raw GDP d"&amp;"ata'!$I$1:$M$1, 0)
        )
      )
    ),
  IF(A307 &lt; 2008,
    (
      FILTER(G:G,
        A:A = 2008,
        D:D = D307,
        E:E = E307,
        F:F = F307
      ) /
      PRODUCT(
        ARRAYFORMULA(
          (
            (
              FIL"&amp;"TER('Raw PhocalPoint Data'!G:G,
                'Raw PhocalPoint Data'!A:A = 2012,
                'Raw PhocalPoint Data'!D:D = D307,
                'Raw PhocalPoint Data'!E:E = E307,
                'Raw PhocalPoint Data'!F:F = F307
              ) /
  "&amp;"            FILTER('Raw PhocalPoint Data'!G:G,
                'Raw PhocalPoint Data'!A:A = 2011,
                'Raw PhocalPoint Data'!D:D = D307,
                'Raw PhocalPoint Data'!E:E = E307,
                'Raw PhocalPoint Data'!F:F = F307
     "&amp;"         ) -
              ROW(INDIRECT(""1:"" &amp; (2008 - A307))) *
              (
                (
                  FILTER('Raw PhocalPoint Data'!G:G,
                    'Raw PhocalPoint Data'!A:A = 2012,
                    'Raw PhocalPoint Data'!D:D"&amp;" = D307,
                    'Raw PhocalPoint Data'!E:E = E307,
                    'Raw PhocalPoint Data'!F:F = F307
                  ) /
                  FILTER('Raw PhocalPoint Data'!G:G,
                    'Raw PhocalPoint Data'!A:A = 2011,
       "&amp;"             'Raw PhocalPoint Data'!D:D = D307,
                    'Raw PhocalPoint Data'!E:E = E307,
                    'Raw PhocalPoint Data'!F:F = F307
                  ) - 1
                ) / 5
              )
            )
          )
        )
"&amp;"      )
    ),
    (
      FILTER('Raw PhocalPoint Data'!G:G,
        'Raw PhocalPoint Data'!A:A = 2009,
        'Raw PhocalPoint Data'!D:D = D307,
        'Raw PhocalPoint Data'!E:E = E307,
        'Raw PhocalPoint Data'!F:F = F307
      ) /
      PRODUC"&amp;"T(
        ARRAYFORMULA(
          (
            FILTER('Raw PhocalPoint Data'!G:G,
              'Raw PhocalPoint Data'!A:A = 2012,
              'Raw PhocalPoint Data'!D:D = D307,
              'Raw PhocalPoint Data'!E:E = E307,
              'Raw Phoca"&amp;"lPoint Data'!F:F = F307
            ) /
            FILTER('Raw PhocalPoint Data'!G:G,
              'Raw PhocalPoint Data'!A:A = 2011,
              'Raw PhocalPoint Data'!D:D = D307,
              'Raw PhocalPoint Data'!E:E = E307,
              'Raw Ph"&amp;"ocalPoint Data'!F:F = F307
            ) -
            (ROW(INDIRECT(""1:"" &amp; (2010 - A307))) - 1) *
            (
              (
                FILTER('Raw PhocalPoint Data'!G:G,
                  'Raw PhocalPoint Data'!A:A = 2012,
                  'R"&amp;"aw PhocalPoint Data'!D:D = D307,
                  'Raw PhocalPoint Data'!E:E = E307,
                  'Raw PhocalPoint Data'!F:F = F307
                ) /
                FILTER('Raw PhocalPoint Data'!G:G,
                  'Raw PhocalPoint Data'!A:A ="&amp;" 2011,
                  'Raw PhocalPoint Data'!D:D = D307,
                  'Raw PhocalPoint Data'!E:E = E307,
                  'Raw PhocalPoint Data'!F:F = F307
                ) - 1
              ) / 5
            )
          )
        )
      )
    "&amp;") *
    INDEX('Raw GDP data'!$I$2:$M$100,
      MATCH(D307, 'Raw GDP data'!$H$2:$H$100, 0),
      MATCH(A307, 'Raw GDP data'!$I$1:$M$1, 0)
    )
  )),
  """"
)
"),42108334131.7129)</f>
        <v>42108334131.712898</v>
      </c>
      <c r="H307" s="86"/>
      <c r="I307" s="87">
        <f ca="1">IFERROR(__xludf.DUMMYFUNCTION("""COMPUTED_VALUE"""),2012)</f>
        <v>2012</v>
      </c>
      <c r="J307" s="88" t="str">
        <f ca="1">IFERROR(__xludf.DUMMYFUNCTION("""COMPUTED_VALUE"""),"Scandinavia")</f>
        <v>Scandinavia</v>
      </c>
      <c r="K307" s="89">
        <f ca="1">IFERROR(
  SUMIFS(
    'New Backfilled Data'!G:G,
    'New Backfilled Data'!A:A, I307,
    'New Backfilled Data'!D:D, J307,
    'New Backfilled Data'!E:E, "Online"
  ) /
  SUMIFS(
    'New Backfilled Data'!G:G,
    'New Backfilled Data'!A:A, I307,
    'New Backfilled Data'!D:D, J307
  ),
  ""
)</f>
        <v>0.50830815762841342</v>
      </c>
      <c r="L307" s="90"/>
      <c r="M307" s="90"/>
    </row>
    <row r="308" spans="1:13" ht="17" x14ac:dyDescent="0.2">
      <c r="A308" s="37">
        <v>2007</v>
      </c>
      <c r="B308" s="38" t="s">
        <v>66</v>
      </c>
      <c r="C308" s="38" t="s">
        <v>27</v>
      </c>
      <c r="D308" s="38" t="s">
        <v>26</v>
      </c>
      <c r="E308" s="38" t="s">
        <v>69</v>
      </c>
      <c r="F308" s="38" t="s">
        <v>71</v>
      </c>
      <c r="G308" s="79">
        <f ca="1">IFERROR(__xludf.DUMMYFUNCTION("IFERROR(
  IF(A308 = 2008,
    IF(E308 = ""Online"",
      FILTER('Raw PhocalPoint Data'!G:G,
        'Raw PhocalPoint Data'!A:A = 2009,
        'Raw PhocalPoint Data'!D:D = D308,
        'Raw PhocalPoint Data'!E:E = E308,
        'Raw PhocalPoint Data'!F"&amp;":F = F308
      ) /
      (
        FILTER('Raw PhocalPoint Data'!G:G,
          'Raw PhocalPoint Data'!A:A = 2012,
          'Raw PhocalPoint Data'!D:D = D308,
          'Raw PhocalPoint Data'!E:E = E308,
          'Raw PhocalPoint Data'!F:F = F308
     "&amp;"   ) /
        FILTER('Raw PhocalPoint Data'!G:G,
          'Raw PhocalPoint Data'!A:A = 2011,
          'Raw PhocalPoint Data'!D:D = D308,
          'Raw PhocalPoint Data'!E:E = E308,
          'Raw PhocalPoint Data'!F:F = F308
        )
      ),
      F"&amp;"ILTER('Raw PhocalPoint Data'!G:G,
        'Raw PhocalPoint Data'!A:A = 2009,
        'Raw PhocalPoint Data'!D:D = D308,
        'Raw PhocalPoint Data'!E:E = E308,
        'Raw PhocalPoint Data'!F:F = F308
      ) *
      (
        INDEX('Raw GDP data'!$I$"&amp;"2:$M$100,
          MATCH(D308, 'Raw GDP data'!$H$2:$H$100, 0),
          MATCH(2008, 'Raw GDP data'!$I$1:$M$1, 0)
        ) /
        INDEX('Raw GDP data'!$I$2:$M$100,
          MATCH(D308, 'Raw GDP data'!$H$2:$H$100, 0),
          MATCH(2009, 'Raw GDP d"&amp;"ata'!$I$1:$M$1, 0)
        )
      )
    ),
  IF(A308 &lt; 2008,
    (
      FILTER(G:G,
        A:A = 2008,
        D:D = D308,
        E:E = E308,
        F:F = F308
      ) /
      PRODUCT(
        ARRAYFORMULA(
          (
            (
              FIL"&amp;"TER('Raw PhocalPoint Data'!G:G,
                'Raw PhocalPoint Data'!A:A = 2012,
                'Raw PhocalPoint Data'!D:D = D308,
                'Raw PhocalPoint Data'!E:E = E308,
                'Raw PhocalPoint Data'!F:F = F308
              ) /
  "&amp;"            FILTER('Raw PhocalPoint Data'!G:G,
                'Raw PhocalPoint Data'!A:A = 2011,
                'Raw PhocalPoint Data'!D:D = D308,
                'Raw PhocalPoint Data'!E:E = E308,
                'Raw PhocalPoint Data'!F:F = F308
     "&amp;"         ) -
              ROW(INDIRECT(""1:"" &amp; (2008 - A308))) *
              (
                (
                  FILTER('Raw PhocalPoint Data'!G:G,
                    'Raw PhocalPoint Data'!A:A = 2012,
                    'Raw PhocalPoint Data'!D:D"&amp;" = D308,
                    'Raw PhocalPoint Data'!E:E = E308,
                    'Raw PhocalPoint Data'!F:F = F308
                  ) /
                  FILTER('Raw PhocalPoint Data'!G:G,
                    'Raw PhocalPoint Data'!A:A = 2011,
       "&amp;"             'Raw PhocalPoint Data'!D:D = D308,
                    'Raw PhocalPoint Data'!E:E = E308,
                    'Raw PhocalPoint Data'!F:F = F308
                  ) - 1
                ) / 5
              )
            )
          )
        )
"&amp;"      )
    ),
    (
      FILTER('Raw PhocalPoint Data'!G:G,
        'Raw PhocalPoint Data'!A:A = 2009,
        'Raw PhocalPoint Data'!D:D = D308,
        'Raw PhocalPoint Data'!E:E = E308,
        'Raw PhocalPoint Data'!F:F = F308
      ) /
      PRODUC"&amp;"T(
        ARRAYFORMULA(
          (
            FILTER('Raw PhocalPoint Data'!G:G,
              'Raw PhocalPoint Data'!A:A = 2012,
              'Raw PhocalPoint Data'!D:D = D308,
              'Raw PhocalPoint Data'!E:E = E308,
              'Raw Phoca"&amp;"lPoint Data'!F:F = F308
            ) /
            FILTER('Raw PhocalPoint Data'!G:G,
              'Raw PhocalPoint Data'!A:A = 2011,
              'Raw PhocalPoint Data'!D:D = D308,
              'Raw PhocalPoint Data'!E:E = E308,
              'Raw Ph"&amp;"ocalPoint Data'!F:F = F308
            ) -
            (ROW(INDIRECT(""1:"" &amp; (2010 - A308))) - 1) *
            (
              (
                FILTER('Raw PhocalPoint Data'!G:G,
                  'Raw PhocalPoint Data'!A:A = 2012,
                  'R"&amp;"aw PhocalPoint Data'!D:D = D308,
                  'Raw PhocalPoint Data'!E:E = E308,
                  'Raw PhocalPoint Data'!F:F = F308
                ) /
                FILTER('Raw PhocalPoint Data'!G:G,
                  'Raw PhocalPoint Data'!A:A ="&amp;" 2011,
                  'Raw PhocalPoint Data'!D:D = D308,
                  'Raw PhocalPoint Data'!E:E = E308,
                  'Raw PhocalPoint Data'!F:F = F308
                ) - 1
              ) / 5
            )
          )
        )
      )
    "&amp;") *
    INDEX('Raw GDP data'!$I$2:$M$100,
      MATCH(D308, 'Raw GDP data'!$H$2:$H$100, 0),
      MATCH(A308, 'Raw GDP data'!$I$1:$M$1, 0)
    )
  )),
  """"
)
"),5648305701.73846)</f>
        <v>5648305701.7384596</v>
      </c>
      <c r="H308" s="80"/>
      <c r="I308" s="81">
        <f ca="1">IFERROR(__xludf.DUMMYFUNCTION("""COMPUTED_VALUE"""),2012)</f>
        <v>2012</v>
      </c>
      <c r="J308" s="82" t="str">
        <f ca="1">IFERROR(__xludf.DUMMYFUNCTION("""COMPUTED_VALUE"""),"Spain")</f>
        <v>Spain</v>
      </c>
      <c r="K308" s="83">
        <f ca="1">IFERROR(
  SUMIFS(
    'New Backfilled Data'!G:G,
    'New Backfilled Data'!A:A, I308,
    'New Backfilled Data'!D:D, J308,
    'New Backfilled Data'!E:E, "Online"
  ) /
  SUMIFS(
    'New Backfilled Data'!G:G,
    'New Backfilled Data'!A:A, I308,
    'New Backfilled Data'!D:D, J308
  ),
  ""
)</f>
        <v>0.33483471598819237</v>
      </c>
      <c r="L308" s="84"/>
      <c r="M308" s="84"/>
    </row>
    <row r="309" spans="1:13" ht="17" x14ac:dyDescent="0.2">
      <c r="A309" s="44">
        <v>2007</v>
      </c>
      <c r="B309" s="45" t="s">
        <v>66</v>
      </c>
      <c r="C309" s="45" t="s">
        <v>27</v>
      </c>
      <c r="D309" s="45" t="s">
        <v>26</v>
      </c>
      <c r="E309" s="45" t="s">
        <v>69</v>
      </c>
      <c r="F309" s="45" t="s">
        <v>70</v>
      </c>
      <c r="G309" s="85">
        <f ca="1">IFERROR(__xludf.DUMMYFUNCTION("IFERROR(
  IF(A309 = 2008,
    IF(E309 = ""Online"",
      FILTER('Raw PhocalPoint Data'!G:G,
        'Raw PhocalPoint Data'!A:A = 2009,
        'Raw PhocalPoint Data'!D:D = D309,
        'Raw PhocalPoint Data'!E:E = E309,
        'Raw PhocalPoint Data'!F"&amp;":F = F309
      ) /
      (
        FILTER('Raw PhocalPoint Data'!G:G,
          'Raw PhocalPoint Data'!A:A = 2012,
          'Raw PhocalPoint Data'!D:D = D309,
          'Raw PhocalPoint Data'!E:E = E309,
          'Raw PhocalPoint Data'!F:F = F309
     "&amp;"   ) /
        FILTER('Raw PhocalPoint Data'!G:G,
          'Raw PhocalPoint Data'!A:A = 2011,
          'Raw PhocalPoint Data'!D:D = D309,
          'Raw PhocalPoint Data'!E:E = E309,
          'Raw PhocalPoint Data'!F:F = F309
        )
      ),
      F"&amp;"ILTER('Raw PhocalPoint Data'!G:G,
        'Raw PhocalPoint Data'!A:A = 2009,
        'Raw PhocalPoint Data'!D:D = D309,
        'Raw PhocalPoint Data'!E:E = E309,
        'Raw PhocalPoint Data'!F:F = F309
      ) *
      (
        INDEX('Raw GDP data'!$I$"&amp;"2:$M$100,
          MATCH(D309, 'Raw GDP data'!$H$2:$H$100, 0),
          MATCH(2008, 'Raw GDP data'!$I$1:$M$1, 0)
        ) /
        INDEX('Raw GDP data'!$I$2:$M$100,
          MATCH(D309, 'Raw GDP data'!$H$2:$H$100, 0),
          MATCH(2009, 'Raw GDP d"&amp;"ata'!$I$1:$M$1, 0)
        )
      )
    ),
  IF(A309 &lt; 2008,
    (
      FILTER(G:G,
        A:A = 2008,
        D:D = D309,
        E:E = E309,
        F:F = F309
      ) /
      PRODUCT(
        ARRAYFORMULA(
          (
            (
              FIL"&amp;"TER('Raw PhocalPoint Data'!G:G,
                'Raw PhocalPoint Data'!A:A = 2012,
                'Raw PhocalPoint Data'!D:D = D309,
                'Raw PhocalPoint Data'!E:E = E309,
                'Raw PhocalPoint Data'!F:F = F309
              ) /
  "&amp;"            FILTER('Raw PhocalPoint Data'!G:G,
                'Raw PhocalPoint Data'!A:A = 2011,
                'Raw PhocalPoint Data'!D:D = D309,
                'Raw PhocalPoint Data'!E:E = E309,
                'Raw PhocalPoint Data'!F:F = F309
     "&amp;"         ) -
              ROW(INDIRECT(""1:"" &amp; (2008 - A309))) *
              (
                (
                  FILTER('Raw PhocalPoint Data'!G:G,
                    'Raw PhocalPoint Data'!A:A = 2012,
                    'Raw PhocalPoint Data'!D:D"&amp;" = D309,
                    'Raw PhocalPoint Data'!E:E = E309,
                    'Raw PhocalPoint Data'!F:F = F309
                  ) /
                  FILTER('Raw PhocalPoint Data'!G:G,
                    'Raw PhocalPoint Data'!A:A = 2011,
       "&amp;"             'Raw PhocalPoint Data'!D:D = D309,
                    'Raw PhocalPoint Data'!E:E = E309,
                    'Raw PhocalPoint Data'!F:F = F309
                  ) - 1
                ) / 5
              )
            )
          )
        )
"&amp;"      )
    ),
    (
      FILTER('Raw PhocalPoint Data'!G:G,
        'Raw PhocalPoint Data'!A:A = 2009,
        'Raw PhocalPoint Data'!D:D = D309,
        'Raw PhocalPoint Data'!E:E = E309,
        'Raw PhocalPoint Data'!F:F = F309
      ) /
      PRODUC"&amp;"T(
        ARRAYFORMULA(
          (
            FILTER('Raw PhocalPoint Data'!G:G,
              'Raw PhocalPoint Data'!A:A = 2012,
              'Raw PhocalPoint Data'!D:D = D309,
              'Raw PhocalPoint Data'!E:E = E309,
              'Raw Phoca"&amp;"lPoint Data'!F:F = F309
            ) /
            FILTER('Raw PhocalPoint Data'!G:G,
              'Raw PhocalPoint Data'!A:A = 2011,
              'Raw PhocalPoint Data'!D:D = D309,
              'Raw PhocalPoint Data'!E:E = E309,
              'Raw Ph"&amp;"ocalPoint Data'!F:F = F309
            ) -
            (ROW(INDIRECT(""1:"" &amp; (2010 - A309))) - 1) *
            (
              (
                FILTER('Raw PhocalPoint Data'!G:G,
                  'Raw PhocalPoint Data'!A:A = 2012,
                  'R"&amp;"aw PhocalPoint Data'!D:D = D309,
                  'Raw PhocalPoint Data'!E:E = E309,
                  'Raw PhocalPoint Data'!F:F = F309
                ) /
                FILTER('Raw PhocalPoint Data'!G:G,
                  'Raw PhocalPoint Data'!A:A ="&amp;" 2011,
                  'Raw PhocalPoint Data'!D:D = D309,
                  'Raw PhocalPoint Data'!E:E = E309,
                  'Raw PhocalPoint Data'!F:F = F309
                ) - 1
              ) / 5
            )
          )
        )
      )
    "&amp;") *
    INDEX('Raw GDP data'!$I$2:$M$100,
      MATCH(D309, 'Raw GDP data'!$H$2:$H$100, 0),
      MATCH(A309, 'Raw GDP data'!$I$1:$M$1, 0)
    )
  )),
  """"
)
"),8797415096.67592)</f>
        <v>8797415096.6759205</v>
      </c>
      <c r="H309" s="86"/>
      <c r="I309" s="87">
        <f ca="1">IFERROR(__xludf.DUMMYFUNCTION("""COMPUTED_VALUE"""),2012)</f>
        <v>2012</v>
      </c>
      <c r="J309" s="88" t="str">
        <f ca="1">IFERROR(__xludf.DUMMYFUNCTION("""COMPUTED_VALUE"""),"U.K.")</f>
        <v>U.K.</v>
      </c>
      <c r="K309" s="89">
        <f ca="1">IFERROR(
  SUMIFS(
    'New Backfilled Data'!G:G,
    'New Backfilled Data'!A:A, I309,
    'New Backfilled Data'!D:D, J309,
    'New Backfilled Data'!E:E, "Online"
  ) /
  SUMIFS(
    'New Backfilled Data'!G:G,
    'New Backfilled Data'!A:A, I309,
    'New Backfilled Data'!D:D, J309
  ),
  ""
)</f>
        <v>0.48089329511352519</v>
      </c>
      <c r="L309" s="90"/>
      <c r="M309" s="90"/>
    </row>
    <row r="310" spans="1:13" ht="17" x14ac:dyDescent="0.2">
      <c r="A310" s="37">
        <v>2007</v>
      </c>
      <c r="B310" s="38" t="s">
        <v>66</v>
      </c>
      <c r="C310" s="38" t="s">
        <v>27</v>
      </c>
      <c r="D310" s="38" t="s">
        <v>28</v>
      </c>
      <c r="E310" s="38" t="s">
        <v>67</v>
      </c>
      <c r="F310" s="38" t="s">
        <v>67</v>
      </c>
      <c r="G310" s="79">
        <f ca="1">IFERROR(__xludf.DUMMYFUNCTION("IFERROR(
  IF(A310 = 2008,
    IF(E310 = ""Online"",
      FILTER('Raw PhocalPoint Data'!G:G,
        'Raw PhocalPoint Data'!A:A = 2009,
        'Raw PhocalPoint Data'!D:D = D310,
        'Raw PhocalPoint Data'!E:E = E310,
        'Raw PhocalPoint Data'!F"&amp;":F = F310
      ) /
      (
        FILTER('Raw PhocalPoint Data'!G:G,
          'Raw PhocalPoint Data'!A:A = 2012,
          'Raw PhocalPoint Data'!D:D = D310,
          'Raw PhocalPoint Data'!E:E = E310,
          'Raw PhocalPoint Data'!F:F = F310
     "&amp;"   ) /
        FILTER('Raw PhocalPoint Data'!G:G,
          'Raw PhocalPoint Data'!A:A = 2011,
          'Raw PhocalPoint Data'!D:D = D310,
          'Raw PhocalPoint Data'!E:E = E310,
          'Raw PhocalPoint Data'!F:F = F310
        )
      ),
      F"&amp;"ILTER('Raw PhocalPoint Data'!G:G,
        'Raw PhocalPoint Data'!A:A = 2009,
        'Raw PhocalPoint Data'!D:D = D310,
        'Raw PhocalPoint Data'!E:E = E310,
        'Raw PhocalPoint Data'!F:F = F310
      ) *
      (
        INDEX('Raw GDP data'!$I$"&amp;"2:$M$100,
          MATCH(D310, 'Raw GDP data'!$H$2:$H$100, 0),
          MATCH(2008, 'Raw GDP data'!$I$1:$M$1, 0)
        ) /
        INDEX('Raw GDP data'!$I$2:$M$100,
          MATCH(D310, 'Raw GDP data'!$H$2:$H$100, 0),
          MATCH(2009, 'Raw GDP d"&amp;"ata'!$I$1:$M$1, 0)
        )
      )
    ),
  IF(A310 &lt; 2008,
    (
      FILTER(G:G,
        A:A = 2008,
        D:D = D310,
        E:E = E310,
        F:F = F310
      ) /
      PRODUCT(
        ARRAYFORMULA(
          (
            (
              FIL"&amp;"TER('Raw PhocalPoint Data'!G:G,
                'Raw PhocalPoint Data'!A:A = 2012,
                'Raw PhocalPoint Data'!D:D = D310,
                'Raw PhocalPoint Data'!E:E = E310,
                'Raw PhocalPoint Data'!F:F = F310
              ) /
  "&amp;"            FILTER('Raw PhocalPoint Data'!G:G,
                'Raw PhocalPoint Data'!A:A = 2011,
                'Raw PhocalPoint Data'!D:D = D310,
                'Raw PhocalPoint Data'!E:E = E310,
                'Raw PhocalPoint Data'!F:F = F310
     "&amp;"         ) -
              ROW(INDIRECT(""1:"" &amp; (2008 - A310))) *
              (
                (
                  FILTER('Raw PhocalPoint Data'!G:G,
                    'Raw PhocalPoint Data'!A:A = 2012,
                    'Raw PhocalPoint Data'!D:D"&amp;" = D310,
                    'Raw PhocalPoint Data'!E:E = E310,
                    'Raw PhocalPoint Data'!F:F = F310
                  ) /
                  FILTER('Raw PhocalPoint Data'!G:G,
                    'Raw PhocalPoint Data'!A:A = 2011,
       "&amp;"             'Raw PhocalPoint Data'!D:D = D310,
                    'Raw PhocalPoint Data'!E:E = E310,
                    'Raw PhocalPoint Data'!F:F = F310
                  ) - 1
                ) / 5
              )
            )
          )
        )
"&amp;"      )
    ),
    (
      FILTER('Raw PhocalPoint Data'!G:G,
        'Raw PhocalPoint Data'!A:A = 2009,
        'Raw PhocalPoint Data'!D:D = D310,
        'Raw PhocalPoint Data'!E:E = E310,
        'Raw PhocalPoint Data'!F:F = F310
      ) /
      PRODUC"&amp;"T(
        ARRAYFORMULA(
          (
            FILTER('Raw PhocalPoint Data'!G:G,
              'Raw PhocalPoint Data'!A:A = 2012,
              'Raw PhocalPoint Data'!D:D = D310,
              'Raw PhocalPoint Data'!E:E = E310,
              'Raw Phoca"&amp;"lPoint Data'!F:F = F310
            ) /
            FILTER('Raw PhocalPoint Data'!G:G,
              'Raw PhocalPoint Data'!A:A = 2011,
              'Raw PhocalPoint Data'!D:D = D310,
              'Raw PhocalPoint Data'!E:E = E310,
              'Raw Ph"&amp;"ocalPoint Data'!F:F = F310
            ) -
            (ROW(INDIRECT(""1:"" &amp; (2010 - A310))) - 1) *
            (
              (
                FILTER('Raw PhocalPoint Data'!G:G,
                  'Raw PhocalPoint Data'!A:A = 2012,
                  'R"&amp;"aw PhocalPoint Data'!D:D = D310,
                  'Raw PhocalPoint Data'!E:E = E310,
                  'Raw PhocalPoint Data'!F:F = F310
                ) /
                FILTER('Raw PhocalPoint Data'!G:G,
                  'Raw PhocalPoint Data'!A:A ="&amp;" 2011,
                  'Raw PhocalPoint Data'!D:D = D310,
                  'Raw PhocalPoint Data'!E:E = E310,
                  'Raw PhocalPoint Data'!F:F = F310
                ) - 1
              ) / 5
            )
          )
        )
      )
    "&amp;") *
    INDEX('Raw GDP data'!$I$2:$M$100,
      MATCH(D310, 'Raw GDP data'!$H$2:$H$100, 0),
      MATCH(A310, 'Raw GDP data'!$I$1:$M$1, 0)
    )
  )),
  """"
)
"),52549632062.7327)</f>
        <v>52549632062.732697</v>
      </c>
      <c r="H310" s="80"/>
      <c r="I310" s="81">
        <f ca="1">IFERROR(__xludf.DUMMYFUNCTION("""COMPUTED_VALUE"""),2012)</f>
        <v>2012</v>
      </c>
      <c r="J310" s="82" t="str">
        <f ca="1">IFERROR(__xludf.DUMMYFUNCTION("""COMPUTED_VALUE"""),"Argentina")</f>
        <v>Argentina</v>
      </c>
      <c r="K310" s="83">
        <f ca="1">IFERROR(
  SUMIFS(
    'New Backfilled Data'!G:G,
    'New Backfilled Data'!A:A, I310,
    'New Backfilled Data'!D:D, J310,
    'New Backfilled Data'!E:E, "Online"
  ) /
  SUMIFS(
    'New Backfilled Data'!G:G,
    'New Backfilled Data'!A:A, I310,
    'New Backfilled Data'!D:D, J310
  ),
  ""
)</f>
        <v>0.11935962198010545</v>
      </c>
      <c r="L310" s="84"/>
      <c r="M310" s="84"/>
    </row>
    <row r="311" spans="1:13" ht="17" x14ac:dyDescent="0.2">
      <c r="A311" s="44">
        <v>2007</v>
      </c>
      <c r="B311" s="45" t="s">
        <v>66</v>
      </c>
      <c r="C311" s="45" t="s">
        <v>27</v>
      </c>
      <c r="D311" s="45" t="s">
        <v>28</v>
      </c>
      <c r="E311" s="45" t="s">
        <v>69</v>
      </c>
      <c r="F311" s="45" t="s">
        <v>71</v>
      </c>
      <c r="G311" s="85">
        <f ca="1">IFERROR(__xludf.DUMMYFUNCTION("IFERROR(
  IF(A311 = 2008,
    IF(E311 = ""Online"",
      FILTER('Raw PhocalPoint Data'!G:G,
        'Raw PhocalPoint Data'!A:A = 2009,
        'Raw PhocalPoint Data'!D:D = D311,
        'Raw PhocalPoint Data'!E:E = E311,
        'Raw PhocalPoint Data'!F"&amp;":F = F311
      ) /
      (
        FILTER('Raw PhocalPoint Data'!G:G,
          'Raw PhocalPoint Data'!A:A = 2012,
          'Raw PhocalPoint Data'!D:D = D311,
          'Raw PhocalPoint Data'!E:E = E311,
          'Raw PhocalPoint Data'!F:F = F311
     "&amp;"   ) /
        FILTER('Raw PhocalPoint Data'!G:G,
          'Raw PhocalPoint Data'!A:A = 2011,
          'Raw PhocalPoint Data'!D:D = D311,
          'Raw PhocalPoint Data'!E:E = E311,
          'Raw PhocalPoint Data'!F:F = F311
        )
      ),
      F"&amp;"ILTER('Raw PhocalPoint Data'!G:G,
        'Raw PhocalPoint Data'!A:A = 2009,
        'Raw PhocalPoint Data'!D:D = D311,
        'Raw PhocalPoint Data'!E:E = E311,
        'Raw PhocalPoint Data'!F:F = F311
      ) *
      (
        INDEX('Raw GDP data'!$I$"&amp;"2:$M$100,
          MATCH(D311, 'Raw GDP data'!$H$2:$H$100, 0),
          MATCH(2008, 'Raw GDP data'!$I$1:$M$1, 0)
        ) /
        INDEX('Raw GDP data'!$I$2:$M$100,
          MATCH(D311, 'Raw GDP data'!$H$2:$H$100, 0),
          MATCH(2009, 'Raw GDP d"&amp;"ata'!$I$1:$M$1, 0)
        )
      )
    ),
  IF(A311 &lt; 2008,
    (
      FILTER(G:G,
        A:A = 2008,
        D:D = D311,
        E:E = E311,
        F:F = F311
      ) /
      PRODUCT(
        ARRAYFORMULA(
          (
            (
              FIL"&amp;"TER('Raw PhocalPoint Data'!G:G,
                'Raw PhocalPoint Data'!A:A = 2012,
                'Raw PhocalPoint Data'!D:D = D311,
                'Raw PhocalPoint Data'!E:E = E311,
                'Raw PhocalPoint Data'!F:F = F311
              ) /
  "&amp;"            FILTER('Raw PhocalPoint Data'!G:G,
                'Raw PhocalPoint Data'!A:A = 2011,
                'Raw PhocalPoint Data'!D:D = D311,
                'Raw PhocalPoint Data'!E:E = E311,
                'Raw PhocalPoint Data'!F:F = F311
     "&amp;"         ) -
              ROW(INDIRECT(""1:"" &amp; (2008 - A311))) *
              (
                (
                  FILTER('Raw PhocalPoint Data'!G:G,
                    'Raw PhocalPoint Data'!A:A = 2012,
                    'Raw PhocalPoint Data'!D:D"&amp;" = D311,
                    'Raw PhocalPoint Data'!E:E = E311,
                    'Raw PhocalPoint Data'!F:F = F311
                  ) /
                  FILTER('Raw PhocalPoint Data'!G:G,
                    'Raw PhocalPoint Data'!A:A = 2011,
       "&amp;"             'Raw PhocalPoint Data'!D:D = D311,
                    'Raw PhocalPoint Data'!E:E = E311,
                    'Raw PhocalPoint Data'!F:F = F311
                  ) - 1
                ) / 5
              )
            )
          )
        )
"&amp;"      )
    ),
    (
      FILTER('Raw PhocalPoint Data'!G:G,
        'Raw PhocalPoint Data'!A:A = 2009,
        'Raw PhocalPoint Data'!D:D = D311,
        'Raw PhocalPoint Data'!E:E = E311,
        'Raw PhocalPoint Data'!F:F = F311
      ) /
      PRODUC"&amp;"T(
        ARRAYFORMULA(
          (
            FILTER('Raw PhocalPoint Data'!G:G,
              'Raw PhocalPoint Data'!A:A = 2012,
              'Raw PhocalPoint Data'!D:D = D311,
              'Raw PhocalPoint Data'!E:E = E311,
              'Raw Phoca"&amp;"lPoint Data'!F:F = F311
            ) /
            FILTER('Raw PhocalPoint Data'!G:G,
              'Raw PhocalPoint Data'!A:A = 2011,
              'Raw PhocalPoint Data'!D:D = D311,
              'Raw PhocalPoint Data'!E:E = E311,
              'Raw Ph"&amp;"ocalPoint Data'!F:F = F311
            ) -
            (ROW(INDIRECT(""1:"" &amp; (2010 - A311))) - 1) *
            (
              (
                FILTER('Raw PhocalPoint Data'!G:G,
                  'Raw PhocalPoint Data'!A:A = 2012,
                  'R"&amp;"aw PhocalPoint Data'!D:D = D311,
                  'Raw PhocalPoint Data'!E:E = E311,
                  'Raw PhocalPoint Data'!F:F = F311
                ) /
                FILTER('Raw PhocalPoint Data'!G:G,
                  'Raw PhocalPoint Data'!A:A ="&amp;" 2011,
                  'Raw PhocalPoint Data'!D:D = D311,
                  'Raw PhocalPoint Data'!E:E = E311,
                  'Raw PhocalPoint Data'!F:F = F311
                ) - 1
              ) / 5
            )
          )
        )
      )
    "&amp;") *
    INDEX('Raw GDP data'!$I$2:$M$100,
      MATCH(D311, 'Raw GDP data'!$H$2:$H$100, 0),
      MATCH(A311, 'Raw GDP data'!$I$1:$M$1, 0)
    )
  )),
  """"
)
"),8615220144.09073)</f>
        <v>8615220144.0907307</v>
      </c>
      <c r="H311" s="86"/>
      <c r="I311" s="87">
        <f ca="1">IFERROR(__xludf.DUMMYFUNCTION("""COMPUTED_VALUE"""),2012)</f>
        <v>2012</v>
      </c>
      <c r="J311" s="88" t="str">
        <f ca="1">IFERROR(__xludf.DUMMYFUNCTION("""COMPUTED_VALUE"""),"Brazil")</f>
        <v>Brazil</v>
      </c>
      <c r="K311" s="89">
        <f ca="1">IFERROR(
  SUMIFS(
    'New Backfilled Data'!G:G,
    'New Backfilled Data'!A:A, I311,
    'New Backfilled Data'!D:D, J311,
    'New Backfilled Data'!E:E, "Online"
  ) /
  SUMIFS(
    'New Backfilled Data'!G:G,
    'New Backfilled Data'!A:A, I311,
    'New Backfilled Data'!D:D, J311
  ),
  ""
)</f>
        <v>0.19761523104317985</v>
      </c>
      <c r="L311" s="90"/>
      <c r="M311" s="90"/>
    </row>
    <row r="312" spans="1:13" ht="17" x14ac:dyDescent="0.2">
      <c r="A312" s="37">
        <v>2007</v>
      </c>
      <c r="B312" s="38" t="s">
        <v>66</v>
      </c>
      <c r="C312" s="38" t="s">
        <v>27</v>
      </c>
      <c r="D312" s="38" t="s">
        <v>28</v>
      </c>
      <c r="E312" s="38" t="s">
        <v>69</v>
      </c>
      <c r="F312" s="38" t="s">
        <v>70</v>
      </c>
      <c r="G312" s="79">
        <f ca="1">IFERROR(__xludf.DUMMYFUNCTION("IFERROR(
  IF(A312 = 2008,
    IF(E312 = ""Online"",
      FILTER('Raw PhocalPoint Data'!G:G,
        'Raw PhocalPoint Data'!A:A = 2009,
        'Raw PhocalPoint Data'!D:D = D312,
        'Raw PhocalPoint Data'!E:E = E312,
        'Raw PhocalPoint Data'!F"&amp;":F = F312
      ) /
      (
        FILTER('Raw PhocalPoint Data'!G:G,
          'Raw PhocalPoint Data'!A:A = 2012,
          'Raw PhocalPoint Data'!D:D = D312,
          'Raw PhocalPoint Data'!E:E = E312,
          'Raw PhocalPoint Data'!F:F = F312
     "&amp;"   ) /
        FILTER('Raw PhocalPoint Data'!G:G,
          'Raw PhocalPoint Data'!A:A = 2011,
          'Raw PhocalPoint Data'!D:D = D312,
          'Raw PhocalPoint Data'!E:E = E312,
          'Raw PhocalPoint Data'!F:F = F312
        )
      ),
      F"&amp;"ILTER('Raw PhocalPoint Data'!G:G,
        'Raw PhocalPoint Data'!A:A = 2009,
        'Raw PhocalPoint Data'!D:D = D312,
        'Raw PhocalPoint Data'!E:E = E312,
        'Raw PhocalPoint Data'!F:F = F312
      ) *
      (
        INDEX('Raw GDP data'!$I$"&amp;"2:$M$100,
          MATCH(D312, 'Raw GDP data'!$H$2:$H$100, 0),
          MATCH(2008, 'Raw GDP data'!$I$1:$M$1, 0)
        ) /
        INDEX('Raw GDP data'!$I$2:$M$100,
          MATCH(D312, 'Raw GDP data'!$H$2:$H$100, 0),
          MATCH(2009, 'Raw GDP d"&amp;"ata'!$I$1:$M$1, 0)
        )
      )
    ),
  IF(A312 &lt; 2008,
    (
      FILTER(G:G,
        A:A = 2008,
        D:D = D312,
        E:E = E312,
        F:F = F312
      ) /
      PRODUCT(
        ARRAYFORMULA(
          (
            (
              FIL"&amp;"TER('Raw PhocalPoint Data'!G:G,
                'Raw PhocalPoint Data'!A:A = 2012,
                'Raw PhocalPoint Data'!D:D = D312,
                'Raw PhocalPoint Data'!E:E = E312,
                'Raw PhocalPoint Data'!F:F = F312
              ) /
  "&amp;"            FILTER('Raw PhocalPoint Data'!G:G,
                'Raw PhocalPoint Data'!A:A = 2011,
                'Raw PhocalPoint Data'!D:D = D312,
                'Raw PhocalPoint Data'!E:E = E312,
                'Raw PhocalPoint Data'!F:F = F312
     "&amp;"         ) -
              ROW(INDIRECT(""1:"" &amp; (2008 - A312))) *
              (
                (
                  FILTER('Raw PhocalPoint Data'!G:G,
                    'Raw PhocalPoint Data'!A:A = 2012,
                    'Raw PhocalPoint Data'!D:D"&amp;" = D312,
                    'Raw PhocalPoint Data'!E:E = E312,
                    'Raw PhocalPoint Data'!F:F = F312
                  ) /
                  FILTER('Raw PhocalPoint Data'!G:G,
                    'Raw PhocalPoint Data'!A:A = 2011,
       "&amp;"             'Raw PhocalPoint Data'!D:D = D312,
                    'Raw PhocalPoint Data'!E:E = E312,
                    'Raw PhocalPoint Data'!F:F = F312
                  ) - 1
                ) / 5
              )
            )
          )
        )
"&amp;"      )
    ),
    (
      FILTER('Raw PhocalPoint Data'!G:G,
        'Raw PhocalPoint Data'!A:A = 2009,
        'Raw PhocalPoint Data'!D:D = D312,
        'Raw PhocalPoint Data'!E:E = E312,
        'Raw PhocalPoint Data'!F:F = F312
      ) /
      PRODUC"&amp;"T(
        ARRAYFORMULA(
          (
            FILTER('Raw PhocalPoint Data'!G:G,
              'Raw PhocalPoint Data'!A:A = 2012,
              'Raw PhocalPoint Data'!D:D = D312,
              'Raw PhocalPoint Data'!E:E = E312,
              'Raw Phoca"&amp;"lPoint Data'!F:F = F312
            ) /
            FILTER('Raw PhocalPoint Data'!G:G,
              'Raw PhocalPoint Data'!A:A = 2011,
              'Raw PhocalPoint Data'!D:D = D312,
              'Raw PhocalPoint Data'!E:E = E312,
              'Raw Ph"&amp;"ocalPoint Data'!F:F = F312
            ) -
            (ROW(INDIRECT(""1:"" &amp; (2010 - A312))) - 1) *
            (
              (
                FILTER('Raw PhocalPoint Data'!G:G,
                  'Raw PhocalPoint Data'!A:A = 2012,
                  'R"&amp;"aw PhocalPoint Data'!D:D = D312,
                  'Raw PhocalPoint Data'!E:E = E312,
                  'Raw PhocalPoint Data'!F:F = F312
                ) /
                FILTER('Raw PhocalPoint Data'!G:G,
                  'Raw PhocalPoint Data'!A:A ="&amp;" 2011,
                  'Raw PhocalPoint Data'!D:D = D312,
                  'Raw PhocalPoint Data'!E:E = E312,
                  'Raw PhocalPoint Data'!F:F = F312
                ) - 1
              ) / 5
            )
          )
        )
      )
    "&amp;") *
    INDEX('Raw GDP data'!$I$2:$M$100,
      MATCH(D312, 'Raw GDP data'!$H$2:$H$100, 0),
      MATCH(A312, 'Raw GDP data'!$I$1:$M$1, 0)
    )
  )),
  """"
)
"),9920201318.19582)</f>
        <v>9920201318.1958199</v>
      </c>
      <c r="H312" s="80"/>
      <c r="I312" s="81">
        <f ca="1">IFERROR(__xludf.DUMMYFUNCTION("""COMPUTED_VALUE"""),2012)</f>
        <v>2012</v>
      </c>
      <c r="J312" s="82" t="str">
        <f ca="1">IFERROR(__xludf.DUMMYFUNCTION("""COMPUTED_VALUE"""),"Chile")</f>
        <v>Chile</v>
      </c>
      <c r="K312" s="83">
        <f ca="1">IFERROR(
  SUMIFS(
    'New Backfilled Data'!G:G,
    'New Backfilled Data'!A:A, I312,
    'New Backfilled Data'!D:D, J312,
    'New Backfilled Data'!E:E, "Online"
  ) /
  SUMIFS(
    'New Backfilled Data'!G:G,
    'New Backfilled Data'!A:A, I312,
    'New Backfilled Data'!D:D, J312
  ),
  ""
)</f>
        <v>0.24499646977912209</v>
      </c>
      <c r="L312" s="84"/>
      <c r="M312" s="84"/>
    </row>
    <row r="313" spans="1:13" ht="17" x14ac:dyDescent="0.2">
      <c r="A313" s="44">
        <v>2007</v>
      </c>
      <c r="B313" s="45" t="s">
        <v>66</v>
      </c>
      <c r="C313" s="45" t="s">
        <v>27</v>
      </c>
      <c r="D313" s="45" t="s">
        <v>29</v>
      </c>
      <c r="E313" s="45" t="s">
        <v>67</v>
      </c>
      <c r="F313" s="45" t="s">
        <v>67</v>
      </c>
      <c r="G313" s="85">
        <f ca="1">IFERROR(__xludf.DUMMYFUNCTION("IFERROR(
  IF(A313 = 2008,
    IF(E313 = ""Online"",
      FILTER('Raw PhocalPoint Data'!G:G,
        'Raw PhocalPoint Data'!A:A = 2009,
        'Raw PhocalPoint Data'!D:D = D313,
        'Raw PhocalPoint Data'!E:E = E313,
        'Raw PhocalPoint Data'!F"&amp;":F = F313
      ) /
      (
        FILTER('Raw PhocalPoint Data'!G:G,
          'Raw PhocalPoint Data'!A:A = 2012,
          'Raw PhocalPoint Data'!D:D = D313,
          'Raw PhocalPoint Data'!E:E = E313,
          'Raw PhocalPoint Data'!F:F = F313
     "&amp;"   ) /
        FILTER('Raw PhocalPoint Data'!G:G,
          'Raw PhocalPoint Data'!A:A = 2011,
          'Raw PhocalPoint Data'!D:D = D313,
          'Raw PhocalPoint Data'!E:E = E313,
          'Raw PhocalPoint Data'!F:F = F313
        )
      ),
      F"&amp;"ILTER('Raw PhocalPoint Data'!G:G,
        'Raw PhocalPoint Data'!A:A = 2009,
        'Raw PhocalPoint Data'!D:D = D313,
        'Raw PhocalPoint Data'!E:E = E313,
        'Raw PhocalPoint Data'!F:F = F313
      ) *
      (
        INDEX('Raw GDP data'!$I$"&amp;"2:$M$100,
          MATCH(D313, 'Raw GDP data'!$H$2:$H$100, 0),
          MATCH(2008, 'Raw GDP data'!$I$1:$M$1, 0)
        ) /
        INDEX('Raw GDP data'!$I$2:$M$100,
          MATCH(D313, 'Raw GDP data'!$H$2:$H$100, 0),
          MATCH(2009, 'Raw GDP d"&amp;"ata'!$I$1:$M$1, 0)
        )
      )
    ),
  IF(A313 &lt; 2008,
    (
      FILTER(G:G,
        A:A = 2008,
        D:D = D313,
        E:E = E313,
        F:F = F313
      ) /
      PRODUCT(
        ARRAYFORMULA(
          (
            (
              FIL"&amp;"TER('Raw PhocalPoint Data'!G:G,
                'Raw PhocalPoint Data'!A:A = 2012,
                'Raw PhocalPoint Data'!D:D = D313,
                'Raw PhocalPoint Data'!E:E = E313,
                'Raw PhocalPoint Data'!F:F = F313
              ) /
  "&amp;"            FILTER('Raw PhocalPoint Data'!G:G,
                'Raw PhocalPoint Data'!A:A = 2011,
                'Raw PhocalPoint Data'!D:D = D313,
                'Raw PhocalPoint Data'!E:E = E313,
                'Raw PhocalPoint Data'!F:F = F313
     "&amp;"         ) -
              ROW(INDIRECT(""1:"" &amp; (2008 - A313))) *
              (
                (
                  FILTER('Raw PhocalPoint Data'!G:G,
                    'Raw PhocalPoint Data'!A:A = 2012,
                    'Raw PhocalPoint Data'!D:D"&amp;" = D313,
                    'Raw PhocalPoint Data'!E:E = E313,
                    'Raw PhocalPoint Data'!F:F = F313
                  ) /
                  FILTER('Raw PhocalPoint Data'!G:G,
                    'Raw PhocalPoint Data'!A:A = 2011,
       "&amp;"             'Raw PhocalPoint Data'!D:D = D313,
                    'Raw PhocalPoint Data'!E:E = E313,
                    'Raw PhocalPoint Data'!F:F = F313
                  ) - 1
                ) / 5
              )
            )
          )
        )
"&amp;"      )
    ),
    (
      FILTER('Raw PhocalPoint Data'!G:G,
        'Raw PhocalPoint Data'!A:A = 2009,
        'Raw PhocalPoint Data'!D:D = D313,
        'Raw PhocalPoint Data'!E:E = E313,
        'Raw PhocalPoint Data'!F:F = F313
      ) /
      PRODUC"&amp;"T(
        ARRAYFORMULA(
          (
            FILTER('Raw PhocalPoint Data'!G:G,
              'Raw PhocalPoint Data'!A:A = 2012,
              'Raw PhocalPoint Data'!D:D = D313,
              'Raw PhocalPoint Data'!E:E = E313,
              'Raw Phoca"&amp;"lPoint Data'!F:F = F313
            ) /
            FILTER('Raw PhocalPoint Data'!G:G,
              'Raw PhocalPoint Data'!A:A = 2011,
              'Raw PhocalPoint Data'!D:D = D313,
              'Raw PhocalPoint Data'!E:E = E313,
              'Raw Ph"&amp;"ocalPoint Data'!F:F = F313
            ) -
            (ROW(INDIRECT(""1:"" &amp; (2010 - A313))) - 1) *
            (
              (
                FILTER('Raw PhocalPoint Data'!G:G,
                  'Raw PhocalPoint Data'!A:A = 2012,
                  'R"&amp;"aw PhocalPoint Data'!D:D = D313,
                  'Raw PhocalPoint Data'!E:E = E313,
                  'Raw PhocalPoint Data'!F:F = F313
                ) /
                FILTER('Raw PhocalPoint Data'!G:G,
                  'Raw PhocalPoint Data'!A:A ="&amp;" 2011,
                  'Raw PhocalPoint Data'!D:D = D313,
                  'Raw PhocalPoint Data'!E:E = E313,
                  'Raw PhocalPoint Data'!F:F = F313
                ) - 1
              ) / 5
            )
          )
        )
      )
    "&amp;") *
    INDEX('Raw GDP data'!$I$2:$M$100,
      MATCH(D313, 'Raw GDP data'!$H$2:$H$100, 0),
      MATCH(A313, 'Raw GDP data'!$I$1:$M$1, 0)
    )
  )),
  """"
)
"),23855586507.2572)</f>
        <v>23855586507.257198</v>
      </c>
      <c r="H313" s="86"/>
      <c r="I313" s="87">
        <f ca="1">IFERROR(__xludf.DUMMYFUNCTION("""COMPUTED_VALUE"""),2012)</f>
        <v>2012</v>
      </c>
      <c r="J313" s="88" t="str">
        <f ca="1">IFERROR(__xludf.DUMMYFUNCTION("""COMPUTED_VALUE"""),"Colombia")</f>
        <v>Colombia</v>
      </c>
      <c r="K313" s="89">
        <f ca="1">IFERROR(
  SUMIFS(
    'New Backfilled Data'!G:G,
    'New Backfilled Data'!A:A, I313,
    'New Backfilled Data'!D:D, J313,
    'New Backfilled Data'!E:E, "Online"
  ) /
  SUMIFS(
    'New Backfilled Data'!G:G,
    'New Backfilled Data'!A:A, I313,
    'New Backfilled Data'!D:D, J313
  ),
  ""
)</f>
        <v>0.18253781618102902</v>
      </c>
      <c r="L313" s="90"/>
      <c r="M313" s="90"/>
    </row>
    <row r="314" spans="1:13" ht="17" x14ac:dyDescent="0.2">
      <c r="A314" s="37">
        <v>2007</v>
      </c>
      <c r="B314" s="38" t="s">
        <v>66</v>
      </c>
      <c r="C314" s="38" t="s">
        <v>27</v>
      </c>
      <c r="D314" s="38" t="s">
        <v>29</v>
      </c>
      <c r="E314" s="38" t="s">
        <v>69</v>
      </c>
      <c r="F314" s="38" t="s">
        <v>71</v>
      </c>
      <c r="G314" s="79">
        <f ca="1">IFERROR(__xludf.DUMMYFUNCTION("IFERROR(
  IF(A314 = 2008,
    IF(E314 = ""Online"",
      FILTER('Raw PhocalPoint Data'!G:G,
        'Raw PhocalPoint Data'!A:A = 2009,
        'Raw PhocalPoint Data'!D:D = D314,
        'Raw PhocalPoint Data'!E:E = E314,
        'Raw PhocalPoint Data'!F"&amp;":F = F314
      ) /
      (
        FILTER('Raw PhocalPoint Data'!G:G,
          'Raw PhocalPoint Data'!A:A = 2012,
          'Raw PhocalPoint Data'!D:D = D314,
          'Raw PhocalPoint Data'!E:E = E314,
          'Raw PhocalPoint Data'!F:F = F314
     "&amp;"   ) /
        FILTER('Raw PhocalPoint Data'!G:G,
          'Raw PhocalPoint Data'!A:A = 2011,
          'Raw PhocalPoint Data'!D:D = D314,
          'Raw PhocalPoint Data'!E:E = E314,
          'Raw PhocalPoint Data'!F:F = F314
        )
      ),
      F"&amp;"ILTER('Raw PhocalPoint Data'!G:G,
        'Raw PhocalPoint Data'!A:A = 2009,
        'Raw PhocalPoint Data'!D:D = D314,
        'Raw PhocalPoint Data'!E:E = E314,
        'Raw PhocalPoint Data'!F:F = F314
      ) *
      (
        INDEX('Raw GDP data'!$I$"&amp;"2:$M$100,
          MATCH(D314, 'Raw GDP data'!$H$2:$H$100, 0),
          MATCH(2008, 'Raw GDP data'!$I$1:$M$1, 0)
        ) /
        INDEX('Raw GDP data'!$I$2:$M$100,
          MATCH(D314, 'Raw GDP data'!$H$2:$H$100, 0),
          MATCH(2009, 'Raw GDP d"&amp;"ata'!$I$1:$M$1, 0)
        )
      )
    ),
  IF(A314 &lt; 2008,
    (
      FILTER(G:G,
        A:A = 2008,
        D:D = D314,
        E:E = E314,
        F:F = F314
      ) /
      PRODUCT(
        ARRAYFORMULA(
          (
            (
              FIL"&amp;"TER('Raw PhocalPoint Data'!G:G,
                'Raw PhocalPoint Data'!A:A = 2012,
                'Raw PhocalPoint Data'!D:D = D314,
                'Raw PhocalPoint Data'!E:E = E314,
                'Raw PhocalPoint Data'!F:F = F314
              ) /
  "&amp;"            FILTER('Raw PhocalPoint Data'!G:G,
                'Raw PhocalPoint Data'!A:A = 2011,
                'Raw PhocalPoint Data'!D:D = D314,
                'Raw PhocalPoint Data'!E:E = E314,
                'Raw PhocalPoint Data'!F:F = F314
     "&amp;"         ) -
              ROW(INDIRECT(""1:"" &amp; (2008 - A314))) *
              (
                (
                  FILTER('Raw PhocalPoint Data'!G:G,
                    'Raw PhocalPoint Data'!A:A = 2012,
                    'Raw PhocalPoint Data'!D:D"&amp;" = D314,
                    'Raw PhocalPoint Data'!E:E = E314,
                    'Raw PhocalPoint Data'!F:F = F314
                  ) /
                  FILTER('Raw PhocalPoint Data'!G:G,
                    'Raw PhocalPoint Data'!A:A = 2011,
       "&amp;"             'Raw PhocalPoint Data'!D:D = D314,
                    'Raw PhocalPoint Data'!E:E = E314,
                    'Raw PhocalPoint Data'!F:F = F314
                  ) - 1
                ) / 5
              )
            )
          )
        )
"&amp;"      )
    ),
    (
      FILTER('Raw PhocalPoint Data'!G:G,
        'Raw PhocalPoint Data'!A:A = 2009,
        'Raw PhocalPoint Data'!D:D = D314,
        'Raw PhocalPoint Data'!E:E = E314,
        'Raw PhocalPoint Data'!F:F = F314
      ) /
      PRODUC"&amp;"T(
        ARRAYFORMULA(
          (
            FILTER('Raw PhocalPoint Data'!G:G,
              'Raw PhocalPoint Data'!A:A = 2012,
              'Raw PhocalPoint Data'!D:D = D314,
              'Raw PhocalPoint Data'!E:E = E314,
              'Raw Phoca"&amp;"lPoint Data'!F:F = F314
            ) /
            FILTER('Raw PhocalPoint Data'!G:G,
              'Raw PhocalPoint Data'!A:A = 2011,
              'Raw PhocalPoint Data'!D:D = D314,
              'Raw PhocalPoint Data'!E:E = E314,
              'Raw Ph"&amp;"ocalPoint Data'!F:F = F314
            ) -
            (ROW(INDIRECT(""1:"" &amp; (2010 - A314))) - 1) *
            (
              (
                FILTER('Raw PhocalPoint Data'!G:G,
                  'Raw PhocalPoint Data'!A:A = 2012,
                  'R"&amp;"aw PhocalPoint Data'!D:D = D314,
                  'Raw PhocalPoint Data'!E:E = E314,
                  'Raw PhocalPoint Data'!F:F = F314
                ) /
                FILTER('Raw PhocalPoint Data'!G:G,
                  'Raw PhocalPoint Data'!A:A ="&amp;" 2011,
                  'Raw PhocalPoint Data'!D:D = D314,
                  'Raw PhocalPoint Data'!E:E = E314,
                  'Raw PhocalPoint Data'!F:F = F314
                ) - 1
              ) / 5
            )
          )
        )
      )
    "&amp;") *
    INDEX('Raw GDP data'!$I$2:$M$100,
      MATCH(D314, 'Raw GDP data'!$H$2:$H$100, 0),
      MATCH(A314, 'Raw GDP data'!$I$1:$M$1, 0)
    )
  )),
  """"
)
"),2598916270.00537)</f>
        <v>2598916270.0053701</v>
      </c>
      <c r="H314" s="80"/>
      <c r="I314" s="81">
        <f ca="1">IFERROR(__xludf.DUMMYFUNCTION("""COMPUTED_VALUE"""),2012)</f>
        <v>2012</v>
      </c>
      <c r="J314" s="82" t="str">
        <f ca="1">IFERROR(__xludf.DUMMYFUNCTION("""COMPUTED_VALUE"""),"Mexico")</f>
        <v>Mexico</v>
      </c>
      <c r="K314" s="83">
        <f ca="1">IFERROR(
  SUMIFS(
    'New Backfilled Data'!G:G,
    'New Backfilled Data'!A:A, I314,
    'New Backfilled Data'!D:D, J314,
    'New Backfilled Data'!E:E, "Online"
  ) /
  SUMIFS(
    'New Backfilled Data'!G:G,
    'New Backfilled Data'!A:A, I314,
    'New Backfilled Data'!D:D, J314
  ),
  ""
)</f>
        <v>0.21681618907364728</v>
      </c>
      <c r="L314" s="84"/>
      <c r="M314" s="84"/>
    </row>
    <row r="315" spans="1:13" ht="17" x14ac:dyDescent="0.2">
      <c r="A315" s="44">
        <v>2007</v>
      </c>
      <c r="B315" s="45" t="s">
        <v>66</v>
      </c>
      <c r="C315" s="45" t="s">
        <v>27</v>
      </c>
      <c r="D315" s="45" t="s">
        <v>29</v>
      </c>
      <c r="E315" s="45" t="s">
        <v>69</v>
      </c>
      <c r="F315" s="45" t="s">
        <v>70</v>
      </c>
      <c r="G315" s="85">
        <f ca="1">IFERROR(__xludf.DUMMYFUNCTION("IFERROR(
  IF(A315 = 2008,
    IF(E315 = ""Online"",
      FILTER('Raw PhocalPoint Data'!G:G,
        'Raw PhocalPoint Data'!A:A = 2009,
        'Raw PhocalPoint Data'!D:D = D315,
        'Raw PhocalPoint Data'!E:E = E315,
        'Raw PhocalPoint Data'!F"&amp;":F = F315
      ) /
      (
        FILTER('Raw PhocalPoint Data'!G:G,
          'Raw PhocalPoint Data'!A:A = 2012,
          'Raw PhocalPoint Data'!D:D = D315,
          'Raw PhocalPoint Data'!E:E = E315,
          'Raw PhocalPoint Data'!F:F = F315
     "&amp;"   ) /
        FILTER('Raw PhocalPoint Data'!G:G,
          'Raw PhocalPoint Data'!A:A = 2011,
          'Raw PhocalPoint Data'!D:D = D315,
          'Raw PhocalPoint Data'!E:E = E315,
          'Raw PhocalPoint Data'!F:F = F315
        )
      ),
      F"&amp;"ILTER('Raw PhocalPoint Data'!G:G,
        'Raw PhocalPoint Data'!A:A = 2009,
        'Raw PhocalPoint Data'!D:D = D315,
        'Raw PhocalPoint Data'!E:E = E315,
        'Raw PhocalPoint Data'!F:F = F315
      ) *
      (
        INDEX('Raw GDP data'!$I$"&amp;"2:$M$100,
          MATCH(D315, 'Raw GDP data'!$H$2:$H$100, 0),
          MATCH(2008, 'Raw GDP data'!$I$1:$M$1, 0)
        ) /
        INDEX('Raw GDP data'!$I$2:$M$100,
          MATCH(D315, 'Raw GDP data'!$H$2:$H$100, 0),
          MATCH(2009, 'Raw GDP d"&amp;"ata'!$I$1:$M$1, 0)
        )
      )
    ),
  IF(A315 &lt; 2008,
    (
      FILTER(G:G,
        A:A = 2008,
        D:D = D315,
        E:E = E315,
        F:F = F315
      ) /
      PRODUCT(
        ARRAYFORMULA(
          (
            (
              FIL"&amp;"TER('Raw PhocalPoint Data'!G:G,
                'Raw PhocalPoint Data'!A:A = 2012,
                'Raw PhocalPoint Data'!D:D = D315,
                'Raw PhocalPoint Data'!E:E = E315,
                'Raw PhocalPoint Data'!F:F = F315
              ) /
  "&amp;"            FILTER('Raw PhocalPoint Data'!G:G,
                'Raw PhocalPoint Data'!A:A = 2011,
                'Raw PhocalPoint Data'!D:D = D315,
                'Raw PhocalPoint Data'!E:E = E315,
                'Raw PhocalPoint Data'!F:F = F315
     "&amp;"         ) -
              ROW(INDIRECT(""1:"" &amp; (2008 - A315))) *
              (
                (
                  FILTER('Raw PhocalPoint Data'!G:G,
                    'Raw PhocalPoint Data'!A:A = 2012,
                    'Raw PhocalPoint Data'!D:D"&amp;" = D315,
                    'Raw PhocalPoint Data'!E:E = E315,
                    'Raw PhocalPoint Data'!F:F = F315
                  ) /
                  FILTER('Raw PhocalPoint Data'!G:G,
                    'Raw PhocalPoint Data'!A:A = 2011,
       "&amp;"             'Raw PhocalPoint Data'!D:D = D315,
                    'Raw PhocalPoint Data'!E:E = E315,
                    'Raw PhocalPoint Data'!F:F = F315
                  ) - 1
                ) / 5
              )
            )
          )
        )
"&amp;"      )
    ),
    (
      FILTER('Raw PhocalPoint Data'!G:G,
        'Raw PhocalPoint Data'!A:A = 2009,
        'Raw PhocalPoint Data'!D:D = D315,
        'Raw PhocalPoint Data'!E:E = E315,
        'Raw PhocalPoint Data'!F:F = F315
      ) /
      PRODUC"&amp;"T(
        ARRAYFORMULA(
          (
            FILTER('Raw PhocalPoint Data'!G:G,
              'Raw PhocalPoint Data'!A:A = 2012,
              'Raw PhocalPoint Data'!D:D = D315,
              'Raw PhocalPoint Data'!E:E = E315,
              'Raw Phoca"&amp;"lPoint Data'!F:F = F315
            ) /
            FILTER('Raw PhocalPoint Data'!G:G,
              'Raw PhocalPoint Data'!A:A = 2011,
              'Raw PhocalPoint Data'!D:D = D315,
              'Raw PhocalPoint Data'!E:E = E315,
              'Raw Ph"&amp;"ocalPoint Data'!F:F = F315
            ) -
            (ROW(INDIRECT(""1:"" &amp; (2010 - A315))) - 1) *
            (
              (
                FILTER('Raw PhocalPoint Data'!G:G,
                  'Raw PhocalPoint Data'!A:A = 2012,
                  'R"&amp;"aw PhocalPoint Data'!D:D = D315,
                  'Raw PhocalPoint Data'!E:E = E315,
                  'Raw PhocalPoint Data'!F:F = F315
                ) /
                FILTER('Raw PhocalPoint Data'!G:G,
                  'Raw PhocalPoint Data'!A:A ="&amp;" 2011,
                  'Raw PhocalPoint Data'!D:D = D315,
                  'Raw PhocalPoint Data'!E:E = E315,
                  'Raw PhocalPoint Data'!F:F = F315
                ) - 1
              ) / 5
            )
          )
        )
      )
    "&amp;") *
    INDEX('Raw GDP data'!$I$2:$M$100,
      MATCH(D315, 'Raw GDP data'!$H$2:$H$100, 0),
      MATCH(A315, 'Raw GDP data'!$I$1:$M$1, 0)
    )
  )),
  """"
)
"),2651679886.4286)</f>
        <v>2651679886.4285998</v>
      </c>
      <c r="H315" s="86"/>
      <c r="I315" s="87">
        <f ca="1">IFERROR(__xludf.DUMMYFUNCTION("""COMPUTED_VALUE"""),2012)</f>
        <v>2012</v>
      </c>
      <c r="J315" s="88" t="str">
        <f ca="1">IFERROR(__xludf.DUMMYFUNCTION("""COMPUTED_VALUE"""),"Egypt")</f>
        <v>Egypt</v>
      </c>
      <c r="K315" s="89">
        <f ca="1">IFERROR(
  SUMIFS(
    'New Backfilled Data'!G:G,
    'New Backfilled Data'!A:A, I315,
    'New Backfilled Data'!D:D, J315,
    'New Backfilled Data'!E:E, "Online"
  ) /
  SUMIFS(
    'New Backfilled Data'!G:G,
    'New Backfilled Data'!A:A, I315,
    'New Backfilled Data'!D:D, J315
  ),
  ""
)</f>
        <v>8.7050097460371997E-2</v>
      </c>
      <c r="L315" s="90"/>
      <c r="M315" s="90"/>
    </row>
    <row r="316" spans="1:13" ht="17" x14ac:dyDescent="0.2">
      <c r="A316" s="37">
        <v>2007</v>
      </c>
      <c r="B316" s="38" t="s">
        <v>66</v>
      </c>
      <c r="C316" s="38" t="s">
        <v>27</v>
      </c>
      <c r="D316" s="38" t="s">
        <v>30</v>
      </c>
      <c r="E316" s="38" t="s">
        <v>67</v>
      </c>
      <c r="F316" s="38" t="s">
        <v>67</v>
      </c>
      <c r="G316" s="79">
        <f ca="1">IFERROR(__xludf.DUMMYFUNCTION("IFERROR(
  IF(A316 = 2008,
    IF(E316 = ""Online"",
      FILTER('Raw PhocalPoint Data'!G:G,
        'Raw PhocalPoint Data'!A:A = 2009,
        'Raw PhocalPoint Data'!D:D = D316,
        'Raw PhocalPoint Data'!E:E = E316,
        'Raw PhocalPoint Data'!F"&amp;":F = F316
      ) /
      (
        FILTER('Raw PhocalPoint Data'!G:G,
          'Raw PhocalPoint Data'!A:A = 2012,
          'Raw PhocalPoint Data'!D:D = D316,
          'Raw PhocalPoint Data'!E:E = E316,
          'Raw PhocalPoint Data'!F:F = F316
     "&amp;"   ) /
        FILTER('Raw PhocalPoint Data'!G:G,
          'Raw PhocalPoint Data'!A:A = 2011,
          'Raw PhocalPoint Data'!D:D = D316,
          'Raw PhocalPoint Data'!E:E = E316,
          'Raw PhocalPoint Data'!F:F = F316
        )
      ),
      F"&amp;"ILTER('Raw PhocalPoint Data'!G:G,
        'Raw PhocalPoint Data'!A:A = 2009,
        'Raw PhocalPoint Data'!D:D = D316,
        'Raw PhocalPoint Data'!E:E = E316,
        'Raw PhocalPoint Data'!F:F = F316
      ) *
      (
        INDEX('Raw GDP data'!$I$"&amp;"2:$M$100,
          MATCH(D316, 'Raw GDP data'!$H$2:$H$100, 0),
          MATCH(2008, 'Raw GDP data'!$I$1:$M$1, 0)
        ) /
        INDEX('Raw GDP data'!$I$2:$M$100,
          MATCH(D316, 'Raw GDP data'!$H$2:$H$100, 0),
          MATCH(2009, 'Raw GDP d"&amp;"ata'!$I$1:$M$1, 0)
        )
      )
    ),
  IF(A316 &lt; 2008,
    (
      FILTER(G:G,
        A:A = 2008,
        D:D = D316,
        E:E = E316,
        F:F = F316
      ) /
      PRODUCT(
        ARRAYFORMULA(
          (
            (
              FIL"&amp;"TER('Raw PhocalPoint Data'!G:G,
                'Raw PhocalPoint Data'!A:A = 2012,
                'Raw PhocalPoint Data'!D:D = D316,
                'Raw PhocalPoint Data'!E:E = E316,
                'Raw PhocalPoint Data'!F:F = F316
              ) /
  "&amp;"            FILTER('Raw PhocalPoint Data'!G:G,
                'Raw PhocalPoint Data'!A:A = 2011,
                'Raw PhocalPoint Data'!D:D = D316,
                'Raw PhocalPoint Data'!E:E = E316,
                'Raw PhocalPoint Data'!F:F = F316
     "&amp;"         ) -
              ROW(INDIRECT(""1:"" &amp; (2008 - A316))) *
              (
                (
                  FILTER('Raw PhocalPoint Data'!G:G,
                    'Raw PhocalPoint Data'!A:A = 2012,
                    'Raw PhocalPoint Data'!D:D"&amp;" = D316,
                    'Raw PhocalPoint Data'!E:E = E316,
                    'Raw PhocalPoint Data'!F:F = F316
                  ) /
                  FILTER('Raw PhocalPoint Data'!G:G,
                    'Raw PhocalPoint Data'!A:A = 2011,
       "&amp;"             'Raw PhocalPoint Data'!D:D = D316,
                    'Raw PhocalPoint Data'!E:E = E316,
                    'Raw PhocalPoint Data'!F:F = F316
                  ) - 1
                ) / 5
              )
            )
          )
        )
"&amp;"      )
    ),
    (
      FILTER('Raw PhocalPoint Data'!G:G,
        'Raw PhocalPoint Data'!A:A = 2009,
        'Raw PhocalPoint Data'!D:D = D316,
        'Raw PhocalPoint Data'!E:E = E316,
        'Raw PhocalPoint Data'!F:F = F316
      ) /
      PRODUC"&amp;"T(
        ARRAYFORMULA(
          (
            FILTER('Raw PhocalPoint Data'!G:G,
              'Raw PhocalPoint Data'!A:A = 2012,
              'Raw PhocalPoint Data'!D:D = D316,
              'Raw PhocalPoint Data'!E:E = E316,
              'Raw Phoca"&amp;"lPoint Data'!F:F = F316
            ) /
            FILTER('Raw PhocalPoint Data'!G:G,
              'Raw PhocalPoint Data'!A:A = 2011,
              'Raw PhocalPoint Data'!D:D = D316,
              'Raw PhocalPoint Data'!E:E = E316,
              'Raw Ph"&amp;"ocalPoint Data'!F:F = F316
            ) -
            (ROW(INDIRECT(""1:"" &amp; (2010 - A316))) - 1) *
            (
              (
                FILTER('Raw PhocalPoint Data'!G:G,
                  'Raw PhocalPoint Data'!A:A = 2012,
                  'R"&amp;"aw PhocalPoint Data'!D:D = D316,
                  'Raw PhocalPoint Data'!E:E = E316,
                  'Raw PhocalPoint Data'!F:F = F316
                ) /
                FILTER('Raw PhocalPoint Data'!G:G,
                  'Raw PhocalPoint Data'!A:A ="&amp;" 2011,
                  'Raw PhocalPoint Data'!D:D = D316,
                  'Raw PhocalPoint Data'!E:E = E316,
                  'Raw PhocalPoint Data'!F:F = F316
                ) - 1
              ) / 5
            )
          )
        )
      )
    "&amp;") *
    INDEX('Raw GDP data'!$I$2:$M$100,
      MATCH(D316, 'Raw GDP data'!$H$2:$H$100, 0),
      MATCH(A316, 'Raw GDP data'!$I$1:$M$1, 0)
    )
  )),
  """"
)
"),51641217527.4125)</f>
        <v>51641217527.412498</v>
      </c>
      <c r="H316" s="80"/>
      <c r="I316" s="81">
        <f ca="1">IFERROR(__xludf.DUMMYFUNCTION("""COMPUTED_VALUE"""),2012)</f>
        <v>2012</v>
      </c>
      <c r="J316" s="82" t="str">
        <f ca="1">IFERROR(__xludf.DUMMYFUNCTION("""COMPUTED_VALUE"""),"Qatar")</f>
        <v>Qatar</v>
      </c>
      <c r="K316" s="83">
        <f ca="1">IFERROR(
  SUMIFS(
    'New Backfilled Data'!G:G,
    'New Backfilled Data'!A:A, I316,
    'New Backfilled Data'!D:D, J316,
    'New Backfilled Data'!E:E, "Online"
  ) /
  SUMIFS(
    'New Backfilled Data'!G:G,
    'New Backfilled Data'!A:A, I316,
    'New Backfilled Data'!D:D, J316
  ),
  ""
)</f>
        <v>0.1855494199765905</v>
      </c>
      <c r="L316" s="84"/>
      <c r="M316" s="84"/>
    </row>
    <row r="317" spans="1:13" ht="34" x14ac:dyDescent="0.2">
      <c r="A317" s="44">
        <v>2007</v>
      </c>
      <c r="B317" s="45" t="s">
        <v>66</v>
      </c>
      <c r="C317" s="45" t="s">
        <v>27</v>
      </c>
      <c r="D317" s="45" t="s">
        <v>30</v>
      </c>
      <c r="E317" s="45" t="s">
        <v>69</v>
      </c>
      <c r="F317" s="45" t="s">
        <v>71</v>
      </c>
      <c r="G317" s="85">
        <f ca="1">IFERROR(__xludf.DUMMYFUNCTION("IFERROR(
  IF(A317 = 2008,
    IF(E317 = ""Online"",
      FILTER('Raw PhocalPoint Data'!G:G,
        'Raw PhocalPoint Data'!A:A = 2009,
        'Raw PhocalPoint Data'!D:D = D317,
        'Raw PhocalPoint Data'!E:E = E317,
        'Raw PhocalPoint Data'!F"&amp;":F = F317
      ) /
      (
        FILTER('Raw PhocalPoint Data'!G:G,
          'Raw PhocalPoint Data'!A:A = 2012,
          'Raw PhocalPoint Data'!D:D = D317,
          'Raw PhocalPoint Data'!E:E = E317,
          'Raw PhocalPoint Data'!F:F = F317
     "&amp;"   ) /
        FILTER('Raw PhocalPoint Data'!G:G,
          'Raw PhocalPoint Data'!A:A = 2011,
          'Raw PhocalPoint Data'!D:D = D317,
          'Raw PhocalPoint Data'!E:E = E317,
          'Raw PhocalPoint Data'!F:F = F317
        )
      ),
      F"&amp;"ILTER('Raw PhocalPoint Data'!G:G,
        'Raw PhocalPoint Data'!A:A = 2009,
        'Raw PhocalPoint Data'!D:D = D317,
        'Raw PhocalPoint Data'!E:E = E317,
        'Raw PhocalPoint Data'!F:F = F317
      ) *
      (
        INDEX('Raw GDP data'!$I$"&amp;"2:$M$100,
          MATCH(D317, 'Raw GDP data'!$H$2:$H$100, 0),
          MATCH(2008, 'Raw GDP data'!$I$1:$M$1, 0)
        ) /
        INDEX('Raw GDP data'!$I$2:$M$100,
          MATCH(D317, 'Raw GDP data'!$H$2:$H$100, 0),
          MATCH(2009, 'Raw GDP d"&amp;"ata'!$I$1:$M$1, 0)
        )
      )
    ),
  IF(A317 &lt; 2008,
    (
      FILTER(G:G,
        A:A = 2008,
        D:D = D317,
        E:E = E317,
        F:F = F317
      ) /
      PRODUCT(
        ARRAYFORMULA(
          (
            (
              FIL"&amp;"TER('Raw PhocalPoint Data'!G:G,
                'Raw PhocalPoint Data'!A:A = 2012,
                'Raw PhocalPoint Data'!D:D = D317,
                'Raw PhocalPoint Data'!E:E = E317,
                'Raw PhocalPoint Data'!F:F = F317
              ) /
  "&amp;"            FILTER('Raw PhocalPoint Data'!G:G,
                'Raw PhocalPoint Data'!A:A = 2011,
                'Raw PhocalPoint Data'!D:D = D317,
                'Raw PhocalPoint Data'!E:E = E317,
                'Raw PhocalPoint Data'!F:F = F317
     "&amp;"         ) -
              ROW(INDIRECT(""1:"" &amp; (2008 - A317))) *
              (
                (
                  FILTER('Raw PhocalPoint Data'!G:G,
                    'Raw PhocalPoint Data'!A:A = 2012,
                    'Raw PhocalPoint Data'!D:D"&amp;" = D317,
                    'Raw PhocalPoint Data'!E:E = E317,
                    'Raw PhocalPoint Data'!F:F = F317
                  ) /
                  FILTER('Raw PhocalPoint Data'!G:G,
                    'Raw PhocalPoint Data'!A:A = 2011,
       "&amp;"             'Raw PhocalPoint Data'!D:D = D317,
                    'Raw PhocalPoint Data'!E:E = E317,
                    'Raw PhocalPoint Data'!F:F = F317
                  ) - 1
                ) / 5
              )
            )
          )
        )
"&amp;"      )
    ),
    (
      FILTER('Raw PhocalPoint Data'!G:G,
        'Raw PhocalPoint Data'!A:A = 2009,
        'Raw PhocalPoint Data'!D:D = D317,
        'Raw PhocalPoint Data'!E:E = E317,
        'Raw PhocalPoint Data'!F:F = F317
      ) /
      PRODUC"&amp;"T(
        ARRAYFORMULA(
          (
            FILTER('Raw PhocalPoint Data'!G:G,
              'Raw PhocalPoint Data'!A:A = 2012,
              'Raw PhocalPoint Data'!D:D = D317,
              'Raw PhocalPoint Data'!E:E = E317,
              'Raw Phoca"&amp;"lPoint Data'!F:F = F317
            ) /
            FILTER('Raw PhocalPoint Data'!G:G,
              'Raw PhocalPoint Data'!A:A = 2011,
              'Raw PhocalPoint Data'!D:D = D317,
              'Raw PhocalPoint Data'!E:E = E317,
              'Raw Ph"&amp;"ocalPoint Data'!F:F = F317
            ) -
            (ROW(INDIRECT(""1:"" &amp; (2010 - A317))) - 1) *
            (
              (
                FILTER('Raw PhocalPoint Data'!G:G,
                  'Raw PhocalPoint Data'!A:A = 2012,
                  'R"&amp;"aw PhocalPoint Data'!D:D = D317,
                  'Raw PhocalPoint Data'!E:E = E317,
                  'Raw PhocalPoint Data'!F:F = F317
                ) /
                FILTER('Raw PhocalPoint Data'!G:G,
                  'Raw PhocalPoint Data'!A:A ="&amp;" 2011,
                  'Raw PhocalPoint Data'!D:D = D317,
                  'Raw PhocalPoint Data'!E:E = E317,
                  'Raw PhocalPoint Data'!F:F = F317
                ) - 1
              ) / 5
            )
          )
        )
      )
    "&amp;") *
    INDEX('Raw GDP data'!$I$2:$M$100,
      MATCH(D317, 'Raw GDP data'!$H$2:$H$100, 0),
      MATCH(A317, 'Raw GDP data'!$I$1:$M$1, 0)
    )
  )),
  """"
)
"),4129544474.53099)</f>
        <v>4129544474.5309901</v>
      </c>
      <c r="H317" s="86"/>
      <c r="I317" s="87">
        <f ca="1">IFERROR(__xludf.DUMMYFUNCTION("""COMPUTED_VALUE"""),2012)</f>
        <v>2012</v>
      </c>
      <c r="J317" s="88" t="str">
        <f ca="1">IFERROR(__xludf.DUMMYFUNCTION("""COMPUTED_VALUE"""),"Rest of Middle East")</f>
        <v>Rest of Middle East</v>
      </c>
      <c r="K317" s="89">
        <f ca="1">IFERROR(
  SUMIFS(
    'New Backfilled Data'!G:G,
    'New Backfilled Data'!A:A, I317,
    'New Backfilled Data'!D:D, J317,
    'New Backfilled Data'!E:E, "Online"
  ) /
  SUMIFS(
    'New Backfilled Data'!G:G,
    'New Backfilled Data'!A:A, I317,
    'New Backfilled Data'!D:D, J317
  ),
  ""
)</f>
        <v>0.14066612805943579</v>
      </c>
      <c r="L317" s="90"/>
      <c r="M317" s="90"/>
    </row>
    <row r="318" spans="1:13" ht="17" x14ac:dyDescent="0.2">
      <c r="A318" s="37">
        <v>2007</v>
      </c>
      <c r="B318" s="38" t="s">
        <v>66</v>
      </c>
      <c r="C318" s="38" t="s">
        <v>27</v>
      </c>
      <c r="D318" s="38" t="s">
        <v>30</v>
      </c>
      <c r="E318" s="38" t="s">
        <v>69</v>
      </c>
      <c r="F318" s="38" t="s">
        <v>70</v>
      </c>
      <c r="G318" s="79">
        <f ca="1">IFERROR(__xludf.DUMMYFUNCTION("IFERROR(
  IF(A318 = 2008,
    IF(E318 = ""Online"",
      FILTER('Raw PhocalPoint Data'!G:G,
        'Raw PhocalPoint Data'!A:A = 2009,
        'Raw PhocalPoint Data'!D:D = D318,
        'Raw PhocalPoint Data'!E:E = E318,
        'Raw PhocalPoint Data'!F"&amp;":F = F318
      ) /
      (
        FILTER('Raw PhocalPoint Data'!G:G,
          'Raw PhocalPoint Data'!A:A = 2012,
          'Raw PhocalPoint Data'!D:D = D318,
          'Raw PhocalPoint Data'!E:E = E318,
          'Raw PhocalPoint Data'!F:F = F318
     "&amp;"   ) /
        FILTER('Raw PhocalPoint Data'!G:G,
          'Raw PhocalPoint Data'!A:A = 2011,
          'Raw PhocalPoint Data'!D:D = D318,
          'Raw PhocalPoint Data'!E:E = E318,
          'Raw PhocalPoint Data'!F:F = F318
        )
      ),
      F"&amp;"ILTER('Raw PhocalPoint Data'!G:G,
        'Raw PhocalPoint Data'!A:A = 2009,
        'Raw PhocalPoint Data'!D:D = D318,
        'Raw PhocalPoint Data'!E:E = E318,
        'Raw PhocalPoint Data'!F:F = F318
      ) *
      (
        INDEX('Raw GDP data'!$I$"&amp;"2:$M$100,
          MATCH(D318, 'Raw GDP data'!$H$2:$H$100, 0),
          MATCH(2008, 'Raw GDP data'!$I$1:$M$1, 0)
        ) /
        INDEX('Raw GDP data'!$I$2:$M$100,
          MATCH(D318, 'Raw GDP data'!$H$2:$H$100, 0),
          MATCH(2009, 'Raw GDP d"&amp;"ata'!$I$1:$M$1, 0)
        )
      )
    ),
  IF(A318 &lt; 2008,
    (
      FILTER(G:G,
        A:A = 2008,
        D:D = D318,
        E:E = E318,
        F:F = F318
      ) /
      PRODUCT(
        ARRAYFORMULA(
          (
            (
              FIL"&amp;"TER('Raw PhocalPoint Data'!G:G,
                'Raw PhocalPoint Data'!A:A = 2012,
                'Raw PhocalPoint Data'!D:D = D318,
                'Raw PhocalPoint Data'!E:E = E318,
                'Raw PhocalPoint Data'!F:F = F318
              ) /
  "&amp;"            FILTER('Raw PhocalPoint Data'!G:G,
                'Raw PhocalPoint Data'!A:A = 2011,
                'Raw PhocalPoint Data'!D:D = D318,
                'Raw PhocalPoint Data'!E:E = E318,
                'Raw PhocalPoint Data'!F:F = F318
     "&amp;"         ) -
              ROW(INDIRECT(""1:"" &amp; (2008 - A318))) *
              (
                (
                  FILTER('Raw PhocalPoint Data'!G:G,
                    'Raw PhocalPoint Data'!A:A = 2012,
                    'Raw PhocalPoint Data'!D:D"&amp;" = D318,
                    'Raw PhocalPoint Data'!E:E = E318,
                    'Raw PhocalPoint Data'!F:F = F318
                  ) /
                  FILTER('Raw PhocalPoint Data'!G:G,
                    'Raw PhocalPoint Data'!A:A = 2011,
       "&amp;"             'Raw PhocalPoint Data'!D:D = D318,
                    'Raw PhocalPoint Data'!E:E = E318,
                    'Raw PhocalPoint Data'!F:F = F318
                  ) - 1
                ) / 5
              )
            )
          )
        )
"&amp;"      )
    ),
    (
      FILTER('Raw PhocalPoint Data'!G:G,
        'Raw PhocalPoint Data'!A:A = 2009,
        'Raw PhocalPoint Data'!D:D = D318,
        'Raw PhocalPoint Data'!E:E = E318,
        'Raw PhocalPoint Data'!F:F = F318
      ) /
      PRODUC"&amp;"T(
        ARRAYFORMULA(
          (
            FILTER('Raw PhocalPoint Data'!G:G,
              'Raw PhocalPoint Data'!A:A = 2012,
              'Raw PhocalPoint Data'!D:D = D318,
              'Raw PhocalPoint Data'!E:E = E318,
              'Raw Phoca"&amp;"lPoint Data'!F:F = F318
            ) /
            FILTER('Raw PhocalPoint Data'!G:G,
              'Raw PhocalPoint Data'!A:A = 2011,
              'Raw PhocalPoint Data'!D:D = D318,
              'Raw PhocalPoint Data'!E:E = E318,
              'Raw Ph"&amp;"ocalPoint Data'!F:F = F318
            ) -
            (ROW(INDIRECT(""1:"" &amp; (2010 - A318))) - 1) *
            (
              (
                FILTER('Raw PhocalPoint Data'!G:G,
                  'Raw PhocalPoint Data'!A:A = 2012,
                  'R"&amp;"aw PhocalPoint Data'!D:D = D318,
                  'Raw PhocalPoint Data'!E:E = E318,
                  'Raw PhocalPoint Data'!F:F = F318
                ) /
                FILTER('Raw PhocalPoint Data'!G:G,
                  'Raw PhocalPoint Data'!A:A ="&amp;" 2011,
                  'Raw PhocalPoint Data'!D:D = D318,
                  'Raw PhocalPoint Data'!E:E = E318,
                  'Raw PhocalPoint Data'!F:F = F318
                ) - 1
              ) / 5
            )
          )
        )
      )
    "&amp;") *
    INDEX('Raw GDP data'!$I$2:$M$100,
      MATCH(D318, 'Raw GDP data'!$H$2:$H$100, 0),
      MATCH(A318, 'Raw GDP data'!$I$1:$M$1, 0)
    )
  )),
  """"
)
"),8086604194.31249)</f>
        <v>8086604194.3124905</v>
      </c>
      <c r="H318" s="80"/>
      <c r="I318" s="81">
        <f ca="1">IFERROR(__xludf.DUMMYFUNCTION("""COMPUTED_VALUE"""),2012)</f>
        <v>2012</v>
      </c>
      <c r="J318" s="82" t="str">
        <f ca="1">IFERROR(__xludf.DUMMYFUNCTION("""COMPUTED_VALUE"""),"Saudi Arabia")</f>
        <v>Saudi Arabia</v>
      </c>
      <c r="K318" s="83">
        <f ca="1">IFERROR(
  SUMIFS(
    'New Backfilled Data'!G:G,
    'New Backfilled Data'!A:A, I318,
    'New Backfilled Data'!D:D, J318,
    'New Backfilled Data'!E:E, "Online"
  ) /
  SUMIFS(
    'New Backfilled Data'!G:G,
    'New Backfilled Data'!A:A, I318,
    'New Backfilled Data'!D:D, J318
  ),
  ""
)</f>
        <v>0.16408426566059445</v>
      </c>
      <c r="L318" s="84"/>
      <c r="M318" s="84"/>
    </row>
    <row r="319" spans="1:13" ht="17" x14ac:dyDescent="0.2">
      <c r="A319" s="44">
        <v>2007</v>
      </c>
      <c r="B319" s="45" t="s">
        <v>66</v>
      </c>
      <c r="C319" s="45" t="s">
        <v>27</v>
      </c>
      <c r="D319" s="45" t="s">
        <v>31</v>
      </c>
      <c r="E319" s="45" t="s">
        <v>67</v>
      </c>
      <c r="F319" s="45" t="s">
        <v>67</v>
      </c>
      <c r="G319" s="85">
        <f ca="1">IFERROR(__xludf.DUMMYFUNCTION("IFERROR(
  IF(A319 = 2008,
    IF(E319 = ""Online"",
      FILTER('Raw PhocalPoint Data'!G:G,
        'Raw PhocalPoint Data'!A:A = 2009,
        'Raw PhocalPoint Data'!D:D = D319,
        'Raw PhocalPoint Data'!E:E = E319,
        'Raw PhocalPoint Data'!F"&amp;":F = F319
      ) /
      (
        FILTER('Raw PhocalPoint Data'!G:G,
          'Raw PhocalPoint Data'!A:A = 2012,
          'Raw PhocalPoint Data'!D:D = D319,
          'Raw PhocalPoint Data'!E:E = E319,
          'Raw PhocalPoint Data'!F:F = F319
     "&amp;"   ) /
        FILTER('Raw PhocalPoint Data'!G:G,
          'Raw PhocalPoint Data'!A:A = 2011,
          'Raw PhocalPoint Data'!D:D = D319,
          'Raw PhocalPoint Data'!E:E = E319,
          'Raw PhocalPoint Data'!F:F = F319
        )
      ),
      F"&amp;"ILTER('Raw PhocalPoint Data'!G:G,
        'Raw PhocalPoint Data'!A:A = 2009,
        'Raw PhocalPoint Data'!D:D = D319,
        'Raw PhocalPoint Data'!E:E = E319,
        'Raw PhocalPoint Data'!F:F = F319
      ) *
      (
        INDEX('Raw GDP data'!$I$"&amp;"2:$M$100,
          MATCH(D319, 'Raw GDP data'!$H$2:$H$100, 0),
          MATCH(2008, 'Raw GDP data'!$I$1:$M$1, 0)
        ) /
        INDEX('Raw GDP data'!$I$2:$M$100,
          MATCH(D319, 'Raw GDP data'!$H$2:$H$100, 0),
          MATCH(2009, 'Raw GDP d"&amp;"ata'!$I$1:$M$1, 0)
        )
      )
    ),
  IF(A319 &lt; 2008,
    (
      FILTER(G:G,
        A:A = 2008,
        D:D = D319,
        E:E = E319,
        F:F = F319
      ) /
      PRODUCT(
        ARRAYFORMULA(
          (
            (
              FIL"&amp;"TER('Raw PhocalPoint Data'!G:G,
                'Raw PhocalPoint Data'!A:A = 2012,
                'Raw PhocalPoint Data'!D:D = D319,
                'Raw PhocalPoint Data'!E:E = E319,
                'Raw PhocalPoint Data'!F:F = F319
              ) /
  "&amp;"            FILTER('Raw PhocalPoint Data'!G:G,
                'Raw PhocalPoint Data'!A:A = 2011,
                'Raw PhocalPoint Data'!D:D = D319,
                'Raw PhocalPoint Data'!E:E = E319,
                'Raw PhocalPoint Data'!F:F = F319
     "&amp;"         ) -
              ROW(INDIRECT(""1:"" &amp; (2008 - A319))) *
              (
                (
                  FILTER('Raw PhocalPoint Data'!G:G,
                    'Raw PhocalPoint Data'!A:A = 2012,
                    'Raw PhocalPoint Data'!D:D"&amp;" = D319,
                    'Raw PhocalPoint Data'!E:E = E319,
                    'Raw PhocalPoint Data'!F:F = F319
                  ) /
                  FILTER('Raw PhocalPoint Data'!G:G,
                    'Raw PhocalPoint Data'!A:A = 2011,
       "&amp;"             'Raw PhocalPoint Data'!D:D = D319,
                    'Raw PhocalPoint Data'!E:E = E319,
                    'Raw PhocalPoint Data'!F:F = F319
                  ) - 1
                ) / 5
              )
            )
          )
        )
"&amp;"      )
    ),
    (
      FILTER('Raw PhocalPoint Data'!G:G,
        'Raw PhocalPoint Data'!A:A = 2009,
        'Raw PhocalPoint Data'!D:D = D319,
        'Raw PhocalPoint Data'!E:E = E319,
        'Raw PhocalPoint Data'!F:F = F319
      ) /
      PRODUC"&amp;"T(
        ARRAYFORMULA(
          (
            FILTER('Raw PhocalPoint Data'!G:G,
              'Raw PhocalPoint Data'!A:A = 2012,
              'Raw PhocalPoint Data'!D:D = D319,
              'Raw PhocalPoint Data'!E:E = E319,
              'Raw Phoca"&amp;"lPoint Data'!F:F = F319
            ) /
            FILTER('Raw PhocalPoint Data'!G:G,
              'Raw PhocalPoint Data'!A:A = 2011,
              'Raw PhocalPoint Data'!D:D = D319,
              'Raw PhocalPoint Data'!E:E = E319,
              'Raw Ph"&amp;"ocalPoint Data'!F:F = F319
            ) -
            (ROW(INDIRECT(""1:"" &amp; (2010 - A319))) - 1) *
            (
              (
                FILTER('Raw PhocalPoint Data'!G:G,
                  'Raw PhocalPoint Data'!A:A = 2012,
                  'R"&amp;"aw PhocalPoint Data'!D:D = D319,
                  'Raw PhocalPoint Data'!E:E = E319,
                  'Raw PhocalPoint Data'!F:F = F319
                ) /
                FILTER('Raw PhocalPoint Data'!G:G,
                  'Raw PhocalPoint Data'!A:A ="&amp;" 2011,
                  'Raw PhocalPoint Data'!D:D = D319,
                  'Raw PhocalPoint Data'!E:E = E319,
                  'Raw PhocalPoint Data'!F:F = F319
                ) - 1
              ) / 5
            )
          )
        )
      )
    "&amp;") *
    INDEX('Raw GDP data'!$I$2:$M$100,
      MATCH(D319, 'Raw GDP data'!$H$2:$H$100, 0),
      MATCH(A319, 'Raw GDP data'!$I$1:$M$1, 0)
    )
  )),
  """"
)
"),13456567183.9264)</f>
        <v>13456567183.926399</v>
      </c>
      <c r="H319" s="86"/>
      <c r="I319" s="87">
        <f ca="1">IFERROR(__xludf.DUMMYFUNCTION("""COMPUTED_VALUE"""),2012)</f>
        <v>2012</v>
      </c>
      <c r="J319" s="88" t="str">
        <f ca="1">IFERROR(__xludf.DUMMYFUNCTION("""COMPUTED_VALUE"""),"U.A.E.")</f>
        <v>U.A.E.</v>
      </c>
      <c r="K319" s="89">
        <f ca="1">IFERROR(
  SUMIFS(
    'New Backfilled Data'!G:G,
    'New Backfilled Data'!A:A, I319,
    'New Backfilled Data'!D:D, J319,
    'New Backfilled Data'!E:E, "Online"
  ) /
  SUMIFS(
    'New Backfilled Data'!G:G,
    'New Backfilled Data'!A:A, I319,
    'New Backfilled Data'!D:D, J319
  ),
  ""
)</f>
        <v>0.22298413231652281</v>
      </c>
      <c r="L319" s="90"/>
      <c r="M319" s="90"/>
    </row>
    <row r="320" spans="1:13" ht="17" x14ac:dyDescent="0.2">
      <c r="A320" s="37">
        <v>2007</v>
      </c>
      <c r="B320" s="38" t="s">
        <v>66</v>
      </c>
      <c r="C320" s="38" t="s">
        <v>27</v>
      </c>
      <c r="D320" s="38" t="s">
        <v>31</v>
      </c>
      <c r="E320" s="38" t="s">
        <v>69</v>
      </c>
      <c r="F320" s="38" t="s">
        <v>71</v>
      </c>
      <c r="G320" s="79">
        <f ca="1">IFERROR(__xludf.DUMMYFUNCTION("IFERROR(
  IF(A320 = 2008,
    IF(E320 = ""Online"",
      FILTER('Raw PhocalPoint Data'!G:G,
        'Raw PhocalPoint Data'!A:A = 2009,
        'Raw PhocalPoint Data'!D:D = D320,
        'Raw PhocalPoint Data'!E:E = E320,
        'Raw PhocalPoint Data'!F"&amp;":F = F320
      ) /
      (
        FILTER('Raw PhocalPoint Data'!G:G,
          'Raw PhocalPoint Data'!A:A = 2012,
          'Raw PhocalPoint Data'!D:D = D320,
          'Raw PhocalPoint Data'!E:E = E320,
          'Raw PhocalPoint Data'!F:F = F320
     "&amp;"   ) /
        FILTER('Raw PhocalPoint Data'!G:G,
          'Raw PhocalPoint Data'!A:A = 2011,
          'Raw PhocalPoint Data'!D:D = D320,
          'Raw PhocalPoint Data'!E:E = E320,
          'Raw PhocalPoint Data'!F:F = F320
        )
      ),
      F"&amp;"ILTER('Raw PhocalPoint Data'!G:G,
        'Raw PhocalPoint Data'!A:A = 2009,
        'Raw PhocalPoint Data'!D:D = D320,
        'Raw PhocalPoint Data'!E:E = E320,
        'Raw PhocalPoint Data'!F:F = F320
      ) *
      (
        INDEX('Raw GDP data'!$I$"&amp;"2:$M$100,
          MATCH(D320, 'Raw GDP data'!$H$2:$H$100, 0),
          MATCH(2008, 'Raw GDP data'!$I$1:$M$1, 0)
        ) /
        INDEX('Raw GDP data'!$I$2:$M$100,
          MATCH(D320, 'Raw GDP data'!$H$2:$H$100, 0),
          MATCH(2009, 'Raw GDP d"&amp;"ata'!$I$1:$M$1, 0)
        )
      )
    ),
  IF(A320 &lt; 2008,
    (
      FILTER(G:G,
        A:A = 2008,
        D:D = D320,
        E:E = E320,
        F:F = F320
      ) /
      PRODUCT(
        ARRAYFORMULA(
          (
            (
              FIL"&amp;"TER('Raw PhocalPoint Data'!G:G,
                'Raw PhocalPoint Data'!A:A = 2012,
                'Raw PhocalPoint Data'!D:D = D320,
                'Raw PhocalPoint Data'!E:E = E320,
                'Raw PhocalPoint Data'!F:F = F320
              ) /
  "&amp;"            FILTER('Raw PhocalPoint Data'!G:G,
                'Raw PhocalPoint Data'!A:A = 2011,
                'Raw PhocalPoint Data'!D:D = D320,
                'Raw PhocalPoint Data'!E:E = E320,
                'Raw PhocalPoint Data'!F:F = F320
     "&amp;"         ) -
              ROW(INDIRECT(""1:"" &amp; (2008 - A320))) *
              (
                (
                  FILTER('Raw PhocalPoint Data'!G:G,
                    'Raw PhocalPoint Data'!A:A = 2012,
                    'Raw PhocalPoint Data'!D:D"&amp;" = D320,
                    'Raw PhocalPoint Data'!E:E = E320,
                    'Raw PhocalPoint Data'!F:F = F320
                  ) /
                  FILTER('Raw PhocalPoint Data'!G:G,
                    'Raw PhocalPoint Data'!A:A = 2011,
       "&amp;"             'Raw PhocalPoint Data'!D:D = D320,
                    'Raw PhocalPoint Data'!E:E = E320,
                    'Raw PhocalPoint Data'!F:F = F320
                  ) - 1
                ) / 5
              )
            )
          )
        )
"&amp;"      )
    ),
    (
      FILTER('Raw PhocalPoint Data'!G:G,
        'Raw PhocalPoint Data'!A:A = 2009,
        'Raw PhocalPoint Data'!D:D = D320,
        'Raw PhocalPoint Data'!E:E = E320,
        'Raw PhocalPoint Data'!F:F = F320
      ) /
      PRODUC"&amp;"T(
        ARRAYFORMULA(
          (
            FILTER('Raw PhocalPoint Data'!G:G,
              'Raw PhocalPoint Data'!A:A = 2012,
              'Raw PhocalPoint Data'!D:D = D320,
              'Raw PhocalPoint Data'!E:E = E320,
              'Raw Phoca"&amp;"lPoint Data'!F:F = F320
            ) /
            FILTER('Raw PhocalPoint Data'!G:G,
              'Raw PhocalPoint Data'!A:A = 2011,
              'Raw PhocalPoint Data'!D:D = D320,
              'Raw PhocalPoint Data'!E:E = E320,
              'Raw Ph"&amp;"ocalPoint Data'!F:F = F320
            ) -
            (ROW(INDIRECT(""1:"" &amp; (2010 - A320))) - 1) *
            (
              (
                FILTER('Raw PhocalPoint Data'!G:G,
                  'Raw PhocalPoint Data'!A:A = 2012,
                  'R"&amp;"aw PhocalPoint Data'!D:D = D320,
                  'Raw PhocalPoint Data'!E:E = E320,
                  'Raw PhocalPoint Data'!F:F = F320
                ) /
                FILTER('Raw PhocalPoint Data'!G:G,
                  'Raw PhocalPoint Data'!A:A ="&amp;" 2011,
                  'Raw PhocalPoint Data'!D:D = D320,
                  'Raw PhocalPoint Data'!E:E = E320,
                  'Raw PhocalPoint Data'!F:F = F320
                ) - 1
              ) / 5
            )
          )
        )
      )
    "&amp;") *
    INDEX('Raw GDP data'!$I$2:$M$100,
      MATCH(D320, 'Raw GDP data'!$H$2:$H$100, 0),
      MATCH(A320, 'Raw GDP data'!$I$1:$M$1, 0)
    )
  )),
  """"
)
"),1659484810.39536)</f>
        <v>1659484810.39536</v>
      </c>
      <c r="H320" s="80"/>
      <c r="I320" s="81">
        <f ca="1">IFERROR(__xludf.DUMMYFUNCTION("""COMPUTED_VALUE"""),2012)</f>
        <v>2012</v>
      </c>
      <c r="J320" s="82" t="str">
        <f ca="1">IFERROR(__xludf.DUMMYFUNCTION("""COMPUTED_VALUE"""),"Canada")</f>
        <v>Canada</v>
      </c>
      <c r="K320" s="83">
        <f ca="1">IFERROR(
  SUMIFS(
    'New Backfilled Data'!G:G,
    'New Backfilled Data'!A:A, I320,
    'New Backfilled Data'!D:D, J320,
    'New Backfilled Data'!E:E, "Online"
  ) /
  SUMIFS(
    'New Backfilled Data'!G:G,
    'New Backfilled Data'!A:A, I320,
    'New Backfilled Data'!D:D, J320
  ),
  ""
)</f>
        <v>0.35606431606417688</v>
      </c>
      <c r="L320" s="84"/>
      <c r="M320" s="84"/>
    </row>
    <row r="321" spans="1:13" ht="17" x14ac:dyDescent="0.2">
      <c r="A321" s="44">
        <v>2007</v>
      </c>
      <c r="B321" s="45" t="s">
        <v>66</v>
      </c>
      <c r="C321" s="45" t="s">
        <v>27</v>
      </c>
      <c r="D321" s="45" t="s">
        <v>31</v>
      </c>
      <c r="E321" s="45" t="s">
        <v>69</v>
      </c>
      <c r="F321" s="45" t="s">
        <v>70</v>
      </c>
      <c r="G321" s="85">
        <f ca="1">IFERROR(__xludf.DUMMYFUNCTION("IFERROR(
  IF(A321 = 2008,
    IF(E321 = ""Online"",
      FILTER('Raw PhocalPoint Data'!G:G,
        'Raw PhocalPoint Data'!A:A = 2009,
        'Raw PhocalPoint Data'!D:D = D321,
        'Raw PhocalPoint Data'!E:E = E321,
        'Raw PhocalPoint Data'!F"&amp;":F = F321
      ) /
      (
        FILTER('Raw PhocalPoint Data'!G:G,
          'Raw PhocalPoint Data'!A:A = 2012,
          'Raw PhocalPoint Data'!D:D = D321,
          'Raw PhocalPoint Data'!E:E = E321,
          'Raw PhocalPoint Data'!F:F = F321
     "&amp;"   ) /
        FILTER('Raw PhocalPoint Data'!G:G,
          'Raw PhocalPoint Data'!A:A = 2011,
          'Raw PhocalPoint Data'!D:D = D321,
          'Raw PhocalPoint Data'!E:E = E321,
          'Raw PhocalPoint Data'!F:F = F321
        )
      ),
      F"&amp;"ILTER('Raw PhocalPoint Data'!G:G,
        'Raw PhocalPoint Data'!A:A = 2009,
        'Raw PhocalPoint Data'!D:D = D321,
        'Raw PhocalPoint Data'!E:E = E321,
        'Raw PhocalPoint Data'!F:F = F321
      ) *
      (
        INDEX('Raw GDP data'!$I$"&amp;"2:$M$100,
          MATCH(D321, 'Raw GDP data'!$H$2:$H$100, 0),
          MATCH(2008, 'Raw GDP data'!$I$1:$M$1, 0)
        ) /
        INDEX('Raw GDP data'!$I$2:$M$100,
          MATCH(D321, 'Raw GDP data'!$H$2:$H$100, 0),
          MATCH(2009, 'Raw GDP d"&amp;"ata'!$I$1:$M$1, 0)
        )
      )
    ),
  IF(A321 &lt; 2008,
    (
      FILTER(G:G,
        A:A = 2008,
        D:D = D321,
        E:E = E321,
        F:F = F321
      ) /
      PRODUCT(
        ARRAYFORMULA(
          (
            (
              FIL"&amp;"TER('Raw PhocalPoint Data'!G:G,
                'Raw PhocalPoint Data'!A:A = 2012,
                'Raw PhocalPoint Data'!D:D = D321,
                'Raw PhocalPoint Data'!E:E = E321,
                'Raw PhocalPoint Data'!F:F = F321
              ) /
  "&amp;"            FILTER('Raw PhocalPoint Data'!G:G,
                'Raw PhocalPoint Data'!A:A = 2011,
                'Raw PhocalPoint Data'!D:D = D321,
                'Raw PhocalPoint Data'!E:E = E321,
                'Raw PhocalPoint Data'!F:F = F321
     "&amp;"         ) -
              ROW(INDIRECT(""1:"" &amp; (2008 - A321))) *
              (
                (
                  FILTER('Raw PhocalPoint Data'!G:G,
                    'Raw PhocalPoint Data'!A:A = 2012,
                    'Raw PhocalPoint Data'!D:D"&amp;" = D321,
                    'Raw PhocalPoint Data'!E:E = E321,
                    'Raw PhocalPoint Data'!F:F = F321
                  ) /
                  FILTER('Raw PhocalPoint Data'!G:G,
                    'Raw PhocalPoint Data'!A:A = 2011,
       "&amp;"             'Raw PhocalPoint Data'!D:D = D321,
                    'Raw PhocalPoint Data'!E:E = E321,
                    'Raw PhocalPoint Data'!F:F = F321
                  ) - 1
                ) / 5
              )
            )
          )
        )
"&amp;"      )
    ),
    (
      FILTER('Raw PhocalPoint Data'!G:G,
        'Raw PhocalPoint Data'!A:A = 2009,
        'Raw PhocalPoint Data'!D:D = D321,
        'Raw PhocalPoint Data'!E:E = E321,
        'Raw PhocalPoint Data'!F:F = F321
      ) /
      PRODUC"&amp;"T(
        ARRAYFORMULA(
          (
            FILTER('Raw PhocalPoint Data'!G:G,
              'Raw PhocalPoint Data'!A:A = 2012,
              'Raw PhocalPoint Data'!D:D = D321,
              'Raw PhocalPoint Data'!E:E = E321,
              'Raw Phoca"&amp;"lPoint Data'!F:F = F321
            ) /
            FILTER('Raw PhocalPoint Data'!G:G,
              'Raw PhocalPoint Data'!A:A = 2011,
              'Raw PhocalPoint Data'!D:D = D321,
              'Raw PhocalPoint Data'!E:E = E321,
              'Raw Ph"&amp;"ocalPoint Data'!F:F = F321
            ) -
            (ROW(INDIRECT(""1:"" &amp; (2010 - A321))) - 1) *
            (
              (
                FILTER('Raw PhocalPoint Data'!G:G,
                  'Raw PhocalPoint Data'!A:A = 2012,
                  'R"&amp;"aw PhocalPoint Data'!D:D = D321,
                  'Raw PhocalPoint Data'!E:E = E321,
                  'Raw PhocalPoint Data'!F:F = F321
                ) /
                FILTER('Raw PhocalPoint Data'!G:G,
                  'Raw PhocalPoint Data'!A:A ="&amp;" 2011,
                  'Raw PhocalPoint Data'!D:D = D321,
                  'Raw PhocalPoint Data'!E:E = E321,
                  'Raw PhocalPoint Data'!F:F = F321
                ) - 1
              ) / 5
            )
          )
        )
      )
    "&amp;") *
    INDEX('Raw GDP data'!$I$2:$M$100,
      MATCH(D321, 'Raw GDP data'!$H$2:$H$100, 0),
      MATCH(A321, 'Raw GDP data'!$I$1:$M$1, 0)
    )
  )),
  """"
)
"),4046575451.20715)</f>
        <v>4046575451.20715</v>
      </c>
      <c r="H321" s="86"/>
      <c r="I321" s="87">
        <f ca="1">IFERROR(__xludf.DUMMYFUNCTION("""COMPUTED_VALUE"""),2012)</f>
        <v>2012</v>
      </c>
      <c r="J321" s="88" t="str">
        <f ca="1">IFERROR(__xludf.DUMMYFUNCTION("""COMPUTED_VALUE"""),"U.S.")</f>
        <v>U.S.</v>
      </c>
      <c r="K321" s="89">
        <f ca="1">IFERROR(
  SUMIFS(
    'New Backfilled Data'!G:G,
    'New Backfilled Data'!A:A, I321,
    'New Backfilled Data'!D:D, J321,
    'New Backfilled Data'!E:E, "Online"
  ) /
  SUMIFS(
    'New Backfilled Data'!G:G,
    'New Backfilled Data'!A:A, I321,
    'New Backfilled Data'!D:D, J321
  ),
  ""
)</f>
        <v>0.41322913480991819</v>
      </c>
      <c r="L321" s="90"/>
      <c r="M321" s="90"/>
    </row>
    <row r="322" spans="1:13" ht="34" x14ac:dyDescent="0.2">
      <c r="A322" s="37">
        <v>2007</v>
      </c>
      <c r="B322" s="38" t="s">
        <v>66</v>
      </c>
      <c r="C322" s="38" t="s">
        <v>27</v>
      </c>
      <c r="D322" s="38" t="s">
        <v>32</v>
      </c>
      <c r="E322" s="38" t="s">
        <v>67</v>
      </c>
      <c r="F322" s="38" t="s">
        <v>67</v>
      </c>
      <c r="G322" s="79">
        <f ca="1">IFERROR(__xludf.DUMMYFUNCTION("IFERROR(
  IF(A322 = 2008,
    IF(E322 = ""Online"",
      FILTER('Raw PhocalPoint Data'!G:G,
        'Raw PhocalPoint Data'!A:A = 2009,
        'Raw PhocalPoint Data'!D:D = D322,
        'Raw PhocalPoint Data'!E:E = E322,
        'Raw PhocalPoint Data'!F"&amp;":F = F322
      ) /
      (
        FILTER('Raw PhocalPoint Data'!G:G,
          'Raw PhocalPoint Data'!A:A = 2012,
          'Raw PhocalPoint Data'!D:D = D322,
          'Raw PhocalPoint Data'!E:E = E322,
          'Raw PhocalPoint Data'!F:F = F322
     "&amp;"   ) /
        FILTER('Raw PhocalPoint Data'!G:G,
          'Raw PhocalPoint Data'!A:A = 2011,
          'Raw PhocalPoint Data'!D:D = D322,
          'Raw PhocalPoint Data'!E:E = E322,
          'Raw PhocalPoint Data'!F:F = F322
        )
      ),
      F"&amp;"ILTER('Raw PhocalPoint Data'!G:G,
        'Raw PhocalPoint Data'!A:A = 2009,
        'Raw PhocalPoint Data'!D:D = D322,
        'Raw PhocalPoint Data'!E:E = E322,
        'Raw PhocalPoint Data'!F:F = F322
      ) *
      (
        INDEX('Raw GDP data'!$I$"&amp;"2:$M$100,
          MATCH(D322, 'Raw GDP data'!$H$2:$H$100, 0),
          MATCH(2008, 'Raw GDP data'!$I$1:$M$1, 0)
        ) /
        INDEX('Raw GDP data'!$I$2:$M$100,
          MATCH(D322, 'Raw GDP data'!$H$2:$H$100, 0),
          MATCH(2009, 'Raw GDP d"&amp;"ata'!$I$1:$M$1, 0)
        )
      )
    ),
  IF(A322 &lt; 2008,
    (
      FILTER(G:G,
        A:A = 2008,
        D:D = D322,
        E:E = E322,
        F:F = F322
      ) /
      PRODUCT(
        ARRAYFORMULA(
          (
            (
              FIL"&amp;"TER('Raw PhocalPoint Data'!G:G,
                'Raw PhocalPoint Data'!A:A = 2012,
                'Raw PhocalPoint Data'!D:D = D322,
                'Raw PhocalPoint Data'!E:E = E322,
                'Raw PhocalPoint Data'!F:F = F322
              ) /
  "&amp;"            FILTER('Raw PhocalPoint Data'!G:G,
                'Raw PhocalPoint Data'!A:A = 2011,
                'Raw PhocalPoint Data'!D:D = D322,
                'Raw PhocalPoint Data'!E:E = E322,
                'Raw PhocalPoint Data'!F:F = F322
     "&amp;"         ) -
              ROW(INDIRECT(""1:"" &amp; (2008 - A322))) *
              (
                (
                  FILTER('Raw PhocalPoint Data'!G:G,
                    'Raw PhocalPoint Data'!A:A = 2012,
                    'Raw PhocalPoint Data'!D:D"&amp;" = D322,
                    'Raw PhocalPoint Data'!E:E = E322,
                    'Raw PhocalPoint Data'!F:F = F322
                  ) /
                  FILTER('Raw PhocalPoint Data'!G:G,
                    'Raw PhocalPoint Data'!A:A = 2011,
       "&amp;"             'Raw PhocalPoint Data'!D:D = D322,
                    'Raw PhocalPoint Data'!E:E = E322,
                    'Raw PhocalPoint Data'!F:F = F322
                  ) - 1
                ) / 5
              )
            )
          )
        )
"&amp;"      )
    ),
    (
      FILTER('Raw PhocalPoint Data'!G:G,
        'Raw PhocalPoint Data'!A:A = 2009,
        'Raw PhocalPoint Data'!D:D = D322,
        'Raw PhocalPoint Data'!E:E = E322,
        'Raw PhocalPoint Data'!F:F = F322
      ) /
      PRODUC"&amp;"T(
        ARRAYFORMULA(
          (
            FILTER('Raw PhocalPoint Data'!G:G,
              'Raw PhocalPoint Data'!A:A = 2012,
              'Raw PhocalPoint Data'!D:D = D322,
              'Raw PhocalPoint Data'!E:E = E322,
              'Raw Phoca"&amp;"lPoint Data'!F:F = F322
            ) /
            FILTER('Raw PhocalPoint Data'!G:G,
              'Raw PhocalPoint Data'!A:A = 2011,
              'Raw PhocalPoint Data'!D:D = D322,
              'Raw PhocalPoint Data'!E:E = E322,
              'Raw Ph"&amp;"ocalPoint Data'!F:F = F322
            ) -
            (ROW(INDIRECT(""1:"" &amp; (2010 - A322))) - 1) *
            (
              (
                FILTER('Raw PhocalPoint Data'!G:G,
                  'Raw PhocalPoint Data'!A:A = 2012,
                  'R"&amp;"aw PhocalPoint Data'!D:D = D322,
                  'Raw PhocalPoint Data'!E:E = E322,
                  'Raw PhocalPoint Data'!F:F = F322
                ) /
                FILTER('Raw PhocalPoint Data'!G:G,
                  'Raw PhocalPoint Data'!A:A ="&amp;" 2011,
                  'Raw PhocalPoint Data'!D:D = D322,
                  'Raw PhocalPoint Data'!E:E = E322,
                  'Raw PhocalPoint Data'!F:F = F322
                ) - 1
              ) / 5
            )
          )
        )
      )
    "&amp;") *
    INDEX('Raw GDP data'!$I$2:$M$100,
      MATCH(D322, 'Raw GDP data'!$H$2:$H$100, 0),
      MATCH(A322, 'Raw GDP data'!$I$1:$M$1, 0)
    )
  )),
  """"
)
"),25581245270.8996)</f>
        <v>25581245270.899601</v>
      </c>
      <c r="H322" s="80"/>
      <c r="I322" s="81">
        <f ca="1">IFERROR(__xludf.DUMMYFUNCTION("""COMPUTED_VALUE"""),2013)</f>
        <v>2013</v>
      </c>
      <c r="J322" s="82" t="str">
        <f ca="1">IFERROR(__xludf.DUMMYFUNCTION("""COMPUTED_VALUE"""),"Australia-New Zealand")</f>
        <v>Australia-New Zealand</v>
      </c>
      <c r="K322" s="83">
        <f ca="1">IFERROR(
  SUMIFS(
    'New Backfilled Data'!G:G,
    'New Backfilled Data'!A:A, I322,
    'New Backfilled Data'!D:D, J322,
    'New Backfilled Data'!E:E, "Online"
  ) /
  SUMIFS(
    'New Backfilled Data'!G:G,
    'New Backfilled Data'!A:A, I322,
    'New Backfilled Data'!D:D, J322
  ),
  ""
)</f>
        <v>0.3707344816447008</v>
      </c>
      <c r="L322" s="84"/>
      <c r="M322" s="84"/>
    </row>
    <row r="323" spans="1:13" ht="17" x14ac:dyDescent="0.2">
      <c r="A323" s="44">
        <v>2007</v>
      </c>
      <c r="B323" s="45" t="s">
        <v>66</v>
      </c>
      <c r="C323" s="45" t="s">
        <v>27</v>
      </c>
      <c r="D323" s="45" t="s">
        <v>32</v>
      </c>
      <c r="E323" s="45" t="s">
        <v>69</v>
      </c>
      <c r="F323" s="45" t="s">
        <v>71</v>
      </c>
      <c r="G323" s="85">
        <f ca="1">IFERROR(__xludf.DUMMYFUNCTION("IFERROR(
  IF(A323 = 2008,
    IF(E323 = ""Online"",
      FILTER('Raw PhocalPoint Data'!G:G,
        'Raw PhocalPoint Data'!A:A = 2009,
        'Raw PhocalPoint Data'!D:D = D323,
        'Raw PhocalPoint Data'!E:E = E323,
        'Raw PhocalPoint Data'!F"&amp;":F = F323
      ) /
      (
        FILTER('Raw PhocalPoint Data'!G:G,
          'Raw PhocalPoint Data'!A:A = 2012,
          'Raw PhocalPoint Data'!D:D = D323,
          'Raw PhocalPoint Data'!E:E = E323,
          'Raw PhocalPoint Data'!F:F = F323
     "&amp;"   ) /
        FILTER('Raw PhocalPoint Data'!G:G,
          'Raw PhocalPoint Data'!A:A = 2011,
          'Raw PhocalPoint Data'!D:D = D323,
          'Raw PhocalPoint Data'!E:E = E323,
          'Raw PhocalPoint Data'!F:F = F323
        )
      ),
      F"&amp;"ILTER('Raw PhocalPoint Data'!G:G,
        'Raw PhocalPoint Data'!A:A = 2009,
        'Raw PhocalPoint Data'!D:D = D323,
        'Raw PhocalPoint Data'!E:E = E323,
        'Raw PhocalPoint Data'!F:F = F323
      ) *
      (
        INDEX('Raw GDP data'!$I$"&amp;"2:$M$100,
          MATCH(D323, 'Raw GDP data'!$H$2:$H$100, 0),
          MATCH(2008, 'Raw GDP data'!$I$1:$M$1, 0)
        ) /
        INDEX('Raw GDP data'!$I$2:$M$100,
          MATCH(D323, 'Raw GDP data'!$H$2:$H$100, 0),
          MATCH(2009, 'Raw GDP d"&amp;"ata'!$I$1:$M$1, 0)
        )
      )
    ),
  IF(A323 &lt; 2008,
    (
      FILTER(G:G,
        A:A = 2008,
        D:D = D323,
        E:E = E323,
        F:F = F323
      ) /
      PRODUCT(
        ARRAYFORMULA(
          (
            (
              FIL"&amp;"TER('Raw PhocalPoint Data'!G:G,
                'Raw PhocalPoint Data'!A:A = 2012,
                'Raw PhocalPoint Data'!D:D = D323,
                'Raw PhocalPoint Data'!E:E = E323,
                'Raw PhocalPoint Data'!F:F = F323
              ) /
  "&amp;"            FILTER('Raw PhocalPoint Data'!G:G,
                'Raw PhocalPoint Data'!A:A = 2011,
                'Raw PhocalPoint Data'!D:D = D323,
                'Raw PhocalPoint Data'!E:E = E323,
                'Raw PhocalPoint Data'!F:F = F323
     "&amp;"         ) -
              ROW(INDIRECT(""1:"" &amp; (2008 - A323))) *
              (
                (
                  FILTER('Raw PhocalPoint Data'!G:G,
                    'Raw PhocalPoint Data'!A:A = 2012,
                    'Raw PhocalPoint Data'!D:D"&amp;" = D323,
                    'Raw PhocalPoint Data'!E:E = E323,
                    'Raw PhocalPoint Data'!F:F = F323
                  ) /
                  FILTER('Raw PhocalPoint Data'!G:G,
                    'Raw PhocalPoint Data'!A:A = 2011,
       "&amp;"             'Raw PhocalPoint Data'!D:D = D323,
                    'Raw PhocalPoint Data'!E:E = E323,
                    'Raw PhocalPoint Data'!F:F = F323
                  ) - 1
                ) / 5
              )
            )
          )
        )
"&amp;"      )
    ),
    (
      FILTER('Raw PhocalPoint Data'!G:G,
        'Raw PhocalPoint Data'!A:A = 2009,
        'Raw PhocalPoint Data'!D:D = D323,
        'Raw PhocalPoint Data'!E:E = E323,
        'Raw PhocalPoint Data'!F:F = F323
      ) /
      PRODUC"&amp;"T(
        ARRAYFORMULA(
          (
            FILTER('Raw PhocalPoint Data'!G:G,
              'Raw PhocalPoint Data'!A:A = 2012,
              'Raw PhocalPoint Data'!D:D = D323,
              'Raw PhocalPoint Data'!E:E = E323,
              'Raw Phoca"&amp;"lPoint Data'!F:F = F323
            ) /
            FILTER('Raw PhocalPoint Data'!G:G,
              'Raw PhocalPoint Data'!A:A = 2011,
              'Raw PhocalPoint Data'!D:D = D323,
              'Raw PhocalPoint Data'!E:E = E323,
              'Raw Ph"&amp;"ocalPoint Data'!F:F = F323
            ) -
            (ROW(INDIRECT(""1:"" &amp; (2010 - A323))) - 1) *
            (
              (
                FILTER('Raw PhocalPoint Data'!G:G,
                  'Raw PhocalPoint Data'!A:A = 2012,
                  'R"&amp;"aw PhocalPoint Data'!D:D = D323,
                  'Raw PhocalPoint Data'!E:E = E323,
                  'Raw PhocalPoint Data'!F:F = F323
                ) /
                FILTER('Raw PhocalPoint Data'!G:G,
                  'Raw PhocalPoint Data'!A:A ="&amp;" 2011,
                  'Raw PhocalPoint Data'!D:D = D323,
                  'Raw PhocalPoint Data'!E:E = E323,
                  'Raw PhocalPoint Data'!F:F = F323
                ) - 1
              ) / 5
            )
          )
        )
      )
    "&amp;") *
    INDEX('Raw GDP data'!$I$2:$M$100,
      MATCH(D323, 'Raw GDP data'!$H$2:$H$100, 0),
      MATCH(A323, 'Raw GDP data'!$I$1:$M$1, 0)
    )
  )),
  """"
)
"),2668556691.15747)</f>
        <v>2668556691.1574702</v>
      </c>
      <c r="H323" s="86"/>
      <c r="I323" s="87">
        <f ca="1">IFERROR(__xludf.DUMMYFUNCTION("""COMPUTED_VALUE"""),2013)</f>
        <v>2013</v>
      </c>
      <c r="J323" s="88" t="str">
        <f ca="1">IFERROR(__xludf.DUMMYFUNCTION("""COMPUTED_VALUE"""),"China")</f>
        <v>China</v>
      </c>
      <c r="K323" s="89">
        <f ca="1">IFERROR(
  SUMIFS(
    'New Backfilled Data'!G:G,
    'New Backfilled Data'!A:A, I323,
    'New Backfilled Data'!D:D, J323,
    'New Backfilled Data'!E:E, "Online"
  ) /
  SUMIFS(
    'New Backfilled Data'!G:G,
    'New Backfilled Data'!A:A, I323,
    'New Backfilled Data'!D:D, J323
  ),
  ""
)</f>
        <v>0.16622553585210681</v>
      </c>
      <c r="L323" s="90"/>
      <c r="M323" s="90"/>
    </row>
    <row r="324" spans="1:13" ht="17" x14ac:dyDescent="0.2">
      <c r="A324" s="37">
        <v>2007</v>
      </c>
      <c r="B324" s="38" t="s">
        <v>66</v>
      </c>
      <c r="C324" s="38" t="s">
        <v>27</v>
      </c>
      <c r="D324" s="38" t="s">
        <v>32</v>
      </c>
      <c r="E324" s="38" t="s">
        <v>69</v>
      </c>
      <c r="F324" s="38" t="s">
        <v>70</v>
      </c>
      <c r="G324" s="79">
        <f ca="1">IFERROR(__xludf.DUMMYFUNCTION("IFERROR(
  IF(A324 = 2008,
    IF(E324 = ""Online"",
      FILTER('Raw PhocalPoint Data'!G:G,
        'Raw PhocalPoint Data'!A:A = 2009,
        'Raw PhocalPoint Data'!D:D = D324,
        'Raw PhocalPoint Data'!E:E = E324,
        'Raw PhocalPoint Data'!F"&amp;":F = F324
      ) /
      (
        FILTER('Raw PhocalPoint Data'!G:G,
          'Raw PhocalPoint Data'!A:A = 2012,
          'Raw PhocalPoint Data'!D:D = D324,
          'Raw PhocalPoint Data'!E:E = E324,
          'Raw PhocalPoint Data'!F:F = F324
     "&amp;"   ) /
        FILTER('Raw PhocalPoint Data'!G:G,
          'Raw PhocalPoint Data'!A:A = 2011,
          'Raw PhocalPoint Data'!D:D = D324,
          'Raw PhocalPoint Data'!E:E = E324,
          'Raw PhocalPoint Data'!F:F = F324
        )
      ),
      F"&amp;"ILTER('Raw PhocalPoint Data'!G:G,
        'Raw PhocalPoint Data'!A:A = 2009,
        'Raw PhocalPoint Data'!D:D = D324,
        'Raw PhocalPoint Data'!E:E = E324,
        'Raw PhocalPoint Data'!F:F = F324
      ) *
      (
        INDEX('Raw GDP data'!$I$"&amp;"2:$M$100,
          MATCH(D324, 'Raw GDP data'!$H$2:$H$100, 0),
          MATCH(2008, 'Raw GDP data'!$I$1:$M$1, 0)
        ) /
        INDEX('Raw GDP data'!$I$2:$M$100,
          MATCH(D324, 'Raw GDP data'!$H$2:$H$100, 0),
          MATCH(2009, 'Raw GDP d"&amp;"ata'!$I$1:$M$1, 0)
        )
      )
    ),
  IF(A324 &lt; 2008,
    (
      FILTER(G:G,
        A:A = 2008,
        D:D = D324,
        E:E = E324,
        F:F = F324
      ) /
      PRODUCT(
        ARRAYFORMULA(
          (
            (
              FIL"&amp;"TER('Raw PhocalPoint Data'!G:G,
                'Raw PhocalPoint Data'!A:A = 2012,
                'Raw PhocalPoint Data'!D:D = D324,
                'Raw PhocalPoint Data'!E:E = E324,
                'Raw PhocalPoint Data'!F:F = F324
              ) /
  "&amp;"            FILTER('Raw PhocalPoint Data'!G:G,
                'Raw PhocalPoint Data'!A:A = 2011,
                'Raw PhocalPoint Data'!D:D = D324,
                'Raw PhocalPoint Data'!E:E = E324,
                'Raw PhocalPoint Data'!F:F = F324
     "&amp;"         ) -
              ROW(INDIRECT(""1:"" &amp; (2008 - A324))) *
              (
                (
                  FILTER('Raw PhocalPoint Data'!G:G,
                    'Raw PhocalPoint Data'!A:A = 2012,
                    'Raw PhocalPoint Data'!D:D"&amp;" = D324,
                    'Raw PhocalPoint Data'!E:E = E324,
                    'Raw PhocalPoint Data'!F:F = F324
                  ) /
                  FILTER('Raw PhocalPoint Data'!G:G,
                    'Raw PhocalPoint Data'!A:A = 2011,
       "&amp;"             'Raw PhocalPoint Data'!D:D = D324,
                    'Raw PhocalPoint Data'!E:E = E324,
                    'Raw PhocalPoint Data'!F:F = F324
                  ) - 1
                ) / 5
              )
            )
          )
        )
"&amp;"      )
    ),
    (
      FILTER('Raw PhocalPoint Data'!G:G,
        'Raw PhocalPoint Data'!A:A = 2009,
        'Raw PhocalPoint Data'!D:D = D324,
        'Raw PhocalPoint Data'!E:E = E324,
        'Raw PhocalPoint Data'!F:F = F324
      ) /
      PRODUC"&amp;"T(
        ARRAYFORMULA(
          (
            FILTER('Raw PhocalPoint Data'!G:G,
              'Raw PhocalPoint Data'!A:A = 2012,
              'Raw PhocalPoint Data'!D:D = D324,
              'Raw PhocalPoint Data'!E:E = E324,
              'Raw Phoca"&amp;"lPoint Data'!F:F = F324
            ) /
            FILTER('Raw PhocalPoint Data'!G:G,
              'Raw PhocalPoint Data'!A:A = 2011,
              'Raw PhocalPoint Data'!D:D = D324,
              'Raw PhocalPoint Data'!E:E = E324,
              'Raw Ph"&amp;"ocalPoint Data'!F:F = F324
            ) -
            (ROW(INDIRECT(""1:"" &amp; (2010 - A324))) - 1) *
            (
              (
                FILTER('Raw PhocalPoint Data'!G:G,
                  'Raw PhocalPoint Data'!A:A = 2012,
                  'R"&amp;"aw PhocalPoint Data'!D:D = D324,
                  'Raw PhocalPoint Data'!E:E = E324,
                  'Raw PhocalPoint Data'!F:F = F324
                ) /
                FILTER('Raw PhocalPoint Data'!G:G,
                  'Raw PhocalPoint Data'!A:A ="&amp;" 2011,
                  'Raw PhocalPoint Data'!D:D = D324,
                  'Raw PhocalPoint Data'!E:E = E324,
                  'Raw PhocalPoint Data'!F:F = F324
                ) - 1
              ) / 5
            )
          )
        )
      )
    "&amp;") *
    INDEX('Raw GDP data'!$I$2:$M$100,
      MATCH(D324, 'Raw GDP data'!$H$2:$H$100, 0),
      MATCH(A324, 'Raw GDP data'!$I$1:$M$1, 0)
    )
  )),
  """"
)
"),2132605232.77998)</f>
        <v>2132605232.7799799</v>
      </c>
      <c r="H324" s="80"/>
      <c r="I324" s="81">
        <f ca="1">IFERROR(__xludf.DUMMYFUNCTION("""COMPUTED_VALUE"""),2013)</f>
        <v>2013</v>
      </c>
      <c r="J324" s="82" t="str">
        <f ca="1">IFERROR(__xludf.DUMMYFUNCTION("""COMPUTED_VALUE"""),"Hong Kong")</f>
        <v>Hong Kong</v>
      </c>
      <c r="K324" s="83">
        <f ca="1">IFERROR(
  SUMIFS(
    'New Backfilled Data'!G:G,
    'New Backfilled Data'!A:A, I324,
    'New Backfilled Data'!D:D, J324,
    'New Backfilled Data'!E:E, "Online"
  ) /
  SUMIFS(
    'New Backfilled Data'!G:G,
    'New Backfilled Data'!A:A, I324,
    'New Backfilled Data'!D:D, J324
  ),
  ""
)</f>
        <v>0.10012014343206986</v>
      </c>
      <c r="L324" s="84"/>
      <c r="M324" s="84"/>
    </row>
    <row r="325" spans="1:13" ht="17" x14ac:dyDescent="0.2">
      <c r="A325" s="44">
        <v>2007</v>
      </c>
      <c r="B325" s="45" t="s">
        <v>66</v>
      </c>
      <c r="C325" s="45" t="s">
        <v>27</v>
      </c>
      <c r="D325" s="45" t="s">
        <v>33</v>
      </c>
      <c r="E325" s="45" t="s">
        <v>67</v>
      </c>
      <c r="F325" s="45" t="s">
        <v>67</v>
      </c>
      <c r="G325" s="85">
        <f ca="1">IFERROR(__xludf.DUMMYFUNCTION("IFERROR(
  IF(A325 = 2008,
    IF(E325 = ""Online"",
      FILTER('Raw PhocalPoint Data'!G:G,
        'Raw PhocalPoint Data'!A:A = 2009,
        'Raw PhocalPoint Data'!D:D = D325,
        'Raw PhocalPoint Data'!E:E = E325,
        'Raw PhocalPoint Data'!F"&amp;":F = F325
      ) /
      (
        FILTER('Raw PhocalPoint Data'!G:G,
          'Raw PhocalPoint Data'!A:A = 2012,
          'Raw PhocalPoint Data'!D:D = D325,
          'Raw PhocalPoint Data'!E:E = E325,
          'Raw PhocalPoint Data'!F:F = F325
     "&amp;"   ) /
        FILTER('Raw PhocalPoint Data'!G:G,
          'Raw PhocalPoint Data'!A:A = 2011,
          'Raw PhocalPoint Data'!D:D = D325,
          'Raw PhocalPoint Data'!E:E = E325,
          'Raw PhocalPoint Data'!F:F = F325
        )
      ),
      F"&amp;"ILTER('Raw PhocalPoint Data'!G:G,
        'Raw PhocalPoint Data'!A:A = 2009,
        'Raw PhocalPoint Data'!D:D = D325,
        'Raw PhocalPoint Data'!E:E = E325,
        'Raw PhocalPoint Data'!F:F = F325
      ) *
      (
        INDEX('Raw GDP data'!$I$"&amp;"2:$M$100,
          MATCH(D325, 'Raw GDP data'!$H$2:$H$100, 0),
          MATCH(2008, 'Raw GDP data'!$I$1:$M$1, 0)
        ) /
        INDEX('Raw GDP data'!$I$2:$M$100,
          MATCH(D325, 'Raw GDP data'!$H$2:$H$100, 0),
          MATCH(2009, 'Raw GDP d"&amp;"ata'!$I$1:$M$1, 0)
        )
      )
    ),
  IF(A325 &lt; 2008,
    (
      FILTER(G:G,
        A:A = 2008,
        D:D = D325,
        E:E = E325,
        F:F = F325
      ) /
      PRODUCT(
        ARRAYFORMULA(
          (
            (
              FIL"&amp;"TER('Raw PhocalPoint Data'!G:G,
                'Raw PhocalPoint Data'!A:A = 2012,
                'Raw PhocalPoint Data'!D:D = D325,
                'Raw PhocalPoint Data'!E:E = E325,
                'Raw PhocalPoint Data'!F:F = F325
              ) /
  "&amp;"            FILTER('Raw PhocalPoint Data'!G:G,
                'Raw PhocalPoint Data'!A:A = 2011,
                'Raw PhocalPoint Data'!D:D = D325,
                'Raw PhocalPoint Data'!E:E = E325,
                'Raw PhocalPoint Data'!F:F = F325
     "&amp;"         ) -
              ROW(INDIRECT(""1:"" &amp; (2008 - A325))) *
              (
                (
                  FILTER('Raw PhocalPoint Data'!G:G,
                    'Raw PhocalPoint Data'!A:A = 2012,
                    'Raw PhocalPoint Data'!D:D"&amp;" = D325,
                    'Raw PhocalPoint Data'!E:E = E325,
                    'Raw PhocalPoint Data'!F:F = F325
                  ) /
                  FILTER('Raw PhocalPoint Data'!G:G,
                    'Raw PhocalPoint Data'!A:A = 2011,
       "&amp;"             'Raw PhocalPoint Data'!D:D = D325,
                    'Raw PhocalPoint Data'!E:E = E325,
                    'Raw PhocalPoint Data'!F:F = F325
                  ) - 1
                ) / 5
              )
            )
          )
        )
"&amp;"      )
    ),
    (
      FILTER('Raw PhocalPoint Data'!G:G,
        'Raw PhocalPoint Data'!A:A = 2009,
        'Raw PhocalPoint Data'!D:D = D325,
        'Raw PhocalPoint Data'!E:E = E325,
        'Raw PhocalPoint Data'!F:F = F325
      ) /
      PRODUC"&amp;"T(
        ARRAYFORMULA(
          (
            FILTER('Raw PhocalPoint Data'!G:G,
              'Raw PhocalPoint Data'!A:A = 2012,
              'Raw PhocalPoint Data'!D:D = D325,
              'Raw PhocalPoint Data'!E:E = E325,
              'Raw Phoca"&amp;"lPoint Data'!F:F = F325
            ) /
            FILTER('Raw PhocalPoint Data'!G:G,
              'Raw PhocalPoint Data'!A:A = 2011,
              'Raw PhocalPoint Data'!D:D = D325,
              'Raw PhocalPoint Data'!E:E = E325,
              'Raw Ph"&amp;"ocalPoint Data'!F:F = F325
            ) -
            (ROW(INDIRECT(""1:"" &amp; (2010 - A325))) - 1) *
            (
              (
                FILTER('Raw PhocalPoint Data'!G:G,
                  'Raw PhocalPoint Data'!A:A = 2012,
                  'R"&amp;"aw PhocalPoint Data'!D:D = D325,
                  'Raw PhocalPoint Data'!E:E = E325,
                  'Raw PhocalPoint Data'!F:F = F325
                ) /
                FILTER('Raw PhocalPoint Data'!G:G,
                  'Raw PhocalPoint Data'!A:A ="&amp;" 2011,
                  'Raw PhocalPoint Data'!D:D = D325,
                  'Raw PhocalPoint Data'!E:E = E325,
                  'Raw PhocalPoint Data'!F:F = F325
                ) - 1
              ) / 5
            )
          )
        )
      )
    "&amp;") *
    INDEX('Raw GDP data'!$I$2:$M$100,
      MATCH(D325, 'Raw GDP data'!$H$2:$H$100, 0),
      MATCH(A325, 'Raw GDP data'!$I$1:$M$1, 0)
    )
  )),
  """"
)
"),38453194068.1814)</f>
        <v>38453194068.181396</v>
      </c>
      <c r="H325" s="86"/>
      <c r="I325" s="87">
        <f ca="1">IFERROR(__xludf.DUMMYFUNCTION("""COMPUTED_VALUE"""),2013)</f>
        <v>2013</v>
      </c>
      <c r="J325" s="88" t="str">
        <f ca="1">IFERROR(__xludf.DUMMYFUNCTION("""COMPUTED_VALUE"""),"India")</f>
        <v>India</v>
      </c>
      <c r="K325" s="89">
        <f ca="1">IFERROR(
  SUMIFS(
    'New Backfilled Data'!G:G,
    'New Backfilled Data'!A:A, I325,
    'New Backfilled Data'!D:D, J325,
    'New Backfilled Data'!E:E, "Online"
  ) /
  SUMIFS(
    'New Backfilled Data'!G:G,
    'New Backfilled Data'!A:A, I325,
    'New Backfilled Data'!D:D, J325
  ),
  ""
)</f>
        <v>0.29000583776407984</v>
      </c>
      <c r="L325" s="90"/>
      <c r="M325" s="90"/>
    </row>
    <row r="326" spans="1:13" ht="17" x14ac:dyDescent="0.2">
      <c r="A326" s="37">
        <v>2007</v>
      </c>
      <c r="B326" s="38" t="s">
        <v>66</v>
      </c>
      <c r="C326" s="38" t="s">
        <v>27</v>
      </c>
      <c r="D326" s="38" t="s">
        <v>33</v>
      </c>
      <c r="E326" s="38" t="s">
        <v>69</v>
      </c>
      <c r="F326" s="38" t="s">
        <v>71</v>
      </c>
      <c r="G326" s="79">
        <f ca="1">IFERROR(__xludf.DUMMYFUNCTION("IFERROR(
  IF(A326 = 2008,
    IF(E326 = ""Online"",
      FILTER('Raw PhocalPoint Data'!G:G,
        'Raw PhocalPoint Data'!A:A = 2009,
        'Raw PhocalPoint Data'!D:D = D326,
        'Raw PhocalPoint Data'!E:E = E326,
        'Raw PhocalPoint Data'!F"&amp;":F = F326
      ) /
      (
        FILTER('Raw PhocalPoint Data'!G:G,
          'Raw PhocalPoint Data'!A:A = 2012,
          'Raw PhocalPoint Data'!D:D = D326,
          'Raw PhocalPoint Data'!E:E = E326,
          'Raw PhocalPoint Data'!F:F = F326
     "&amp;"   ) /
        FILTER('Raw PhocalPoint Data'!G:G,
          'Raw PhocalPoint Data'!A:A = 2011,
          'Raw PhocalPoint Data'!D:D = D326,
          'Raw PhocalPoint Data'!E:E = E326,
          'Raw PhocalPoint Data'!F:F = F326
        )
      ),
      F"&amp;"ILTER('Raw PhocalPoint Data'!G:G,
        'Raw PhocalPoint Data'!A:A = 2009,
        'Raw PhocalPoint Data'!D:D = D326,
        'Raw PhocalPoint Data'!E:E = E326,
        'Raw PhocalPoint Data'!F:F = F326
      ) *
      (
        INDEX('Raw GDP data'!$I$"&amp;"2:$M$100,
          MATCH(D326, 'Raw GDP data'!$H$2:$H$100, 0),
          MATCH(2008, 'Raw GDP data'!$I$1:$M$1, 0)
        ) /
        INDEX('Raw GDP data'!$I$2:$M$100,
          MATCH(D326, 'Raw GDP data'!$H$2:$H$100, 0),
          MATCH(2009, 'Raw GDP d"&amp;"ata'!$I$1:$M$1, 0)
        )
      )
    ),
  IF(A326 &lt; 2008,
    (
      FILTER(G:G,
        A:A = 2008,
        D:D = D326,
        E:E = E326,
        F:F = F326
      ) /
      PRODUCT(
        ARRAYFORMULA(
          (
            (
              FIL"&amp;"TER('Raw PhocalPoint Data'!G:G,
                'Raw PhocalPoint Data'!A:A = 2012,
                'Raw PhocalPoint Data'!D:D = D326,
                'Raw PhocalPoint Data'!E:E = E326,
                'Raw PhocalPoint Data'!F:F = F326
              ) /
  "&amp;"            FILTER('Raw PhocalPoint Data'!G:G,
                'Raw PhocalPoint Data'!A:A = 2011,
                'Raw PhocalPoint Data'!D:D = D326,
                'Raw PhocalPoint Data'!E:E = E326,
                'Raw PhocalPoint Data'!F:F = F326
     "&amp;"         ) -
              ROW(INDIRECT(""1:"" &amp; (2008 - A326))) *
              (
                (
                  FILTER('Raw PhocalPoint Data'!G:G,
                    'Raw PhocalPoint Data'!A:A = 2012,
                    'Raw PhocalPoint Data'!D:D"&amp;" = D326,
                    'Raw PhocalPoint Data'!E:E = E326,
                    'Raw PhocalPoint Data'!F:F = F326
                  ) /
                  FILTER('Raw PhocalPoint Data'!G:G,
                    'Raw PhocalPoint Data'!A:A = 2011,
       "&amp;"             'Raw PhocalPoint Data'!D:D = D326,
                    'Raw PhocalPoint Data'!E:E = E326,
                    'Raw PhocalPoint Data'!F:F = F326
                  ) - 1
                ) / 5
              )
            )
          )
        )
"&amp;"      )
    ),
    (
      FILTER('Raw PhocalPoint Data'!G:G,
        'Raw PhocalPoint Data'!A:A = 2009,
        'Raw PhocalPoint Data'!D:D = D326,
        'Raw PhocalPoint Data'!E:E = E326,
        'Raw PhocalPoint Data'!F:F = F326
      ) /
      PRODUC"&amp;"T(
        ARRAYFORMULA(
          (
            FILTER('Raw PhocalPoint Data'!G:G,
              'Raw PhocalPoint Data'!A:A = 2012,
              'Raw PhocalPoint Data'!D:D = D326,
              'Raw PhocalPoint Data'!E:E = E326,
              'Raw Phoca"&amp;"lPoint Data'!F:F = F326
            ) /
            FILTER('Raw PhocalPoint Data'!G:G,
              'Raw PhocalPoint Data'!A:A = 2011,
              'Raw PhocalPoint Data'!D:D = D326,
              'Raw PhocalPoint Data'!E:E = E326,
              'Raw Ph"&amp;"ocalPoint Data'!F:F = F326
            ) -
            (ROW(INDIRECT(""1:"" &amp; (2010 - A326))) - 1) *
            (
              (
                FILTER('Raw PhocalPoint Data'!G:G,
                  'Raw PhocalPoint Data'!A:A = 2012,
                  'R"&amp;"aw PhocalPoint Data'!D:D = D326,
                  'Raw PhocalPoint Data'!E:E = E326,
                  'Raw PhocalPoint Data'!F:F = F326
                ) /
                FILTER('Raw PhocalPoint Data'!G:G,
                  'Raw PhocalPoint Data'!A:A ="&amp;" 2011,
                  'Raw PhocalPoint Data'!D:D = D326,
                  'Raw PhocalPoint Data'!E:E = E326,
                  'Raw PhocalPoint Data'!F:F = F326
                ) - 1
              ) / 5
            )
          )
        )
      )
    "&amp;") *
    INDEX('Raw GDP data'!$I$2:$M$100,
      MATCH(D326, 'Raw GDP data'!$H$2:$H$100, 0),
      MATCH(A326, 'Raw GDP data'!$I$1:$M$1, 0)
    )
  )),
  """"
)
"),3456550747.77452)</f>
        <v>3456550747.7745199</v>
      </c>
      <c r="H326" s="80"/>
      <c r="I326" s="81">
        <f ca="1">IFERROR(__xludf.DUMMYFUNCTION("""COMPUTED_VALUE"""),2013)</f>
        <v>2013</v>
      </c>
      <c r="J326" s="82" t="str">
        <f ca="1">IFERROR(__xludf.DUMMYFUNCTION("""COMPUTED_VALUE"""),"Indonesia")</f>
        <v>Indonesia</v>
      </c>
      <c r="K326" s="83">
        <f ca="1">IFERROR(
  SUMIFS(
    'New Backfilled Data'!G:G,
    'New Backfilled Data'!A:A, I326,
    'New Backfilled Data'!D:D, J326,
    'New Backfilled Data'!E:E, "Online"
  ) /
  SUMIFS(
    'New Backfilled Data'!G:G,
    'New Backfilled Data'!A:A, I326,
    'New Backfilled Data'!D:D, J326
  ),
  ""
)</f>
        <v>8.7823550850622184E-2</v>
      </c>
      <c r="L326" s="84"/>
      <c r="M326" s="84"/>
    </row>
    <row r="327" spans="1:13" ht="17" x14ac:dyDescent="0.2">
      <c r="A327" s="44">
        <v>2007</v>
      </c>
      <c r="B327" s="45" t="s">
        <v>66</v>
      </c>
      <c r="C327" s="45" t="s">
        <v>27</v>
      </c>
      <c r="D327" s="45" t="s">
        <v>33</v>
      </c>
      <c r="E327" s="45" t="s">
        <v>69</v>
      </c>
      <c r="F327" s="45" t="s">
        <v>70</v>
      </c>
      <c r="G327" s="85">
        <f ca="1">IFERROR(__xludf.DUMMYFUNCTION("IFERROR(
  IF(A327 = 2008,
    IF(E327 = ""Online"",
      FILTER('Raw PhocalPoint Data'!G:G,
        'Raw PhocalPoint Data'!A:A = 2009,
        'Raw PhocalPoint Data'!D:D = D327,
        'Raw PhocalPoint Data'!E:E = E327,
        'Raw PhocalPoint Data'!F"&amp;":F = F327
      ) /
      (
        FILTER('Raw PhocalPoint Data'!G:G,
          'Raw PhocalPoint Data'!A:A = 2012,
          'Raw PhocalPoint Data'!D:D = D327,
          'Raw PhocalPoint Data'!E:E = E327,
          'Raw PhocalPoint Data'!F:F = F327
     "&amp;"   ) /
        FILTER('Raw PhocalPoint Data'!G:G,
          'Raw PhocalPoint Data'!A:A = 2011,
          'Raw PhocalPoint Data'!D:D = D327,
          'Raw PhocalPoint Data'!E:E = E327,
          'Raw PhocalPoint Data'!F:F = F327
        )
      ),
      F"&amp;"ILTER('Raw PhocalPoint Data'!G:G,
        'Raw PhocalPoint Data'!A:A = 2009,
        'Raw PhocalPoint Data'!D:D = D327,
        'Raw PhocalPoint Data'!E:E = E327,
        'Raw PhocalPoint Data'!F:F = F327
      ) *
      (
        INDEX('Raw GDP data'!$I$"&amp;"2:$M$100,
          MATCH(D327, 'Raw GDP data'!$H$2:$H$100, 0),
          MATCH(2008, 'Raw GDP data'!$I$1:$M$1, 0)
        ) /
        INDEX('Raw GDP data'!$I$2:$M$100,
          MATCH(D327, 'Raw GDP data'!$H$2:$H$100, 0),
          MATCH(2009, 'Raw GDP d"&amp;"ata'!$I$1:$M$1, 0)
        )
      )
    ),
  IF(A327 &lt; 2008,
    (
      FILTER(G:G,
        A:A = 2008,
        D:D = D327,
        E:E = E327,
        F:F = F327
      ) /
      PRODUCT(
        ARRAYFORMULA(
          (
            (
              FIL"&amp;"TER('Raw PhocalPoint Data'!G:G,
                'Raw PhocalPoint Data'!A:A = 2012,
                'Raw PhocalPoint Data'!D:D = D327,
                'Raw PhocalPoint Data'!E:E = E327,
                'Raw PhocalPoint Data'!F:F = F327
              ) /
  "&amp;"            FILTER('Raw PhocalPoint Data'!G:G,
                'Raw PhocalPoint Data'!A:A = 2011,
                'Raw PhocalPoint Data'!D:D = D327,
                'Raw PhocalPoint Data'!E:E = E327,
                'Raw PhocalPoint Data'!F:F = F327
     "&amp;"         ) -
              ROW(INDIRECT(""1:"" &amp; (2008 - A327))) *
              (
                (
                  FILTER('Raw PhocalPoint Data'!G:G,
                    'Raw PhocalPoint Data'!A:A = 2012,
                    'Raw PhocalPoint Data'!D:D"&amp;" = D327,
                    'Raw PhocalPoint Data'!E:E = E327,
                    'Raw PhocalPoint Data'!F:F = F327
                  ) /
                  FILTER('Raw PhocalPoint Data'!G:G,
                    'Raw PhocalPoint Data'!A:A = 2011,
       "&amp;"             'Raw PhocalPoint Data'!D:D = D327,
                    'Raw PhocalPoint Data'!E:E = E327,
                    'Raw PhocalPoint Data'!F:F = F327
                  ) - 1
                ) / 5
              )
            )
          )
        )
"&amp;"      )
    ),
    (
      FILTER('Raw PhocalPoint Data'!G:G,
        'Raw PhocalPoint Data'!A:A = 2009,
        'Raw PhocalPoint Data'!D:D = D327,
        'Raw PhocalPoint Data'!E:E = E327,
        'Raw PhocalPoint Data'!F:F = F327
      ) /
      PRODUC"&amp;"T(
        ARRAYFORMULA(
          (
            FILTER('Raw PhocalPoint Data'!G:G,
              'Raw PhocalPoint Data'!A:A = 2012,
              'Raw PhocalPoint Data'!D:D = D327,
              'Raw PhocalPoint Data'!E:E = E327,
              'Raw Phoca"&amp;"lPoint Data'!F:F = F327
            ) /
            FILTER('Raw PhocalPoint Data'!G:G,
              'Raw PhocalPoint Data'!A:A = 2011,
              'Raw PhocalPoint Data'!D:D = D327,
              'Raw PhocalPoint Data'!E:E = E327,
              'Raw Ph"&amp;"ocalPoint Data'!F:F = F327
            ) -
            (ROW(INDIRECT(""1:"" &amp; (2010 - A327))) - 1) *
            (
              (
                FILTER('Raw PhocalPoint Data'!G:G,
                  'Raw PhocalPoint Data'!A:A = 2012,
                  'R"&amp;"aw PhocalPoint Data'!D:D = D327,
                  'Raw PhocalPoint Data'!E:E = E327,
                  'Raw PhocalPoint Data'!F:F = F327
                ) /
                FILTER('Raw PhocalPoint Data'!G:G,
                  'Raw PhocalPoint Data'!A:A ="&amp;" 2011,
                  'Raw PhocalPoint Data'!D:D = D327,
                  'Raw PhocalPoint Data'!E:E = E327,
                  'Raw PhocalPoint Data'!F:F = F327
                ) - 1
              ) / 5
            )
          )
        )
      )
    "&amp;") *
    INDEX('Raw GDP data'!$I$2:$M$100,
      MATCH(D327, 'Raw GDP data'!$H$2:$H$100, 0),
      MATCH(A327, 'Raw GDP data'!$I$1:$M$1, 0)
    )
  )),
  """"
)
"),11647261289.9663)</f>
        <v>11647261289.966299</v>
      </c>
      <c r="H327" s="86"/>
      <c r="I327" s="87">
        <f ca="1">IFERROR(__xludf.DUMMYFUNCTION("""COMPUTED_VALUE"""),2013)</f>
        <v>2013</v>
      </c>
      <c r="J327" s="88" t="str">
        <f ca="1">IFERROR(__xludf.DUMMYFUNCTION("""COMPUTED_VALUE"""),"Japan")</f>
        <v>Japan</v>
      </c>
      <c r="K327" s="89">
        <f ca="1">IFERROR(
  SUMIFS(
    'New Backfilled Data'!G:G,
    'New Backfilled Data'!A:A, I327,
    'New Backfilled Data'!D:D, J327,
    'New Backfilled Data'!E:E, "Online"
  ) /
  SUMIFS(
    'New Backfilled Data'!G:G,
    'New Backfilled Data'!A:A, I327,
    'New Backfilled Data'!D:D, J327
  ),
  ""
)</f>
        <v>0.33095389519656299</v>
      </c>
      <c r="L327" s="90"/>
      <c r="M327" s="90"/>
    </row>
    <row r="328" spans="1:13" ht="17" x14ac:dyDescent="0.2">
      <c r="A328" s="37">
        <v>2007</v>
      </c>
      <c r="B328" s="38" t="s">
        <v>66</v>
      </c>
      <c r="C328" s="38" t="s">
        <v>35</v>
      </c>
      <c r="D328" s="38" t="s">
        <v>34</v>
      </c>
      <c r="E328" s="38" t="s">
        <v>67</v>
      </c>
      <c r="F328" s="38" t="s">
        <v>67</v>
      </c>
      <c r="G328" s="79">
        <f ca="1">IFERROR(__xludf.DUMMYFUNCTION("IFERROR(
  IF(A328 = 2008,
    IF(E328 = ""Online"",
      FILTER('Raw PhocalPoint Data'!G:G,
        'Raw PhocalPoint Data'!A:A = 2009,
        'Raw PhocalPoint Data'!D:D = D328,
        'Raw PhocalPoint Data'!E:E = E328,
        'Raw PhocalPoint Data'!F"&amp;":F = F328
      ) /
      (
        FILTER('Raw PhocalPoint Data'!G:G,
          'Raw PhocalPoint Data'!A:A = 2012,
          'Raw PhocalPoint Data'!D:D = D328,
          'Raw PhocalPoint Data'!E:E = E328,
          'Raw PhocalPoint Data'!F:F = F328
     "&amp;"   ) /
        FILTER('Raw PhocalPoint Data'!G:G,
          'Raw PhocalPoint Data'!A:A = 2011,
          'Raw PhocalPoint Data'!D:D = D328,
          'Raw PhocalPoint Data'!E:E = E328,
          'Raw PhocalPoint Data'!F:F = F328
        )
      ),
      F"&amp;"ILTER('Raw PhocalPoint Data'!G:G,
        'Raw PhocalPoint Data'!A:A = 2009,
        'Raw PhocalPoint Data'!D:D = D328,
        'Raw PhocalPoint Data'!E:E = E328,
        'Raw PhocalPoint Data'!F:F = F328
      ) *
      (
        INDEX('Raw GDP data'!$I$"&amp;"2:$M$100,
          MATCH(D328, 'Raw GDP data'!$H$2:$H$100, 0),
          MATCH(2008, 'Raw GDP data'!$I$1:$M$1, 0)
        ) /
        INDEX('Raw GDP data'!$I$2:$M$100,
          MATCH(D328, 'Raw GDP data'!$H$2:$H$100, 0),
          MATCH(2009, 'Raw GDP d"&amp;"ata'!$I$1:$M$1, 0)
        )
      )
    ),
  IF(A328 &lt; 2008,
    (
      FILTER(G:G,
        A:A = 2008,
        D:D = D328,
        E:E = E328,
        F:F = F328
      ) /
      PRODUCT(
        ARRAYFORMULA(
          (
            (
              FIL"&amp;"TER('Raw PhocalPoint Data'!G:G,
                'Raw PhocalPoint Data'!A:A = 2012,
                'Raw PhocalPoint Data'!D:D = D328,
                'Raw PhocalPoint Data'!E:E = E328,
                'Raw PhocalPoint Data'!F:F = F328
              ) /
  "&amp;"            FILTER('Raw PhocalPoint Data'!G:G,
                'Raw PhocalPoint Data'!A:A = 2011,
                'Raw PhocalPoint Data'!D:D = D328,
                'Raw PhocalPoint Data'!E:E = E328,
                'Raw PhocalPoint Data'!F:F = F328
     "&amp;"         ) -
              ROW(INDIRECT(""1:"" &amp; (2008 - A328))) *
              (
                (
                  FILTER('Raw PhocalPoint Data'!G:G,
                    'Raw PhocalPoint Data'!A:A = 2012,
                    'Raw PhocalPoint Data'!D:D"&amp;" = D328,
                    'Raw PhocalPoint Data'!E:E = E328,
                    'Raw PhocalPoint Data'!F:F = F328
                  ) /
                  FILTER('Raw PhocalPoint Data'!G:G,
                    'Raw PhocalPoint Data'!A:A = 2011,
       "&amp;"             'Raw PhocalPoint Data'!D:D = D328,
                    'Raw PhocalPoint Data'!E:E = E328,
                    'Raw PhocalPoint Data'!F:F = F328
                  ) - 1
                ) / 5
              )
            )
          )
        )
"&amp;"      )
    ),
    (
      FILTER('Raw PhocalPoint Data'!G:G,
        'Raw PhocalPoint Data'!A:A = 2009,
        'Raw PhocalPoint Data'!D:D = D328,
        'Raw PhocalPoint Data'!E:E = E328,
        'Raw PhocalPoint Data'!F:F = F328
      ) /
      PRODUC"&amp;"T(
        ARRAYFORMULA(
          (
            FILTER('Raw PhocalPoint Data'!G:G,
              'Raw PhocalPoint Data'!A:A = 2012,
              'Raw PhocalPoint Data'!D:D = D328,
              'Raw PhocalPoint Data'!E:E = E328,
              'Raw Phoca"&amp;"lPoint Data'!F:F = F328
            ) /
            FILTER('Raw PhocalPoint Data'!G:G,
              'Raw PhocalPoint Data'!A:A = 2011,
              'Raw PhocalPoint Data'!D:D = D328,
              'Raw PhocalPoint Data'!E:E = E328,
              'Raw Ph"&amp;"ocalPoint Data'!F:F = F328
            ) -
            (ROW(INDIRECT(""1:"" &amp; (2010 - A328))) - 1) *
            (
              (
                FILTER('Raw PhocalPoint Data'!G:G,
                  'Raw PhocalPoint Data'!A:A = 2012,
                  'R"&amp;"aw PhocalPoint Data'!D:D = D328,
                  'Raw PhocalPoint Data'!E:E = E328,
                  'Raw PhocalPoint Data'!F:F = F328
                ) /
                FILTER('Raw PhocalPoint Data'!G:G,
                  'Raw PhocalPoint Data'!A:A ="&amp;" 2011,
                  'Raw PhocalPoint Data'!D:D = D328,
                  'Raw PhocalPoint Data'!E:E = E328,
                  'Raw PhocalPoint Data'!F:F = F328
                ) - 1
              ) / 5
            )
          )
        )
      )
    "&amp;") *
    INDEX('Raw GDP data'!$I$2:$M$100,
      MATCH(D328, 'Raw GDP data'!$H$2:$H$100, 0),
      MATCH(A328, 'Raw GDP data'!$I$1:$M$1, 0)
    )
  )),
  """"
)
"),9879962039.66803)</f>
        <v>9879962039.6680298</v>
      </c>
      <c r="H328" s="80"/>
      <c r="I328" s="81">
        <f ca="1">IFERROR(__xludf.DUMMYFUNCTION("""COMPUTED_VALUE"""),2013)</f>
        <v>2013</v>
      </c>
      <c r="J328" s="82" t="str">
        <f ca="1">IFERROR(__xludf.DUMMYFUNCTION("""COMPUTED_VALUE"""),"Macau")</f>
        <v>Macau</v>
      </c>
      <c r="K328" s="83">
        <f ca="1">IFERROR(
  SUMIFS(
    'New Backfilled Data'!G:G,
    'New Backfilled Data'!A:A, I328,
    'New Backfilled Data'!D:D, J328,
    'New Backfilled Data'!E:E, "Online"
  ) /
  SUMIFS(
    'New Backfilled Data'!G:G,
    'New Backfilled Data'!A:A, I328,
    'New Backfilled Data'!D:D, J328
  ),
  ""
)</f>
        <v>7.249999985344753E-2</v>
      </c>
      <c r="L328" s="84"/>
      <c r="M328" s="84"/>
    </row>
    <row r="329" spans="1:13" ht="17" x14ac:dyDescent="0.2">
      <c r="A329" s="44">
        <v>2007</v>
      </c>
      <c r="B329" s="45" t="s">
        <v>66</v>
      </c>
      <c r="C329" s="45" t="s">
        <v>35</v>
      </c>
      <c r="D329" s="45" t="s">
        <v>34</v>
      </c>
      <c r="E329" s="45" t="s">
        <v>69</v>
      </c>
      <c r="F329" s="45" t="s">
        <v>71</v>
      </c>
      <c r="G329" s="85">
        <f ca="1">IFERROR(__xludf.DUMMYFUNCTION("IFERROR(
  IF(A329 = 2008,
    IF(E329 = ""Online"",
      FILTER('Raw PhocalPoint Data'!G:G,
        'Raw PhocalPoint Data'!A:A = 2009,
        'Raw PhocalPoint Data'!D:D = D329,
        'Raw PhocalPoint Data'!E:E = E329,
        'Raw PhocalPoint Data'!F"&amp;":F = F329
      ) /
      (
        FILTER('Raw PhocalPoint Data'!G:G,
          'Raw PhocalPoint Data'!A:A = 2012,
          'Raw PhocalPoint Data'!D:D = D329,
          'Raw PhocalPoint Data'!E:E = E329,
          'Raw PhocalPoint Data'!F:F = F329
     "&amp;"   ) /
        FILTER('Raw PhocalPoint Data'!G:G,
          'Raw PhocalPoint Data'!A:A = 2011,
          'Raw PhocalPoint Data'!D:D = D329,
          'Raw PhocalPoint Data'!E:E = E329,
          'Raw PhocalPoint Data'!F:F = F329
        )
      ),
      F"&amp;"ILTER('Raw PhocalPoint Data'!G:G,
        'Raw PhocalPoint Data'!A:A = 2009,
        'Raw PhocalPoint Data'!D:D = D329,
        'Raw PhocalPoint Data'!E:E = E329,
        'Raw PhocalPoint Data'!F:F = F329
      ) *
      (
        INDEX('Raw GDP data'!$I$"&amp;"2:$M$100,
          MATCH(D329, 'Raw GDP data'!$H$2:$H$100, 0),
          MATCH(2008, 'Raw GDP data'!$I$1:$M$1, 0)
        ) /
        INDEX('Raw GDP data'!$I$2:$M$100,
          MATCH(D329, 'Raw GDP data'!$H$2:$H$100, 0),
          MATCH(2009, 'Raw GDP d"&amp;"ata'!$I$1:$M$1, 0)
        )
      )
    ),
  IF(A329 &lt; 2008,
    (
      FILTER(G:G,
        A:A = 2008,
        D:D = D329,
        E:E = E329,
        F:F = F329
      ) /
      PRODUCT(
        ARRAYFORMULA(
          (
            (
              FIL"&amp;"TER('Raw PhocalPoint Data'!G:G,
                'Raw PhocalPoint Data'!A:A = 2012,
                'Raw PhocalPoint Data'!D:D = D329,
                'Raw PhocalPoint Data'!E:E = E329,
                'Raw PhocalPoint Data'!F:F = F329
              ) /
  "&amp;"            FILTER('Raw PhocalPoint Data'!G:G,
                'Raw PhocalPoint Data'!A:A = 2011,
                'Raw PhocalPoint Data'!D:D = D329,
                'Raw PhocalPoint Data'!E:E = E329,
                'Raw PhocalPoint Data'!F:F = F329
     "&amp;"         ) -
              ROW(INDIRECT(""1:"" &amp; (2008 - A329))) *
              (
                (
                  FILTER('Raw PhocalPoint Data'!G:G,
                    'Raw PhocalPoint Data'!A:A = 2012,
                    'Raw PhocalPoint Data'!D:D"&amp;" = D329,
                    'Raw PhocalPoint Data'!E:E = E329,
                    'Raw PhocalPoint Data'!F:F = F329
                  ) /
                  FILTER('Raw PhocalPoint Data'!G:G,
                    'Raw PhocalPoint Data'!A:A = 2011,
       "&amp;"             'Raw PhocalPoint Data'!D:D = D329,
                    'Raw PhocalPoint Data'!E:E = E329,
                    'Raw PhocalPoint Data'!F:F = F329
                  ) - 1
                ) / 5
              )
            )
          )
        )
"&amp;"      )
    ),
    (
      FILTER('Raw PhocalPoint Data'!G:G,
        'Raw PhocalPoint Data'!A:A = 2009,
        'Raw PhocalPoint Data'!D:D = D329,
        'Raw PhocalPoint Data'!E:E = E329,
        'Raw PhocalPoint Data'!F:F = F329
      ) /
      PRODUC"&amp;"T(
        ARRAYFORMULA(
          (
            FILTER('Raw PhocalPoint Data'!G:G,
              'Raw PhocalPoint Data'!A:A = 2012,
              'Raw PhocalPoint Data'!D:D = D329,
              'Raw PhocalPoint Data'!E:E = E329,
              'Raw Phoca"&amp;"lPoint Data'!F:F = F329
            ) /
            FILTER('Raw PhocalPoint Data'!G:G,
              'Raw PhocalPoint Data'!A:A = 2011,
              'Raw PhocalPoint Data'!D:D = D329,
              'Raw PhocalPoint Data'!E:E = E329,
              'Raw Ph"&amp;"ocalPoint Data'!F:F = F329
            ) -
            (ROW(INDIRECT(""1:"" &amp; (2010 - A329))) - 1) *
            (
              (
                FILTER('Raw PhocalPoint Data'!G:G,
                  'Raw PhocalPoint Data'!A:A = 2012,
                  'R"&amp;"aw PhocalPoint Data'!D:D = D329,
                  'Raw PhocalPoint Data'!E:E = E329,
                  'Raw PhocalPoint Data'!F:F = F329
                ) /
                FILTER('Raw PhocalPoint Data'!G:G,
                  'Raw PhocalPoint Data'!A:A ="&amp;" 2011,
                  'Raw PhocalPoint Data'!D:D = D329,
                  'Raw PhocalPoint Data'!E:E = E329,
                  'Raw PhocalPoint Data'!F:F = F329
                ) - 1
              ) / 5
            )
          )
        )
      )
    "&amp;") *
    INDEX('Raw GDP data'!$I$2:$M$100,
      MATCH(D329, 'Raw GDP data'!$H$2:$H$100, 0),
      MATCH(A329, 'Raw GDP data'!$I$1:$M$1, 0)
    )
  )),
  """"
)
"),138868088.111349)</f>
        <v>138868088.11134899</v>
      </c>
      <c r="H329" s="86"/>
      <c r="I329" s="87">
        <f ca="1">IFERROR(__xludf.DUMMYFUNCTION("""COMPUTED_VALUE"""),2013)</f>
        <v>2013</v>
      </c>
      <c r="J329" s="88" t="str">
        <f ca="1">IFERROR(__xludf.DUMMYFUNCTION("""COMPUTED_VALUE"""),"Malaysia")</f>
        <v>Malaysia</v>
      </c>
      <c r="K329" s="89">
        <f ca="1">IFERROR(
  SUMIFS(
    'New Backfilled Data'!G:G,
    'New Backfilled Data'!A:A, I329,
    'New Backfilled Data'!D:D, J329,
    'New Backfilled Data'!E:E, "Online"
  ) /
  SUMIFS(
    'New Backfilled Data'!G:G,
    'New Backfilled Data'!A:A, I329,
    'New Backfilled Data'!D:D, J329
  ),
  ""
)</f>
        <v>0.3436097770612751</v>
      </c>
      <c r="L329" s="90"/>
      <c r="M329" s="90"/>
    </row>
    <row r="330" spans="1:13" ht="17" x14ac:dyDescent="0.2">
      <c r="A330" s="37">
        <v>2007</v>
      </c>
      <c r="B330" s="38" t="s">
        <v>66</v>
      </c>
      <c r="C330" s="38" t="s">
        <v>35</v>
      </c>
      <c r="D330" s="38" t="s">
        <v>34</v>
      </c>
      <c r="E330" s="38" t="s">
        <v>69</v>
      </c>
      <c r="F330" s="38" t="s">
        <v>70</v>
      </c>
      <c r="G330" s="79">
        <f ca="1">IFERROR(__xludf.DUMMYFUNCTION("IFERROR(
  IF(A330 = 2008,
    IF(E330 = ""Online"",
      FILTER('Raw PhocalPoint Data'!G:G,
        'Raw PhocalPoint Data'!A:A = 2009,
        'Raw PhocalPoint Data'!D:D = D330,
        'Raw PhocalPoint Data'!E:E = E330,
        'Raw PhocalPoint Data'!F"&amp;":F = F330
      ) /
      (
        FILTER('Raw PhocalPoint Data'!G:G,
          'Raw PhocalPoint Data'!A:A = 2012,
          'Raw PhocalPoint Data'!D:D = D330,
          'Raw PhocalPoint Data'!E:E = E330,
          'Raw PhocalPoint Data'!F:F = F330
     "&amp;"   ) /
        FILTER('Raw PhocalPoint Data'!G:G,
          'Raw PhocalPoint Data'!A:A = 2011,
          'Raw PhocalPoint Data'!D:D = D330,
          'Raw PhocalPoint Data'!E:E = E330,
          'Raw PhocalPoint Data'!F:F = F330
        )
      ),
      F"&amp;"ILTER('Raw PhocalPoint Data'!G:G,
        'Raw PhocalPoint Data'!A:A = 2009,
        'Raw PhocalPoint Data'!D:D = D330,
        'Raw PhocalPoint Data'!E:E = E330,
        'Raw PhocalPoint Data'!F:F = F330
      ) *
      (
        INDEX('Raw GDP data'!$I$"&amp;"2:$M$100,
          MATCH(D330, 'Raw GDP data'!$H$2:$H$100, 0),
          MATCH(2008, 'Raw GDP data'!$I$1:$M$1, 0)
        ) /
        INDEX('Raw GDP data'!$I$2:$M$100,
          MATCH(D330, 'Raw GDP data'!$H$2:$H$100, 0),
          MATCH(2009, 'Raw GDP d"&amp;"ata'!$I$1:$M$1, 0)
        )
      )
    ),
  IF(A330 &lt; 2008,
    (
      FILTER(G:G,
        A:A = 2008,
        D:D = D330,
        E:E = E330,
        F:F = F330
      ) /
      PRODUCT(
        ARRAYFORMULA(
          (
            (
              FIL"&amp;"TER('Raw PhocalPoint Data'!G:G,
                'Raw PhocalPoint Data'!A:A = 2012,
                'Raw PhocalPoint Data'!D:D = D330,
                'Raw PhocalPoint Data'!E:E = E330,
                'Raw PhocalPoint Data'!F:F = F330
              ) /
  "&amp;"            FILTER('Raw PhocalPoint Data'!G:G,
                'Raw PhocalPoint Data'!A:A = 2011,
                'Raw PhocalPoint Data'!D:D = D330,
                'Raw PhocalPoint Data'!E:E = E330,
                'Raw PhocalPoint Data'!F:F = F330
     "&amp;"         ) -
              ROW(INDIRECT(""1:"" &amp; (2008 - A330))) *
              (
                (
                  FILTER('Raw PhocalPoint Data'!G:G,
                    'Raw PhocalPoint Data'!A:A = 2012,
                    'Raw PhocalPoint Data'!D:D"&amp;" = D330,
                    'Raw PhocalPoint Data'!E:E = E330,
                    'Raw PhocalPoint Data'!F:F = F330
                  ) /
                  FILTER('Raw PhocalPoint Data'!G:G,
                    'Raw PhocalPoint Data'!A:A = 2011,
       "&amp;"             'Raw PhocalPoint Data'!D:D = D330,
                    'Raw PhocalPoint Data'!E:E = E330,
                    'Raw PhocalPoint Data'!F:F = F330
                  ) - 1
                ) / 5
              )
            )
          )
        )
"&amp;"      )
    ),
    (
      FILTER('Raw PhocalPoint Data'!G:G,
        'Raw PhocalPoint Data'!A:A = 2009,
        'Raw PhocalPoint Data'!D:D = D330,
        'Raw PhocalPoint Data'!E:E = E330,
        'Raw PhocalPoint Data'!F:F = F330
      ) /
      PRODUC"&amp;"T(
        ARRAYFORMULA(
          (
            FILTER('Raw PhocalPoint Data'!G:G,
              'Raw PhocalPoint Data'!A:A = 2012,
              'Raw PhocalPoint Data'!D:D = D330,
              'Raw PhocalPoint Data'!E:E = E330,
              'Raw Phoca"&amp;"lPoint Data'!F:F = F330
            ) /
            FILTER('Raw PhocalPoint Data'!G:G,
              'Raw PhocalPoint Data'!A:A = 2011,
              'Raw PhocalPoint Data'!D:D = D330,
              'Raw PhocalPoint Data'!E:E = E330,
              'Raw Ph"&amp;"ocalPoint Data'!F:F = F330
            ) -
            (ROW(INDIRECT(""1:"" &amp; (2010 - A330))) - 1) *
            (
              (
                FILTER('Raw PhocalPoint Data'!G:G,
                  'Raw PhocalPoint Data'!A:A = 2012,
                  'R"&amp;"aw PhocalPoint Data'!D:D = D330,
                  'Raw PhocalPoint Data'!E:E = E330,
                  'Raw PhocalPoint Data'!F:F = F330
                ) /
                FILTER('Raw PhocalPoint Data'!G:G,
                  'Raw PhocalPoint Data'!A:A ="&amp;" 2011,
                  'Raw PhocalPoint Data'!D:D = D330,
                  'Raw PhocalPoint Data'!E:E = E330,
                  'Raw PhocalPoint Data'!F:F = F330
                ) - 1
              ) / 5
            )
          )
        )
      )
    "&amp;") *
    INDEX('Raw GDP data'!$I$2:$M$100,
      MATCH(D330, 'Raw GDP data'!$H$2:$H$100, 0),
      MATCH(A330, 'Raw GDP data'!$I$1:$M$1, 0)
    )
  )),
  """"
)
"),123650155.553539)</f>
        <v>123650155.55353899</v>
      </c>
      <c r="H330" s="80"/>
      <c r="I330" s="81">
        <f ca="1">IFERROR(__xludf.DUMMYFUNCTION("""COMPUTED_VALUE"""),2013)</f>
        <v>2013</v>
      </c>
      <c r="J330" s="82" t="str">
        <f ca="1">IFERROR(__xludf.DUMMYFUNCTION("""COMPUTED_VALUE"""),"Singapore")</f>
        <v>Singapore</v>
      </c>
      <c r="K330" s="83">
        <f ca="1">IFERROR(
  SUMIFS(
    'New Backfilled Data'!G:G,
    'New Backfilled Data'!A:A, I330,
    'New Backfilled Data'!D:D, J330,
    'New Backfilled Data'!E:E, "Online"
  ) /
  SUMIFS(
    'New Backfilled Data'!G:G,
    'New Backfilled Data'!A:A, I330,
    'New Backfilled Data'!D:D, J330
  ),
  ""
)</f>
        <v>0.29884547187312688</v>
      </c>
      <c r="L330" s="84"/>
      <c r="M330" s="84"/>
    </row>
    <row r="331" spans="1:13" ht="17" x14ac:dyDescent="0.2">
      <c r="A331" s="44">
        <v>2007</v>
      </c>
      <c r="B331" s="45" t="s">
        <v>66</v>
      </c>
      <c r="C331" s="45" t="s">
        <v>35</v>
      </c>
      <c r="D331" s="45" t="s">
        <v>36</v>
      </c>
      <c r="E331" s="45" t="s">
        <v>67</v>
      </c>
      <c r="F331" s="45" t="s">
        <v>67</v>
      </c>
      <c r="G331" s="85">
        <f ca="1">IFERROR(__xludf.DUMMYFUNCTION("IFERROR(
  IF(A331 = 2008,
    IF(E331 = ""Online"",
      FILTER('Raw PhocalPoint Data'!G:G,
        'Raw PhocalPoint Data'!A:A = 2009,
        'Raw PhocalPoint Data'!D:D = D331,
        'Raw PhocalPoint Data'!E:E = E331,
        'Raw PhocalPoint Data'!F"&amp;":F = F331
      ) /
      (
        FILTER('Raw PhocalPoint Data'!G:G,
          'Raw PhocalPoint Data'!A:A = 2012,
          'Raw PhocalPoint Data'!D:D = D331,
          'Raw PhocalPoint Data'!E:E = E331,
          'Raw PhocalPoint Data'!F:F = F331
     "&amp;"   ) /
        FILTER('Raw PhocalPoint Data'!G:G,
          'Raw PhocalPoint Data'!A:A = 2011,
          'Raw PhocalPoint Data'!D:D = D331,
          'Raw PhocalPoint Data'!E:E = E331,
          'Raw PhocalPoint Data'!F:F = F331
        )
      ),
      F"&amp;"ILTER('Raw PhocalPoint Data'!G:G,
        'Raw PhocalPoint Data'!A:A = 2009,
        'Raw PhocalPoint Data'!D:D = D331,
        'Raw PhocalPoint Data'!E:E = E331,
        'Raw PhocalPoint Data'!F:F = F331
      ) *
      (
        INDEX('Raw GDP data'!$I$"&amp;"2:$M$100,
          MATCH(D331, 'Raw GDP data'!$H$2:$H$100, 0),
          MATCH(2008, 'Raw GDP data'!$I$1:$M$1, 0)
        ) /
        INDEX('Raw GDP data'!$I$2:$M$100,
          MATCH(D331, 'Raw GDP data'!$H$2:$H$100, 0),
          MATCH(2009, 'Raw GDP d"&amp;"ata'!$I$1:$M$1, 0)
        )
      )
    ),
  IF(A331 &lt; 2008,
    (
      FILTER(G:G,
        A:A = 2008,
        D:D = D331,
        E:E = E331,
        F:F = F331
      ) /
      PRODUCT(
        ARRAYFORMULA(
          (
            (
              FIL"&amp;"TER('Raw PhocalPoint Data'!G:G,
                'Raw PhocalPoint Data'!A:A = 2012,
                'Raw PhocalPoint Data'!D:D = D331,
                'Raw PhocalPoint Data'!E:E = E331,
                'Raw PhocalPoint Data'!F:F = F331
              ) /
  "&amp;"            FILTER('Raw PhocalPoint Data'!G:G,
                'Raw PhocalPoint Data'!A:A = 2011,
                'Raw PhocalPoint Data'!D:D = D331,
                'Raw PhocalPoint Data'!E:E = E331,
                'Raw PhocalPoint Data'!F:F = F331
     "&amp;"         ) -
              ROW(INDIRECT(""1:"" &amp; (2008 - A331))) *
              (
                (
                  FILTER('Raw PhocalPoint Data'!G:G,
                    'Raw PhocalPoint Data'!A:A = 2012,
                    'Raw PhocalPoint Data'!D:D"&amp;" = D331,
                    'Raw PhocalPoint Data'!E:E = E331,
                    'Raw PhocalPoint Data'!F:F = F331
                  ) /
                  FILTER('Raw PhocalPoint Data'!G:G,
                    'Raw PhocalPoint Data'!A:A = 2011,
       "&amp;"             'Raw PhocalPoint Data'!D:D = D331,
                    'Raw PhocalPoint Data'!E:E = E331,
                    'Raw PhocalPoint Data'!F:F = F331
                  ) - 1
                ) / 5
              )
            )
          )
        )
"&amp;"      )
    ),
    (
      FILTER('Raw PhocalPoint Data'!G:G,
        'Raw PhocalPoint Data'!A:A = 2009,
        'Raw PhocalPoint Data'!D:D = D331,
        'Raw PhocalPoint Data'!E:E = E331,
        'Raw PhocalPoint Data'!F:F = F331
      ) /
      PRODUC"&amp;"T(
        ARRAYFORMULA(
          (
            FILTER('Raw PhocalPoint Data'!G:G,
              'Raw PhocalPoint Data'!A:A = 2012,
              'Raw PhocalPoint Data'!D:D = D331,
              'Raw PhocalPoint Data'!E:E = E331,
              'Raw Phoca"&amp;"lPoint Data'!F:F = F331
            ) /
            FILTER('Raw PhocalPoint Data'!G:G,
              'Raw PhocalPoint Data'!A:A = 2011,
              'Raw PhocalPoint Data'!D:D = D331,
              'Raw PhocalPoint Data'!E:E = E331,
              'Raw Ph"&amp;"ocalPoint Data'!F:F = F331
            ) -
            (ROW(INDIRECT(""1:"" &amp; (2010 - A331))) - 1) *
            (
              (
                FILTER('Raw PhocalPoint Data'!G:G,
                  'Raw PhocalPoint Data'!A:A = 2012,
                  'R"&amp;"aw PhocalPoint Data'!D:D = D331,
                  'Raw PhocalPoint Data'!E:E = E331,
                  'Raw PhocalPoint Data'!F:F = F331
                ) /
                FILTER('Raw PhocalPoint Data'!G:G,
                  'Raw PhocalPoint Data'!A:A ="&amp;" 2011,
                  'Raw PhocalPoint Data'!D:D = D331,
                  'Raw PhocalPoint Data'!E:E = E331,
                  'Raw PhocalPoint Data'!F:F = F331
                ) - 1
              ) / 5
            )
          )
        )
      )
    "&amp;") *
    INDEX('Raw GDP data'!$I$2:$M$100,
      MATCH(D331, 'Raw GDP data'!$H$2:$H$100, 0),
      MATCH(A331, 'Raw GDP data'!$I$1:$M$1, 0)
    )
  )),
  """"
)
"),39521480847.3962)</f>
        <v>39521480847.396202</v>
      </c>
      <c r="H331" s="86"/>
      <c r="I331" s="87">
        <f ca="1">IFERROR(__xludf.DUMMYFUNCTION("""COMPUTED_VALUE"""),2013)</f>
        <v>2013</v>
      </c>
      <c r="J331" s="88" t="str">
        <f ca="1">IFERROR(__xludf.DUMMYFUNCTION("""COMPUTED_VALUE"""),"South Korea")</f>
        <v>South Korea</v>
      </c>
      <c r="K331" s="89">
        <f ca="1">IFERROR(
  SUMIFS(
    'New Backfilled Data'!G:G,
    'New Backfilled Data'!A:A, I331,
    'New Backfilled Data'!D:D, J331,
    'New Backfilled Data'!E:E, "Online"
  ) /
  SUMIFS(
    'New Backfilled Data'!G:G,
    'New Backfilled Data'!A:A, I331,
    'New Backfilled Data'!D:D, J331
  ),
  ""
)</f>
        <v>0.22889741767573546</v>
      </c>
      <c r="L331" s="90"/>
      <c r="M331" s="90"/>
    </row>
    <row r="332" spans="1:13" ht="17" x14ac:dyDescent="0.2">
      <c r="A332" s="37">
        <v>2007</v>
      </c>
      <c r="B332" s="38" t="s">
        <v>66</v>
      </c>
      <c r="C332" s="38" t="s">
        <v>35</v>
      </c>
      <c r="D332" s="38" t="s">
        <v>36</v>
      </c>
      <c r="E332" s="38" t="s">
        <v>69</v>
      </c>
      <c r="F332" s="38" t="s">
        <v>71</v>
      </c>
      <c r="G332" s="79">
        <f ca="1">IFERROR(__xludf.DUMMYFUNCTION("IFERROR(
  IF(A332 = 2008,
    IF(E332 = ""Online"",
      FILTER('Raw PhocalPoint Data'!G:G,
        'Raw PhocalPoint Data'!A:A = 2009,
        'Raw PhocalPoint Data'!D:D = D332,
        'Raw PhocalPoint Data'!E:E = E332,
        'Raw PhocalPoint Data'!F"&amp;":F = F332
      ) /
      (
        FILTER('Raw PhocalPoint Data'!G:G,
          'Raw PhocalPoint Data'!A:A = 2012,
          'Raw PhocalPoint Data'!D:D = D332,
          'Raw PhocalPoint Data'!E:E = E332,
          'Raw PhocalPoint Data'!F:F = F332
     "&amp;"   ) /
        FILTER('Raw PhocalPoint Data'!G:G,
          'Raw PhocalPoint Data'!A:A = 2011,
          'Raw PhocalPoint Data'!D:D = D332,
          'Raw PhocalPoint Data'!E:E = E332,
          'Raw PhocalPoint Data'!F:F = F332
        )
      ),
      F"&amp;"ILTER('Raw PhocalPoint Data'!G:G,
        'Raw PhocalPoint Data'!A:A = 2009,
        'Raw PhocalPoint Data'!D:D = D332,
        'Raw PhocalPoint Data'!E:E = E332,
        'Raw PhocalPoint Data'!F:F = F332
      ) *
      (
        INDEX('Raw GDP data'!$I$"&amp;"2:$M$100,
          MATCH(D332, 'Raw GDP data'!$H$2:$H$100, 0),
          MATCH(2008, 'Raw GDP data'!$I$1:$M$1, 0)
        ) /
        INDEX('Raw GDP data'!$I$2:$M$100,
          MATCH(D332, 'Raw GDP data'!$H$2:$H$100, 0),
          MATCH(2009, 'Raw GDP d"&amp;"ata'!$I$1:$M$1, 0)
        )
      )
    ),
  IF(A332 &lt; 2008,
    (
      FILTER(G:G,
        A:A = 2008,
        D:D = D332,
        E:E = E332,
        F:F = F332
      ) /
      PRODUCT(
        ARRAYFORMULA(
          (
            (
              FIL"&amp;"TER('Raw PhocalPoint Data'!G:G,
                'Raw PhocalPoint Data'!A:A = 2012,
                'Raw PhocalPoint Data'!D:D = D332,
                'Raw PhocalPoint Data'!E:E = E332,
                'Raw PhocalPoint Data'!F:F = F332
              ) /
  "&amp;"            FILTER('Raw PhocalPoint Data'!G:G,
                'Raw PhocalPoint Data'!A:A = 2011,
                'Raw PhocalPoint Data'!D:D = D332,
                'Raw PhocalPoint Data'!E:E = E332,
                'Raw PhocalPoint Data'!F:F = F332
     "&amp;"         ) -
              ROW(INDIRECT(""1:"" &amp; (2008 - A332))) *
              (
                (
                  FILTER('Raw PhocalPoint Data'!G:G,
                    'Raw PhocalPoint Data'!A:A = 2012,
                    'Raw PhocalPoint Data'!D:D"&amp;" = D332,
                    'Raw PhocalPoint Data'!E:E = E332,
                    'Raw PhocalPoint Data'!F:F = F332
                  ) /
                  FILTER('Raw PhocalPoint Data'!G:G,
                    'Raw PhocalPoint Data'!A:A = 2011,
       "&amp;"             'Raw PhocalPoint Data'!D:D = D332,
                    'Raw PhocalPoint Data'!E:E = E332,
                    'Raw PhocalPoint Data'!F:F = F332
                  ) - 1
                ) / 5
              )
            )
          )
        )
"&amp;"      )
    ),
    (
      FILTER('Raw PhocalPoint Data'!G:G,
        'Raw PhocalPoint Data'!A:A = 2009,
        'Raw PhocalPoint Data'!D:D = D332,
        'Raw PhocalPoint Data'!E:E = E332,
        'Raw PhocalPoint Data'!F:F = F332
      ) /
      PRODUC"&amp;"T(
        ARRAYFORMULA(
          (
            FILTER('Raw PhocalPoint Data'!G:G,
              'Raw PhocalPoint Data'!A:A = 2012,
              'Raw PhocalPoint Data'!D:D = D332,
              'Raw PhocalPoint Data'!E:E = E332,
              'Raw Phoca"&amp;"lPoint Data'!F:F = F332
            ) /
            FILTER('Raw PhocalPoint Data'!G:G,
              'Raw PhocalPoint Data'!A:A = 2011,
              'Raw PhocalPoint Data'!D:D = D332,
              'Raw PhocalPoint Data'!E:E = E332,
              'Raw Ph"&amp;"ocalPoint Data'!F:F = F332
            ) -
            (ROW(INDIRECT(""1:"" &amp; (2010 - A332))) - 1) *
            (
              (
                FILTER('Raw PhocalPoint Data'!G:G,
                  'Raw PhocalPoint Data'!A:A = 2012,
                  'R"&amp;"aw PhocalPoint Data'!D:D = D332,
                  'Raw PhocalPoint Data'!E:E = E332,
                  'Raw PhocalPoint Data'!F:F = F332
                ) /
                FILTER('Raw PhocalPoint Data'!G:G,
                  'Raw PhocalPoint Data'!A:A ="&amp;" 2011,
                  'Raw PhocalPoint Data'!D:D = D332,
                  'Raw PhocalPoint Data'!E:E = E332,
                  'Raw PhocalPoint Data'!F:F = F332
                ) - 1
              ) / 5
            )
          )
        )
      )
    "&amp;") *
    INDEX('Raw GDP data'!$I$2:$M$100,
      MATCH(D332, 'Raw GDP data'!$H$2:$H$100, 0),
      MATCH(A332, 'Raw GDP data'!$I$1:$M$1, 0)
    )
  )),
  """"
)
"),1831523192.8742)</f>
        <v>1831523192.8742001</v>
      </c>
      <c r="H332" s="80"/>
      <c r="I332" s="81">
        <f ca="1">IFERROR(__xludf.DUMMYFUNCTION("""COMPUTED_VALUE"""),2013)</f>
        <v>2013</v>
      </c>
      <c r="J332" s="82" t="str">
        <f ca="1">IFERROR(__xludf.DUMMYFUNCTION("""COMPUTED_VALUE"""),"Taiwan")</f>
        <v>Taiwan</v>
      </c>
      <c r="K332" s="83">
        <f ca="1">IFERROR(
  SUMIFS(
    'New Backfilled Data'!G:G,
    'New Backfilled Data'!A:A, I332,
    'New Backfilled Data'!D:D, J332,
    'New Backfilled Data'!E:E, "Online"
  ) /
  SUMIFS(
    'New Backfilled Data'!G:G,
    'New Backfilled Data'!A:A, I332,
    'New Backfilled Data'!D:D, J332
  ),
  ""
)</f>
        <v>0.12824457165486383</v>
      </c>
      <c r="L332" s="84"/>
      <c r="M332" s="84"/>
    </row>
    <row r="333" spans="1:13" ht="17" x14ac:dyDescent="0.2">
      <c r="A333" s="44">
        <v>2007</v>
      </c>
      <c r="B333" s="45" t="s">
        <v>66</v>
      </c>
      <c r="C333" s="45" t="s">
        <v>35</v>
      </c>
      <c r="D333" s="45" t="s">
        <v>36</v>
      </c>
      <c r="E333" s="45" t="s">
        <v>69</v>
      </c>
      <c r="F333" s="45" t="s">
        <v>70</v>
      </c>
      <c r="G333" s="85">
        <f ca="1">IFERROR(__xludf.DUMMYFUNCTION("IFERROR(
  IF(A333 = 2008,
    IF(E333 = ""Online"",
      FILTER('Raw PhocalPoint Data'!G:G,
        'Raw PhocalPoint Data'!A:A = 2009,
        'Raw PhocalPoint Data'!D:D = D333,
        'Raw PhocalPoint Data'!E:E = E333,
        'Raw PhocalPoint Data'!F"&amp;":F = F333
      ) /
      (
        FILTER('Raw PhocalPoint Data'!G:G,
          'Raw PhocalPoint Data'!A:A = 2012,
          'Raw PhocalPoint Data'!D:D = D333,
          'Raw PhocalPoint Data'!E:E = E333,
          'Raw PhocalPoint Data'!F:F = F333
     "&amp;"   ) /
        FILTER('Raw PhocalPoint Data'!G:G,
          'Raw PhocalPoint Data'!A:A = 2011,
          'Raw PhocalPoint Data'!D:D = D333,
          'Raw PhocalPoint Data'!E:E = E333,
          'Raw PhocalPoint Data'!F:F = F333
        )
      ),
      F"&amp;"ILTER('Raw PhocalPoint Data'!G:G,
        'Raw PhocalPoint Data'!A:A = 2009,
        'Raw PhocalPoint Data'!D:D = D333,
        'Raw PhocalPoint Data'!E:E = E333,
        'Raw PhocalPoint Data'!F:F = F333
      ) *
      (
        INDEX('Raw GDP data'!$I$"&amp;"2:$M$100,
          MATCH(D333, 'Raw GDP data'!$H$2:$H$100, 0),
          MATCH(2008, 'Raw GDP data'!$I$1:$M$1, 0)
        ) /
        INDEX('Raw GDP data'!$I$2:$M$100,
          MATCH(D333, 'Raw GDP data'!$H$2:$H$100, 0),
          MATCH(2009, 'Raw GDP d"&amp;"ata'!$I$1:$M$1, 0)
        )
      )
    ),
  IF(A333 &lt; 2008,
    (
      FILTER(G:G,
        A:A = 2008,
        D:D = D333,
        E:E = E333,
        F:F = F333
      ) /
      PRODUCT(
        ARRAYFORMULA(
          (
            (
              FIL"&amp;"TER('Raw PhocalPoint Data'!G:G,
                'Raw PhocalPoint Data'!A:A = 2012,
                'Raw PhocalPoint Data'!D:D = D333,
                'Raw PhocalPoint Data'!E:E = E333,
                'Raw PhocalPoint Data'!F:F = F333
              ) /
  "&amp;"            FILTER('Raw PhocalPoint Data'!G:G,
                'Raw PhocalPoint Data'!A:A = 2011,
                'Raw PhocalPoint Data'!D:D = D333,
                'Raw PhocalPoint Data'!E:E = E333,
                'Raw PhocalPoint Data'!F:F = F333
     "&amp;"         ) -
              ROW(INDIRECT(""1:"" &amp; (2008 - A333))) *
              (
                (
                  FILTER('Raw PhocalPoint Data'!G:G,
                    'Raw PhocalPoint Data'!A:A = 2012,
                    'Raw PhocalPoint Data'!D:D"&amp;" = D333,
                    'Raw PhocalPoint Data'!E:E = E333,
                    'Raw PhocalPoint Data'!F:F = F333
                  ) /
                  FILTER('Raw PhocalPoint Data'!G:G,
                    'Raw PhocalPoint Data'!A:A = 2011,
       "&amp;"             'Raw PhocalPoint Data'!D:D = D333,
                    'Raw PhocalPoint Data'!E:E = E333,
                    'Raw PhocalPoint Data'!F:F = F333
                  ) - 1
                ) / 5
              )
            )
          )
        )
"&amp;"      )
    ),
    (
      FILTER('Raw PhocalPoint Data'!G:G,
        'Raw PhocalPoint Data'!A:A = 2009,
        'Raw PhocalPoint Data'!D:D = D333,
        'Raw PhocalPoint Data'!E:E = E333,
        'Raw PhocalPoint Data'!F:F = F333
      ) /
      PRODUC"&amp;"T(
        ARRAYFORMULA(
          (
            FILTER('Raw PhocalPoint Data'!G:G,
              'Raw PhocalPoint Data'!A:A = 2012,
              'Raw PhocalPoint Data'!D:D = D333,
              'Raw PhocalPoint Data'!E:E = E333,
              'Raw Phoca"&amp;"lPoint Data'!F:F = F333
            ) /
            FILTER('Raw PhocalPoint Data'!G:G,
              'Raw PhocalPoint Data'!A:A = 2011,
              'Raw PhocalPoint Data'!D:D = D333,
              'Raw PhocalPoint Data'!E:E = E333,
              'Raw Ph"&amp;"ocalPoint Data'!F:F = F333
            ) -
            (ROW(INDIRECT(""1:"" &amp; (2010 - A333))) - 1) *
            (
              (
                FILTER('Raw PhocalPoint Data'!G:G,
                  'Raw PhocalPoint Data'!A:A = 2012,
                  'R"&amp;"aw PhocalPoint Data'!D:D = D333,
                  'Raw PhocalPoint Data'!E:E = E333,
                  'Raw PhocalPoint Data'!F:F = F333
                ) /
                FILTER('Raw PhocalPoint Data'!G:G,
                  'Raw PhocalPoint Data'!A:A ="&amp;" 2011,
                  'Raw PhocalPoint Data'!D:D = D333,
                  'Raw PhocalPoint Data'!E:E = E333,
                  'Raw PhocalPoint Data'!F:F = F333
                ) - 1
              ) / 5
            )
          )
        )
      )
    "&amp;") *
    INDEX('Raw GDP data'!$I$2:$M$100,
      MATCH(D333, 'Raw GDP data'!$H$2:$H$100, 0),
      MATCH(A333, 'Raw GDP data'!$I$1:$M$1, 0)
    )
  )),
  """"
)
"),1051092418.96654)</f>
        <v>1051092418.96654</v>
      </c>
      <c r="H333" s="86"/>
      <c r="I333" s="87">
        <f ca="1">IFERROR(__xludf.DUMMYFUNCTION("""COMPUTED_VALUE"""),2013)</f>
        <v>2013</v>
      </c>
      <c r="J333" s="88" t="str">
        <f ca="1">IFERROR(__xludf.DUMMYFUNCTION("""COMPUTED_VALUE"""),"Thailand")</f>
        <v>Thailand</v>
      </c>
      <c r="K333" s="89">
        <f ca="1">IFERROR(
  SUMIFS(
    'New Backfilled Data'!G:G,
    'New Backfilled Data'!A:A, I333,
    'New Backfilled Data'!D:D, J333,
    'New Backfilled Data'!E:E, "Online"
  ) /
  SUMIFS(
    'New Backfilled Data'!G:G,
    'New Backfilled Data'!A:A, I333,
    'New Backfilled Data'!D:D, J333
  ),
  ""
)</f>
        <v>0.24251044435230099</v>
      </c>
      <c r="L333" s="90"/>
      <c r="M333" s="90"/>
    </row>
    <row r="334" spans="1:13" ht="17" x14ac:dyDescent="0.2">
      <c r="A334" s="37">
        <v>2007</v>
      </c>
      <c r="B334" s="38" t="s">
        <v>66</v>
      </c>
      <c r="C334" s="38" t="s">
        <v>35</v>
      </c>
      <c r="D334" s="38" t="s">
        <v>37</v>
      </c>
      <c r="E334" s="38" t="s">
        <v>67</v>
      </c>
      <c r="F334" s="38" t="s">
        <v>67</v>
      </c>
      <c r="G334" s="79">
        <f ca="1">IFERROR(__xludf.DUMMYFUNCTION("IFERROR(
  IF(A334 = 2008,
    IF(E334 = ""Online"",
      FILTER('Raw PhocalPoint Data'!G:G,
        'Raw PhocalPoint Data'!A:A = 2009,
        'Raw PhocalPoint Data'!D:D = D334,
        'Raw PhocalPoint Data'!E:E = E334,
        'Raw PhocalPoint Data'!F"&amp;":F = F334
      ) /
      (
        FILTER('Raw PhocalPoint Data'!G:G,
          'Raw PhocalPoint Data'!A:A = 2012,
          'Raw PhocalPoint Data'!D:D = D334,
          'Raw PhocalPoint Data'!E:E = E334,
          'Raw PhocalPoint Data'!F:F = F334
     "&amp;"   ) /
        FILTER('Raw PhocalPoint Data'!G:G,
          'Raw PhocalPoint Data'!A:A = 2011,
          'Raw PhocalPoint Data'!D:D = D334,
          'Raw PhocalPoint Data'!E:E = E334,
          'Raw PhocalPoint Data'!F:F = F334
        )
      ),
      F"&amp;"ILTER('Raw PhocalPoint Data'!G:G,
        'Raw PhocalPoint Data'!A:A = 2009,
        'Raw PhocalPoint Data'!D:D = D334,
        'Raw PhocalPoint Data'!E:E = E334,
        'Raw PhocalPoint Data'!F:F = F334
      ) *
      (
        INDEX('Raw GDP data'!$I$"&amp;"2:$M$100,
          MATCH(D334, 'Raw GDP data'!$H$2:$H$100, 0),
          MATCH(2008, 'Raw GDP data'!$I$1:$M$1, 0)
        ) /
        INDEX('Raw GDP data'!$I$2:$M$100,
          MATCH(D334, 'Raw GDP data'!$H$2:$H$100, 0),
          MATCH(2009, 'Raw GDP d"&amp;"ata'!$I$1:$M$1, 0)
        )
      )
    ),
  IF(A334 &lt; 2008,
    (
      FILTER(G:G,
        A:A = 2008,
        D:D = D334,
        E:E = E334,
        F:F = F334
      ) /
      PRODUCT(
        ARRAYFORMULA(
          (
            (
              FIL"&amp;"TER('Raw PhocalPoint Data'!G:G,
                'Raw PhocalPoint Data'!A:A = 2012,
                'Raw PhocalPoint Data'!D:D = D334,
                'Raw PhocalPoint Data'!E:E = E334,
                'Raw PhocalPoint Data'!F:F = F334
              ) /
  "&amp;"            FILTER('Raw PhocalPoint Data'!G:G,
                'Raw PhocalPoint Data'!A:A = 2011,
                'Raw PhocalPoint Data'!D:D = D334,
                'Raw PhocalPoint Data'!E:E = E334,
                'Raw PhocalPoint Data'!F:F = F334
     "&amp;"         ) -
              ROW(INDIRECT(""1:"" &amp; (2008 - A334))) *
              (
                (
                  FILTER('Raw PhocalPoint Data'!G:G,
                    'Raw PhocalPoint Data'!A:A = 2012,
                    'Raw PhocalPoint Data'!D:D"&amp;" = D334,
                    'Raw PhocalPoint Data'!E:E = E334,
                    'Raw PhocalPoint Data'!F:F = F334
                  ) /
                  FILTER('Raw PhocalPoint Data'!G:G,
                    'Raw PhocalPoint Data'!A:A = 2011,
       "&amp;"             'Raw PhocalPoint Data'!D:D = D334,
                    'Raw PhocalPoint Data'!E:E = E334,
                    'Raw PhocalPoint Data'!F:F = F334
                  ) - 1
                ) / 5
              )
            )
          )
        )
"&amp;"      )
    ),
    (
      FILTER('Raw PhocalPoint Data'!G:G,
        'Raw PhocalPoint Data'!A:A = 2009,
        'Raw PhocalPoint Data'!D:D = D334,
        'Raw PhocalPoint Data'!E:E = E334,
        'Raw PhocalPoint Data'!F:F = F334
      ) /
      PRODUC"&amp;"T(
        ARRAYFORMULA(
          (
            FILTER('Raw PhocalPoint Data'!G:G,
              'Raw PhocalPoint Data'!A:A = 2012,
              'Raw PhocalPoint Data'!D:D = D334,
              'Raw PhocalPoint Data'!E:E = E334,
              'Raw Phoca"&amp;"lPoint Data'!F:F = F334
            ) /
            FILTER('Raw PhocalPoint Data'!G:G,
              'Raw PhocalPoint Data'!A:A = 2011,
              'Raw PhocalPoint Data'!D:D = D334,
              'Raw PhocalPoint Data'!E:E = E334,
              'Raw Ph"&amp;"ocalPoint Data'!F:F = F334
            ) -
            (ROW(INDIRECT(""1:"" &amp; (2010 - A334))) - 1) *
            (
              (
                FILTER('Raw PhocalPoint Data'!G:G,
                  'Raw PhocalPoint Data'!A:A = 2012,
                  'R"&amp;"aw PhocalPoint Data'!D:D = D334,
                  'Raw PhocalPoint Data'!E:E = E334,
                  'Raw PhocalPoint Data'!F:F = F334
                ) /
                FILTER('Raw PhocalPoint Data'!G:G,
                  'Raw PhocalPoint Data'!A:A ="&amp;" 2011,
                  'Raw PhocalPoint Data'!D:D = D334,
                  'Raw PhocalPoint Data'!E:E = E334,
                  'Raw PhocalPoint Data'!F:F = F334
                ) - 1
              ) / 5
            )
          )
        )
      )
    "&amp;") *
    INDEX('Raw GDP data'!$I$2:$M$100,
      MATCH(D334, 'Raw GDP data'!$H$2:$H$100, 0),
      MATCH(A334, 'Raw GDP data'!$I$1:$M$1, 0)
    )
  )),
  """"
)
"),4028582226.87884)</f>
        <v>4028582226.87884</v>
      </c>
      <c r="H334" s="80"/>
      <c r="I334" s="81">
        <f ca="1">IFERROR(__xludf.DUMMYFUNCTION("""COMPUTED_VALUE"""),2013)</f>
        <v>2013</v>
      </c>
      <c r="J334" s="82" t="str">
        <f ca="1">IFERROR(__xludf.DUMMYFUNCTION("""COMPUTED_VALUE"""),"Bulgaria")</f>
        <v>Bulgaria</v>
      </c>
      <c r="K334" s="83">
        <f ca="1">IFERROR(
  SUMIFS(
    'New Backfilled Data'!G:G,
    'New Backfilled Data'!A:A, I334,
    'New Backfilled Data'!D:D, J334,
    'New Backfilled Data'!E:E, "Online"
  ) /
  SUMIFS(
    'New Backfilled Data'!G:G,
    'New Backfilled Data'!A:A, I334,
    'New Backfilled Data'!D:D, J334
  ),
  ""
)</f>
        <v>0.20865938659473149</v>
      </c>
      <c r="L334" s="84"/>
      <c r="M334" s="84"/>
    </row>
    <row r="335" spans="1:13" ht="17" x14ac:dyDescent="0.2">
      <c r="A335" s="44">
        <v>2007</v>
      </c>
      <c r="B335" s="45" t="s">
        <v>66</v>
      </c>
      <c r="C335" s="45" t="s">
        <v>35</v>
      </c>
      <c r="D335" s="45" t="s">
        <v>37</v>
      </c>
      <c r="E335" s="45" t="s">
        <v>69</v>
      </c>
      <c r="F335" s="45" t="s">
        <v>71</v>
      </c>
      <c r="G335" s="85">
        <f ca="1">IFERROR(__xludf.DUMMYFUNCTION("IFERROR(
  IF(A335 = 2008,
    IF(E335 = ""Online"",
      FILTER('Raw PhocalPoint Data'!G:G,
        'Raw PhocalPoint Data'!A:A = 2009,
        'Raw PhocalPoint Data'!D:D = D335,
        'Raw PhocalPoint Data'!E:E = E335,
        'Raw PhocalPoint Data'!F"&amp;":F = F335
      ) /
      (
        FILTER('Raw PhocalPoint Data'!G:G,
          'Raw PhocalPoint Data'!A:A = 2012,
          'Raw PhocalPoint Data'!D:D = D335,
          'Raw PhocalPoint Data'!E:E = E335,
          'Raw PhocalPoint Data'!F:F = F335
     "&amp;"   ) /
        FILTER('Raw PhocalPoint Data'!G:G,
          'Raw PhocalPoint Data'!A:A = 2011,
          'Raw PhocalPoint Data'!D:D = D335,
          'Raw PhocalPoint Data'!E:E = E335,
          'Raw PhocalPoint Data'!F:F = F335
        )
      ),
      F"&amp;"ILTER('Raw PhocalPoint Data'!G:G,
        'Raw PhocalPoint Data'!A:A = 2009,
        'Raw PhocalPoint Data'!D:D = D335,
        'Raw PhocalPoint Data'!E:E = E335,
        'Raw PhocalPoint Data'!F:F = F335
      ) *
      (
        INDEX('Raw GDP data'!$I$"&amp;"2:$M$100,
          MATCH(D335, 'Raw GDP data'!$H$2:$H$100, 0),
          MATCH(2008, 'Raw GDP data'!$I$1:$M$1, 0)
        ) /
        INDEX('Raw GDP data'!$I$2:$M$100,
          MATCH(D335, 'Raw GDP data'!$H$2:$H$100, 0),
          MATCH(2009, 'Raw GDP d"&amp;"ata'!$I$1:$M$1, 0)
        )
      )
    ),
  IF(A335 &lt; 2008,
    (
      FILTER(G:G,
        A:A = 2008,
        D:D = D335,
        E:E = E335,
        F:F = F335
      ) /
      PRODUCT(
        ARRAYFORMULA(
          (
            (
              FIL"&amp;"TER('Raw PhocalPoint Data'!G:G,
                'Raw PhocalPoint Data'!A:A = 2012,
                'Raw PhocalPoint Data'!D:D = D335,
                'Raw PhocalPoint Data'!E:E = E335,
                'Raw PhocalPoint Data'!F:F = F335
              ) /
  "&amp;"            FILTER('Raw PhocalPoint Data'!G:G,
                'Raw PhocalPoint Data'!A:A = 2011,
                'Raw PhocalPoint Data'!D:D = D335,
                'Raw PhocalPoint Data'!E:E = E335,
                'Raw PhocalPoint Data'!F:F = F335
     "&amp;"         ) -
              ROW(INDIRECT(""1:"" &amp; (2008 - A335))) *
              (
                (
                  FILTER('Raw PhocalPoint Data'!G:G,
                    'Raw PhocalPoint Data'!A:A = 2012,
                    'Raw PhocalPoint Data'!D:D"&amp;" = D335,
                    'Raw PhocalPoint Data'!E:E = E335,
                    'Raw PhocalPoint Data'!F:F = F335
                  ) /
                  FILTER('Raw PhocalPoint Data'!G:G,
                    'Raw PhocalPoint Data'!A:A = 2011,
       "&amp;"             'Raw PhocalPoint Data'!D:D = D335,
                    'Raw PhocalPoint Data'!E:E = E335,
                    'Raw PhocalPoint Data'!F:F = F335
                  ) - 1
                ) / 5
              )
            )
          )
        )
"&amp;"      )
    ),
    (
      FILTER('Raw PhocalPoint Data'!G:G,
        'Raw PhocalPoint Data'!A:A = 2009,
        'Raw PhocalPoint Data'!D:D = D335,
        'Raw PhocalPoint Data'!E:E = E335,
        'Raw PhocalPoint Data'!F:F = F335
      ) /
      PRODUC"&amp;"T(
        ARRAYFORMULA(
          (
            FILTER('Raw PhocalPoint Data'!G:G,
              'Raw PhocalPoint Data'!A:A = 2012,
              'Raw PhocalPoint Data'!D:D = D335,
              'Raw PhocalPoint Data'!E:E = E335,
              'Raw Phoca"&amp;"lPoint Data'!F:F = F335
            ) /
            FILTER('Raw PhocalPoint Data'!G:G,
              'Raw PhocalPoint Data'!A:A = 2011,
              'Raw PhocalPoint Data'!D:D = D335,
              'Raw PhocalPoint Data'!E:E = E335,
              'Raw Ph"&amp;"ocalPoint Data'!F:F = F335
            ) -
            (ROW(INDIRECT(""1:"" &amp; (2010 - A335))) - 1) *
            (
              (
                FILTER('Raw PhocalPoint Data'!G:G,
                  'Raw PhocalPoint Data'!A:A = 2012,
                  'R"&amp;"aw PhocalPoint Data'!D:D = D335,
                  'Raw PhocalPoint Data'!E:E = E335,
                  'Raw PhocalPoint Data'!F:F = F335
                ) /
                FILTER('Raw PhocalPoint Data'!G:G,
                  'Raw PhocalPoint Data'!A:A ="&amp;" 2011,
                  'Raw PhocalPoint Data'!D:D = D335,
                  'Raw PhocalPoint Data'!E:E = E335,
                  'Raw PhocalPoint Data'!F:F = F335
                ) - 1
              ) / 5
            )
          )
        )
      )
    "&amp;") *
    INDEX('Raw GDP data'!$I$2:$M$100,
      MATCH(D335, 'Raw GDP data'!$H$2:$H$100, 0),
      MATCH(A335, 'Raw GDP data'!$I$1:$M$1, 0)
    )
  )),
  """"
)
"),114500349.754488)</f>
        <v>114500349.75448801</v>
      </c>
      <c r="H335" s="86"/>
      <c r="I335" s="87">
        <f ca="1">IFERROR(__xludf.DUMMYFUNCTION("""COMPUTED_VALUE"""),2013)</f>
        <v>2013</v>
      </c>
      <c r="J335" s="88" t="str">
        <f ca="1">IFERROR(__xludf.DUMMYFUNCTION("""COMPUTED_VALUE"""),"Czech Republic")</f>
        <v>Czech Republic</v>
      </c>
      <c r="K335" s="89">
        <f ca="1">IFERROR(
  SUMIFS(
    'New Backfilled Data'!G:G,
    'New Backfilled Data'!A:A, I335,
    'New Backfilled Data'!D:D, J335,
    'New Backfilled Data'!E:E, "Online"
  ) /
  SUMIFS(
    'New Backfilled Data'!G:G,
    'New Backfilled Data'!A:A, I335,
    'New Backfilled Data'!D:D, J335
  ),
  ""
)</f>
        <v>0.28588049965767487</v>
      </c>
      <c r="L335" s="90"/>
      <c r="M335" s="90"/>
    </row>
    <row r="336" spans="1:13" ht="17" x14ac:dyDescent="0.2">
      <c r="A336" s="37">
        <v>2007</v>
      </c>
      <c r="B336" s="38" t="s">
        <v>66</v>
      </c>
      <c r="C336" s="38" t="s">
        <v>35</v>
      </c>
      <c r="D336" s="38" t="s">
        <v>37</v>
      </c>
      <c r="E336" s="38" t="s">
        <v>69</v>
      </c>
      <c r="F336" s="38" t="s">
        <v>70</v>
      </c>
      <c r="G336" s="79">
        <f ca="1">IFERROR(__xludf.DUMMYFUNCTION("IFERROR(
  IF(A336 = 2008,
    IF(E336 = ""Online"",
      FILTER('Raw PhocalPoint Data'!G:G,
        'Raw PhocalPoint Data'!A:A = 2009,
        'Raw PhocalPoint Data'!D:D = D336,
        'Raw PhocalPoint Data'!E:E = E336,
        'Raw PhocalPoint Data'!F"&amp;":F = F336
      ) /
      (
        FILTER('Raw PhocalPoint Data'!G:G,
          'Raw PhocalPoint Data'!A:A = 2012,
          'Raw PhocalPoint Data'!D:D = D336,
          'Raw PhocalPoint Data'!E:E = E336,
          'Raw PhocalPoint Data'!F:F = F336
     "&amp;"   ) /
        FILTER('Raw PhocalPoint Data'!G:G,
          'Raw PhocalPoint Data'!A:A = 2011,
          'Raw PhocalPoint Data'!D:D = D336,
          'Raw PhocalPoint Data'!E:E = E336,
          'Raw PhocalPoint Data'!F:F = F336
        )
      ),
      F"&amp;"ILTER('Raw PhocalPoint Data'!G:G,
        'Raw PhocalPoint Data'!A:A = 2009,
        'Raw PhocalPoint Data'!D:D = D336,
        'Raw PhocalPoint Data'!E:E = E336,
        'Raw PhocalPoint Data'!F:F = F336
      ) *
      (
        INDEX('Raw GDP data'!$I$"&amp;"2:$M$100,
          MATCH(D336, 'Raw GDP data'!$H$2:$H$100, 0),
          MATCH(2008, 'Raw GDP data'!$I$1:$M$1, 0)
        ) /
        INDEX('Raw GDP data'!$I$2:$M$100,
          MATCH(D336, 'Raw GDP data'!$H$2:$H$100, 0),
          MATCH(2009, 'Raw GDP d"&amp;"ata'!$I$1:$M$1, 0)
        )
      )
    ),
  IF(A336 &lt; 2008,
    (
      FILTER(G:G,
        A:A = 2008,
        D:D = D336,
        E:E = E336,
        F:F = F336
      ) /
      PRODUCT(
        ARRAYFORMULA(
          (
            (
              FIL"&amp;"TER('Raw PhocalPoint Data'!G:G,
                'Raw PhocalPoint Data'!A:A = 2012,
                'Raw PhocalPoint Data'!D:D = D336,
                'Raw PhocalPoint Data'!E:E = E336,
                'Raw PhocalPoint Data'!F:F = F336
              ) /
  "&amp;"            FILTER('Raw PhocalPoint Data'!G:G,
                'Raw PhocalPoint Data'!A:A = 2011,
                'Raw PhocalPoint Data'!D:D = D336,
                'Raw PhocalPoint Data'!E:E = E336,
                'Raw PhocalPoint Data'!F:F = F336
     "&amp;"         ) -
              ROW(INDIRECT(""1:"" &amp; (2008 - A336))) *
              (
                (
                  FILTER('Raw PhocalPoint Data'!G:G,
                    'Raw PhocalPoint Data'!A:A = 2012,
                    'Raw PhocalPoint Data'!D:D"&amp;" = D336,
                    'Raw PhocalPoint Data'!E:E = E336,
                    'Raw PhocalPoint Data'!F:F = F336
                  ) /
                  FILTER('Raw PhocalPoint Data'!G:G,
                    'Raw PhocalPoint Data'!A:A = 2011,
       "&amp;"             'Raw PhocalPoint Data'!D:D = D336,
                    'Raw PhocalPoint Data'!E:E = E336,
                    'Raw PhocalPoint Data'!F:F = F336
                  ) - 1
                ) / 5
              )
            )
          )
        )
"&amp;"      )
    ),
    (
      FILTER('Raw PhocalPoint Data'!G:G,
        'Raw PhocalPoint Data'!A:A = 2009,
        'Raw PhocalPoint Data'!D:D = D336,
        'Raw PhocalPoint Data'!E:E = E336,
        'Raw PhocalPoint Data'!F:F = F336
      ) /
      PRODUC"&amp;"T(
        ARRAYFORMULA(
          (
            FILTER('Raw PhocalPoint Data'!G:G,
              'Raw PhocalPoint Data'!A:A = 2012,
              'Raw PhocalPoint Data'!D:D = D336,
              'Raw PhocalPoint Data'!E:E = E336,
              'Raw Phoca"&amp;"lPoint Data'!F:F = F336
            ) /
            FILTER('Raw PhocalPoint Data'!G:G,
              'Raw PhocalPoint Data'!A:A = 2011,
              'Raw PhocalPoint Data'!D:D = D336,
              'Raw PhocalPoint Data'!E:E = E336,
              'Raw Ph"&amp;"ocalPoint Data'!F:F = F336
            ) -
            (ROW(INDIRECT(""1:"" &amp; (2010 - A336))) - 1) *
            (
              (
                FILTER('Raw PhocalPoint Data'!G:G,
                  'Raw PhocalPoint Data'!A:A = 2012,
                  'R"&amp;"aw PhocalPoint Data'!D:D = D336,
                  'Raw PhocalPoint Data'!E:E = E336,
                  'Raw PhocalPoint Data'!F:F = F336
                ) /
                FILTER('Raw PhocalPoint Data'!G:G,
                  'Raw PhocalPoint Data'!A:A ="&amp;" 2011,
                  'Raw PhocalPoint Data'!D:D = D336,
                  'Raw PhocalPoint Data'!E:E = E336,
                  'Raw PhocalPoint Data'!F:F = F336
                ) - 1
              ) / 5
            )
          )
        )
      )
    "&amp;") *
    INDEX('Raw GDP data'!$I$2:$M$100,
      MATCH(D336, 'Raw GDP data'!$H$2:$H$100, 0),
      MATCH(A336, 'Raw GDP data'!$I$1:$M$1, 0)
    )
  )),
  """"
)
"),572650320.492619)</f>
        <v>572650320.49261904</v>
      </c>
      <c r="H336" s="80"/>
      <c r="I336" s="81">
        <f ca="1">IFERROR(__xludf.DUMMYFUNCTION("""COMPUTED_VALUE"""),2013)</f>
        <v>2013</v>
      </c>
      <c r="J336" s="82" t="str">
        <f ca="1">IFERROR(__xludf.DUMMYFUNCTION("""COMPUTED_VALUE"""),"Greece")</f>
        <v>Greece</v>
      </c>
      <c r="K336" s="83">
        <f ca="1">IFERROR(
  SUMIFS(
    'New Backfilled Data'!G:G,
    'New Backfilled Data'!A:A, I336,
    'New Backfilled Data'!D:D, J336,
    'New Backfilled Data'!E:E, "Online"
  ) /
  SUMIFS(
    'New Backfilled Data'!G:G,
    'New Backfilled Data'!A:A, I336,
    'New Backfilled Data'!D:D, J336
  ),
  ""
)</f>
        <v>0.25644754281296145</v>
      </c>
      <c r="L336" s="84"/>
      <c r="M336" s="84"/>
    </row>
    <row r="337" spans="1:13" ht="17" x14ac:dyDescent="0.2">
      <c r="A337" s="44">
        <v>2007</v>
      </c>
      <c r="B337" s="45" t="s">
        <v>66</v>
      </c>
      <c r="C337" s="45" t="s">
        <v>35</v>
      </c>
      <c r="D337" s="45" t="s">
        <v>38</v>
      </c>
      <c r="E337" s="45" t="s">
        <v>67</v>
      </c>
      <c r="F337" s="45" t="s">
        <v>67</v>
      </c>
      <c r="G337" s="85">
        <f ca="1">IFERROR(__xludf.DUMMYFUNCTION("IFERROR(
  IF(A337 = 2008,
    IF(E337 = ""Online"",
      FILTER('Raw PhocalPoint Data'!G:G,
        'Raw PhocalPoint Data'!A:A = 2009,
        'Raw PhocalPoint Data'!D:D = D337,
        'Raw PhocalPoint Data'!E:E = E337,
        'Raw PhocalPoint Data'!F"&amp;":F = F337
      ) /
      (
        FILTER('Raw PhocalPoint Data'!G:G,
          'Raw PhocalPoint Data'!A:A = 2012,
          'Raw PhocalPoint Data'!D:D = D337,
          'Raw PhocalPoint Data'!E:E = E337,
          'Raw PhocalPoint Data'!F:F = F337
     "&amp;"   ) /
        FILTER('Raw PhocalPoint Data'!G:G,
          'Raw PhocalPoint Data'!A:A = 2011,
          'Raw PhocalPoint Data'!D:D = D337,
          'Raw PhocalPoint Data'!E:E = E337,
          'Raw PhocalPoint Data'!F:F = F337
        )
      ),
      F"&amp;"ILTER('Raw PhocalPoint Data'!G:G,
        'Raw PhocalPoint Data'!A:A = 2009,
        'Raw PhocalPoint Data'!D:D = D337,
        'Raw PhocalPoint Data'!E:E = E337,
        'Raw PhocalPoint Data'!F:F = F337
      ) *
      (
        INDEX('Raw GDP data'!$I$"&amp;"2:$M$100,
          MATCH(D337, 'Raw GDP data'!$H$2:$H$100, 0),
          MATCH(2008, 'Raw GDP data'!$I$1:$M$1, 0)
        ) /
        INDEX('Raw GDP data'!$I$2:$M$100,
          MATCH(D337, 'Raw GDP data'!$H$2:$H$100, 0),
          MATCH(2009, 'Raw GDP d"&amp;"ata'!$I$1:$M$1, 0)
        )
      )
    ),
  IF(A337 &lt; 2008,
    (
      FILTER(G:G,
        A:A = 2008,
        D:D = D337,
        E:E = E337,
        F:F = F337
      ) /
      PRODUCT(
        ARRAYFORMULA(
          (
            (
              FIL"&amp;"TER('Raw PhocalPoint Data'!G:G,
                'Raw PhocalPoint Data'!A:A = 2012,
                'Raw PhocalPoint Data'!D:D = D337,
                'Raw PhocalPoint Data'!E:E = E337,
                'Raw PhocalPoint Data'!F:F = F337
              ) /
  "&amp;"            FILTER('Raw PhocalPoint Data'!G:G,
                'Raw PhocalPoint Data'!A:A = 2011,
                'Raw PhocalPoint Data'!D:D = D337,
                'Raw PhocalPoint Data'!E:E = E337,
                'Raw PhocalPoint Data'!F:F = F337
     "&amp;"         ) -
              ROW(INDIRECT(""1:"" &amp; (2008 - A337))) *
              (
                (
                  FILTER('Raw PhocalPoint Data'!G:G,
                    'Raw PhocalPoint Data'!A:A = 2012,
                    'Raw PhocalPoint Data'!D:D"&amp;" = D337,
                    'Raw PhocalPoint Data'!E:E = E337,
                    'Raw PhocalPoint Data'!F:F = F337
                  ) /
                  FILTER('Raw PhocalPoint Data'!G:G,
                    'Raw PhocalPoint Data'!A:A = 2011,
       "&amp;"             'Raw PhocalPoint Data'!D:D = D337,
                    'Raw PhocalPoint Data'!E:E = E337,
                    'Raw PhocalPoint Data'!F:F = F337
                  ) - 1
                ) / 5
              )
            )
          )
        )
"&amp;"      )
    ),
    (
      FILTER('Raw PhocalPoint Data'!G:G,
        'Raw PhocalPoint Data'!A:A = 2009,
        'Raw PhocalPoint Data'!D:D = D337,
        'Raw PhocalPoint Data'!E:E = E337,
        'Raw PhocalPoint Data'!F:F = F337
      ) /
      PRODUC"&amp;"T(
        ARRAYFORMULA(
          (
            FILTER('Raw PhocalPoint Data'!G:G,
              'Raw PhocalPoint Data'!A:A = 2012,
              'Raw PhocalPoint Data'!D:D = D337,
              'Raw PhocalPoint Data'!E:E = E337,
              'Raw Phoca"&amp;"lPoint Data'!F:F = F337
            ) /
            FILTER('Raw PhocalPoint Data'!G:G,
              'Raw PhocalPoint Data'!A:A = 2011,
              'Raw PhocalPoint Data'!D:D = D337,
              'Raw PhocalPoint Data'!E:E = E337,
              'Raw Ph"&amp;"ocalPoint Data'!F:F = F337
            ) -
            (ROW(INDIRECT(""1:"" &amp; (2010 - A337))) - 1) *
            (
              (
                FILTER('Raw PhocalPoint Data'!G:G,
                  'Raw PhocalPoint Data'!A:A = 2012,
                  'R"&amp;"aw PhocalPoint Data'!D:D = D337,
                  'Raw PhocalPoint Data'!E:E = E337,
                  'Raw PhocalPoint Data'!F:F = F337
                ) /
                FILTER('Raw PhocalPoint Data'!G:G,
                  'Raw PhocalPoint Data'!A:A ="&amp;" 2011,
                  'Raw PhocalPoint Data'!D:D = D337,
                  'Raw PhocalPoint Data'!E:E = E337,
                  'Raw PhocalPoint Data'!F:F = F337
                ) - 1
              ) / 5
            )
          )
        )
      )
    "&amp;") *
    INDEX('Raw GDP data'!$I$2:$M$100,
      MATCH(D337, 'Raw GDP data'!$H$2:$H$100, 0),
      MATCH(A337, 'Raw GDP data'!$I$1:$M$1, 0)
    )
  )),
  """"
)
"),7952881932.30613)</f>
        <v>7952881932.3061304</v>
      </c>
      <c r="H337" s="86"/>
      <c r="I337" s="87">
        <f ca="1">IFERROR(__xludf.DUMMYFUNCTION("""COMPUTED_VALUE"""),2013)</f>
        <v>2013</v>
      </c>
      <c r="J337" s="88" t="str">
        <f ca="1">IFERROR(__xludf.DUMMYFUNCTION("""COMPUTED_VALUE"""),"Hungary")</f>
        <v>Hungary</v>
      </c>
      <c r="K337" s="89">
        <f ca="1">IFERROR(
  SUMIFS(
    'New Backfilled Data'!G:G,
    'New Backfilled Data'!A:A, I337,
    'New Backfilled Data'!D:D, J337,
    'New Backfilled Data'!E:E, "Online"
  ) /
  SUMIFS(
    'New Backfilled Data'!G:G,
    'New Backfilled Data'!A:A, I337,
    'New Backfilled Data'!D:D, J337
  ),
  ""
)</f>
        <v>0.32093028552769925</v>
      </c>
      <c r="L337" s="90"/>
      <c r="M337" s="90"/>
    </row>
    <row r="338" spans="1:13" ht="17" x14ac:dyDescent="0.2">
      <c r="A338" s="37">
        <v>2007</v>
      </c>
      <c r="B338" s="38" t="s">
        <v>66</v>
      </c>
      <c r="C338" s="38" t="s">
        <v>35</v>
      </c>
      <c r="D338" s="38" t="s">
        <v>38</v>
      </c>
      <c r="E338" s="38" t="s">
        <v>69</v>
      </c>
      <c r="F338" s="38" t="s">
        <v>71</v>
      </c>
      <c r="G338" s="79">
        <f ca="1">IFERROR(__xludf.DUMMYFUNCTION("IFERROR(
  IF(A338 = 2008,
    IF(E338 = ""Online"",
      FILTER('Raw PhocalPoint Data'!G:G,
        'Raw PhocalPoint Data'!A:A = 2009,
        'Raw PhocalPoint Data'!D:D = D338,
        'Raw PhocalPoint Data'!E:E = E338,
        'Raw PhocalPoint Data'!F"&amp;":F = F338
      ) /
      (
        FILTER('Raw PhocalPoint Data'!G:G,
          'Raw PhocalPoint Data'!A:A = 2012,
          'Raw PhocalPoint Data'!D:D = D338,
          'Raw PhocalPoint Data'!E:E = E338,
          'Raw PhocalPoint Data'!F:F = F338
     "&amp;"   ) /
        FILTER('Raw PhocalPoint Data'!G:G,
          'Raw PhocalPoint Data'!A:A = 2011,
          'Raw PhocalPoint Data'!D:D = D338,
          'Raw PhocalPoint Data'!E:E = E338,
          'Raw PhocalPoint Data'!F:F = F338
        )
      ),
      F"&amp;"ILTER('Raw PhocalPoint Data'!G:G,
        'Raw PhocalPoint Data'!A:A = 2009,
        'Raw PhocalPoint Data'!D:D = D338,
        'Raw PhocalPoint Data'!E:E = E338,
        'Raw PhocalPoint Data'!F:F = F338
      ) *
      (
        INDEX('Raw GDP data'!$I$"&amp;"2:$M$100,
          MATCH(D338, 'Raw GDP data'!$H$2:$H$100, 0),
          MATCH(2008, 'Raw GDP data'!$I$1:$M$1, 0)
        ) /
        INDEX('Raw GDP data'!$I$2:$M$100,
          MATCH(D338, 'Raw GDP data'!$H$2:$H$100, 0),
          MATCH(2009, 'Raw GDP d"&amp;"ata'!$I$1:$M$1, 0)
        )
      )
    ),
  IF(A338 &lt; 2008,
    (
      FILTER(G:G,
        A:A = 2008,
        D:D = D338,
        E:E = E338,
        F:F = F338
      ) /
      PRODUCT(
        ARRAYFORMULA(
          (
            (
              FIL"&amp;"TER('Raw PhocalPoint Data'!G:G,
                'Raw PhocalPoint Data'!A:A = 2012,
                'Raw PhocalPoint Data'!D:D = D338,
                'Raw PhocalPoint Data'!E:E = E338,
                'Raw PhocalPoint Data'!F:F = F338
              ) /
  "&amp;"            FILTER('Raw PhocalPoint Data'!G:G,
                'Raw PhocalPoint Data'!A:A = 2011,
                'Raw PhocalPoint Data'!D:D = D338,
                'Raw PhocalPoint Data'!E:E = E338,
                'Raw PhocalPoint Data'!F:F = F338
     "&amp;"         ) -
              ROW(INDIRECT(""1:"" &amp; (2008 - A338))) *
              (
                (
                  FILTER('Raw PhocalPoint Data'!G:G,
                    'Raw PhocalPoint Data'!A:A = 2012,
                    'Raw PhocalPoint Data'!D:D"&amp;" = D338,
                    'Raw PhocalPoint Data'!E:E = E338,
                    'Raw PhocalPoint Data'!F:F = F338
                  ) /
                  FILTER('Raw PhocalPoint Data'!G:G,
                    'Raw PhocalPoint Data'!A:A = 2011,
       "&amp;"             'Raw PhocalPoint Data'!D:D = D338,
                    'Raw PhocalPoint Data'!E:E = E338,
                    'Raw PhocalPoint Data'!F:F = F338
                  ) - 1
                ) / 5
              )
            )
          )
        )
"&amp;"      )
    ),
    (
      FILTER('Raw PhocalPoint Data'!G:G,
        'Raw PhocalPoint Data'!A:A = 2009,
        'Raw PhocalPoint Data'!D:D = D338,
        'Raw PhocalPoint Data'!E:E = E338,
        'Raw PhocalPoint Data'!F:F = F338
      ) /
      PRODUC"&amp;"T(
        ARRAYFORMULA(
          (
            FILTER('Raw PhocalPoint Data'!G:G,
              'Raw PhocalPoint Data'!A:A = 2012,
              'Raw PhocalPoint Data'!D:D = D338,
              'Raw PhocalPoint Data'!E:E = E338,
              'Raw Phoca"&amp;"lPoint Data'!F:F = F338
            ) /
            FILTER('Raw PhocalPoint Data'!G:G,
              'Raw PhocalPoint Data'!A:A = 2011,
              'Raw PhocalPoint Data'!D:D = D338,
              'Raw PhocalPoint Data'!E:E = E338,
              'Raw Ph"&amp;"ocalPoint Data'!F:F = F338
            ) -
            (ROW(INDIRECT(""1:"" &amp; (2010 - A338))) - 1) *
            (
              (
                FILTER('Raw PhocalPoint Data'!G:G,
                  'Raw PhocalPoint Data'!A:A = 2012,
                  'R"&amp;"aw PhocalPoint Data'!D:D = D338,
                  'Raw PhocalPoint Data'!E:E = E338,
                  'Raw PhocalPoint Data'!F:F = F338
                ) /
                FILTER('Raw PhocalPoint Data'!G:G,
                  'Raw PhocalPoint Data'!A:A ="&amp;" 2011,
                  'Raw PhocalPoint Data'!D:D = D338,
                  'Raw PhocalPoint Data'!E:E = E338,
                  'Raw PhocalPoint Data'!F:F = F338
                ) - 1
              ) / 5
            )
          )
        )
      )
    "&amp;") *
    INDEX('Raw GDP data'!$I$2:$M$100,
      MATCH(D338, 'Raw GDP data'!$H$2:$H$100, 0),
      MATCH(A338, 'Raw GDP data'!$I$1:$M$1, 0)
    )
  )),
  """"
)
"),194127522.773219)</f>
        <v>194127522.77321899</v>
      </c>
      <c r="H338" s="80"/>
      <c r="I338" s="81">
        <f ca="1">IFERROR(__xludf.DUMMYFUNCTION("""COMPUTED_VALUE"""),2013)</f>
        <v>2013</v>
      </c>
      <c r="J338" s="82" t="str">
        <f ca="1">IFERROR(__xludf.DUMMYFUNCTION("""COMPUTED_VALUE"""),"Poland")</f>
        <v>Poland</v>
      </c>
      <c r="K338" s="83">
        <f ca="1">IFERROR(
  SUMIFS(
    'New Backfilled Data'!G:G,
    'New Backfilled Data'!A:A, I338,
    'New Backfilled Data'!D:D, J338,
    'New Backfilled Data'!E:E, "Online"
  ) /
  SUMIFS(
    'New Backfilled Data'!G:G,
    'New Backfilled Data'!A:A, I338,
    'New Backfilled Data'!D:D, J338
  ),
  ""
)</f>
        <v>0.24639833395861904</v>
      </c>
      <c r="L338" s="84"/>
      <c r="M338" s="84"/>
    </row>
    <row r="339" spans="1:13" ht="34" x14ac:dyDescent="0.2">
      <c r="A339" s="44">
        <v>2007</v>
      </c>
      <c r="B339" s="45" t="s">
        <v>66</v>
      </c>
      <c r="C339" s="45" t="s">
        <v>35</v>
      </c>
      <c r="D339" s="45" t="s">
        <v>38</v>
      </c>
      <c r="E339" s="45" t="s">
        <v>69</v>
      </c>
      <c r="F339" s="45" t="s">
        <v>70</v>
      </c>
      <c r="G339" s="85">
        <f ca="1">IFERROR(__xludf.DUMMYFUNCTION("IFERROR(
  IF(A339 = 2008,
    IF(E339 = ""Online"",
      FILTER('Raw PhocalPoint Data'!G:G,
        'Raw PhocalPoint Data'!A:A = 2009,
        'Raw PhocalPoint Data'!D:D = D339,
        'Raw PhocalPoint Data'!E:E = E339,
        'Raw PhocalPoint Data'!F"&amp;":F = F339
      ) /
      (
        FILTER('Raw PhocalPoint Data'!G:G,
          'Raw PhocalPoint Data'!A:A = 2012,
          'Raw PhocalPoint Data'!D:D = D339,
          'Raw PhocalPoint Data'!E:E = E339,
          'Raw PhocalPoint Data'!F:F = F339
     "&amp;"   ) /
        FILTER('Raw PhocalPoint Data'!G:G,
          'Raw PhocalPoint Data'!A:A = 2011,
          'Raw PhocalPoint Data'!D:D = D339,
          'Raw PhocalPoint Data'!E:E = E339,
          'Raw PhocalPoint Data'!F:F = F339
        )
      ),
      F"&amp;"ILTER('Raw PhocalPoint Data'!G:G,
        'Raw PhocalPoint Data'!A:A = 2009,
        'Raw PhocalPoint Data'!D:D = D339,
        'Raw PhocalPoint Data'!E:E = E339,
        'Raw PhocalPoint Data'!F:F = F339
      ) *
      (
        INDEX('Raw GDP data'!$I$"&amp;"2:$M$100,
          MATCH(D339, 'Raw GDP data'!$H$2:$H$100, 0),
          MATCH(2008, 'Raw GDP data'!$I$1:$M$1, 0)
        ) /
        INDEX('Raw GDP data'!$I$2:$M$100,
          MATCH(D339, 'Raw GDP data'!$H$2:$H$100, 0),
          MATCH(2009, 'Raw GDP d"&amp;"ata'!$I$1:$M$1, 0)
        )
      )
    ),
  IF(A339 &lt; 2008,
    (
      FILTER(G:G,
        A:A = 2008,
        D:D = D339,
        E:E = E339,
        F:F = F339
      ) /
      PRODUCT(
        ARRAYFORMULA(
          (
            (
              FIL"&amp;"TER('Raw PhocalPoint Data'!G:G,
                'Raw PhocalPoint Data'!A:A = 2012,
                'Raw PhocalPoint Data'!D:D = D339,
                'Raw PhocalPoint Data'!E:E = E339,
                'Raw PhocalPoint Data'!F:F = F339
              ) /
  "&amp;"            FILTER('Raw PhocalPoint Data'!G:G,
                'Raw PhocalPoint Data'!A:A = 2011,
                'Raw PhocalPoint Data'!D:D = D339,
                'Raw PhocalPoint Data'!E:E = E339,
                'Raw PhocalPoint Data'!F:F = F339
     "&amp;"         ) -
              ROW(INDIRECT(""1:"" &amp; (2008 - A339))) *
              (
                (
                  FILTER('Raw PhocalPoint Data'!G:G,
                    'Raw PhocalPoint Data'!A:A = 2012,
                    'Raw PhocalPoint Data'!D:D"&amp;" = D339,
                    'Raw PhocalPoint Data'!E:E = E339,
                    'Raw PhocalPoint Data'!F:F = F339
                  ) /
                  FILTER('Raw PhocalPoint Data'!G:G,
                    'Raw PhocalPoint Data'!A:A = 2011,
       "&amp;"             'Raw PhocalPoint Data'!D:D = D339,
                    'Raw PhocalPoint Data'!E:E = E339,
                    'Raw PhocalPoint Data'!F:F = F339
                  ) - 1
                ) / 5
              )
            )
          )
        )
"&amp;"      )
    ),
    (
      FILTER('Raw PhocalPoint Data'!G:G,
        'Raw PhocalPoint Data'!A:A = 2009,
        'Raw PhocalPoint Data'!D:D = D339,
        'Raw PhocalPoint Data'!E:E = E339,
        'Raw PhocalPoint Data'!F:F = F339
      ) /
      PRODUC"&amp;"T(
        ARRAYFORMULA(
          (
            FILTER('Raw PhocalPoint Data'!G:G,
              'Raw PhocalPoint Data'!A:A = 2012,
              'Raw PhocalPoint Data'!D:D = D339,
              'Raw PhocalPoint Data'!E:E = E339,
              'Raw Phoca"&amp;"lPoint Data'!F:F = F339
            ) /
            FILTER('Raw PhocalPoint Data'!G:G,
              'Raw PhocalPoint Data'!A:A = 2011,
              'Raw PhocalPoint Data'!D:D = D339,
              'Raw PhocalPoint Data'!E:E = E339,
              'Raw Ph"&amp;"ocalPoint Data'!F:F = F339
            ) -
            (ROW(INDIRECT(""1:"" &amp; (2010 - A339))) - 1) *
            (
              (
                FILTER('Raw PhocalPoint Data'!G:G,
                  'Raw PhocalPoint Data'!A:A = 2012,
                  'R"&amp;"aw PhocalPoint Data'!D:D = D339,
                  'Raw PhocalPoint Data'!E:E = E339,
                  'Raw PhocalPoint Data'!F:F = F339
                ) /
                FILTER('Raw PhocalPoint Data'!G:G,
                  'Raw PhocalPoint Data'!A:A ="&amp;" 2011,
                  'Raw PhocalPoint Data'!D:D = D339,
                  'Raw PhocalPoint Data'!E:E = E339,
                  'Raw PhocalPoint Data'!F:F = F339
                ) - 1
              ) / 5
            )
          )
        )
      )
    "&amp;") *
    INDEX('Raw GDP data'!$I$2:$M$100,
      MATCH(D339, 'Raw GDP data'!$H$2:$H$100, 0),
      MATCH(A339, 'Raw GDP data'!$I$1:$M$1, 0)
    )
  )),
  """"
)
"),134827546.197469)</f>
        <v>134827546.197469</v>
      </c>
      <c r="H339" s="86"/>
      <c r="I339" s="87">
        <f ca="1">IFERROR(__xludf.DUMMYFUNCTION("""COMPUTED_VALUE"""),2013)</f>
        <v>2013</v>
      </c>
      <c r="J339" s="88" t="str">
        <f ca="1">IFERROR(__xludf.DUMMYFUNCTION("""COMPUTED_VALUE"""),"Rest of Eastern Europe")</f>
        <v>Rest of Eastern Europe</v>
      </c>
      <c r="K339" s="89">
        <f ca="1">IFERROR(
  SUMIFS(
    'New Backfilled Data'!G:G,
    'New Backfilled Data'!A:A, I339,
    'New Backfilled Data'!D:D, J339,
    'New Backfilled Data'!E:E, "Online"
  ) /
  SUMIFS(
    'New Backfilled Data'!G:G,
    'New Backfilled Data'!A:A, I339,
    'New Backfilled Data'!D:D, J339
  ),
  ""
)</f>
        <v>0.16517988486428414</v>
      </c>
      <c r="L339" s="90"/>
      <c r="M339" s="90"/>
    </row>
    <row r="340" spans="1:13" ht="17" x14ac:dyDescent="0.2">
      <c r="A340" s="37">
        <v>2007</v>
      </c>
      <c r="B340" s="38" t="s">
        <v>66</v>
      </c>
      <c r="C340" s="38" t="s">
        <v>35</v>
      </c>
      <c r="D340" s="38" t="s">
        <v>39</v>
      </c>
      <c r="E340" s="38" t="s">
        <v>67</v>
      </c>
      <c r="F340" s="38" t="s">
        <v>67</v>
      </c>
      <c r="G340" s="79">
        <f ca="1">IFERROR(__xludf.DUMMYFUNCTION("IFERROR(
  IF(A340 = 2008,
    IF(E340 = ""Online"",
      FILTER('Raw PhocalPoint Data'!G:G,
        'Raw PhocalPoint Data'!A:A = 2009,
        'Raw PhocalPoint Data'!D:D = D340,
        'Raw PhocalPoint Data'!E:E = E340,
        'Raw PhocalPoint Data'!F"&amp;":F = F340
      ) /
      (
        FILTER('Raw PhocalPoint Data'!G:G,
          'Raw PhocalPoint Data'!A:A = 2012,
          'Raw PhocalPoint Data'!D:D = D340,
          'Raw PhocalPoint Data'!E:E = E340,
          'Raw PhocalPoint Data'!F:F = F340
     "&amp;"   ) /
        FILTER('Raw PhocalPoint Data'!G:G,
          'Raw PhocalPoint Data'!A:A = 2011,
          'Raw PhocalPoint Data'!D:D = D340,
          'Raw PhocalPoint Data'!E:E = E340,
          'Raw PhocalPoint Data'!F:F = F340
        )
      ),
      F"&amp;"ILTER('Raw PhocalPoint Data'!G:G,
        'Raw PhocalPoint Data'!A:A = 2009,
        'Raw PhocalPoint Data'!D:D = D340,
        'Raw PhocalPoint Data'!E:E = E340,
        'Raw PhocalPoint Data'!F:F = F340
      ) *
      (
        INDEX('Raw GDP data'!$I$"&amp;"2:$M$100,
          MATCH(D340, 'Raw GDP data'!$H$2:$H$100, 0),
          MATCH(2008, 'Raw GDP data'!$I$1:$M$1, 0)
        ) /
        INDEX('Raw GDP data'!$I$2:$M$100,
          MATCH(D340, 'Raw GDP data'!$H$2:$H$100, 0),
          MATCH(2009, 'Raw GDP d"&amp;"ata'!$I$1:$M$1, 0)
        )
      )
    ),
  IF(A340 &lt; 2008,
    (
      FILTER(G:G,
        A:A = 2008,
        D:D = D340,
        E:E = E340,
        F:F = F340
      ) /
      PRODUCT(
        ARRAYFORMULA(
          (
            (
              FIL"&amp;"TER('Raw PhocalPoint Data'!G:G,
                'Raw PhocalPoint Data'!A:A = 2012,
                'Raw PhocalPoint Data'!D:D = D340,
                'Raw PhocalPoint Data'!E:E = E340,
                'Raw PhocalPoint Data'!F:F = F340
              ) /
  "&amp;"            FILTER('Raw PhocalPoint Data'!G:G,
                'Raw PhocalPoint Data'!A:A = 2011,
                'Raw PhocalPoint Data'!D:D = D340,
                'Raw PhocalPoint Data'!E:E = E340,
                'Raw PhocalPoint Data'!F:F = F340
     "&amp;"         ) -
              ROW(INDIRECT(""1:"" &amp; (2008 - A340))) *
              (
                (
                  FILTER('Raw PhocalPoint Data'!G:G,
                    'Raw PhocalPoint Data'!A:A = 2012,
                    'Raw PhocalPoint Data'!D:D"&amp;" = D340,
                    'Raw PhocalPoint Data'!E:E = E340,
                    'Raw PhocalPoint Data'!F:F = F340
                  ) /
                  FILTER('Raw PhocalPoint Data'!G:G,
                    'Raw PhocalPoint Data'!A:A = 2011,
       "&amp;"             'Raw PhocalPoint Data'!D:D = D340,
                    'Raw PhocalPoint Data'!E:E = E340,
                    'Raw PhocalPoint Data'!F:F = F340
                  ) - 1
                ) / 5
              )
            )
          )
        )
"&amp;"      )
    ),
    (
      FILTER('Raw PhocalPoint Data'!G:G,
        'Raw PhocalPoint Data'!A:A = 2009,
        'Raw PhocalPoint Data'!D:D = D340,
        'Raw PhocalPoint Data'!E:E = E340,
        'Raw PhocalPoint Data'!F:F = F340
      ) /
      PRODUC"&amp;"T(
        ARRAYFORMULA(
          (
            FILTER('Raw PhocalPoint Data'!G:G,
              'Raw PhocalPoint Data'!A:A = 2012,
              'Raw PhocalPoint Data'!D:D = D340,
              'Raw PhocalPoint Data'!E:E = E340,
              'Raw Phoca"&amp;"lPoint Data'!F:F = F340
            ) /
            FILTER('Raw PhocalPoint Data'!G:G,
              'Raw PhocalPoint Data'!A:A = 2011,
              'Raw PhocalPoint Data'!D:D = D340,
              'Raw PhocalPoint Data'!E:E = E340,
              'Raw Ph"&amp;"ocalPoint Data'!F:F = F340
            ) -
            (ROW(INDIRECT(""1:"" &amp; (2010 - A340))) - 1) *
            (
              (
                FILTER('Raw PhocalPoint Data'!G:G,
                  'Raw PhocalPoint Data'!A:A = 2012,
                  'R"&amp;"aw PhocalPoint Data'!D:D = D340,
                  'Raw PhocalPoint Data'!E:E = E340,
                  'Raw PhocalPoint Data'!F:F = F340
                ) /
                FILTER('Raw PhocalPoint Data'!G:G,
                  'Raw PhocalPoint Data'!A:A ="&amp;" 2011,
                  'Raw PhocalPoint Data'!D:D = D340,
                  'Raw PhocalPoint Data'!E:E = E340,
                  'Raw PhocalPoint Data'!F:F = F340
                ) - 1
              ) / 5
            )
          )
        )
      )
    "&amp;") *
    INDEX('Raw GDP data'!$I$2:$M$100,
      MATCH(D340, 'Raw GDP data'!$H$2:$H$100, 0),
      MATCH(A340, 'Raw GDP data'!$I$1:$M$1, 0)
    )
  )),
  """"
)
"),19363381380.0633)</f>
        <v>19363381380.063301</v>
      </c>
      <c r="H340" s="80"/>
      <c r="I340" s="81">
        <f ca="1">IFERROR(__xludf.DUMMYFUNCTION("""COMPUTED_VALUE"""),2013)</f>
        <v>2013</v>
      </c>
      <c r="J340" s="82" t="str">
        <f ca="1">IFERROR(__xludf.DUMMYFUNCTION("""COMPUTED_VALUE"""),"Romania")</f>
        <v>Romania</v>
      </c>
      <c r="K340" s="83">
        <f ca="1">IFERROR(
  SUMIFS(
    'New Backfilled Data'!G:G,
    'New Backfilled Data'!A:A, I340,
    'New Backfilled Data'!D:D, J340,
    'New Backfilled Data'!E:E, "Online"
  ) /
  SUMIFS(
    'New Backfilled Data'!G:G,
    'New Backfilled Data'!A:A, I340,
    'New Backfilled Data'!D:D, J340
  ),
  ""
)</f>
        <v>0.23625927327045515</v>
      </c>
      <c r="L340" s="84"/>
      <c r="M340" s="84"/>
    </row>
    <row r="341" spans="1:13" ht="17" x14ac:dyDescent="0.2">
      <c r="A341" s="44">
        <v>2007</v>
      </c>
      <c r="B341" s="45" t="s">
        <v>66</v>
      </c>
      <c r="C341" s="45" t="s">
        <v>35</v>
      </c>
      <c r="D341" s="45" t="s">
        <v>39</v>
      </c>
      <c r="E341" s="45" t="s">
        <v>69</v>
      </c>
      <c r="F341" s="45" t="s">
        <v>71</v>
      </c>
      <c r="G341" s="85">
        <f ca="1">IFERROR(__xludf.DUMMYFUNCTION("IFERROR(
  IF(A341 = 2008,
    IF(E341 = ""Online"",
      FILTER('Raw PhocalPoint Data'!G:G,
        'Raw PhocalPoint Data'!A:A = 2009,
        'Raw PhocalPoint Data'!D:D = D341,
        'Raw PhocalPoint Data'!E:E = E341,
        'Raw PhocalPoint Data'!F"&amp;":F = F341
      ) /
      (
        FILTER('Raw PhocalPoint Data'!G:G,
          'Raw PhocalPoint Data'!A:A = 2012,
          'Raw PhocalPoint Data'!D:D = D341,
          'Raw PhocalPoint Data'!E:E = E341,
          'Raw PhocalPoint Data'!F:F = F341
     "&amp;"   ) /
        FILTER('Raw PhocalPoint Data'!G:G,
          'Raw PhocalPoint Data'!A:A = 2011,
          'Raw PhocalPoint Data'!D:D = D341,
          'Raw PhocalPoint Data'!E:E = E341,
          'Raw PhocalPoint Data'!F:F = F341
        )
      ),
      F"&amp;"ILTER('Raw PhocalPoint Data'!G:G,
        'Raw PhocalPoint Data'!A:A = 2009,
        'Raw PhocalPoint Data'!D:D = D341,
        'Raw PhocalPoint Data'!E:E = E341,
        'Raw PhocalPoint Data'!F:F = F341
      ) *
      (
        INDEX('Raw GDP data'!$I$"&amp;"2:$M$100,
          MATCH(D341, 'Raw GDP data'!$H$2:$H$100, 0),
          MATCH(2008, 'Raw GDP data'!$I$1:$M$1, 0)
        ) /
        INDEX('Raw GDP data'!$I$2:$M$100,
          MATCH(D341, 'Raw GDP data'!$H$2:$H$100, 0),
          MATCH(2009, 'Raw GDP d"&amp;"ata'!$I$1:$M$1, 0)
        )
      )
    ),
  IF(A341 &lt; 2008,
    (
      FILTER(G:G,
        A:A = 2008,
        D:D = D341,
        E:E = E341,
        F:F = F341
      ) /
      PRODUCT(
        ARRAYFORMULA(
          (
            (
              FIL"&amp;"TER('Raw PhocalPoint Data'!G:G,
                'Raw PhocalPoint Data'!A:A = 2012,
                'Raw PhocalPoint Data'!D:D = D341,
                'Raw PhocalPoint Data'!E:E = E341,
                'Raw PhocalPoint Data'!F:F = F341
              ) /
  "&amp;"            FILTER('Raw PhocalPoint Data'!G:G,
                'Raw PhocalPoint Data'!A:A = 2011,
                'Raw PhocalPoint Data'!D:D = D341,
                'Raw PhocalPoint Data'!E:E = E341,
                'Raw PhocalPoint Data'!F:F = F341
     "&amp;"         ) -
              ROW(INDIRECT(""1:"" &amp; (2008 - A341))) *
              (
                (
                  FILTER('Raw PhocalPoint Data'!G:G,
                    'Raw PhocalPoint Data'!A:A = 2012,
                    'Raw PhocalPoint Data'!D:D"&amp;" = D341,
                    'Raw PhocalPoint Data'!E:E = E341,
                    'Raw PhocalPoint Data'!F:F = F341
                  ) /
                  FILTER('Raw PhocalPoint Data'!G:G,
                    'Raw PhocalPoint Data'!A:A = 2011,
       "&amp;"             'Raw PhocalPoint Data'!D:D = D341,
                    'Raw PhocalPoint Data'!E:E = E341,
                    'Raw PhocalPoint Data'!F:F = F341
                  ) - 1
                ) / 5
              )
            )
          )
        )
"&amp;"      )
    ),
    (
      FILTER('Raw PhocalPoint Data'!G:G,
        'Raw PhocalPoint Data'!A:A = 2009,
        'Raw PhocalPoint Data'!D:D = D341,
        'Raw PhocalPoint Data'!E:E = E341,
        'Raw PhocalPoint Data'!F:F = F341
      ) /
      PRODUC"&amp;"T(
        ARRAYFORMULA(
          (
            FILTER('Raw PhocalPoint Data'!G:G,
              'Raw PhocalPoint Data'!A:A = 2012,
              'Raw PhocalPoint Data'!D:D = D341,
              'Raw PhocalPoint Data'!E:E = E341,
              'Raw Phoca"&amp;"lPoint Data'!F:F = F341
            ) /
            FILTER('Raw PhocalPoint Data'!G:G,
              'Raw PhocalPoint Data'!A:A = 2011,
              'Raw PhocalPoint Data'!D:D = D341,
              'Raw PhocalPoint Data'!E:E = E341,
              'Raw Ph"&amp;"ocalPoint Data'!F:F = F341
            ) -
            (ROW(INDIRECT(""1:"" &amp; (2010 - A341))) - 1) *
            (
              (
                FILTER('Raw PhocalPoint Data'!G:G,
                  'Raw PhocalPoint Data'!A:A = 2012,
                  'R"&amp;"aw PhocalPoint Data'!D:D = D341,
                  'Raw PhocalPoint Data'!E:E = E341,
                  'Raw PhocalPoint Data'!F:F = F341
                ) /
                FILTER('Raw PhocalPoint Data'!G:G,
                  'Raw PhocalPoint Data'!A:A ="&amp;" 2011,
                  'Raw PhocalPoint Data'!D:D = D341,
                  'Raw PhocalPoint Data'!E:E = E341,
                  'Raw PhocalPoint Data'!F:F = F341
                ) - 1
              ) / 5
            )
          )
        )
      )
    "&amp;") *
    INDEX('Raw GDP data'!$I$2:$M$100,
      MATCH(D341, 'Raw GDP data'!$H$2:$H$100, 0),
      MATCH(A341, 'Raw GDP data'!$I$1:$M$1, 0)
    )
  )),
  """"
)
"),1430957499.88704)</f>
        <v>1430957499.8870399</v>
      </c>
      <c r="H341" s="86"/>
      <c r="I341" s="87">
        <f ca="1">IFERROR(__xludf.DUMMYFUNCTION("""COMPUTED_VALUE"""),2013)</f>
        <v>2013</v>
      </c>
      <c r="J341" s="88" t="str">
        <f ca="1">IFERROR(__xludf.DUMMYFUNCTION("""COMPUTED_VALUE"""),"Russia")</f>
        <v>Russia</v>
      </c>
      <c r="K341" s="89">
        <f ca="1">IFERROR(
  SUMIFS(
    'New Backfilled Data'!G:G,
    'New Backfilled Data'!A:A, I341,
    'New Backfilled Data'!D:D, J341,
    'New Backfilled Data'!E:E, "Online"
  ) /
  SUMIFS(
    'New Backfilled Data'!G:G,
    'New Backfilled Data'!A:A, I341,
    'New Backfilled Data'!D:D, J341
  ),
  ""
)</f>
        <v>0.23698520461288841</v>
      </c>
      <c r="L341" s="90"/>
      <c r="M341" s="90"/>
    </row>
    <row r="342" spans="1:13" ht="17" x14ac:dyDescent="0.2">
      <c r="A342" s="37">
        <v>2007</v>
      </c>
      <c r="B342" s="38" t="s">
        <v>66</v>
      </c>
      <c r="C342" s="38" t="s">
        <v>35</v>
      </c>
      <c r="D342" s="38" t="s">
        <v>39</v>
      </c>
      <c r="E342" s="38" t="s">
        <v>69</v>
      </c>
      <c r="F342" s="38" t="s">
        <v>70</v>
      </c>
      <c r="G342" s="79">
        <f ca="1">IFERROR(__xludf.DUMMYFUNCTION("IFERROR(
  IF(A342 = 2008,
    IF(E342 = ""Online"",
      FILTER('Raw PhocalPoint Data'!G:G,
        'Raw PhocalPoint Data'!A:A = 2009,
        'Raw PhocalPoint Data'!D:D = D342,
        'Raw PhocalPoint Data'!E:E = E342,
        'Raw PhocalPoint Data'!F"&amp;":F = F342
      ) /
      (
        FILTER('Raw PhocalPoint Data'!G:G,
          'Raw PhocalPoint Data'!A:A = 2012,
          'Raw PhocalPoint Data'!D:D = D342,
          'Raw PhocalPoint Data'!E:E = E342,
          'Raw PhocalPoint Data'!F:F = F342
     "&amp;"   ) /
        FILTER('Raw PhocalPoint Data'!G:G,
          'Raw PhocalPoint Data'!A:A = 2011,
          'Raw PhocalPoint Data'!D:D = D342,
          'Raw PhocalPoint Data'!E:E = E342,
          'Raw PhocalPoint Data'!F:F = F342
        )
      ),
      F"&amp;"ILTER('Raw PhocalPoint Data'!G:G,
        'Raw PhocalPoint Data'!A:A = 2009,
        'Raw PhocalPoint Data'!D:D = D342,
        'Raw PhocalPoint Data'!E:E = E342,
        'Raw PhocalPoint Data'!F:F = F342
      ) *
      (
        INDEX('Raw GDP data'!$I$"&amp;"2:$M$100,
          MATCH(D342, 'Raw GDP data'!$H$2:$H$100, 0),
          MATCH(2008, 'Raw GDP data'!$I$1:$M$1, 0)
        ) /
        INDEX('Raw GDP data'!$I$2:$M$100,
          MATCH(D342, 'Raw GDP data'!$H$2:$H$100, 0),
          MATCH(2009, 'Raw GDP d"&amp;"ata'!$I$1:$M$1, 0)
        )
      )
    ),
  IF(A342 &lt; 2008,
    (
      FILTER(G:G,
        A:A = 2008,
        D:D = D342,
        E:E = E342,
        F:F = F342
      ) /
      PRODUCT(
        ARRAYFORMULA(
          (
            (
              FIL"&amp;"TER('Raw PhocalPoint Data'!G:G,
                'Raw PhocalPoint Data'!A:A = 2012,
                'Raw PhocalPoint Data'!D:D = D342,
                'Raw PhocalPoint Data'!E:E = E342,
                'Raw PhocalPoint Data'!F:F = F342
              ) /
  "&amp;"            FILTER('Raw PhocalPoint Data'!G:G,
                'Raw PhocalPoint Data'!A:A = 2011,
                'Raw PhocalPoint Data'!D:D = D342,
                'Raw PhocalPoint Data'!E:E = E342,
                'Raw PhocalPoint Data'!F:F = F342
     "&amp;"         ) -
              ROW(INDIRECT(""1:"" &amp; (2008 - A342))) *
              (
                (
                  FILTER('Raw PhocalPoint Data'!G:G,
                    'Raw PhocalPoint Data'!A:A = 2012,
                    'Raw PhocalPoint Data'!D:D"&amp;" = D342,
                    'Raw PhocalPoint Data'!E:E = E342,
                    'Raw PhocalPoint Data'!F:F = F342
                  ) /
                  FILTER('Raw PhocalPoint Data'!G:G,
                    'Raw PhocalPoint Data'!A:A = 2011,
       "&amp;"             'Raw PhocalPoint Data'!D:D = D342,
                    'Raw PhocalPoint Data'!E:E = E342,
                    'Raw PhocalPoint Data'!F:F = F342
                  ) - 1
                ) / 5
              )
            )
          )
        )
"&amp;"      )
    ),
    (
      FILTER('Raw PhocalPoint Data'!G:G,
        'Raw PhocalPoint Data'!A:A = 2009,
        'Raw PhocalPoint Data'!D:D = D342,
        'Raw PhocalPoint Data'!E:E = E342,
        'Raw PhocalPoint Data'!F:F = F342
      ) /
      PRODUC"&amp;"T(
        ARRAYFORMULA(
          (
            FILTER('Raw PhocalPoint Data'!G:G,
              'Raw PhocalPoint Data'!A:A = 2012,
              'Raw PhocalPoint Data'!D:D = D342,
              'Raw PhocalPoint Data'!E:E = E342,
              'Raw Phoca"&amp;"lPoint Data'!F:F = F342
            ) /
            FILTER('Raw PhocalPoint Data'!G:G,
              'Raw PhocalPoint Data'!A:A = 2011,
              'Raw PhocalPoint Data'!D:D = D342,
              'Raw PhocalPoint Data'!E:E = E342,
              'Raw Ph"&amp;"ocalPoint Data'!F:F = F342
            ) -
            (ROW(INDIRECT(""1:"" &amp; (2010 - A342))) - 1) *
            (
              (
                FILTER('Raw PhocalPoint Data'!G:G,
                  'Raw PhocalPoint Data'!A:A = 2012,
                  'R"&amp;"aw PhocalPoint Data'!D:D = D342,
                  'Raw PhocalPoint Data'!E:E = E342,
                  'Raw PhocalPoint Data'!F:F = F342
                ) /
                FILTER('Raw PhocalPoint Data'!G:G,
                  'Raw PhocalPoint Data'!A:A ="&amp;" 2011,
                  'Raw PhocalPoint Data'!D:D = D342,
                  'Raw PhocalPoint Data'!E:E = E342,
                  'Raw PhocalPoint Data'!F:F = F342
                ) - 1
              ) / 5
            )
          )
        )
      )
    "&amp;") *
    INDEX('Raw GDP data'!$I$2:$M$100,
      MATCH(D342, 'Raw GDP data'!$H$2:$H$100, 0),
      MATCH(A342, 'Raw GDP data'!$I$1:$M$1, 0)
    )
  )),
  """"
)
"),527649160.843815)</f>
        <v>527649160.84381503</v>
      </c>
      <c r="H342" s="80"/>
      <c r="I342" s="81">
        <f ca="1">IFERROR(__xludf.DUMMYFUNCTION("""COMPUTED_VALUE"""),2013)</f>
        <v>2013</v>
      </c>
      <c r="J342" s="82" t="str">
        <f ca="1">IFERROR(__xludf.DUMMYFUNCTION("""COMPUTED_VALUE"""),"Ukraine")</f>
        <v>Ukraine</v>
      </c>
      <c r="K342" s="83">
        <f ca="1">IFERROR(
  SUMIFS(
    'New Backfilled Data'!G:G,
    'New Backfilled Data'!A:A, I342,
    'New Backfilled Data'!D:D, J342,
    'New Backfilled Data'!E:E, "Online"
  ) /
  SUMIFS(
    'New Backfilled Data'!G:G,
    'New Backfilled Data'!A:A, I342,
    'New Backfilled Data'!D:D, J342
  ),
  ""
)</f>
        <v>0.18024638591029507</v>
      </c>
      <c r="L342" s="84"/>
      <c r="M342" s="84"/>
    </row>
    <row r="343" spans="1:13" ht="17" x14ac:dyDescent="0.2">
      <c r="A343" s="44">
        <v>2007</v>
      </c>
      <c r="B343" s="45" t="s">
        <v>66</v>
      </c>
      <c r="C343" s="45" t="s">
        <v>41</v>
      </c>
      <c r="D343" s="45" t="s">
        <v>40</v>
      </c>
      <c r="E343" s="45" t="s">
        <v>67</v>
      </c>
      <c r="F343" s="45" t="s">
        <v>67</v>
      </c>
      <c r="G343" s="85">
        <f ca="1">IFERROR(__xludf.DUMMYFUNCTION("IFERROR(
  IF(A343 = 2008,
    IF(E343 = ""Online"",
      FILTER('Raw PhocalPoint Data'!G:G,
        'Raw PhocalPoint Data'!A:A = 2009,
        'Raw PhocalPoint Data'!D:D = D343,
        'Raw PhocalPoint Data'!E:E = E343,
        'Raw PhocalPoint Data'!F"&amp;":F = F343
      ) /
      (
        FILTER('Raw PhocalPoint Data'!G:G,
          'Raw PhocalPoint Data'!A:A = 2012,
          'Raw PhocalPoint Data'!D:D = D343,
          'Raw PhocalPoint Data'!E:E = E343,
          'Raw PhocalPoint Data'!F:F = F343
     "&amp;"   ) /
        FILTER('Raw PhocalPoint Data'!G:G,
          'Raw PhocalPoint Data'!A:A = 2011,
          'Raw PhocalPoint Data'!D:D = D343,
          'Raw PhocalPoint Data'!E:E = E343,
          'Raw PhocalPoint Data'!F:F = F343
        )
      ),
      F"&amp;"ILTER('Raw PhocalPoint Data'!G:G,
        'Raw PhocalPoint Data'!A:A = 2009,
        'Raw PhocalPoint Data'!D:D = D343,
        'Raw PhocalPoint Data'!E:E = E343,
        'Raw PhocalPoint Data'!F:F = F343
      ) *
      (
        INDEX('Raw GDP data'!$I$"&amp;"2:$M$100,
          MATCH(D343, 'Raw GDP data'!$H$2:$H$100, 0),
          MATCH(2008, 'Raw GDP data'!$I$1:$M$1, 0)
        ) /
        INDEX('Raw GDP data'!$I$2:$M$100,
          MATCH(D343, 'Raw GDP data'!$H$2:$H$100, 0),
          MATCH(2009, 'Raw GDP d"&amp;"ata'!$I$1:$M$1, 0)
        )
      )
    ),
  IF(A343 &lt; 2008,
    (
      FILTER(G:G,
        A:A = 2008,
        D:D = D343,
        E:E = E343,
        F:F = F343
      ) /
      PRODUCT(
        ARRAYFORMULA(
          (
            (
              FIL"&amp;"TER('Raw PhocalPoint Data'!G:G,
                'Raw PhocalPoint Data'!A:A = 2012,
                'Raw PhocalPoint Data'!D:D = D343,
                'Raw PhocalPoint Data'!E:E = E343,
                'Raw PhocalPoint Data'!F:F = F343
              ) /
  "&amp;"            FILTER('Raw PhocalPoint Data'!G:G,
                'Raw PhocalPoint Data'!A:A = 2011,
                'Raw PhocalPoint Data'!D:D = D343,
                'Raw PhocalPoint Data'!E:E = E343,
                'Raw PhocalPoint Data'!F:F = F343
     "&amp;"         ) -
              ROW(INDIRECT(""1:"" &amp; (2008 - A343))) *
              (
                (
                  FILTER('Raw PhocalPoint Data'!G:G,
                    'Raw PhocalPoint Data'!A:A = 2012,
                    'Raw PhocalPoint Data'!D:D"&amp;" = D343,
                    'Raw PhocalPoint Data'!E:E = E343,
                    'Raw PhocalPoint Data'!F:F = F343
                  ) /
                  FILTER('Raw PhocalPoint Data'!G:G,
                    'Raw PhocalPoint Data'!A:A = 2011,
       "&amp;"             'Raw PhocalPoint Data'!D:D = D343,
                    'Raw PhocalPoint Data'!E:E = E343,
                    'Raw PhocalPoint Data'!F:F = F343
                  ) - 1
                ) / 5
              )
            )
          )
        )
"&amp;"      )
    ),
    (
      FILTER('Raw PhocalPoint Data'!G:G,
        'Raw PhocalPoint Data'!A:A = 2009,
        'Raw PhocalPoint Data'!D:D = D343,
        'Raw PhocalPoint Data'!E:E = E343,
        'Raw PhocalPoint Data'!F:F = F343
      ) /
      PRODUC"&amp;"T(
        ARRAYFORMULA(
          (
            FILTER('Raw PhocalPoint Data'!G:G,
              'Raw PhocalPoint Data'!A:A = 2012,
              'Raw PhocalPoint Data'!D:D = D343,
              'Raw PhocalPoint Data'!E:E = E343,
              'Raw Phoca"&amp;"lPoint Data'!F:F = F343
            ) /
            FILTER('Raw PhocalPoint Data'!G:G,
              'Raw PhocalPoint Data'!A:A = 2011,
              'Raw PhocalPoint Data'!D:D = D343,
              'Raw PhocalPoint Data'!E:E = E343,
              'Raw Ph"&amp;"ocalPoint Data'!F:F = F343
            ) -
            (ROW(INDIRECT(""1:"" &amp; (2010 - A343))) - 1) *
            (
              (
                FILTER('Raw PhocalPoint Data'!G:G,
                  'Raw PhocalPoint Data'!A:A = 2012,
                  'R"&amp;"aw PhocalPoint Data'!D:D = D343,
                  'Raw PhocalPoint Data'!E:E = E343,
                  'Raw PhocalPoint Data'!F:F = F343
                ) /
                FILTER('Raw PhocalPoint Data'!G:G,
                  'Raw PhocalPoint Data'!A:A ="&amp;" 2011,
                  'Raw PhocalPoint Data'!D:D = D343,
                  'Raw PhocalPoint Data'!E:E = E343,
                  'Raw PhocalPoint Data'!F:F = F343
                ) - 1
              ) / 5
            )
          )
        )
      )
    "&amp;") *
    INDEX('Raw GDP data'!$I$2:$M$100,
      MATCH(D343, 'Raw GDP data'!$H$2:$H$100, 0),
      MATCH(A343, 'Raw GDP data'!$I$1:$M$1, 0)
    )
  )),
  """"
)
"),5949297594.88858)</f>
        <v>5949297594.8885803</v>
      </c>
      <c r="H343" s="86"/>
      <c r="I343" s="87">
        <f ca="1">IFERROR(__xludf.DUMMYFUNCTION("""COMPUTED_VALUE"""),2013)</f>
        <v>2013</v>
      </c>
      <c r="J343" s="88" t="str">
        <f ca="1">IFERROR(__xludf.DUMMYFUNCTION("""COMPUTED_VALUE"""),"France")</f>
        <v>France</v>
      </c>
      <c r="K343" s="89">
        <f ca="1">IFERROR(
  SUMIFS(
    'New Backfilled Data'!G:G,
    'New Backfilled Data'!A:A, I343,
    'New Backfilled Data'!D:D, J343,
    'New Backfilled Data'!E:E, "Online"
  ) /
  SUMIFS(
    'New Backfilled Data'!G:G,
    'New Backfilled Data'!A:A, I343,
    'New Backfilled Data'!D:D, J343
  ),
  ""
)</f>
        <v>0.36934093878634716</v>
      </c>
      <c r="L343" s="90"/>
      <c r="M343" s="90"/>
    </row>
    <row r="344" spans="1:13" ht="17" x14ac:dyDescent="0.2">
      <c r="A344" s="37">
        <v>2007</v>
      </c>
      <c r="B344" s="38" t="s">
        <v>66</v>
      </c>
      <c r="C344" s="38" t="s">
        <v>41</v>
      </c>
      <c r="D344" s="38" t="s">
        <v>40</v>
      </c>
      <c r="E344" s="38" t="s">
        <v>69</v>
      </c>
      <c r="F344" s="38" t="s">
        <v>71</v>
      </c>
      <c r="G344" s="79">
        <f ca="1">IFERROR(__xludf.DUMMYFUNCTION("IFERROR(
  IF(A344 = 2008,
    IF(E344 = ""Online"",
      FILTER('Raw PhocalPoint Data'!G:G,
        'Raw PhocalPoint Data'!A:A = 2009,
        'Raw PhocalPoint Data'!D:D = D344,
        'Raw PhocalPoint Data'!E:E = E344,
        'Raw PhocalPoint Data'!F"&amp;":F = F344
      ) /
      (
        FILTER('Raw PhocalPoint Data'!G:G,
          'Raw PhocalPoint Data'!A:A = 2012,
          'Raw PhocalPoint Data'!D:D = D344,
          'Raw PhocalPoint Data'!E:E = E344,
          'Raw PhocalPoint Data'!F:F = F344
     "&amp;"   ) /
        FILTER('Raw PhocalPoint Data'!G:G,
          'Raw PhocalPoint Data'!A:A = 2011,
          'Raw PhocalPoint Data'!D:D = D344,
          'Raw PhocalPoint Data'!E:E = E344,
          'Raw PhocalPoint Data'!F:F = F344
        )
      ),
      F"&amp;"ILTER('Raw PhocalPoint Data'!G:G,
        'Raw PhocalPoint Data'!A:A = 2009,
        'Raw PhocalPoint Data'!D:D = D344,
        'Raw PhocalPoint Data'!E:E = E344,
        'Raw PhocalPoint Data'!F:F = F344
      ) *
      (
        INDEX('Raw GDP data'!$I$"&amp;"2:$M$100,
          MATCH(D344, 'Raw GDP data'!$H$2:$H$100, 0),
          MATCH(2008, 'Raw GDP data'!$I$1:$M$1, 0)
        ) /
        INDEX('Raw GDP data'!$I$2:$M$100,
          MATCH(D344, 'Raw GDP data'!$H$2:$H$100, 0),
          MATCH(2009, 'Raw GDP d"&amp;"ata'!$I$1:$M$1, 0)
        )
      )
    ),
  IF(A344 &lt; 2008,
    (
      FILTER(G:G,
        A:A = 2008,
        D:D = D344,
        E:E = E344,
        F:F = F344
      ) /
      PRODUCT(
        ARRAYFORMULA(
          (
            (
              FIL"&amp;"TER('Raw PhocalPoint Data'!G:G,
                'Raw PhocalPoint Data'!A:A = 2012,
                'Raw PhocalPoint Data'!D:D = D344,
                'Raw PhocalPoint Data'!E:E = E344,
                'Raw PhocalPoint Data'!F:F = F344
              ) /
  "&amp;"            FILTER('Raw PhocalPoint Data'!G:G,
                'Raw PhocalPoint Data'!A:A = 2011,
                'Raw PhocalPoint Data'!D:D = D344,
                'Raw PhocalPoint Data'!E:E = E344,
                'Raw PhocalPoint Data'!F:F = F344
     "&amp;"         ) -
              ROW(INDIRECT(""1:"" &amp; (2008 - A344))) *
              (
                (
                  FILTER('Raw PhocalPoint Data'!G:G,
                    'Raw PhocalPoint Data'!A:A = 2012,
                    'Raw PhocalPoint Data'!D:D"&amp;" = D344,
                    'Raw PhocalPoint Data'!E:E = E344,
                    'Raw PhocalPoint Data'!F:F = F344
                  ) /
                  FILTER('Raw PhocalPoint Data'!G:G,
                    'Raw PhocalPoint Data'!A:A = 2011,
       "&amp;"             'Raw PhocalPoint Data'!D:D = D344,
                    'Raw PhocalPoint Data'!E:E = E344,
                    'Raw PhocalPoint Data'!F:F = F344
                  ) - 1
                ) / 5
              )
            )
          )
        )
"&amp;"      )
    ),
    (
      FILTER('Raw PhocalPoint Data'!G:G,
        'Raw PhocalPoint Data'!A:A = 2009,
        'Raw PhocalPoint Data'!D:D = D344,
        'Raw PhocalPoint Data'!E:E = E344,
        'Raw PhocalPoint Data'!F:F = F344
      ) /
      PRODUC"&amp;"T(
        ARRAYFORMULA(
          (
            FILTER('Raw PhocalPoint Data'!G:G,
              'Raw PhocalPoint Data'!A:A = 2012,
              'Raw PhocalPoint Data'!D:D = D344,
              'Raw PhocalPoint Data'!E:E = E344,
              'Raw Phoca"&amp;"lPoint Data'!F:F = F344
            ) /
            FILTER('Raw PhocalPoint Data'!G:G,
              'Raw PhocalPoint Data'!A:A = 2011,
              'Raw PhocalPoint Data'!D:D = D344,
              'Raw PhocalPoint Data'!E:E = E344,
              'Raw Ph"&amp;"ocalPoint Data'!F:F = F344
            ) -
            (ROW(INDIRECT(""1:"" &amp; (2010 - A344))) - 1) *
            (
              (
                FILTER('Raw PhocalPoint Data'!G:G,
                  'Raw PhocalPoint Data'!A:A = 2012,
                  'R"&amp;"aw PhocalPoint Data'!D:D = D344,
                  'Raw PhocalPoint Data'!E:E = E344,
                  'Raw PhocalPoint Data'!F:F = F344
                ) /
                FILTER('Raw PhocalPoint Data'!G:G,
                  'Raw PhocalPoint Data'!A:A ="&amp;" 2011,
                  'Raw PhocalPoint Data'!D:D = D344,
                  'Raw PhocalPoint Data'!E:E = E344,
                  'Raw PhocalPoint Data'!F:F = F344
                ) - 1
              ) / 5
            )
          )
        )
      )
    "&amp;") *
    INDEX('Raw GDP data'!$I$2:$M$100,
      MATCH(D344, 'Raw GDP data'!$H$2:$H$100, 0),
      MATCH(A344, 'Raw GDP data'!$I$1:$M$1, 0)
    )
  )),
  """"
)
"),171693875.769128)</f>
        <v>171693875.76912799</v>
      </c>
      <c r="H344" s="80"/>
      <c r="I344" s="81">
        <f ca="1">IFERROR(__xludf.DUMMYFUNCTION("""COMPUTED_VALUE"""),2013)</f>
        <v>2013</v>
      </c>
      <c r="J344" s="82" t="str">
        <f ca="1">IFERROR(__xludf.DUMMYFUNCTION("""COMPUTED_VALUE"""),"Germany")</f>
        <v>Germany</v>
      </c>
      <c r="K344" s="83">
        <f ca="1">IFERROR(
  SUMIFS(
    'New Backfilled Data'!G:G,
    'New Backfilled Data'!A:A, I344,
    'New Backfilled Data'!D:D, J344,
    'New Backfilled Data'!E:E, "Online"
  ) /
  SUMIFS(
    'New Backfilled Data'!G:G,
    'New Backfilled Data'!A:A, I344,
    'New Backfilled Data'!D:D, J344
  ),
  ""
)</f>
        <v>0.35193536194839559</v>
      </c>
      <c r="L344" s="84"/>
      <c r="M344" s="84"/>
    </row>
    <row r="345" spans="1:13" ht="17" x14ac:dyDescent="0.2">
      <c r="A345" s="44">
        <v>2007</v>
      </c>
      <c r="B345" s="45" t="s">
        <v>66</v>
      </c>
      <c r="C345" s="45" t="s">
        <v>41</v>
      </c>
      <c r="D345" s="45" t="s">
        <v>40</v>
      </c>
      <c r="E345" s="45" t="s">
        <v>69</v>
      </c>
      <c r="F345" s="45" t="s">
        <v>70</v>
      </c>
      <c r="G345" s="85">
        <f ca="1">IFERROR(__xludf.DUMMYFUNCTION("IFERROR(
  IF(A345 = 2008,
    IF(E345 = ""Online"",
      FILTER('Raw PhocalPoint Data'!G:G,
        'Raw PhocalPoint Data'!A:A = 2009,
        'Raw PhocalPoint Data'!D:D = D345,
        'Raw PhocalPoint Data'!E:E = E345,
        'Raw PhocalPoint Data'!F"&amp;":F = F345
      ) /
      (
        FILTER('Raw PhocalPoint Data'!G:G,
          'Raw PhocalPoint Data'!A:A = 2012,
          'Raw PhocalPoint Data'!D:D = D345,
          'Raw PhocalPoint Data'!E:E = E345,
          'Raw PhocalPoint Data'!F:F = F345
     "&amp;"   ) /
        FILTER('Raw PhocalPoint Data'!G:G,
          'Raw PhocalPoint Data'!A:A = 2011,
          'Raw PhocalPoint Data'!D:D = D345,
          'Raw PhocalPoint Data'!E:E = E345,
          'Raw PhocalPoint Data'!F:F = F345
        )
      ),
      F"&amp;"ILTER('Raw PhocalPoint Data'!G:G,
        'Raw PhocalPoint Data'!A:A = 2009,
        'Raw PhocalPoint Data'!D:D = D345,
        'Raw PhocalPoint Data'!E:E = E345,
        'Raw PhocalPoint Data'!F:F = F345
      ) *
      (
        INDEX('Raw GDP data'!$I$"&amp;"2:$M$100,
          MATCH(D345, 'Raw GDP data'!$H$2:$H$100, 0),
          MATCH(2008, 'Raw GDP data'!$I$1:$M$1, 0)
        ) /
        INDEX('Raw GDP data'!$I$2:$M$100,
          MATCH(D345, 'Raw GDP data'!$H$2:$H$100, 0),
          MATCH(2009, 'Raw GDP d"&amp;"ata'!$I$1:$M$1, 0)
        )
      )
    ),
  IF(A345 &lt; 2008,
    (
      FILTER(G:G,
        A:A = 2008,
        D:D = D345,
        E:E = E345,
        F:F = F345
      ) /
      PRODUCT(
        ARRAYFORMULA(
          (
            (
              FIL"&amp;"TER('Raw PhocalPoint Data'!G:G,
                'Raw PhocalPoint Data'!A:A = 2012,
                'Raw PhocalPoint Data'!D:D = D345,
                'Raw PhocalPoint Data'!E:E = E345,
                'Raw PhocalPoint Data'!F:F = F345
              ) /
  "&amp;"            FILTER('Raw PhocalPoint Data'!G:G,
                'Raw PhocalPoint Data'!A:A = 2011,
                'Raw PhocalPoint Data'!D:D = D345,
                'Raw PhocalPoint Data'!E:E = E345,
                'Raw PhocalPoint Data'!F:F = F345
     "&amp;"         ) -
              ROW(INDIRECT(""1:"" &amp; (2008 - A345))) *
              (
                (
                  FILTER('Raw PhocalPoint Data'!G:G,
                    'Raw PhocalPoint Data'!A:A = 2012,
                    'Raw PhocalPoint Data'!D:D"&amp;" = D345,
                    'Raw PhocalPoint Data'!E:E = E345,
                    'Raw PhocalPoint Data'!F:F = F345
                  ) /
                  FILTER('Raw PhocalPoint Data'!G:G,
                    'Raw PhocalPoint Data'!A:A = 2011,
       "&amp;"             'Raw PhocalPoint Data'!D:D = D345,
                    'Raw PhocalPoint Data'!E:E = E345,
                    'Raw PhocalPoint Data'!F:F = F345
                  ) - 1
                ) / 5
              )
            )
          )
        )
"&amp;"      )
    ),
    (
      FILTER('Raw PhocalPoint Data'!G:G,
        'Raw PhocalPoint Data'!A:A = 2009,
        'Raw PhocalPoint Data'!D:D = D345,
        'Raw PhocalPoint Data'!E:E = E345,
        'Raw PhocalPoint Data'!F:F = F345
      ) /
      PRODUC"&amp;"T(
        ARRAYFORMULA(
          (
            FILTER('Raw PhocalPoint Data'!G:G,
              'Raw PhocalPoint Data'!A:A = 2012,
              'Raw PhocalPoint Data'!D:D = D345,
              'Raw PhocalPoint Data'!E:E = E345,
              'Raw Phoca"&amp;"lPoint Data'!F:F = F345
            ) /
            FILTER('Raw PhocalPoint Data'!G:G,
              'Raw PhocalPoint Data'!A:A = 2011,
              'Raw PhocalPoint Data'!D:D = D345,
              'Raw PhocalPoint Data'!E:E = E345,
              'Raw Ph"&amp;"ocalPoint Data'!F:F = F345
            ) -
            (ROW(INDIRECT(""1:"" &amp; (2010 - A345))) - 1) *
            (
              (
                FILTER('Raw PhocalPoint Data'!G:G,
                  'Raw PhocalPoint Data'!A:A = 2012,
                  'R"&amp;"aw PhocalPoint Data'!D:D = D345,
                  'Raw PhocalPoint Data'!E:E = E345,
                  'Raw PhocalPoint Data'!F:F = F345
                ) /
                FILTER('Raw PhocalPoint Data'!G:G,
                  'Raw PhocalPoint Data'!A:A ="&amp;" 2011,
                  'Raw PhocalPoint Data'!D:D = D345,
                  'Raw PhocalPoint Data'!E:E = E345,
                  'Raw PhocalPoint Data'!F:F = F345
                ) - 1
              ) / 5
            )
          )
        )
      )
    "&amp;") *
    INDEX('Raw GDP data'!$I$2:$M$100,
      MATCH(D345, 'Raw GDP data'!$H$2:$H$100, 0),
      MATCH(A345, 'Raw GDP data'!$I$1:$M$1, 0)
    )
  )),
  """"
)
"),119749668.508235)</f>
        <v>119749668.50823499</v>
      </c>
      <c r="H345" s="86"/>
      <c r="I345" s="87">
        <f ca="1">IFERROR(__xludf.DUMMYFUNCTION("""COMPUTED_VALUE"""),2013)</f>
        <v>2013</v>
      </c>
      <c r="J345" s="88" t="str">
        <f ca="1">IFERROR(__xludf.DUMMYFUNCTION("""COMPUTED_VALUE"""),"Italy")</f>
        <v>Italy</v>
      </c>
      <c r="K345" s="89">
        <f ca="1">IFERROR(
  SUMIFS(
    'New Backfilled Data'!G:G,
    'New Backfilled Data'!A:A, I345,
    'New Backfilled Data'!D:D, J345,
    'New Backfilled Data'!E:E, "Online"
  ) /
  SUMIFS(
    'New Backfilled Data'!G:G,
    'New Backfilled Data'!A:A, I345,
    'New Backfilled Data'!D:D, J345
  ),
  ""
)</f>
        <v>0.30331412138179276</v>
      </c>
      <c r="L345" s="90"/>
      <c r="M345" s="90"/>
    </row>
    <row r="346" spans="1:13" ht="17" x14ac:dyDescent="0.2">
      <c r="A346" s="37">
        <v>2007</v>
      </c>
      <c r="B346" s="38" t="s">
        <v>66</v>
      </c>
      <c r="C346" s="38" t="s">
        <v>41</v>
      </c>
      <c r="D346" s="38" t="s">
        <v>42</v>
      </c>
      <c r="E346" s="38" t="s">
        <v>67</v>
      </c>
      <c r="F346" s="38" t="s">
        <v>67</v>
      </c>
      <c r="G346" s="79">
        <f ca="1">IFERROR(__xludf.DUMMYFUNCTION("IFERROR(
  IF(A346 = 2008,
    IF(E346 = ""Online"",
      FILTER('Raw PhocalPoint Data'!G:G,
        'Raw PhocalPoint Data'!A:A = 2009,
        'Raw PhocalPoint Data'!D:D = D346,
        'Raw PhocalPoint Data'!E:E = E346,
        'Raw PhocalPoint Data'!F"&amp;":F = F346
      ) /
      (
        FILTER('Raw PhocalPoint Data'!G:G,
          'Raw PhocalPoint Data'!A:A = 2012,
          'Raw PhocalPoint Data'!D:D = D346,
          'Raw PhocalPoint Data'!E:E = E346,
          'Raw PhocalPoint Data'!F:F = F346
     "&amp;"   ) /
        FILTER('Raw PhocalPoint Data'!G:G,
          'Raw PhocalPoint Data'!A:A = 2011,
          'Raw PhocalPoint Data'!D:D = D346,
          'Raw PhocalPoint Data'!E:E = E346,
          'Raw PhocalPoint Data'!F:F = F346
        )
      ),
      F"&amp;"ILTER('Raw PhocalPoint Data'!G:G,
        'Raw PhocalPoint Data'!A:A = 2009,
        'Raw PhocalPoint Data'!D:D = D346,
        'Raw PhocalPoint Data'!E:E = E346,
        'Raw PhocalPoint Data'!F:F = F346
      ) *
      (
        INDEX('Raw GDP data'!$I$"&amp;"2:$M$100,
          MATCH(D346, 'Raw GDP data'!$H$2:$H$100, 0),
          MATCH(2008, 'Raw GDP data'!$I$1:$M$1, 0)
        ) /
        INDEX('Raw GDP data'!$I$2:$M$100,
          MATCH(D346, 'Raw GDP data'!$H$2:$H$100, 0),
          MATCH(2009, 'Raw GDP d"&amp;"ata'!$I$1:$M$1, 0)
        )
      )
    ),
  IF(A346 &lt; 2008,
    (
      FILTER(G:G,
        A:A = 2008,
        D:D = D346,
        E:E = E346,
        F:F = F346
      ) /
      PRODUCT(
        ARRAYFORMULA(
          (
            (
              FIL"&amp;"TER('Raw PhocalPoint Data'!G:G,
                'Raw PhocalPoint Data'!A:A = 2012,
                'Raw PhocalPoint Data'!D:D = D346,
                'Raw PhocalPoint Data'!E:E = E346,
                'Raw PhocalPoint Data'!F:F = F346
              ) /
  "&amp;"            FILTER('Raw PhocalPoint Data'!G:G,
                'Raw PhocalPoint Data'!A:A = 2011,
                'Raw PhocalPoint Data'!D:D = D346,
                'Raw PhocalPoint Data'!E:E = E346,
                'Raw PhocalPoint Data'!F:F = F346
     "&amp;"         ) -
              ROW(INDIRECT(""1:"" &amp; (2008 - A346))) *
              (
                (
                  FILTER('Raw PhocalPoint Data'!G:G,
                    'Raw PhocalPoint Data'!A:A = 2012,
                    'Raw PhocalPoint Data'!D:D"&amp;" = D346,
                    'Raw PhocalPoint Data'!E:E = E346,
                    'Raw PhocalPoint Data'!F:F = F346
                  ) /
                  FILTER('Raw PhocalPoint Data'!G:G,
                    'Raw PhocalPoint Data'!A:A = 2011,
       "&amp;"             'Raw PhocalPoint Data'!D:D = D346,
                    'Raw PhocalPoint Data'!E:E = E346,
                    'Raw PhocalPoint Data'!F:F = F346
                  ) - 1
                ) / 5
              )
            )
          )
        )
"&amp;"      )
    ),
    (
      FILTER('Raw PhocalPoint Data'!G:G,
        'Raw PhocalPoint Data'!A:A = 2009,
        'Raw PhocalPoint Data'!D:D = D346,
        'Raw PhocalPoint Data'!E:E = E346,
        'Raw PhocalPoint Data'!F:F = F346
      ) /
      PRODUC"&amp;"T(
        ARRAYFORMULA(
          (
            FILTER('Raw PhocalPoint Data'!G:G,
              'Raw PhocalPoint Data'!A:A = 2012,
              'Raw PhocalPoint Data'!D:D = D346,
              'Raw PhocalPoint Data'!E:E = E346,
              'Raw Phoca"&amp;"lPoint Data'!F:F = F346
            ) /
            FILTER('Raw PhocalPoint Data'!G:G,
              'Raw PhocalPoint Data'!A:A = 2011,
              'Raw PhocalPoint Data'!D:D = D346,
              'Raw PhocalPoint Data'!E:E = E346,
              'Raw Ph"&amp;"ocalPoint Data'!F:F = F346
            ) -
            (ROW(INDIRECT(""1:"" &amp; (2010 - A346))) - 1) *
            (
              (
                FILTER('Raw PhocalPoint Data'!G:G,
                  'Raw PhocalPoint Data'!A:A = 2012,
                  'R"&amp;"aw PhocalPoint Data'!D:D = D346,
                  'Raw PhocalPoint Data'!E:E = E346,
                  'Raw PhocalPoint Data'!F:F = F346
                ) /
                FILTER('Raw PhocalPoint Data'!G:G,
                  'Raw PhocalPoint Data'!A:A ="&amp;" 2011,
                  'Raw PhocalPoint Data'!D:D = D346,
                  'Raw PhocalPoint Data'!E:E = E346,
                  'Raw PhocalPoint Data'!F:F = F346
                ) - 1
              ) / 5
            )
          )
        )
      )
    "&amp;") *
    INDEX('Raw GDP data'!$I$2:$M$100,
      MATCH(D346, 'Raw GDP data'!$H$2:$H$100, 0),
      MATCH(A346, 'Raw GDP data'!$I$1:$M$1, 0)
    )
  )),
  """"
)
"),4775201994.65262)</f>
        <v>4775201994.6526203</v>
      </c>
      <c r="H346" s="80"/>
      <c r="I346" s="81">
        <f ca="1">IFERROR(__xludf.DUMMYFUNCTION("""COMPUTED_VALUE"""),2013)</f>
        <v>2013</v>
      </c>
      <c r="J346" s="82" t="str">
        <f ca="1">IFERROR(__xludf.DUMMYFUNCTION("""COMPUTED_VALUE"""),"Rest of Europe")</f>
        <v>Rest of Europe</v>
      </c>
      <c r="K346" s="83">
        <f ca="1">IFERROR(
  SUMIFS(
    'New Backfilled Data'!G:G,
    'New Backfilled Data'!A:A, I346,
    'New Backfilled Data'!D:D, J346,
    'New Backfilled Data'!E:E, "Online"
  ) /
  SUMIFS(
    'New Backfilled Data'!G:G,
    'New Backfilled Data'!A:A, I346,
    'New Backfilled Data'!D:D, J346
  ),
  ""
)</f>
        <v>0.35663700625040057</v>
      </c>
      <c r="L346" s="84"/>
      <c r="M346" s="84"/>
    </row>
    <row r="347" spans="1:13" ht="17" x14ac:dyDescent="0.2">
      <c r="A347" s="44">
        <v>2007</v>
      </c>
      <c r="B347" s="45" t="s">
        <v>66</v>
      </c>
      <c r="C347" s="45" t="s">
        <v>41</v>
      </c>
      <c r="D347" s="45" t="s">
        <v>42</v>
      </c>
      <c r="E347" s="45" t="s">
        <v>69</v>
      </c>
      <c r="F347" s="45" t="s">
        <v>71</v>
      </c>
      <c r="G347" s="85">
        <f ca="1">IFERROR(__xludf.DUMMYFUNCTION("IFERROR(
  IF(A347 = 2008,
    IF(E347 = ""Online"",
      FILTER('Raw PhocalPoint Data'!G:G,
        'Raw PhocalPoint Data'!A:A = 2009,
        'Raw PhocalPoint Data'!D:D = D347,
        'Raw PhocalPoint Data'!E:E = E347,
        'Raw PhocalPoint Data'!F"&amp;":F = F347
      ) /
      (
        FILTER('Raw PhocalPoint Data'!G:G,
          'Raw PhocalPoint Data'!A:A = 2012,
          'Raw PhocalPoint Data'!D:D = D347,
          'Raw PhocalPoint Data'!E:E = E347,
          'Raw PhocalPoint Data'!F:F = F347
     "&amp;"   ) /
        FILTER('Raw PhocalPoint Data'!G:G,
          'Raw PhocalPoint Data'!A:A = 2011,
          'Raw PhocalPoint Data'!D:D = D347,
          'Raw PhocalPoint Data'!E:E = E347,
          'Raw PhocalPoint Data'!F:F = F347
        )
      ),
      F"&amp;"ILTER('Raw PhocalPoint Data'!G:G,
        'Raw PhocalPoint Data'!A:A = 2009,
        'Raw PhocalPoint Data'!D:D = D347,
        'Raw PhocalPoint Data'!E:E = E347,
        'Raw PhocalPoint Data'!F:F = F347
      ) *
      (
        INDEX('Raw GDP data'!$I$"&amp;"2:$M$100,
          MATCH(D347, 'Raw GDP data'!$H$2:$H$100, 0),
          MATCH(2008, 'Raw GDP data'!$I$1:$M$1, 0)
        ) /
        INDEX('Raw GDP data'!$I$2:$M$100,
          MATCH(D347, 'Raw GDP data'!$H$2:$H$100, 0),
          MATCH(2009, 'Raw GDP d"&amp;"ata'!$I$1:$M$1, 0)
        )
      )
    ),
  IF(A347 &lt; 2008,
    (
      FILTER(G:G,
        A:A = 2008,
        D:D = D347,
        E:E = E347,
        F:F = F347
      ) /
      PRODUCT(
        ARRAYFORMULA(
          (
            (
              FIL"&amp;"TER('Raw PhocalPoint Data'!G:G,
                'Raw PhocalPoint Data'!A:A = 2012,
                'Raw PhocalPoint Data'!D:D = D347,
                'Raw PhocalPoint Data'!E:E = E347,
                'Raw PhocalPoint Data'!F:F = F347
              ) /
  "&amp;"            FILTER('Raw PhocalPoint Data'!G:G,
                'Raw PhocalPoint Data'!A:A = 2011,
                'Raw PhocalPoint Data'!D:D = D347,
                'Raw PhocalPoint Data'!E:E = E347,
                'Raw PhocalPoint Data'!F:F = F347
     "&amp;"         ) -
              ROW(INDIRECT(""1:"" &amp; (2008 - A347))) *
              (
                (
                  FILTER('Raw PhocalPoint Data'!G:G,
                    'Raw PhocalPoint Data'!A:A = 2012,
                    'Raw PhocalPoint Data'!D:D"&amp;" = D347,
                    'Raw PhocalPoint Data'!E:E = E347,
                    'Raw PhocalPoint Data'!F:F = F347
                  ) /
                  FILTER('Raw PhocalPoint Data'!G:G,
                    'Raw PhocalPoint Data'!A:A = 2011,
       "&amp;"             'Raw PhocalPoint Data'!D:D = D347,
                    'Raw PhocalPoint Data'!E:E = E347,
                    'Raw PhocalPoint Data'!F:F = F347
                  ) - 1
                ) / 5
              )
            )
          )
        )
"&amp;"      )
    ),
    (
      FILTER('Raw PhocalPoint Data'!G:G,
        'Raw PhocalPoint Data'!A:A = 2009,
        'Raw PhocalPoint Data'!D:D = D347,
        'Raw PhocalPoint Data'!E:E = E347,
        'Raw PhocalPoint Data'!F:F = F347
      ) /
      PRODUC"&amp;"T(
        ARRAYFORMULA(
          (
            FILTER('Raw PhocalPoint Data'!G:G,
              'Raw PhocalPoint Data'!A:A = 2012,
              'Raw PhocalPoint Data'!D:D = D347,
              'Raw PhocalPoint Data'!E:E = E347,
              'Raw Phoca"&amp;"lPoint Data'!F:F = F347
            ) /
            FILTER('Raw PhocalPoint Data'!G:G,
              'Raw PhocalPoint Data'!A:A = 2011,
              'Raw PhocalPoint Data'!D:D = D347,
              'Raw PhocalPoint Data'!E:E = E347,
              'Raw Ph"&amp;"ocalPoint Data'!F:F = F347
            ) -
            (ROW(INDIRECT(""1:"" &amp; (2010 - A347))) - 1) *
            (
              (
                FILTER('Raw PhocalPoint Data'!G:G,
                  'Raw PhocalPoint Data'!A:A = 2012,
                  'R"&amp;"aw PhocalPoint Data'!D:D = D347,
                  'Raw PhocalPoint Data'!E:E = E347,
                  'Raw PhocalPoint Data'!F:F = F347
                ) /
                FILTER('Raw PhocalPoint Data'!G:G,
                  'Raw PhocalPoint Data'!A:A ="&amp;" 2011,
                  'Raw PhocalPoint Data'!D:D = D347,
                  'Raw PhocalPoint Data'!E:E = E347,
                  'Raw PhocalPoint Data'!F:F = F347
                ) - 1
              ) / 5
            )
          )
        )
      )
    "&amp;") *
    INDEX('Raw GDP data'!$I$2:$M$100,
      MATCH(D347, 'Raw GDP data'!$H$2:$H$100, 0),
      MATCH(A347, 'Raw GDP data'!$I$1:$M$1, 0)
    )
  )),
  """"
)
"),296633250.890984)</f>
        <v>296633250.890984</v>
      </c>
      <c r="H347" s="86"/>
      <c r="I347" s="87">
        <f ca="1">IFERROR(__xludf.DUMMYFUNCTION("""COMPUTED_VALUE"""),2013)</f>
        <v>2013</v>
      </c>
      <c r="J347" s="88" t="str">
        <f ca="1">IFERROR(__xludf.DUMMYFUNCTION("""COMPUTED_VALUE"""),"Scandinavia")</f>
        <v>Scandinavia</v>
      </c>
      <c r="K347" s="89">
        <f ca="1">IFERROR(
  SUMIFS(
    'New Backfilled Data'!G:G,
    'New Backfilled Data'!A:A, I347,
    'New Backfilled Data'!D:D, J347,
    'New Backfilled Data'!E:E, "Online"
  ) /
  SUMIFS(
    'New Backfilled Data'!G:G,
    'New Backfilled Data'!A:A, I347,
    'New Backfilled Data'!D:D, J347
  ),
  ""
)</f>
        <v>0.52427925003687803</v>
      </c>
      <c r="L347" s="90"/>
      <c r="M347" s="90"/>
    </row>
    <row r="348" spans="1:13" ht="17" x14ac:dyDescent="0.2">
      <c r="A348" s="37">
        <v>2007</v>
      </c>
      <c r="B348" s="38" t="s">
        <v>66</v>
      </c>
      <c r="C348" s="38" t="s">
        <v>41</v>
      </c>
      <c r="D348" s="38" t="s">
        <v>42</v>
      </c>
      <c r="E348" s="38" t="s">
        <v>69</v>
      </c>
      <c r="F348" s="38" t="s">
        <v>70</v>
      </c>
      <c r="G348" s="79">
        <f ca="1">IFERROR(__xludf.DUMMYFUNCTION("IFERROR(
  IF(A348 = 2008,
    IF(E348 = ""Online"",
      FILTER('Raw PhocalPoint Data'!G:G,
        'Raw PhocalPoint Data'!A:A = 2009,
        'Raw PhocalPoint Data'!D:D = D348,
        'Raw PhocalPoint Data'!E:E = E348,
        'Raw PhocalPoint Data'!F"&amp;":F = F348
      ) /
      (
        FILTER('Raw PhocalPoint Data'!G:G,
          'Raw PhocalPoint Data'!A:A = 2012,
          'Raw PhocalPoint Data'!D:D = D348,
          'Raw PhocalPoint Data'!E:E = E348,
          'Raw PhocalPoint Data'!F:F = F348
     "&amp;"   ) /
        FILTER('Raw PhocalPoint Data'!G:G,
          'Raw PhocalPoint Data'!A:A = 2011,
          'Raw PhocalPoint Data'!D:D = D348,
          'Raw PhocalPoint Data'!E:E = E348,
          'Raw PhocalPoint Data'!F:F = F348
        )
      ),
      F"&amp;"ILTER('Raw PhocalPoint Data'!G:G,
        'Raw PhocalPoint Data'!A:A = 2009,
        'Raw PhocalPoint Data'!D:D = D348,
        'Raw PhocalPoint Data'!E:E = E348,
        'Raw PhocalPoint Data'!F:F = F348
      ) *
      (
        INDEX('Raw GDP data'!$I$"&amp;"2:$M$100,
          MATCH(D348, 'Raw GDP data'!$H$2:$H$100, 0),
          MATCH(2008, 'Raw GDP data'!$I$1:$M$1, 0)
        ) /
        INDEX('Raw GDP data'!$I$2:$M$100,
          MATCH(D348, 'Raw GDP data'!$H$2:$H$100, 0),
          MATCH(2009, 'Raw GDP d"&amp;"ata'!$I$1:$M$1, 0)
        )
      )
    ),
  IF(A348 &lt; 2008,
    (
      FILTER(G:G,
        A:A = 2008,
        D:D = D348,
        E:E = E348,
        F:F = F348
      ) /
      PRODUCT(
        ARRAYFORMULA(
          (
            (
              FIL"&amp;"TER('Raw PhocalPoint Data'!G:G,
                'Raw PhocalPoint Data'!A:A = 2012,
                'Raw PhocalPoint Data'!D:D = D348,
                'Raw PhocalPoint Data'!E:E = E348,
                'Raw PhocalPoint Data'!F:F = F348
              ) /
  "&amp;"            FILTER('Raw PhocalPoint Data'!G:G,
                'Raw PhocalPoint Data'!A:A = 2011,
                'Raw PhocalPoint Data'!D:D = D348,
                'Raw PhocalPoint Data'!E:E = E348,
                'Raw PhocalPoint Data'!F:F = F348
     "&amp;"         ) -
              ROW(INDIRECT(""1:"" &amp; (2008 - A348))) *
              (
                (
                  FILTER('Raw PhocalPoint Data'!G:G,
                    'Raw PhocalPoint Data'!A:A = 2012,
                    'Raw PhocalPoint Data'!D:D"&amp;" = D348,
                    'Raw PhocalPoint Data'!E:E = E348,
                    'Raw PhocalPoint Data'!F:F = F348
                  ) /
                  FILTER('Raw PhocalPoint Data'!G:G,
                    'Raw PhocalPoint Data'!A:A = 2011,
       "&amp;"             'Raw PhocalPoint Data'!D:D = D348,
                    'Raw PhocalPoint Data'!E:E = E348,
                    'Raw PhocalPoint Data'!F:F = F348
                  ) - 1
                ) / 5
              )
            )
          )
        )
"&amp;"      )
    ),
    (
      FILTER('Raw PhocalPoint Data'!G:G,
        'Raw PhocalPoint Data'!A:A = 2009,
        'Raw PhocalPoint Data'!D:D = D348,
        'Raw PhocalPoint Data'!E:E = E348,
        'Raw PhocalPoint Data'!F:F = F348
      ) /
      PRODUC"&amp;"T(
        ARRAYFORMULA(
          (
            FILTER('Raw PhocalPoint Data'!G:G,
              'Raw PhocalPoint Data'!A:A = 2012,
              'Raw PhocalPoint Data'!D:D = D348,
              'Raw PhocalPoint Data'!E:E = E348,
              'Raw Phoca"&amp;"lPoint Data'!F:F = F348
            ) /
            FILTER('Raw PhocalPoint Data'!G:G,
              'Raw PhocalPoint Data'!A:A = 2011,
              'Raw PhocalPoint Data'!D:D = D348,
              'Raw PhocalPoint Data'!E:E = E348,
              'Raw Ph"&amp;"ocalPoint Data'!F:F = F348
            ) -
            (ROW(INDIRECT(""1:"" &amp; (2010 - A348))) - 1) *
            (
              (
                FILTER('Raw PhocalPoint Data'!G:G,
                  'Raw PhocalPoint Data'!A:A = 2012,
                  'R"&amp;"aw PhocalPoint Data'!D:D = D348,
                  'Raw PhocalPoint Data'!E:E = E348,
                  'Raw PhocalPoint Data'!F:F = F348
                ) /
                FILTER('Raw PhocalPoint Data'!G:G,
                  'Raw PhocalPoint Data'!A:A ="&amp;" 2011,
                  'Raw PhocalPoint Data'!D:D = D348,
                  'Raw PhocalPoint Data'!E:E = E348,
                  'Raw PhocalPoint Data'!F:F = F348
                ) - 1
              ) / 5
            )
          )
        )
      )
    "&amp;") *
    INDEX('Raw GDP data'!$I$2:$M$100,
      MATCH(D348, 'Raw GDP data'!$H$2:$H$100, 0),
      MATCH(A348, 'Raw GDP data'!$I$1:$M$1, 0)
    )
  )),
  """"
)
"),292333771.818463)</f>
        <v>292333771.81846303</v>
      </c>
      <c r="H348" s="80"/>
      <c r="I348" s="81">
        <f ca="1">IFERROR(__xludf.DUMMYFUNCTION("""COMPUTED_VALUE"""),2013)</f>
        <v>2013</v>
      </c>
      <c r="J348" s="82" t="str">
        <f ca="1">IFERROR(__xludf.DUMMYFUNCTION("""COMPUTED_VALUE"""),"Spain")</f>
        <v>Spain</v>
      </c>
      <c r="K348" s="83">
        <f ca="1">IFERROR(
  SUMIFS(
    'New Backfilled Data'!G:G,
    'New Backfilled Data'!A:A, I348,
    'New Backfilled Data'!D:D, J348,
    'New Backfilled Data'!E:E, "Online"
  ) /
  SUMIFS(
    'New Backfilled Data'!G:G,
    'New Backfilled Data'!A:A, I348,
    'New Backfilled Data'!D:D, J348
  ),
  ""
)</f>
        <v>0.38004843240884667</v>
      </c>
      <c r="L348" s="84"/>
      <c r="M348" s="84"/>
    </row>
    <row r="349" spans="1:13" ht="17" x14ac:dyDescent="0.2">
      <c r="A349" s="44">
        <v>2007</v>
      </c>
      <c r="B349" s="45" t="s">
        <v>66</v>
      </c>
      <c r="C349" s="45" t="s">
        <v>41</v>
      </c>
      <c r="D349" s="45" t="s">
        <v>43</v>
      </c>
      <c r="E349" s="45" t="s">
        <v>67</v>
      </c>
      <c r="F349" s="45" t="s">
        <v>67</v>
      </c>
      <c r="G349" s="85">
        <f ca="1">IFERROR(__xludf.DUMMYFUNCTION("IFERROR(
  IF(A349 = 2008,
    IF(E349 = ""Online"",
      FILTER('Raw PhocalPoint Data'!G:G,
        'Raw PhocalPoint Data'!A:A = 2009,
        'Raw PhocalPoint Data'!D:D = D349,
        'Raw PhocalPoint Data'!E:E = E349,
        'Raw PhocalPoint Data'!F"&amp;":F = F349
      ) /
      (
        FILTER('Raw PhocalPoint Data'!G:G,
          'Raw PhocalPoint Data'!A:A = 2012,
          'Raw PhocalPoint Data'!D:D = D349,
          'Raw PhocalPoint Data'!E:E = E349,
          'Raw PhocalPoint Data'!F:F = F349
     "&amp;"   ) /
        FILTER('Raw PhocalPoint Data'!G:G,
          'Raw PhocalPoint Data'!A:A = 2011,
          'Raw PhocalPoint Data'!D:D = D349,
          'Raw PhocalPoint Data'!E:E = E349,
          'Raw PhocalPoint Data'!F:F = F349
        )
      ),
      F"&amp;"ILTER('Raw PhocalPoint Data'!G:G,
        'Raw PhocalPoint Data'!A:A = 2009,
        'Raw PhocalPoint Data'!D:D = D349,
        'Raw PhocalPoint Data'!E:E = E349,
        'Raw PhocalPoint Data'!F:F = F349
      ) *
      (
        INDEX('Raw GDP data'!$I$"&amp;"2:$M$100,
          MATCH(D349, 'Raw GDP data'!$H$2:$H$100, 0),
          MATCH(2008, 'Raw GDP data'!$I$1:$M$1, 0)
        ) /
        INDEX('Raw GDP data'!$I$2:$M$100,
          MATCH(D349, 'Raw GDP data'!$H$2:$H$100, 0),
          MATCH(2009, 'Raw GDP d"&amp;"ata'!$I$1:$M$1, 0)
        )
      )
    ),
  IF(A349 &lt; 2008,
    (
      FILTER(G:G,
        A:A = 2008,
        D:D = D349,
        E:E = E349,
        F:F = F349
      ) /
      PRODUCT(
        ARRAYFORMULA(
          (
            (
              FIL"&amp;"TER('Raw PhocalPoint Data'!G:G,
                'Raw PhocalPoint Data'!A:A = 2012,
                'Raw PhocalPoint Data'!D:D = D349,
                'Raw PhocalPoint Data'!E:E = E349,
                'Raw PhocalPoint Data'!F:F = F349
              ) /
  "&amp;"            FILTER('Raw PhocalPoint Data'!G:G,
                'Raw PhocalPoint Data'!A:A = 2011,
                'Raw PhocalPoint Data'!D:D = D349,
                'Raw PhocalPoint Data'!E:E = E349,
                'Raw PhocalPoint Data'!F:F = F349
     "&amp;"         ) -
              ROW(INDIRECT(""1:"" &amp; (2008 - A349))) *
              (
                (
                  FILTER('Raw PhocalPoint Data'!G:G,
                    'Raw PhocalPoint Data'!A:A = 2012,
                    'Raw PhocalPoint Data'!D:D"&amp;" = D349,
                    'Raw PhocalPoint Data'!E:E = E349,
                    'Raw PhocalPoint Data'!F:F = F349
                  ) /
                  FILTER('Raw PhocalPoint Data'!G:G,
                    'Raw PhocalPoint Data'!A:A = 2011,
       "&amp;"             'Raw PhocalPoint Data'!D:D = D349,
                    'Raw PhocalPoint Data'!E:E = E349,
                    'Raw PhocalPoint Data'!F:F = F349
                  ) - 1
                ) / 5
              )
            )
          )
        )
"&amp;"      )
    ),
    (
      FILTER('Raw PhocalPoint Data'!G:G,
        'Raw PhocalPoint Data'!A:A = 2009,
        'Raw PhocalPoint Data'!D:D = D349,
        'Raw PhocalPoint Data'!E:E = E349,
        'Raw PhocalPoint Data'!F:F = F349
      ) /
      PRODUC"&amp;"T(
        ARRAYFORMULA(
          (
            FILTER('Raw PhocalPoint Data'!G:G,
              'Raw PhocalPoint Data'!A:A = 2012,
              'Raw PhocalPoint Data'!D:D = D349,
              'Raw PhocalPoint Data'!E:E = E349,
              'Raw Phoca"&amp;"lPoint Data'!F:F = F349
            ) /
            FILTER('Raw PhocalPoint Data'!G:G,
              'Raw PhocalPoint Data'!A:A = 2011,
              'Raw PhocalPoint Data'!D:D = D349,
              'Raw PhocalPoint Data'!E:E = E349,
              'Raw Ph"&amp;"ocalPoint Data'!F:F = F349
            ) -
            (ROW(INDIRECT(""1:"" &amp; (2010 - A349))) - 1) *
            (
              (
                FILTER('Raw PhocalPoint Data'!G:G,
                  'Raw PhocalPoint Data'!A:A = 2012,
                  'R"&amp;"aw PhocalPoint Data'!D:D = D349,
                  'Raw PhocalPoint Data'!E:E = E349,
                  'Raw PhocalPoint Data'!F:F = F349
                ) /
                FILTER('Raw PhocalPoint Data'!G:G,
                  'Raw PhocalPoint Data'!A:A ="&amp;" 2011,
                  'Raw PhocalPoint Data'!D:D = D349,
                  'Raw PhocalPoint Data'!E:E = E349,
                  'Raw PhocalPoint Data'!F:F = F349
                ) - 1
              ) / 5
            )
          )
        )
      )
    "&amp;") *
    INDEX('Raw GDP data'!$I$2:$M$100,
      MATCH(D349, 'Raw GDP data'!$H$2:$H$100, 0),
      MATCH(A349, 'Raw GDP data'!$I$1:$M$1, 0)
    )
  )),
  """"
)
"),8610981111.51443)</f>
        <v>8610981111.5144291</v>
      </c>
      <c r="H349" s="86"/>
      <c r="I349" s="87">
        <f ca="1">IFERROR(__xludf.DUMMYFUNCTION("""COMPUTED_VALUE"""),2013)</f>
        <v>2013</v>
      </c>
      <c r="J349" s="88" t="str">
        <f ca="1">IFERROR(__xludf.DUMMYFUNCTION("""COMPUTED_VALUE"""),"U.K.")</f>
        <v>U.K.</v>
      </c>
      <c r="K349" s="89">
        <f ca="1">IFERROR(
  SUMIFS(
    'New Backfilled Data'!G:G,
    'New Backfilled Data'!A:A, I349,
    'New Backfilled Data'!D:D, J349,
    'New Backfilled Data'!E:E, "Online"
  ) /
  SUMIFS(
    'New Backfilled Data'!G:G,
    'New Backfilled Data'!A:A, I349,
    'New Backfilled Data'!D:D, J349
  ),
  ""
)</f>
        <v>0.49330461009675824</v>
      </c>
      <c r="L349" s="90"/>
      <c r="M349" s="90"/>
    </row>
    <row r="350" spans="1:13" ht="17" x14ac:dyDescent="0.2">
      <c r="A350" s="37">
        <v>2007</v>
      </c>
      <c r="B350" s="38" t="s">
        <v>66</v>
      </c>
      <c r="C350" s="38" t="s">
        <v>41</v>
      </c>
      <c r="D350" s="38" t="s">
        <v>43</v>
      </c>
      <c r="E350" s="38" t="s">
        <v>69</v>
      </c>
      <c r="F350" s="38" t="s">
        <v>71</v>
      </c>
      <c r="G350" s="79">
        <f ca="1">IFERROR(__xludf.DUMMYFUNCTION("IFERROR(
  IF(A350 = 2008,
    IF(E350 = ""Online"",
      FILTER('Raw PhocalPoint Data'!G:G,
        'Raw PhocalPoint Data'!A:A = 2009,
        'Raw PhocalPoint Data'!D:D = D350,
        'Raw PhocalPoint Data'!E:E = E350,
        'Raw PhocalPoint Data'!F"&amp;":F = F350
      ) /
      (
        FILTER('Raw PhocalPoint Data'!G:G,
          'Raw PhocalPoint Data'!A:A = 2012,
          'Raw PhocalPoint Data'!D:D = D350,
          'Raw PhocalPoint Data'!E:E = E350,
          'Raw PhocalPoint Data'!F:F = F350
     "&amp;"   ) /
        FILTER('Raw PhocalPoint Data'!G:G,
          'Raw PhocalPoint Data'!A:A = 2011,
          'Raw PhocalPoint Data'!D:D = D350,
          'Raw PhocalPoint Data'!E:E = E350,
          'Raw PhocalPoint Data'!F:F = F350
        )
      ),
      F"&amp;"ILTER('Raw PhocalPoint Data'!G:G,
        'Raw PhocalPoint Data'!A:A = 2009,
        'Raw PhocalPoint Data'!D:D = D350,
        'Raw PhocalPoint Data'!E:E = E350,
        'Raw PhocalPoint Data'!F:F = F350
      ) *
      (
        INDEX('Raw GDP data'!$I$"&amp;"2:$M$100,
          MATCH(D350, 'Raw GDP data'!$H$2:$H$100, 0),
          MATCH(2008, 'Raw GDP data'!$I$1:$M$1, 0)
        ) /
        INDEX('Raw GDP data'!$I$2:$M$100,
          MATCH(D350, 'Raw GDP data'!$H$2:$H$100, 0),
          MATCH(2009, 'Raw GDP d"&amp;"ata'!$I$1:$M$1, 0)
        )
      )
    ),
  IF(A350 &lt; 2008,
    (
      FILTER(G:G,
        A:A = 2008,
        D:D = D350,
        E:E = E350,
        F:F = F350
      ) /
      PRODUCT(
        ARRAYFORMULA(
          (
            (
              FIL"&amp;"TER('Raw PhocalPoint Data'!G:G,
                'Raw PhocalPoint Data'!A:A = 2012,
                'Raw PhocalPoint Data'!D:D = D350,
                'Raw PhocalPoint Data'!E:E = E350,
                'Raw PhocalPoint Data'!F:F = F350
              ) /
  "&amp;"            FILTER('Raw PhocalPoint Data'!G:G,
                'Raw PhocalPoint Data'!A:A = 2011,
                'Raw PhocalPoint Data'!D:D = D350,
                'Raw PhocalPoint Data'!E:E = E350,
                'Raw PhocalPoint Data'!F:F = F350
     "&amp;"         ) -
              ROW(INDIRECT(""1:"" &amp; (2008 - A350))) *
              (
                (
                  FILTER('Raw PhocalPoint Data'!G:G,
                    'Raw PhocalPoint Data'!A:A = 2012,
                    'Raw PhocalPoint Data'!D:D"&amp;" = D350,
                    'Raw PhocalPoint Data'!E:E = E350,
                    'Raw PhocalPoint Data'!F:F = F350
                  ) /
                  FILTER('Raw PhocalPoint Data'!G:G,
                    'Raw PhocalPoint Data'!A:A = 2011,
       "&amp;"             'Raw PhocalPoint Data'!D:D = D350,
                    'Raw PhocalPoint Data'!E:E = E350,
                    'Raw PhocalPoint Data'!F:F = F350
                  ) - 1
                ) / 5
              )
            )
          )
        )
"&amp;"      )
    ),
    (
      FILTER('Raw PhocalPoint Data'!G:G,
        'Raw PhocalPoint Data'!A:A = 2009,
        'Raw PhocalPoint Data'!D:D = D350,
        'Raw PhocalPoint Data'!E:E = E350,
        'Raw PhocalPoint Data'!F:F = F350
      ) /
      PRODUC"&amp;"T(
        ARRAYFORMULA(
          (
            FILTER('Raw PhocalPoint Data'!G:G,
              'Raw PhocalPoint Data'!A:A = 2012,
              'Raw PhocalPoint Data'!D:D = D350,
              'Raw PhocalPoint Data'!E:E = E350,
              'Raw Phoca"&amp;"lPoint Data'!F:F = F350
            ) /
            FILTER('Raw PhocalPoint Data'!G:G,
              'Raw PhocalPoint Data'!A:A = 2011,
              'Raw PhocalPoint Data'!D:D = D350,
              'Raw PhocalPoint Data'!E:E = E350,
              'Raw Ph"&amp;"ocalPoint Data'!F:F = F350
            ) -
            (ROW(INDIRECT(""1:"" &amp; (2010 - A350))) - 1) *
            (
              (
                FILTER('Raw PhocalPoint Data'!G:G,
                  'Raw PhocalPoint Data'!A:A = 2012,
                  'R"&amp;"aw PhocalPoint Data'!D:D = D350,
                  'Raw PhocalPoint Data'!E:E = E350,
                  'Raw PhocalPoint Data'!F:F = F350
                ) /
                FILTER('Raw PhocalPoint Data'!G:G,
                  'Raw PhocalPoint Data'!A:A ="&amp;" 2011,
                  'Raw PhocalPoint Data'!D:D = D350,
                  'Raw PhocalPoint Data'!E:E = E350,
                  'Raw PhocalPoint Data'!F:F = F350
                ) - 1
              ) / 5
            )
          )
        )
      )
    "&amp;") *
    INDEX('Raw GDP data'!$I$2:$M$100,
      MATCH(D350, 'Raw GDP data'!$H$2:$H$100, 0),
      MATCH(A350, 'Raw GDP data'!$I$1:$M$1, 0)
    )
  )),
  """"
)
"),197748453.205686)</f>
        <v>197748453.205686</v>
      </c>
      <c r="H350" s="80"/>
      <c r="I350" s="81">
        <f ca="1">IFERROR(__xludf.DUMMYFUNCTION("""COMPUTED_VALUE"""),2013)</f>
        <v>2013</v>
      </c>
      <c r="J350" s="82" t="str">
        <f ca="1">IFERROR(__xludf.DUMMYFUNCTION("""COMPUTED_VALUE"""),"Argentina")</f>
        <v>Argentina</v>
      </c>
      <c r="K350" s="83">
        <f ca="1">IFERROR(
  SUMIFS(
    'New Backfilled Data'!G:G,
    'New Backfilled Data'!A:A, I350,
    'New Backfilled Data'!D:D, J350,
    'New Backfilled Data'!E:E, "Online"
  ) /
  SUMIFS(
    'New Backfilled Data'!G:G,
    'New Backfilled Data'!A:A, I350,
    'New Backfilled Data'!D:D, J350
  ),
  ""
)</f>
        <v>0.16271171745669213</v>
      </c>
      <c r="L350" s="84"/>
      <c r="M350" s="84"/>
    </row>
    <row r="351" spans="1:13" ht="17" x14ac:dyDescent="0.2">
      <c r="A351" s="44">
        <v>2007</v>
      </c>
      <c r="B351" s="45" t="s">
        <v>66</v>
      </c>
      <c r="C351" s="45" t="s">
        <v>41</v>
      </c>
      <c r="D351" s="45" t="s">
        <v>43</v>
      </c>
      <c r="E351" s="45" t="s">
        <v>69</v>
      </c>
      <c r="F351" s="45" t="s">
        <v>70</v>
      </c>
      <c r="G351" s="85">
        <f ca="1">IFERROR(__xludf.DUMMYFUNCTION("IFERROR(
  IF(A351 = 2008,
    IF(E351 = ""Online"",
      FILTER('Raw PhocalPoint Data'!G:G,
        'Raw PhocalPoint Data'!A:A = 2009,
        'Raw PhocalPoint Data'!D:D = D351,
        'Raw PhocalPoint Data'!E:E = E351,
        'Raw PhocalPoint Data'!F"&amp;":F = F351
      ) /
      (
        FILTER('Raw PhocalPoint Data'!G:G,
          'Raw PhocalPoint Data'!A:A = 2012,
          'Raw PhocalPoint Data'!D:D = D351,
          'Raw PhocalPoint Data'!E:E = E351,
          'Raw PhocalPoint Data'!F:F = F351
     "&amp;"   ) /
        FILTER('Raw PhocalPoint Data'!G:G,
          'Raw PhocalPoint Data'!A:A = 2011,
          'Raw PhocalPoint Data'!D:D = D351,
          'Raw PhocalPoint Data'!E:E = E351,
          'Raw PhocalPoint Data'!F:F = F351
        )
      ),
      F"&amp;"ILTER('Raw PhocalPoint Data'!G:G,
        'Raw PhocalPoint Data'!A:A = 2009,
        'Raw PhocalPoint Data'!D:D = D351,
        'Raw PhocalPoint Data'!E:E = E351,
        'Raw PhocalPoint Data'!F:F = F351
      ) *
      (
        INDEX('Raw GDP data'!$I$"&amp;"2:$M$100,
          MATCH(D351, 'Raw GDP data'!$H$2:$H$100, 0),
          MATCH(2008, 'Raw GDP data'!$I$1:$M$1, 0)
        ) /
        INDEX('Raw GDP data'!$I$2:$M$100,
          MATCH(D351, 'Raw GDP data'!$H$2:$H$100, 0),
          MATCH(2009, 'Raw GDP d"&amp;"ata'!$I$1:$M$1, 0)
        )
      )
    ),
  IF(A351 &lt; 2008,
    (
      FILTER(G:G,
        A:A = 2008,
        D:D = D351,
        E:E = E351,
        F:F = F351
      ) /
      PRODUCT(
        ARRAYFORMULA(
          (
            (
              FIL"&amp;"TER('Raw PhocalPoint Data'!G:G,
                'Raw PhocalPoint Data'!A:A = 2012,
                'Raw PhocalPoint Data'!D:D = D351,
                'Raw PhocalPoint Data'!E:E = E351,
                'Raw PhocalPoint Data'!F:F = F351
              ) /
  "&amp;"            FILTER('Raw PhocalPoint Data'!G:G,
                'Raw PhocalPoint Data'!A:A = 2011,
                'Raw PhocalPoint Data'!D:D = D351,
                'Raw PhocalPoint Data'!E:E = E351,
                'Raw PhocalPoint Data'!F:F = F351
     "&amp;"         ) -
              ROW(INDIRECT(""1:"" &amp; (2008 - A351))) *
              (
                (
                  FILTER('Raw PhocalPoint Data'!G:G,
                    'Raw PhocalPoint Data'!A:A = 2012,
                    'Raw PhocalPoint Data'!D:D"&amp;" = D351,
                    'Raw PhocalPoint Data'!E:E = E351,
                    'Raw PhocalPoint Data'!F:F = F351
                  ) /
                  FILTER('Raw PhocalPoint Data'!G:G,
                    'Raw PhocalPoint Data'!A:A = 2011,
       "&amp;"             'Raw PhocalPoint Data'!D:D = D351,
                    'Raw PhocalPoint Data'!E:E = E351,
                    'Raw PhocalPoint Data'!F:F = F351
                  ) - 1
                ) / 5
              )
            )
          )
        )
"&amp;"      )
    ),
    (
      FILTER('Raw PhocalPoint Data'!G:G,
        'Raw PhocalPoint Data'!A:A = 2009,
        'Raw PhocalPoint Data'!D:D = D351,
        'Raw PhocalPoint Data'!E:E = E351,
        'Raw PhocalPoint Data'!F:F = F351
      ) /
      PRODUC"&amp;"T(
        ARRAYFORMULA(
          (
            FILTER('Raw PhocalPoint Data'!G:G,
              'Raw PhocalPoint Data'!A:A = 2012,
              'Raw PhocalPoint Data'!D:D = D351,
              'Raw PhocalPoint Data'!E:E = E351,
              'Raw Phoca"&amp;"lPoint Data'!F:F = F351
            ) /
            FILTER('Raw PhocalPoint Data'!G:G,
              'Raw PhocalPoint Data'!A:A = 2011,
              'Raw PhocalPoint Data'!D:D = D351,
              'Raw PhocalPoint Data'!E:E = E351,
              'Raw Ph"&amp;"ocalPoint Data'!F:F = F351
            ) -
            (ROW(INDIRECT(""1:"" &amp; (2010 - A351))) - 1) *
            (
              (
                FILTER('Raw PhocalPoint Data'!G:G,
                  'Raw PhocalPoint Data'!A:A = 2012,
                  'R"&amp;"aw PhocalPoint Data'!D:D = D351,
                  'Raw PhocalPoint Data'!E:E = E351,
                  'Raw PhocalPoint Data'!F:F = F351
                ) /
                FILTER('Raw PhocalPoint Data'!G:G,
                  'Raw PhocalPoint Data'!A:A ="&amp;" 2011,
                  'Raw PhocalPoint Data'!D:D = D351,
                  'Raw PhocalPoint Data'!E:E = E351,
                  'Raw PhocalPoint Data'!F:F = F351
                ) - 1
              ) / 5
            )
          )
        )
      )
    "&amp;") *
    INDEX('Raw GDP data'!$I$2:$M$100,
      MATCH(D351, 'Raw GDP data'!$H$2:$H$100, 0),
      MATCH(A351, 'Raw GDP data'!$I$1:$M$1, 0)
    )
  )),
  """"
)
"),205326807.543675)</f>
        <v>205326807.54367501</v>
      </c>
      <c r="H351" s="86"/>
      <c r="I351" s="87">
        <f ca="1">IFERROR(__xludf.DUMMYFUNCTION("""COMPUTED_VALUE"""),2013)</f>
        <v>2013</v>
      </c>
      <c r="J351" s="88" t="str">
        <f ca="1">IFERROR(__xludf.DUMMYFUNCTION("""COMPUTED_VALUE"""),"Brazil")</f>
        <v>Brazil</v>
      </c>
      <c r="K351" s="89">
        <f ca="1">IFERROR(
  SUMIFS(
    'New Backfilled Data'!G:G,
    'New Backfilled Data'!A:A, I351,
    'New Backfilled Data'!D:D, J351,
    'New Backfilled Data'!E:E, "Online"
  ) /
  SUMIFS(
    'New Backfilled Data'!G:G,
    'New Backfilled Data'!A:A, I351,
    'New Backfilled Data'!D:D, J351
  ),
  ""
)</f>
        <v>0.23051882798913745</v>
      </c>
      <c r="L351" s="90"/>
      <c r="M351" s="90"/>
    </row>
    <row r="352" spans="1:13" ht="17" x14ac:dyDescent="0.2">
      <c r="A352" s="37">
        <v>2007</v>
      </c>
      <c r="B352" s="38" t="s">
        <v>66</v>
      </c>
      <c r="C352" s="38" t="s">
        <v>41</v>
      </c>
      <c r="D352" s="38" t="s">
        <v>44</v>
      </c>
      <c r="E352" s="38" t="s">
        <v>67</v>
      </c>
      <c r="F352" s="38" t="s">
        <v>67</v>
      </c>
      <c r="G352" s="79">
        <f ca="1">IFERROR(__xludf.DUMMYFUNCTION("IFERROR(
  IF(A352 = 2008,
    IF(E352 = ""Online"",
      FILTER('Raw PhocalPoint Data'!G:G,
        'Raw PhocalPoint Data'!A:A = 2009,
        'Raw PhocalPoint Data'!D:D = D352,
        'Raw PhocalPoint Data'!E:E = E352,
        'Raw PhocalPoint Data'!F"&amp;":F = F352
      ) /
      (
        FILTER('Raw PhocalPoint Data'!G:G,
          'Raw PhocalPoint Data'!A:A = 2012,
          'Raw PhocalPoint Data'!D:D = D352,
          'Raw PhocalPoint Data'!E:E = E352,
          'Raw PhocalPoint Data'!F:F = F352
     "&amp;"   ) /
        FILTER('Raw PhocalPoint Data'!G:G,
          'Raw PhocalPoint Data'!A:A = 2011,
          'Raw PhocalPoint Data'!D:D = D352,
          'Raw PhocalPoint Data'!E:E = E352,
          'Raw PhocalPoint Data'!F:F = F352
        )
      ),
      F"&amp;"ILTER('Raw PhocalPoint Data'!G:G,
        'Raw PhocalPoint Data'!A:A = 2009,
        'Raw PhocalPoint Data'!D:D = D352,
        'Raw PhocalPoint Data'!E:E = E352,
        'Raw PhocalPoint Data'!F:F = F352
      ) *
      (
        INDEX('Raw GDP data'!$I$"&amp;"2:$M$100,
          MATCH(D352, 'Raw GDP data'!$H$2:$H$100, 0),
          MATCH(2008, 'Raw GDP data'!$I$1:$M$1, 0)
        ) /
        INDEX('Raw GDP data'!$I$2:$M$100,
          MATCH(D352, 'Raw GDP data'!$H$2:$H$100, 0),
          MATCH(2009, 'Raw GDP d"&amp;"ata'!$I$1:$M$1, 0)
        )
      )
    ),
  IF(A352 &lt; 2008,
    (
      FILTER(G:G,
        A:A = 2008,
        D:D = D352,
        E:E = E352,
        F:F = F352
      ) /
      PRODUCT(
        ARRAYFORMULA(
          (
            (
              FIL"&amp;"TER('Raw PhocalPoint Data'!G:G,
                'Raw PhocalPoint Data'!A:A = 2012,
                'Raw PhocalPoint Data'!D:D = D352,
                'Raw PhocalPoint Data'!E:E = E352,
                'Raw PhocalPoint Data'!F:F = F352
              ) /
  "&amp;"            FILTER('Raw PhocalPoint Data'!G:G,
                'Raw PhocalPoint Data'!A:A = 2011,
                'Raw PhocalPoint Data'!D:D = D352,
                'Raw PhocalPoint Data'!E:E = E352,
                'Raw PhocalPoint Data'!F:F = F352
     "&amp;"         ) -
              ROW(INDIRECT(""1:"" &amp; (2008 - A352))) *
              (
                (
                  FILTER('Raw PhocalPoint Data'!G:G,
                    'Raw PhocalPoint Data'!A:A = 2012,
                    'Raw PhocalPoint Data'!D:D"&amp;" = D352,
                    'Raw PhocalPoint Data'!E:E = E352,
                    'Raw PhocalPoint Data'!F:F = F352
                  ) /
                  FILTER('Raw PhocalPoint Data'!G:G,
                    'Raw PhocalPoint Data'!A:A = 2011,
       "&amp;"             'Raw PhocalPoint Data'!D:D = D352,
                    'Raw PhocalPoint Data'!E:E = E352,
                    'Raw PhocalPoint Data'!F:F = F352
                  ) - 1
                ) / 5
              )
            )
          )
        )
"&amp;"      )
    ),
    (
      FILTER('Raw PhocalPoint Data'!G:G,
        'Raw PhocalPoint Data'!A:A = 2009,
        'Raw PhocalPoint Data'!D:D = D352,
        'Raw PhocalPoint Data'!E:E = E352,
        'Raw PhocalPoint Data'!F:F = F352
      ) /
      PRODUC"&amp;"T(
        ARRAYFORMULA(
          (
            FILTER('Raw PhocalPoint Data'!G:G,
              'Raw PhocalPoint Data'!A:A = 2012,
              'Raw PhocalPoint Data'!D:D = D352,
              'Raw PhocalPoint Data'!E:E = E352,
              'Raw Phoca"&amp;"lPoint Data'!F:F = F352
            ) /
            FILTER('Raw PhocalPoint Data'!G:G,
              'Raw PhocalPoint Data'!A:A = 2011,
              'Raw PhocalPoint Data'!D:D = D352,
              'Raw PhocalPoint Data'!E:E = E352,
              'Raw Ph"&amp;"ocalPoint Data'!F:F = F352
            ) -
            (ROW(INDIRECT(""1:"" &amp; (2010 - A352))) - 1) *
            (
              (
                FILTER('Raw PhocalPoint Data'!G:G,
                  'Raw PhocalPoint Data'!A:A = 2012,
                  'R"&amp;"aw PhocalPoint Data'!D:D = D352,
                  'Raw PhocalPoint Data'!E:E = E352,
                  'Raw PhocalPoint Data'!F:F = F352
                ) /
                FILTER('Raw PhocalPoint Data'!G:G,
                  'Raw PhocalPoint Data'!A:A ="&amp;" 2011,
                  'Raw PhocalPoint Data'!D:D = D352,
                  'Raw PhocalPoint Data'!E:E = E352,
                  'Raw PhocalPoint Data'!F:F = F352
                ) - 1
              ) / 5
            )
          )
        )
      )
    "&amp;") *
    INDEX('Raw GDP data'!$I$2:$M$100,
      MATCH(D352, 'Raw GDP data'!$H$2:$H$100, 0),
      MATCH(A352, 'Raw GDP data'!$I$1:$M$1, 0)
    )
  )),
  """"
)
"),9963881734.03945)</f>
        <v>9963881734.0394497</v>
      </c>
      <c r="H352" s="80"/>
      <c r="I352" s="81">
        <f ca="1">IFERROR(__xludf.DUMMYFUNCTION("""COMPUTED_VALUE"""),2013)</f>
        <v>2013</v>
      </c>
      <c r="J352" s="82" t="str">
        <f ca="1">IFERROR(__xludf.DUMMYFUNCTION("""COMPUTED_VALUE"""),"Chile")</f>
        <v>Chile</v>
      </c>
      <c r="K352" s="83">
        <f ca="1">IFERROR(
  SUMIFS(
    'New Backfilled Data'!G:G,
    'New Backfilled Data'!A:A, I352,
    'New Backfilled Data'!D:D, J352,
    'New Backfilled Data'!E:E, "Online"
  ) /
  SUMIFS(
    'New Backfilled Data'!G:G,
    'New Backfilled Data'!A:A, I352,
    'New Backfilled Data'!D:D, J352
  ),
  ""
)</f>
        <v>0.27726676505457865</v>
      </c>
      <c r="L352" s="84"/>
      <c r="M352" s="84"/>
    </row>
    <row r="353" spans="1:13" ht="17" x14ac:dyDescent="0.2">
      <c r="A353" s="44">
        <v>2007</v>
      </c>
      <c r="B353" s="45" t="s">
        <v>66</v>
      </c>
      <c r="C353" s="45" t="s">
        <v>41</v>
      </c>
      <c r="D353" s="45" t="s">
        <v>44</v>
      </c>
      <c r="E353" s="45" t="s">
        <v>69</v>
      </c>
      <c r="F353" s="45" t="s">
        <v>71</v>
      </c>
      <c r="G353" s="85">
        <f ca="1">IFERROR(__xludf.DUMMYFUNCTION("IFERROR(
  IF(A353 = 2008,
    IF(E353 = ""Online"",
      FILTER('Raw PhocalPoint Data'!G:G,
        'Raw PhocalPoint Data'!A:A = 2009,
        'Raw PhocalPoint Data'!D:D = D353,
        'Raw PhocalPoint Data'!E:E = E353,
        'Raw PhocalPoint Data'!F"&amp;":F = F353
      ) /
      (
        FILTER('Raw PhocalPoint Data'!G:G,
          'Raw PhocalPoint Data'!A:A = 2012,
          'Raw PhocalPoint Data'!D:D = D353,
          'Raw PhocalPoint Data'!E:E = E353,
          'Raw PhocalPoint Data'!F:F = F353
     "&amp;"   ) /
        FILTER('Raw PhocalPoint Data'!G:G,
          'Raw PhocalPoint Data'!A:A = 2011,
          'Raw PhocalPoint Data'!D:D = D353,
          'Raw PhocalPoint Data'!E:E = E353,
          'Raw PhocalPoint Data'!F:F = F353
        )
      ),
      F"&amp;"ILTER('Raw PhocalPoint Data'!G:G,
        'Raw PhocalPoint Data'!A:A = 2009,
        'Raw PhocalPoint Data'!D:D = D353,
        'Raw PhocalPoint Data'!E:E = E353,
        'Raw PhocalPoint Data'!F:F = F353
      ) *
      (
        INDEX('Raw GDP data'!$I$"&amp;"2:$M$100,
          MATCH(D353, 'Raw GDP data'!$H$2:$H$100, 0),
          MATCH(2008, 'Raw GDP data'!$I$1:$M$1, 0)
        ) /
        INDEX('Raw GDP data'!$I$2:$M$100,
          MATCH(D353, 'Raw GDP data'!$H$2:$H$100, 0),
          MATCH(2009, 'Raw GDP d"&amp;"ata'!$I$1:$M$1, 0)
        )
      )
    ),
  IF(A353 &lt; 2008,
    (
      FILTER(G:G,
        A:A = 2008,
        D:D = D353,
        E:E = E353,
        F:F = F353
      ) /
      PRODUCT(
        ARRAYFORMULA(
          (
            (
              FIL"&amp;"TER('Raw PhocalPoint Data'!G:G,
                'Raw PhocalPoint Data'!A:A = 2012,
                'Raw PhocalPoint Data'!D:D = D353,
                'Raw PhocalPoint Data'!E:E = E353,
                'Raw PhocalPoint Data'!F:F = F353
              ) /
  "&amp;"            FILTER('Raw PhocalPoint Data'!G:G,
                'Raw PhocalPoint Data'!A:A = 2011,
                'Raw PhocalPoint Data'!D:D = D353,
                'Raw PhocalPoint Data'!E:E = E353,
                'Raw PhocalPoint Data'!F:F = F353
     "&amp;"         ) -
              ROW(INDIRECT(""1:"" &amp; (2008 - A353))) *
              (
                (
                  FILTER('Raw PhocalPoint Data'!G:G,
                    'Raw PhocalPoint Data'!A:A = 2012,
                    'Raw PhocalPoint Data'!D:D"&amp;" = D353,
                    'Raw PhocalPoint Data'!E:E = E353,
                    'Raw PhocalPoint Data'!F:F = F353
                  ) /
                  FILTER('Raw PhocalPoint Data'!G:G,
                    'Raw PhocalPoint Data'!A:A = 2011,
       "&amp;"             'Raw PhocalPoint Data'!D:D = D353,
                    'Raw PhocalPoint Data'!E:E = E353,
                    'Raw PhocalPoint Data'!F:F = F353
                  ) - 1
                ) / 5
              )
            )
          )
        )
"&amp;"      )
    ),
    (
      FILTER('Raw PhocalPoint Data'!G:G,
        'Raw PhocalPoint Data'!A:A = 2009,
        'Raw PhocalPoint Data'!D:D = D353,
        'Raw PhocalPoint Data'!E:E = E353,
        'Raw PhocalPoint Data'!F:F = F353
      ) /
      PRODUC"&amp;"T(
        ARRAYFORMULA(
          (
            FILTER('Raw PhocalPoint Data'!G:G,
              'Raw PhocalPoint Data'!A:A = 2012,
              'Raw PhocalPoint Data'!D:D = D353,
              'Raw PhocalPoint Data'!E:E = E353,
              'Raw Phoca"&amp;"lPoint Data'!F:F = F353
            ) /
            FILTER('Raw PhocalPoint Data'!G:G,
              'Raw PhocalPoint Data'!A:A = 2011,
              'Raw PhocalPoint Data'!D:D = D353,
              'Raw PhocalPoint Data'!E:E = E353,
              'Raw Ph"&amp;"ocalPoint Data'!F:F = F353
            ) -
            (ROW(INDIRECT(""1:"" &amp; (2010 - A353))) - 1) *
            (
              (
                FILTER('Raw PhocalPoint Data'!G:G,
                  'Raw PhocalPoint Data'!A:A = 2012,
                  'R"&amp;"aw PhocalPoint Data'!D:D = D353,
                  'Raw PhocalPoint Data'!E:E = E353,
                  'Raw PhocalPoint Data'!F:F = F353
                ) /
                FILTER('Raw PhocalPoint Data'!G:G,
                  'Raw PhocalPoint Data'!A:A ="&amp;" 2011,
                  'Raw PhocalPoint Data'!D:D = D353,
                  'Raw PhocalPoint Data'!E:E = E353,
                  'Raw PhocalPoint Data'!F:F = F353
                ) - 1
              ) / 5
            )
          )
        )
      )
    "&amp;") *
    INDEX('Raw GDP data'!$I$2:$M$100,
      MATCH(D353, 'Raw GDP data'!$H$2:$H$100, 0),
      MATCH(A353, 'Raw GDP data'!$I$1:$M$1, 0)
    )
  )),
  """"
)
"),491609426.550385)</f>
        <v>491609426.550385</v>
      </c>
      <c r="H353" s="86"/>
      <c r="I353" s="87">
        <f ca="1">IFERROR(__xludf.DUMMYFUNCTION("""COMPUTED_VALUE"""),2013)</f>
        <v>2013</v>
      </c>
      <c r="J353" s="88" t="str">
        <f ca="1">IFERROR(__xludf.DUMMYFUNCTION("""COMPUTED_VALUE"""),"Colombia")</f>
        <v>Colombia</v>
      </c>
      <c r="K353" s="89">
        <f ca="1">IFERROR(
  SUMIFS(
    'New Backfilled Data'!G:G,
    'New Backfilled Data'!A:A, I353,
    'New Backfilled Data'!D:D, J353,
    'New Backfilled Data'!E:E, "Online"
  ) /
  SUMIFS(
    'New Backfilled Data'!G:G,
    'New Backfilled Data'!A:A, I353,
    'New Backfilled Data'!D:D, J353
  ),
  ""
)</f>
        <v>0.21981385039817974</v>
      </c>
      <c r="L353" s="90"/>
      <c r="M353" s="90"/>
    </row>
    <row r="354" spans="1:13" ht="17" x14ac:dyDescent="0.2">
      <c r="A354" s="37">
        <v>2007</v>
      </c>
      <c r="B354" s="38" t="s">
        <v>66</v>
      </c>
      <c r="C354" s="38" t="s">
        <v>41</v>
      </c>
      <c r="D354" s="38" t="s">
        <v>44</v>
      </c>
      <c r="E354" s="38" t="s">
        <v>69</v>
      </c>
      <c r="F354" s="38" t="s">
        <v>70</v>
      </c>
      <c r="G354" s="79">
        <f ca="1">IFERROR(__xludf.DUMMYFUNCTION("IFERROR(
  IF(A354 = 2008,
    IF(E354 = ""Online"",
      FILTER('Raw PhocalPoint Data'!G:G,
        'Raw PhocalPoint Data'!A:A = 2009,
        'Raw PhocalPoint Data'!D:D = D354,
        'Raw PhocalPoint Data'!E:E = E354,
        'Raw PhocalPoint Data'!F"&amp;":F = F354
      ) /
      (
        FILTER('Raw PhocalPoint Data'!G:G,
          'Raw PhocalPoint Data'!A:A = 2012,
          'Raw PhocalPoint Data'!D:D = D354,
          'Raw PhocalPoint Data'!E:E = E354,
          'Raw PhocalPoint Data'!F:F = F354
     "&amp;"   ) /
        FILTER('Raw PhocalPoint Data'!G:G,
          'Raw PhocalPoint Data'!A:A = 2011,
          'Raw PhocalPoint Data'!D:D = D354,
          'Raw PhocalPoint Data'!E:E = E354,
          'Raw PhocalPoint Data'!F:F = F354
        )
      ),
      F"&amp;"ILTER('Raw PhocalPoint Data'!G:G,
        'Raw PhocalPoint Data'!A:A = 2009,
        'Raw PhocalPoint Data'!D:D = D354,
        'Raw PhocalPoint Data'!E:E = E354,
        'Raw PhocalPoint Data'!F:F = F354
      ) *
      (
        INDEX('Raw GDP data'!$I$"&amp;"2:$M$100,
          MATCH(D354, 'Raw GDP data'!$H$2:$H$100, 0),
          MATCH(2008, 'Raw GDP data'!$I$1:$M$1, 0)
        ) /
        INDEX('Raw GDP data'!$I$2:$M$100,
          MATCH(D354, 'Raw GDP data'!$H$2:$H$100, 0),
          MATCH(2009, 'Raw GDP d"&amp;"ata'!$I$1:$M$1, 0)
        )
      )
    ),
  IF(A354 &lt; 2008,
    (
      FILTER(G:G,
        A:A = 2008,
        D:D = D354,
        E:E = E354,
        F:F = F354
      ) /
      PRODUCT(
        ARRAYFORMULA(
          (
            (
              FIL"&amp;"TER('Raw PhocalPoint Data'!G:G,
                'Raw PhocalPoint Data'!A:A = 2012,
                'Raw PhocalPoint Data'!D:D = D354,
                'Raw PhocalPoint Data'!E:E = E354,
                'Raw PhocalPoint Data'!F:F = F354
              ) /
  "&amp;"            FILTER('Raw PhocalPoint Data'!G:G,
                'Raw PhocalPoint Data'!A:A = 2011,
                'Raw PhocalPoint Data'!D:D = D354,
                'Raw PhocalPoint Data'!E:E = E354,
                'Raw PhocalPoint Data'!F:F = F354
     "&amp;"         ) -
              ROW(INDIRECT(""1:"" &amp; (2008 - A354))) *
              (
                (
                  FILTER('Raw PhocalPoint Data'!G:G,
                    'Raw PhocalPoint Data'!A:A = 2012,
                    'Raw PhocalPoint Data'!D:D"&amp;" = D354,
                    'Raw PhocalPoint Data'!E:E = E354,
                    'Raw PhocalPoint Data'!F:F = F354
                  ) /
                  FILTER('Raw PhocalPoint Data'!G:G,
                    'Raw PhocalPoint Data'!A:A = 2011,
       "&amp;"             'Raw PhocalPoint Data'!D:D = D354,
                    'Raw PhocalPoint Data'!E:E = E354,
                    'Raw PhocalPoint Data'!F:F = F354
                  ) - 1
                ) / 5
              )
            )
          )
        )
"&amp;"      )
    ),
    (
      FILTER('Raw PhocalPoint Data'!G:G,
        'Raw PhocalPoint Data'!A:A = 2009,
        'Raw PhocalPoint Data'!D:D = D354,
        'Raw PhocalPoint Data'!E:E = E354,
        'Raw PhocalPoint Data'!F:F = F354
      ) /
      PRODUC"&amp;"T(
        ARRAYFORMULA(
          (
            FILTER('Raw PhocalPoint Data'!G:G,
              'Raw PhocalPoint Data'!A:A = 2012,
              'Raw PhocalPoint Data'!D:D = D354,
              'Raw PhocalPoint Data'!E:E = E354,
              'Raw Phoca"&amp;"lPoint Data'!F:F = F354
            ) /
            FILTER('Raw PhocalPoint Data'!G:G,
              'Raw PhocalPoint Data'!A:A = 2011,
              'Raw PhocalPoint Data'!D:D = D354,
              'Raw PhocalPoint Data'!E:E = E354,
              'Raw Ph"&amp;"ocalPoint Data'!F:F = F354
            ) -
            (ROW(INDIRECT(""1:"" &amp; (2010 - A354))) - 1) *
            (
              (
                FILTER('Raw PhocalPoint Data'!G:G,
                  'Raw PhocalPoint Data'!A:A = 2012,
                  'R"&amp;"aw PhocalPoint Data'!D:D = D354,
                  'Raw PhocalPoint Data'!E:E = E354,
                  'Raw PhocalPoint Data'!F:F = F354
                ) /
                FILTER('Raw PhocalPoint Data'!G:G,
                  'Raw PhocalPoint Data'!A:A ="&amp;" 2011,
                  'Raw PhocalPoint Data'!D:D = D354,
                  'Raw PhocalPoint Data'!E:E = E354,
                  'Raw PhocalPoint Data'!F:F = F354
                ) - 1
              ) / 5
            )
          )
        )
      )
    "&amp;") *
    INDEX('Raw GDP data'!$I$2:$M$100,
      MATCH(D354, 'Raw GDP data'!$H$2:$H$100, 0),
      MATCH(A354, 'Raw GDP data'!$I$1:$M$1, 0)
    )
  )),
  """"
)
"),259131670.080028)</f>
        <v>259131670.080028</v>
      </c>
      <c r="H354" s="80"/>
      <c r="I354" s="81">
        <f ca="1">IFERROR(__xludf.DUMMYFUNCTION("""COMPUTED_VALUE"""),2013)</f>
        <v>2013</v>
      </c>
      <c r="J354" s="82" t="str">
        <f ca="1">IFERROR(__xludf.DUMMYFUNCTION("""COMPUTED_VALUE"""),"Mexico")</f>
        <v>Mexico</v>
      </c>
      <c r="K354" s="83">
        <f ca="1">IFERROR(
  SUMIFS(
    'New Backfilled Data'!G:G,
    'New Backfilled Data'!A:A, I354,
    'New Backfilled Data'!D:D, J354,
    'New Backfilled Data'!E:E, "Online"
  ) /
  SUMIFS(
    'New Backfilled Data'!G:G,
    'New Backfilled Data'!A:A, I354,
    'New Backfilled Data'!D:D, J354
  ),
  ""
)</f>
        <v>0.24318607970986536</v>
      </c>
      <c r="L354" s="84"/>
      <c r="M354" s="84"/>
    </row>
    <row r="355" spans="1:13" ht="17" x14ac:dyDescent="0.2">
      <c r="A355" s="44">
        <v>2007</v>
      </c>
      <c r="B355" s="45" t="s">
        <v>66</v>
      </c>
      <c r="C355" s="45" t="s">
        <v>41</v>
      </c>
      <c r="D355" s="45" t="s">
        <v>45</v>
      </c>
      <c r="E355" s="45" t="s">
        <v>67</v>
      </c>
      <c r="F355" s="45" t="s">
        <v>67</v>
      </c>
      <c r="G355" s="85">
        <f ca="1">IFERROR(__xludf.DUMMYFUNCTION("IFERROR(
  IF(A355 = 2008,
    IF(E355 = ""Online"",
      FILTER('Raw PhocalPoint Data'!G:G,
        'Raw PhocalPoint Data'!A:A = 2009,
        'Raw PhocalPoint Data'!D:D = D355,
        'Raw PhocalPoint Data'!E:E = E355,
        'Raw PhocalPoint Data'!F"&amp;":F = F355
      ) /
      (
        FILTER('Raw PhocalPoint Data'!G:G,
          'Raw PhocalPoint Data'!A:A = 2012,
          'Raw PhocalPoint Data'!D:D = D355,
          'Raw PhocalPoint Data'!E:E = E355,
          'Raw PhocalPoint Data'!F:F = F355
     "&amp;"   ) /
        FILTER('Raw PhocalPoint Data'!G:G,
          'Raw PhocalPoint Data'!A:A = 2011,
          'Raw PhocalPoint Data'!D:D = D355,
          'Raw PhocalPoint Data'!E:E = E355,
          'Raw PhocalPoint Data'!F:F = F355
        )
      ),
      F"&amp;"ILTER('Raw PhocalPoint Data'!G:G,
        'Raw PhocalPoint Data'!A:A = 2009,
        'Raw PhocalPoint Data'!D:D = D355,
        'Raw PhocalPoint Data'!E:E = E355,
        'Raw PhocalPoint Data'!F:F = F355
      ) *
      (
        INDEX('Raw GDP data'!$I$"&amp;"2:$M$100,
          MATCH(D355, 'Raw GDP data'!$H$2:$H$100, 0),
          MATCH(2008, 'Raw GDP data'!$I$1:$M$1, 0)
        ) /
        INDEX('Raw GDP data'!$I$2:$M$100,
          MATCH(D355, 'Raw GDP data'!$H$2:$H$100, 0),
          MATCH(2009, 'Raw GDP d"&amp;"ata'!$I$1:$M$1, 0)
        )
      )
    ),
  IF(A355 &lt; 2008,
    (
      FILTER(G:G,
        A:A = 2008,
        D:D = D355,
        E:E = E355,
        F:F = F355
      ) /
      PRODUCT(
        ARRAYFORMULA(
          (
            (
              FIL"&amp;"TER('Raw PhocalPoint Data'!G:G,
                'Raw PhocalPoint Data'!A:A = 2012,
                'Raw PhocalPoint Data'!D:D = D355,
                'Raw PhocalPoint Data'!E:E = E355,
                'Raw PhocalPoint Data'!F:F = F355
              ) /
  "&amp;"            FILTER('Raw PhocalPoint Data'!G:G,
                'Raw PhocalPoint Data'!A:A = 2011,
                'Raw PhocalPoint Data'!D:D = D355,
                'Raw PhocalPoint Data'!E:E = E355,
                'Raw PhocalPoint Data'!F:F = F355
     "&amp;"         ) -
              ROW(INDIRECT(""1:"" &amp; (2008 - A355))) *
              (
                (
                  FILTER('Raw PhocalPoint Data'!G:G,
                    'Raw PhocalPoint Data'!A:A = 2012,
                    'Raw PhocalPoint Data'!D:D"&amp;" = D355,
                    'Raw PhocalPoint Data'!E:E = E355,
                    'Raw PhocalPoint Data'!F:F = F355
                  ) /
                  FILTER('Raw PhocalPoint Data'!G:G,
                    'Raw PhocalPoint Data'!A:A = 2011,
       "&amp;"             'Raw PhocalPoint Data'!D:D = D355,
                    'Raw PhocalPoint Data'!E:E = E355,
                    'Raw PhocalPoint Data'!F:F = F355
                  ) - 1
                ) / 5
              )
            )
          )
        )
"&amp;"      )
    ),
    (
      FILTER('Raw PhocalPoint Data'!G:G,
        'Raw PhocalPoint Data'!A:A = 2009,
        'Raw PhocalPoint Data'!D:D = D355,
        'Raw PhocalPoint Data'!E:E = E355,
        'Raw PhocalPoint Data'!F:F = F355
      ) /
      PRODUC"&amp;"T(
        ARRAYFORMULA(
          (
            FILTER('Raw PhocalPoint Data'!G:G,
              'Raw PhocalPoint Data'!A:A = 2012,
              'Raw PhocalPoint Data'!D:D = D355,
              'Raw PhocalPoint Data'!E:E = E355,
              'Raw Phoca"&amp;"lPoint Data'!F:F = F355
            ) /
            FILTER('Raw PhocalPoint Data'!G:G,
              'Raw PhocalPoint Data'!A:A = 2011,
              'Raw PhocalPoint Data'!D:D = D355,
              'Raw PhocalPoint Data'!E:E = E355,
              'Raw Ph"&amp;"ocalPoint Data'!F:F = F355
            ) -
            (ROW(INDIRECT(""1:"" &amp; (2010 - A355))) - 1) *
            (
              (
                FILTER('Raw PhocalPoint Data'!G:G,
                  'Raw PhocalPoint Data'!A:A = 2012,
                  'R"&amp;"aw PhocalPoint Data'!D:D = D355,
                  'Raw PhocalPoint Data'!E:E = E355,
                  'Raw PhocalPoint Data'!F:F = F355
                ) /
                FILTER('Raw PhocalPoint Data'!G:G,
                  'Raw PhocalPoint Data'!A:A ="&amp;" 2011,
                  'Raw PhocalPoint Data'!D:D = D355,
                  'Raw PhocalPoint Data'!E:E = E355,
                  'Raw PhocalPoint Data'!F:F = F355
                ) - 1
              ) / 5
            )
          )
        )
      )
    "&amp;") *
    INDEX('Raw GDP data'!$I$2:$M$100,
      MATCH(D355, 'Raw GDP data'!$H$2:$H$100, 0),
      MATCH(A355, 'Raw GDP data'!$I$1:$M$1, 0)
    )
  )),
  """"
)
"),20979290493.1944)</f>
        <v>20979290493.194401</v>
      </c>
      <c r="H355" s="86"/>
      <c r="I355" s="87">
        <f ca="1">IFERROR(__xludf.DUMMYFUNCTION("""COMPUTED_VALUE"""),2013)</f>
        <v>2013</v>
      </c>
      <c r="J355" s="88" t="str">
        <f ca="1">IFERROR(__xludf.DUMMYFUNCTION("""COMPUTED_VALUE"""),"Egypt")</f>
        <v>Egypt</v>
      </c>
      <c r="K355" s="89">
        <f ca="1">IFERROR(
  SUMIFS(
    'New Backfilled Data'!G:G,
    'New Backfilled Data'!A:A, I355,
    'New Backfilled Data'!D:D, J355,
    'New Backfilled Data'!E:E, "Online"
  ) /
  SUMIFS(
    'New Backfilled Data'!G:G,
    'New Backfilled Data'!A:A, I355,
    'New Backfilled Data'!D:D, J355
  ),
  ""
)</f>
        <v>9.4278313066455788E-2</v>
      </c>
      <c r="L355" s="90"/>
      <c r="M355" s="90"/>
    </row>
    <row r="356" spans="1:13" ht="17" x14ac:dyDescent="0.2">
      <c r="A356" s="37">
        <v>2007</v>
      </c>
      <c r="B356" s="38" t="s">
        <v>66</v>
      </c>
      <c r="C356" s="38" t="s">
        <v>41</v>
      </c>
      <c r="D356" s="38" t="s">
        <v>45</v>
      </c>
      <c r="E356" s="38" t="s">
        <v>69</v>
      </c>
      <c r="F356" s="38" t="s">
        <v>71</v>
      </c>
      <c r="G356" s="79">
        <f ca="1">IFERROR(__xludf.DUMMYFUNCTION("IFERROR(
  IF(A356 = 2008,
    IF(E356 = ""Online"",
      FILTER('Raw PhocalPoint Data'!G:G,
        'Raw PhocalPoint Data'!A:A = 2009,
        'Raw PhocalPoint Data'!D:D = D356,
        'Raw PhocalPoint Data'!E:E = E356,
        'Raw PhocalPoint Data'!F"&amp;":F = F356
      ) /
      (
        FILTER('Raw PhocalPoint Data'!G:G,
          'Raw PhocalPoint Data'!A:A = 2012,
          'Raw PhocalPoint Data'!D:D = D356,
          'Raw PhocalPoint Data'!E:E = E356,
          'Raw PhocalPoint Data'!F:F = F356
     "&amp;"   ) /
        FILTER('Raw PhocalPoint Data'!G:G,
          'Raw PhocalPoint Data'!A:A = 2011,
          'Raw PhocalPoint Data'!D:D = D356,
          'Raw PhocalPoint Data'!E:E = E356,
          'Raw PhocalPoint Data'!F:F = F356
        )
      ),
      F"&amp;"ILTER('Raw PhocalPoint Data'!G:G,
        'Raw PhocalPoint Data'!A:A = 2009,
        'Raw PhocalPoint Data'!D:D = D356,
        'Raw PhocalPoint Data'!E:E = E356,
        'Raw PhocalPoint Data'!F:F = F356
      ) *
      (
        INDEX('Raw GDP data'!$I$"&amp;"2:$M$100,
          MATCH(D356, 'Raw GDP data'!$H$2:$H$100, 0),
          MATCH(2008, 'Raw GDP data'!$I$1:$M$1, 0)
        ) /
        INDEX('Raw GDP data'!$I$2:$M$100,
          MATCH(D356, 'Raw GDP data'!$H$2:$H$100, 0),
          MATCH(2009, 'Raw GDP d"&amp;"ata'!$I$1:$M$1, 0)
        )
      )
    ),
  IF(A356 &lt; 2008,
    (
      FILTER(G:G,
        A:A = 2008,
        D:D = D356,
        E:E = E356,
        F:F = F356
      ) /
      PRODUCT(
        ARRAYFORMULA(
          (
            (
              FIL"&amp;"TER('Raw PhocalPoint Data'!G:G,
                'Raw PhocalPoint Data'!A:A = 2012,
                'Raw PhocalPoint Data'!D:D = D356,
                'Raw PhocalPoint Data'!E:E = E356,
                'Raw PhocalPoint Data'!F:F = F356
              ) /
  "&amp;"            FILTER('Raw PhocalPoint Data'!G:G,
                'Raw PhocalPoint Data'!A:A = 2011,
                'Raw PhocalPoint Data'!D:D = D356,
                'Raw PhocalPoint Data'!E:E = E356,
                'Raw PhocalPoint Data'!F:F = F356
     "&amp;"         ) -
              ROW(INDIRECT(""1:"" &amp; (2008 - A356))) *
              (
                (
                  FILTER('Raw PhocalPoint Data'!G:G,
                    'Raw PhocalPoint Data'!A:A = 2012,
                    'Raw PhocalPoint Data'!D:D"&amp;" = D356,
                    'Raw PhocalPoint Data'!E:E = E356,
                    'Raw PhocalPoint Data'!F:F = F356
                  ) /
                  FILTER('Raw PhocalPoint Data'!G:G,
                    'Raw PhocalPoint Data'!A:A = 2011,
       "&amp;"             'Raw PhocalPoint Data'!D:D = D356,
                    'Raw PhocalPoint Data'!E:E = E356,
                    'Raw PhocalPoint Data'!F:F = F356
                  ) - 1
                ) / 5
              )
            )
          )
        )
"&amp;"      )
    ),
    (
      FILTER('Raw PhocalPoint Data'!G:G,
        'Raw PhocalPoint Data'!A:A = 2009,
        'Raw PhocalPoint Data'!D:D = D356,
        'Raw PhocalPoint Data'!E:E = E356,
        'Raw PhocalPoint Data'!F:F = F356
      ) /
      PRODUC"&amp;"T(
        ARRAYFORMULA(
          (
            FILTER('Raw PhocalPoint Data'!G:G,
              'Raw PhocalPoint Data'!A:A = 2012,
              'Raw PhocalPoint Data'!D:D = D356,
              'Raw PhocalPoint Data'!E:E = E356,
              'Raw Phoca"&amp;"lPoint Data'!F:F = F356
            ) /
            FILTER('Raw PhocalPoint Data'!G:G,
              'Raw PhocalPoint Data'!A:A = 2011,
              'Raw PhocalPoint Data'!D:D = D356,
              'Raw PhocalPoint Data'!E:E = E356,
              'Raw Ph"&amp;"ocalPoint Data'!F:F = F356
            ) -
            (ROW(INDIRECT(""1:"" &amp; (2010 - A356))) - 1) *
            (
              (
                FILTER('Raw PhocalPoint Data'!G:G,
                  'Raw PhocalPoint Data'!A:A = 2012,
                  'R"&amp;"aw PhocalPoint Data'!D:D = D356,
                  'Raw PhocalPoint Data'!E:E = E356,
                  'Raw PhocalPoint Data'!F:F = F356
                ) /
                FILTER('Raw PhocalPoint Data'!G:G,
                  'Raw PhocalPoint Data'!A:A ="&amp;" 2011,
                  'Raw PhocalPoint Data'!D:D = D356,
                  'Raw PhocalPoint Data'!E:E = E356,
                  'Raw PhocalPoint Data'!F:F = F356
                ) - 1
              ) / 5
            )
          )
        )
      )
    "&amp;") *
    INDEX('Raw GDP data'!$I$2:$M$100,
      MATCH(D356, 'Raw GDP data'!$H$2:$H$100, 0),
      MATCH(A356, 'Raw GDP data'!$I$1:$M$1, 0)
    )
  )),
  """"
)
"),1148780388.91997)</f>
        <v>1148780388.91997</v>
      </c>
      <c r="H356" s="80"/>
      <c r="I356" s="81">
        <f ca="1">IFERROR(__xludf.DUMMYFUNCTION("""COMPUTED_VALUE"""),2013)</f>
        <v>2013</v>
      </c>
      <c r="J356" s="82" t="str">
        <f ca="1">IFERROR(__xludf.DUMMYFUNCTION("""COMPUTED_VALUE"""),"Qatar")</f>
        <v>Qatar</v>
      </c>
      <c r="K356" s="83">
        <f ca="1">IFERROR(
  SUMIFS(
    'New Backfilled Data'!G:G,
    'New Backfilled Data'!A:A, I356,
    'New Backfilled Data'!D:D, J356,
    'New Backfilled Data'!E:E, "Online"
  ) /
  SUMIFS(
    'New Backfilled Data'!G:G,
    'New Backfilled Data'!A:A, I356,
    'New Backfilled Data'!D:D, J356
  ),
  ""
)</f>
        <v>0.19892351183777573</v>
      </c>
      <c r="L356" s="84"/>
      <c r="M356" s="84"/>
    </row>
    <row r="357" spans="1:13" ht="34" x14ac:dyDescent="0.2">
      <c r="A357" s="44">
        <v>2007</v>
      </c>
      <c r="B357" s="45" t="s">
        <v>66</v>
      </c>
      <c r="C357" s="45" t="s">
        <v>41</v>
      </c>
      <c r="D357" s="45" t="s">
        <v>45</v>
      </c>
      <c r="E357" s="45" t="s">
        <v>69</v>
      </c>
      <c r="F357" s="45" t="s">
        <v>70</v>
      </c>
      <c r="G357" s="85">
        <f ca="1">IFERROR(__xludf.DUMMYFUNCTION("IFERROR(
  IF(A357 = 2008,
    IF(E357 = ""Online"",
      FILTER('Raw PhocalPoint Data'!G:G,
        'Raw PhocalPoint Data'!A:A = 2009,
        'Raw PhocalPoint Data'!D:D = D357,
        'Raw PhocalPoint Data'!E:E = E357,
        'Raw PhocalPoint Data'!F"&amp;":F = F357
      ) /
      (
        FILTER('Raw PhocalPoint Data'!G:G,
          'Raw PhocalPoint Data'!A:A = 2012,
          'Raw PhocalPoint Data'!D:D = D357,
          'Raw PhocalPoint Data'!E:E = E357,
          'Raw PhocalPoint Data'!F:F = F357
     "&amp;"   ) /
        FILTER('Raw PhocalPoint Data'!G:G,
          'Raw PhocalPoint Data'!A:A = 2011,
          'Raw PhocalPoint Data'!D:D = D357,
          'Raw PhocalPoint Data'!E:E = E357,
          'Raw PhocalPoint Data'!F:F = F357
        )
      ),
      F"&amp;"ILTER('Raw PhocalPoint Data'!G:G,
        'Raw PhocalPoint Data'!A:A = 2009,
        'Raw PhocalPoint Data'!D:D = D357,
        'Raw PhocalPoint Data'!E:E = E357,
        'Raw PhocalPoint Data'!F:F = F357
      ) *
      (
        INDEX('Raw GDP data'!$I$"&amp;"2:$M$100,
          MATCH(D357, 'Raw GDP data'!$H$2:$H$100, 0),
          MATCH(2008, 'Raw GDP data'!$I$1:$M$1, 0)
        ) /
        INDEX('Raw GDP data'!$I$2:$M$100,
          MATCH(D357, 'Raw GDP data'!$H$2:$H$100, 0),
          MATCH(2009, 'Raw GDP d"&amp;"ata'!$I$1:$M$1, 0)
        )
      )
    ),
  IF(A357 &lt; 2008,
    (
      FILTER(G:G,
        A:A = 2008,
        D:D = D357,
        E:E = E357,
        F:F = F357
      ) /
      PRODUCT(
        ARRAYFORMULA(
          (
            (
              FIL"&amp;"TER('Raw PhocalPoint Data'!G:G,
                'Raw PhocalPoint Data'!A:A = 2012,
                'Raw PhocalPoint Data'!D:D = D357,
                'Raw PhocalPoint Data'!E:E = E357,
                'Raw PhocalPoint Data'!F:F = F357
              ) /
  "&amp;"            FILTER('Raw PhocalPoint Data'!G:G,
                'Raw PhocalPoint Data'!A:A = 2011,
                'Raw PhocalPoint Data'!D:D = D357,
                'Raw PhocalPoint Data'!E:E = E357,
                'Raw PhocalPoint Data'!F:F = F357
     "&amp;"         ) -
              ROW(INDIRECT(""1:"" &amp; (2008 - A357))) *
              (
                (
                  FILTER('Raw PhocalPoint Data'!G:G,
                    'Raw PhocalPoint Data'!A:A = 2012,
                    'Raw PhocalPoint Data'!D:D"&amp;" = D357,
                    'Raw PhocalPoint Data'!E:E = E357,
                    'Raw PhocalPoint Data'!F:F = F357
                  ) /
                  FILTER('Raw PhocalPoint Data'!G:G,
                    'Raw PhocalPoint Data'!A:A = 2011,
       "&amp;"             'Raw PhocalPoint Data'!D:D = D357,
                    'Raw PhocalPoint Data'!E:E = E357,
                    'Raw PhocalPoint Data'!F:F = F357
                  ) - 1
                ) / 5
              )
            )
          )
        )
"&amp;"      )
    ),
    (
      FILTER('Raw PhocalPoint Data'!G:G,
        'Raw PhocalPoint Data'!A:A = 2009,
        'Raw PhocalPoint Data'!D:D = D357,
        'Raw PhocalPoint Data'!E:E = E357,
        'Raw PhocalPoint Data'!F:F = F357
      ) /
      PRODUC"&amp;"T(
        ARRAYFORMULA(
          (
            FILTER('Raw PhocalPoint Data'!G:G,
              'Raw PhocalPoint Data'!A:A = 2012,
              'Raw PhocalPoint Data'!D:D = D357,
              'Raw PhocalPoint Data'!E:E = E357,
              'Raw Phoca"&amp;"lPoint Data'!F:F = F357
            ) /
            FILTER('Raw PhocalPoint Data'!G:G,
              'Raw PhocalPoint Data'!A:A = 2011,
              'Raw PhocalPoint Data'!D:D = D357,
              'Raw PhocalPoint Data'!E:E = E357,
              'Raw Ph"&amp;"ocalPoint Data'!F:F = F357
            ) -
            (ROW(INDIRECT(""1:"" &amp; (2010 - A357))) - 1) *
            (
              (
                FILTER('Raw PhocalPoint Data'!G:G,
                  'Raw PhocalPoint Data'!A:A = 2012,
                  'R"&amp;"aw PhocalPoint Data'!D:D = D357,
                  'Raw PhocalPoint Data'!E:E = E357,
                  'Raw PhocalPoint Data'!F:F = F357
                ) /
                FILTER('Raw PhocalPoint Data'!G:G,
                  'Raw PhocalPoint Data'!A:A ="&amp;" 2011,
                  'Raw PhocalPoint Data'!D:D = D357,
                  'Raw PhocalPoint Data'!E:E = E357,
                  'Raw PhocalPoint Data'!F:F = F357
                ) - 1
              ) / 5
            )
          )
        )
      )
    "&amp;") *
    INDEX('Raw GDP data'!$I$2:$M$100,
      MATCH(D357, 'Raw GDP data'!$H$2:$H$100, 0),
      MATCH(A357, 'Raw GDP data'!$I$1:$M$1, 0)
    )
  )),
  """"
)
"),907864095.467316)</f>
        <v>907864095.46731603</v>
      </c>
      <c r="H357" s="86"/>
      <c r="I357" s="87">
        <f ca="1">IFERROR(__xludf.DUMMYFUNCTION("""COMPUTED_VALUE"""),2013)</f>
        <v>2013</v>
      </c>
      <c r="J357" s="88" t="str">
        <f ca="1">IFERROR(__xludf.DUMMYFUNCTION("""COMPUTED_VALUE"""),"Rest of Middle East")</f>
        <v>Rest of Middle East</v>
      </c>
      <c r="K357" s="89">
        <f ca="1">IFERROR(
  SUMIFS(
    'New Backfilled Data'!G:G,
    'New Backfilled Data'!A:A, I357,
    'New Backfilled Data'!D:D, J357,
    'New Backfilled Data'!E:E, "Online"
  ) /
  SUMIFS(
    'New Backfilled Data'!G:G,
    'New Backfilled Data'!A:A, I357,
    'New Backfilled Data'!D:D, J357
  ),
  ""
)</f>
        <v>0.17495414001687909</v>
      </c>
      <c r="L357" s="90"/>
      <c r="M357" s="90"/>
    </row>
    <row r="358" spans="1:13" ht="17" x14ac:dyDescent="0.2">
      <c r="A358" s="37">
        <v>2007</v>
      </c>
      <c r="B358" s="38" t="s">
        <v>66</v>
      </c>
      <c r="C358" s="38" t="s">
        <v>47</v>
      </c>
      <c r="D358" s="38" t="s">
        <v>46</v>
      </c>
      <c r="E358" s="38" t="s">
        <v>67</v>
      </c>
      <c r="F358" s="38" t="s">
        <v>67</v>
      </c>
      <c r="G358" s="79">
        <f ca="1">IFERROR(__xludf.DUMMYFUNCTION("IFERROR(
  IF(A358 = 2008,
    IF(E358 = ""Online"",
      FILTER('Raw PhocalPoint Data'!G:G,
        'Raw PhocalPoint Data'!A:A = 2009,
        'Raw PhocalPoint Data'!D:D = D358,
        'Raw PhocalPoint Data'!E:E = E358,
        'Raw PhocalPoint Data'!F"&amp;":F = F358
      ) /
      (
        FILTER('Raw PhocalPoint Data'!G:G,
          'Raw PhocalPoint Data'!A:A = 2012,
          'Raw PhocalPoint Data'!D:D = D358,
          'Raw PhocalPoint Data'!E:E = E358,
          'Raw PhocalPoint Data'!F:F = F358
     "&amp;"   ) /
        FILTER('Raw PhocalPoint Data'!G:G,
          'Raw PhocalPoint Data'!A:A = 2011,
          'Raw PhocalPoint Data'!D:D = D358,
          'Raw PhocalPoint Data'!E:E = E358,
          'Raw PhocalPoint Data'!F:F = F358
        )
      ),
      F"&amp;"ILTER('Raw PhocalPoint Data'!G:G,
        'Raw PhocalPoint Data'!A:A = 2009,
        'Raw PhocalPoint Data'!D:D = D358,
        'Raw PhocalPoint Data'!E:E = E358,
        'Raw PhocalPoint Data'!F:F = F358
      ) *
      (
        INDEX('Raw GDP data'!$I$"&amp;"2:$M$100,
          MATCH(D358, 'Raw GDP data'!$H$2:$H$100, 0),
          MATCH(2008, 'Raw GDP data'!$I$1:$M$1, 0)
        ) /
        INDEX('Raw GDP data'!$I$2:$M$100,
          MATCH(D358, 'Raw GDP data'!$H$2:$H$100, 0),
          MATCH(2009, 'Raw GDP d"&amp;"ata'!$I$1:$M$1, 0)
        )
      )
    ),
  IF(A358 &lt; 2008,
    (
      FILTER(G:G,
        A:A = 2008,
        D:D = D358,
        E:E = E358,
        F:F = F358
      ) /
      PRODUCT(
        ARRAYFORMULA(
          (
            (
              FIL"&amp;"TER('Raw PhocalPoint Data'!G:G,
                'Raw PhocalPoint Data'!A:A = 2012,
                'Raw PhocalPoint Data'!D:D = D358,
                'Raw PhocalPoint Data'!E:E = E358,
                'Raw PhocalPoint Data'!F:F = F358
              ) /
  "&amp;"            FILTER('Raw PhocalPoint Data'!G:G,
                'Raw PhocalPoint Data'!A:A = 2011,
                'Raw PhocalPoint Data'!D:D = D358,
                'Raw PhocalPoint Data'!E:E = E358,
                'Raw PhocalPoint Data'!F:F = F358
     "&amp;"         ) -
              ROW(INDIRECT(""1:"" &amp; (2008 - A358))) *
              (
                (
                  FILTER('Raw PhocalPoint Data'!G:G,
                    'Raw PhocalPoint Data'!A:A = 2012,
                    'Raw PhocalPoint Data'!D:D"&amp;" = D358,
                    'Raw PhocalPoint Data'!E:E = E358,
                    'Raw PhocalPoint Data'!F:F = F358
                  ) /
                  FILTER('Raw PhocalPoint Data'!G:G,
                    'Raw PhocalPoint Data'!A:A = 2011,
       "&amp;"             'Raw PhocalPoint Data'!D:D = D358,
                    'Raw PhocalPoint Data'!E:E = E358,
                    'Raw PhocalPoint Data'!F:F = F358
                  ) - 1
                ) / 5
              )
            )
          )
        )
"&amp;"      )
    ),
    (
      FILTER('Raw PhocalPoint Data'!G:G,
        'Raw PhocalPoint Data'!A:A = 2009,
        'Raw PhocalPoint Data'!D:D = D358,
        'Raw PhocalPoint Data'!E:E = E358,
        'Raw PhocalPoint Data'!F:F = F358
      ) /
      PRODUC"&amp;"T(
        ARRAYFORMULA(
          (
            FILTER('Raw PhocalPoint Data'!G:G,
              'Raw PhocalPoint Data'!A:A = 2012,
              'Raw PhocalPoint Data'!D:D = D358,
              'Raw PhocalPoint Data'!E:E = E358,
              'Raw Phoca"&amp;"lPoint Data'!F:F = F358
            ) /
            FILTER('Raw PhocalPoint Data'!G:G,
              'Raw PhocalPoint Data'!A:A = 2011,
              'Raw PhocalPoint Data'!D:D = D358,
              'Raw PhocalPoint Data'!E:E = E358,
              'Raw Ph"&amp;"ocalPoint Data'!F:F = F358
            ) -
            (ROW(INDIRECT(""1:"" &amp; (2010 - A358))) - 1) *
            (
              (
                FILTER('Raw PhocalPoint Data'!G:G,
                  'Raw PhocalPoint Data'!A:A = 2012,
                  'R"&amp;"aw PhocalPoint Data'!D:D = D358,
                  'Raw PhocalPoint Data'!E:E = E358,
                  'Raw PhocalPoint Data'!F:F = F358
                ) /
                FILTER('Raw PhocalPoint Data'!G:G,
                  'Raw PhocalPoint Data'!A:A ="&amp;" 2011,
                  'Raw PhocalPoint Data'!D:D = D358,
                  'Raw PhocalPoint Data'!E:E = E358,
                  'Raw PhocalPoint Data'!F:F = F358
                ) - 1
              ) / 5
            )
          )
        )
      )
    "&amp;") *
    INDEX('Raw GDP data'!$I$2:$M$100,
      MATCH(D358, 'Raw GDP data'!$H$2:$H$100, 0),
      MATCH(A358, 'Raw GDP data'!$I$1:$M$1, 0)
    )
  )),
  """"
)
"),15431719026.3674)</f>
        <v>15431719026.367399</v>
      </c>
      <c r="H358" s="80"/>
      <c r="I358" s="81">
        <f ca="1">IFERROR(__xludf.DUMMYFUNCTION("""COMPUTED_VALUE"""),2013)</f>
        <v>2013</v>
      </c>
      <c r="J358" s="82" t="str">
        <f ca="1">IFERROR(__xludf.DUMMYFUNCTION("""COMPUTED_VALUE"""),"Saudi Arabia")</f>
        <v>Saudi Arabia</v>
      </c>
      <c r="K358" s="83">
        <f ca="1">IFERROR(
  SUMIFS(
    'New Backfilled Data'!G:G,
    'New Backfilled Data'!A:A, I358,
    'New Backfilled Data'!D:D, J358,
    'New Backfilled Data'!E:E, "Online"
  ) /
  SUMIFS(
    'New Backfilled Data'!G:G,
    'New Backfilled Data'!A:A, I358,
    'New Backfilled Data'!D:D, J358
  ),
  ""
)</f>
        <v>0.18739721853983993</v>
      </c>
      <c r="L358" s="84"/>
      <c r="M358" s="84"/>
    </row>
    <row r="359" spans="1:13" ht="17" x14ac:dyDescent="0.2">
      <c r="A359" s="44">
        <v>2007</v>
      </c>
      <c r="B359" s="45" t="s">
        <v>66</v>
      </c>
      <c r="C359" s="45" t="s">
        <v>47</v>
      </c>
      <c r="D359" s="45" t="s">
        <v>46</v>
      </c>
      <c r="E359" s="45" t="s">
        <v>69</v>
      </c>
      <c r="F359" s="45" t="s">
        <v>71</v>
      </c>
      <c r="G359" s="85">
        <f ca="1">IFERROR(__xludf.DUMMYFUNCTION("IFERROR(
  IF(A359 = 2008,
    IF(E359 = ""Online"",
      FILTER('Raw PhocalPoint Data'!G:G,
        'Raw PhocalPoint Data'!A:A = 2009,
        'Raw PhocalPoint Data'!D:D = D359,
        'Raw PhocalPoint Data'!E:E = E359,
        'Raw PhocalPoint Data'!F"&amp;":F = F359
      ) /
      (
        FILTER('Raw PhocalPoint Data'!G:G,
          'Raw PhocalPoint Data'!A:A = 2012,
          'Raw PhocalPoint Data'!D:D = D359,
          'Raw PhocalPoint Data'!E:E = E359,
          'Raw PhocalPoint Data'!F:F = F359
     "&amp;"   ) /
        FILTER('Raw PhocalPoint Data'!G:G,
          'Raw PhocalPoint Data'!A:A = 2011,
          'Raw PhocalPoint Data'!D:D = D359,
          'Raw PhocalPoint Data'!E:E = E359,
          'Raw PhocalPoint Data'!F:F = F359
        )
      ),
      F"&amp;"ILTER('Raw PhocalPoint Data'!G:G,
        'Raw PhocalPoint Data'!A:A = 2009,
        'Raw PhocalPoint Data'!D:D = D359,
        'Raw PhocalPoint Data'!E:E = E359,
        'Raw PhocalPoint Data'!F:F = F359
      ) *
      (
        INDEX('Raw GDP data'!$I$"&amp;"2:$M$100,
          MATCH(D359, 'Raw GDP data'!$H$2:$H$100, 0),
          MATCH(2008, 'Raw GDP data'!$I$1:$M$1, 0)
        ) /
        INDEX('Raw GDP data'!$I$2:$M$100,
          MATCH(D359, 'Raw GDP data'!$H$2:$H$100, 0),
          MATCH(2009, 'Raw GDP d"&amp;"ata'!$I$1:$M$1, 0)
        )
      )
    ),
  IF(A359 &lt; 2008,
    (
      FILTER(G:G,
        A:A = 2008,
        D:D = D359,
        E:E = E359,
        F:F = F359
      ) /
      PRODUCT(
        ARRAYFORMULA(
          (
            (
              FIL"&amp;"TER('Raw PhocalPoint Data'!G:G,
                'Raw PhocalPoint Data'!A:A = 2012,
                'Raw PhocalPoint Data'!D:D = D359,
                'Raw PhocalPoint Data'!E:E = E359,
                'Raw PhocalPoint Data'!F:F = F359
              ) /
  "&amp;"            FILTER('Raw PhocalPoint Data'!G:G,
                'Raw PhocalPoint Data'!A:A = 2011,
                'Raw PhocalPoint Data'!D:D = D359,
                'Raw PhocalPoint Data'!E:E = E359,
                'Raw PhocalPoint Data'!F:F = F359
     "&amp;"         ) -
              ROW(INDIRECT(""1:"" &amp; (2008 - A359))) *
              (
                (
                  FILTER('Raw PhocalPoint Data'!G:G,
                    'Raw PhocalPoint Data'!A:A = 2012,
                    'Raw PhocalPoint Data'!D:D"&amp;" = D359,
                    'Raw PhocalPoint Data'!E:E = E359,
                    'Raw PhocalPoint Data'!F:F = F359
                  ) /
                  FILTER('Raw PhocalPoint Data'!G:G,
                    'Raw PhocalPoint Data'!A:A = 2011,
       "&amp;"             'Raw PhocalPoint Data'!D:D = D359,
                    'Raw PhocalPoint Data'!E:E = E359,
                    'Raw PhocalPoint Data'!F:F = F359
                  ) - 1
                ) / 5
              )
            )
          )
        )
"&amp;"      )
    ),
    (
      FILTER('Raw PhocalPoint Data'!G:G,
        'Raw PhocalPoint Data'!A:A = 2009,
        'Raw PhocalPoint Data'!D:D = D359,
        'Raw PhocalPoint Data'!E:E = E359,
        'Raw PhocalPoint Data'!F:F = F359
      ) /
      PRODUC"&amp;"T(
        ARRAYFORMULA(
          (
            FILTER('Raw PhocalPoint Data'!G:G,
              'Raw PhocalPoint Data'!A:A = 2012,
              'Raw PhocalPoint Data'!D:D = D359,
              'Raw PhocalPoint Data'!E:E = E359,
              'Raw Phoca"&amp;"lPoint Data'!F:F = F359
            ) /
            FILTER('Raw PhocalPoint Data'!G:G,
              'Raw PhocalPoint Data'!A:A = 2011,
              'Raw PhocalPoint Data'!D:D = D359,
              'Raw PhocalPoint Data'!E:E = E359,
              'Raw Ph"&amp;"ocalPoint Data'!F:F = F359
            ) -
            (ROW(INDIRECT(""1:"" &amp; (2010 - A359))) - 1) *
            (
              (
                FILTER('Raw PhocalPoint Data'!G:G,
                  'Raw PhocalPoint Data'!A:A = 2012,
                  'R"&amp;"aw PhocalPoint Data'!D:D = D359,
                  'Raw PhocalPoint Data'!E:E = E359,
                  'Raw PhocalPoint Data'!F:F = F359
                ) /
                FILTER('Raw PhocalPoint Data'!G:G,
                  'Raw PhocalPoint Data'!A:A ="&amp;" 2011,
                  'Raw PhocalPoint Data'!D:D = D359,
                  'Raw PhocalPoint Data'!E:E = E359,
                  'Raw PhocalPoint Data'!F:F = F359
                ) - 1
              ) / 5
            )
          )
        )
      )
    "&amp;") *
    INDEX('Raw GDP data'!$I$2:$M$100,
      MATCH(D359, 'Raw GDP data'!$H$2:$H$100, 0),
      MATCH(A359, 'Raw GDP data'!$I$1:$M$1, 0)
    )
  )),
  """"
)
"),1992475403.39748)</f>
        <v>1992475403.39748</v>
      </c>
      <c r="H359" s="86"/>
      <c r="I359" s="87">
        <f ca="1">IFERROR(__xludf.DUMMYFUNCTION("""COMPUTED_VALUE"""),2013)</f>
        <v>2013</v>
      </c>
      <c r="J359" s="88" t="str">
        <f ca="1">IFERROR(__xludf.DUMMYFUNCTION("""COMPUTED_VALUE"""),"U.A.E.")</f>
        <v>U.A.E.</v>
      </c>
      <c r="K359" s="89">
        <f ca="1">IFERROR(
  SUMIFS(
    'New Backfilled Data'!G:G,
    'New Backfilled Data'!A:A, I359,
    'New Backfilled Data'!D:D, J359,
    'New Backfilled Data'!E:E, "Online"
  ) /
  SUMIFS(
    'New Backfilled Data'!G:G,
    'New Backfilled Data'!A:A, I359,
    'New Backfilled Data'!D:D, J359
  ),
  ""
)</f>
        <v>0.24771052648316783</v>
      </c>
      <c r="L359" s="90"/>
      <c r="M359" s="90"/>
    </row>
    <row r="360" spans="1:13" ht="17" x14ac:dyDescent="0.2">
      <c r="A360" s="37">
        <v>2007</v>
      </c>
      <c r="B360" s="38" t="s">
        <v>66</v>
      </c>
      <c r="C360" s="38" t="s">
        <v>47</v>
      </c>
      <c r="D360" s="38" t="s">
        <v>46</v>
      </c>
      <c r="E360" s="38" t="s">
        <v>69</v>
      </c>
      <c r="F360" s="38" t="s">
        <v>70</v>
      </c>
      <c r="G360" s="79">
        <f ca="1">IFERROR(__xludf.DUMMYFUNCTION("IFERROR(
  IF(A360 = 2008,
    IF(E360 = ""Online"",
      FILTER('Raw PhocalPoint Data'!G:G,
        'Raw PhocalPoint Data'!A:A = 2009,
        'Raw PhocalPoint Data'!D:D = D360,
        'Raw PhocalPoint Data'!E:E = E360,
        'Raw PhocalPoint Data'!F"&amp;":F = F360
      ) /
      (
        FILTER('Raw PhocalPoint Data'!G:G,
          'Raw PhocalPoint Data'!A:A = 2012,
          'Raw PhocalPoint Data'!D:D = D360,
          'Raw PhocalPoint Data'!E:E = E360,
          'Raw PhocalPoint Data'!F:F = F360
     "&amp;"   ) /
        FILTER('Raw PhocalPoint Data'!G:G,
          'Raw PhocalPoint Data'!A:A = 2011,
          'Raw PhocalPoint Data'!D:D = D360,
          'Raw PhocalPoint Data'!E:E = E360,
          'Raw PhocalPoint Data'!F:F = F360
        )
      ),
      F"&amp;"ILTER('Raw PhocalPoint Data'!G:G,
        'Raw PhocalPoint Data'!A:A = 2009,
        'Raw PhocalPoint Data'!D:D = D360,
        'Raw PhocalPoint Data'!E:E = E360,
        'Raw PhocalPoint Data'!F:F = F360
      ) *
      (
        INDEX('Raw GDP data'!$I$"&amp;"2:$M$100,
          MATCH(D360, 'Raw GDP data'!$H$2:$H$100, 0),
          MATCH(2008, 'Raw GDP data'!$I$1:$M$1, 0)
        ) /
        INDEX('Raw GDP data'!$I$2:$M$100,
          MATCH(D360, 'Raw GDP data'!$H$2:$H$100, 0),
          MATCH(2009, 'Raw GDP d"&amp;"ata'!$I$1:$M$1, 0)
        )
      )
    ),
  IF(A360 &lt; 2008,
    (
      FILTER(G:G,
        A:A = 2008,
        D:D = D360,
        E:E = E360,
        F:F = F360
      ) /
      PRODUCT(
        ARRAYFORMULA(
          (
            (
              FIL"&amp;"TER('Raw PhocalPoint Data'!G:G,
                'Raw PhocalPoint Data'!A:A = 2012,
                'Raw PhocalPoint Data'!D:D = D360,
                'Raw PhocalPoint Data'!E:E = E360,
                'Raw PhocalPoint Data'!F:F = F360
              ) /
  "&amp;"            FILTER('Raw PhocalPoint Data'!G:G,
                'Raw PhocalPoint Data'!A:A = 2011,
                'Raw PhocalPoint Data'!D:D = D360,
                'Raw PhocalPoint Data'!E:E = E360,
                'Raw PhocalPoint Data'!F:F = F360
     "&amp;"         ) -
              ROW(INDIRECT(""1:"" &amp; (2008 - A360))) *
              (
                (
                  FILTER('Raw PhocalPoint Data'!G:G,
                    'Raw PhocalPoint Data'!A:A = 2012,
                    'Raw PhocalPoint Data'!D:D"&amp;" = D360,
                    'Raw PhocalPoint Data'!E:E = E360,
                    'Raw PhocalPoint Data'!F:F = F360
                  ) /
                  FILTER('Raw PhocalPoint Data'!G:G,
                    'Raw PhocalPoint Data'!A:A = 2011,
       "&amp;"             'Raw PhocalPoint Data'!D:D = D360,
                    'Raw PhocalPoint Data'!E:E = E360,
                    'Raw PhocalPoint Data'!F:F = F360
                  ) - 1
                ) / 5
              )
            )
          )
        )
"&amp;"      )
    ),
    (
      FILTER('Raw PhocalPoint Data'!G:G,
        'Raw PhocalPoint Data'!A:A = 2009,
        'Raw PhocalPoint Data'!D:D = D360,
        'Raw PhocalPoint Data'!E:E = E360,
        'Raw PhocalPoint Data'!F:F = F360
      ) /
      PRODUC"&amp;"T(
        ARRAYFORMULA(
          (
            FILTER('Raw PhocalPoint Data'!G:G,
              'Raw PhocalPoint Data'!A:A = 2012,
              'Raw PhocalPoint Data'!D:D = D360,
              'Raw PhocalPoint Data'!E:E = E360,
              'Raw Phoca"&amp;"lPoint Data'!F:F = F360
            ) /
            FILTER('Raw PhocalPoint Data'!G:G,
              'Raw PhocalPoint Data'!A:A = 2011,
              'Raw PhocalPoint Data'!D:D = D360,
              'Raw PhocalPoint Data'!E:E = E360,
              'Raw Ph"&amp;"ocalPoint Data'!F:F = F360
            ) -
            (ROW(INDIRECT(""1:"" &amp; (2010 - A360))) - 1) *
            (
              (
                FILTER('Raw PhocalPoint Data'!G:G,
                  'Raw PhocalPoint Data'!A:A = 2012,
                  'R"&amp;"aw PhocalPoint Data'!D:D = D360,
                  'Raw PhocalPoint Data'!E:E = E360,
                  'Raw PhocalPoint Data'!F:F = F360
                ) /
                FILTER('Raw PhocalPoint Data'!G:G,
                  'Raw PhocalPoint Data'!A:A ="&amp;" 2011,
                  'Raw PhocalPoint Data'!D:D = D360,
                  'Raw PhocalPoint Data'!E:E = E360,
                  'Raw PhocalPoint Data'!F:F = F360
                ) - 1
              ) / 5
            )
          )
        )
      )
    "&amp;") *
    INDEX('Raw GDP data'!$I$2:$M$100,
      MATCH(D360, 'Raw GDP data'!$H$2:$H$100, 0),
      MATCH(A360, 'Raw GDP data'!$I$1:$M$1, 0)
    )
  )),
  """"
)
"),5168968499.91426)</f>
        <v>5168968499.9142599</v>
      </c>
      <c r="H360" s="80"/>
      <c r="I360" s="81">
        <f ca="1">IFERROR(__xludf.DUMMYFUNCTION("""COMPUTED_VALUE"""),2013)</f>
        <v>2013</v>
      </c>
      <c r="J360" s="82" t="str">
        <f ca="1">IFERROR(__xludf.DUMMYFUNCTION("""COMPUTED_VALUE"""),"Canada")</f>
        <v>Canada</v>
      </c>
      <c r="K360" s="83">
        <f ca="1">IFERROR(
  SUMIFS(
    'New Backfilled Data'!G:G,
    'New Backfilled Data'!A:A, I360,
    'New Backfilled Data'!D:D, J360,
    'New Backfilled Data'!E:E, "Online"
  ) /
  SUMIFS(
    'New Backfilled Data'!G:G,
    'New Backfilled Data'!A:A, I360,
    'New Backfilled Data'!D:D, J360
  ),
  ""
)</f>
        <v>0.37162652197503793</v>
      </c>
      <c r="L360" s="84"/>
      <c r="M360" s="84"/>
    </row>
    <row r="361" spans="1:13" ht="17" x14ac:dyDescent="0.2">
      <c r="A361" s="44">
        <v>2007</v>
      </c>
      <c r="B361" s="45" t="s">
        <v>66</v>
      </c>
      <c r="C361" s="45" t="s">
        <v>47</v>
      </c>
      <c r="D361" s="45" t="s">
        <v>48</v>
      </c>
      <c r="E361" s="45" t="s">
        <v>72</v>
      </c>
      <c r="F361" s="45" t="s">
        <v>73</v>
      </c>
      <c r="G361" s="85">
        <f ca="1">IFERROR(__xludf.DUMMYFUNCTION("IFERROR(
  IF(A361 = 2008,
    IF(E361 = ""Online"",
      FILTER('Raw PhocalPoint Data'!G:G,
        'Raw PhocalPoint Data'!A:A = 2009,
        'Raw PhocalPoint Data'!D:D = D361,
        'Raw PhocalPoint Data'!E:E = E361,
        'Raw PhocalPoint Data'!F"&amp;":F = F361
      ) /
      (
        FILTER('Raw PhocalPoint Data'!G:G,
          'Raw PhocalPoint Data'!A:A = 2012,
          'Raw PhocalPoint Data'!D:D = D361,
          'Raw PhocalPoint Data'!E:E = E361,
          'Raw PhocalPoint Data'!F:F = F361
     "&amp;"   ) /
        FILTER('Raw PhocalPoint Data'!G:G,
          'Raw PhocalPoint Data'!A:A = 2011,
          'Raw PhocalPoint Data'!D:D = D361,
          'Raw PhocalPoint Data'!E:E = E361,
          'Raw PhocalPoint Data'!F:F = F361
        )
      ),
      F"&amp;"ILTER('Raw PhocalPoint Data'!G:G,
        'Raw PhocalPoint Data'!A:A = 2009,
        'Raw PhocalPoint Data'!D:D = D361,
        'Raw PhocalPoint Data'!E:E = E361,
        'Raw PhocalPoint Data'!F:F = F361
      ) *
      (
        INDEX('Raw GDP data'!$I$"&amp;"2:$M$100,
          MATCH(D361, 'Raw GDP data'!$H$2:$H$100, 0),
          MATCH(2008, 'Raw GDP data'!$I$1:$M$1, 0)
        ) /
        INDEX('Raw GDP data'!$I$2:$M$100,
          MATCH(D361, 'Raw GDP data'!$H$2:$H$100, 0),
          MATCH(2009, 'Raw GDP d"&amp;"ata'!$I$1:$M$1, 0)
        )
      )
    ),
  IF(A361 &lt; 2008,
    (
      FILTER(G:G,
        A:A = 2008,
        D:D = D361,
        E:E = E361,
        F:F = F361
      ) /
      PRODUCT(
        ARRAYFORMULA(
          (
            (
              FIL"&amp;"TER('Raw PhocalPoint Data'!G:G,
                'Raw PhocalPoint Data'!A:A = 2012,
                'Raw PhocalPoint Data'!D:D = D361,
                'Raw PhocalPoint Data'!E:E = E361,
                'Raw PhocalPoint Data'!F:F = F361
              ) /
  "&amp;"            FILTER('Raw PhocalPoint Data'!G:G,
                'Raw PhocalPoint Data'!A:A = 2011,
                'Raw PhocalPoint Data'!D:D = D361,
                'Raw PhocalPoint Data'!E:E = E361,
                'Raw PhocalPoint Data'!F:F = F361
     "&amp;"         ) -
              ROW(INDIRECT(""1:"" &amp; (2008 - A361))) *
              (
                (
                  FILTER('Raw PhocalPoint Data'!G:G,
                    'Raw PhocalPoint Data'!A:A = 2012,
                    'Raw PhocalPoint Data'!D:D"&amp;" = D361,
                    'Raw PhocalPoint Data'!E:E = E361,
                    'Raw PhocalPoint Data'!F:F = F361
                  ) /
                  FILTER('Raw PhocalPoint Data'!G:G,
                    'Raw PhocalPoint Data'!A:A = 2011,
       "&amp;"             'Raw PhocalPoint Data'!D:D = D361,
                    'Raw PhocalPoint Data'!E:E = E361,
                    'Raw PhocalPoint Data'!F:F = F361
                  ) - 1
                ) / 5
              )
            )
          )
        )
"&amp;"      )
    ),
    (
      FILTER('Raw PhocalPoint Data'!G:G,
        'Raw PhocalPoint Data'!A:A = 2009,
        'Raw PhocalPoint Data'!D:D = D361,
        'Raw PhocalPoint Data'!E:E = E361,
        'Raw PhocalPoint Data'!F:F = F361
      ) /
      PRODUC"&amp;"T(
        ARRAYFORMULA(
          (
            FILTER('Raw PhocalPoint Data'!G:G,
              'Raw PhocalPoint Data'!A:A = 2012,
              'Raw PhocalPoint Data'!D:D = D361,
              'Raw PhocalPoint Data'!E:E = E361,
              'Raw Phoca"&amp;"lPoint Data'!F:F = F361
            ) /
            FILTER('Raw PhocalPoint Data'!G:G,
              'Raw PhocalPoint Data'!A:A = 2011,
              'Raw PhocalPoint Data'!D:D = D361,
              'Raw PhocalPoint Data'!E:E = E361,
              'Raw Ph"&amp;"ocalPoint Data'!F:F = F361
            ) -
            (ROW(INDIRECT(""1:"" &amp; (2010 - A361))) - 1) *
            (
              (
                FILTER('Raw PhocalPoint Data'!G:G,
                  'Raw PhocalPoint Data'!A:A = 2012,
                  'R"&amp;"aw PhocalPoint Data'!D:D = D361,
                  'Raw PhocalPoint Data'!E:E = E361,
                  'Raw PhocalPoint Data'!F:F = F361
                ) /
                FILTER('Raw PhocalPoint Data'!G:G,
                  'Raw PhocalPoint Data'!A:A ="&amp;" 2011,
                  'Raw PhocalPoint Data'!D:D = D361,
                  'Raw PhocalPoint Data'!E:E = E361,
                  'Raw PhocalPoint Data'!F:F = F361
                ) - 1
              ) / 5
            )
          )
        )
      )
    "&amp;") *
    INDEX('Raw GDP data'!$I$2:$M$100,
      MATCH(D361, 'Raw GDP data'!$H$2:$H$100, 0),
      MATCH(A361, 'Raw GDP data'!$I$1:$M$1, 0)
    )
  )),
  """"
)
"),71163054400.1374)</f>
        <v>71163054400.137405</v>
      </c>
      <c r="H361" s="86"/>
      <c r="I361" s="87">
        <f ca="1">IFERROR(__xludf.DUMMYFUNCTION("""COMPUTED_VALUE"""),2013)</f>
        <v>2013</v>
      </c>
      <c r="J361" s="88" t="str">
        <f ca="1">IFERROR(__xludf.DUMMYFUNCTION("""COMPUTED_VALUE"""),"U.S.")</f>
        <v>U.S.</v>
      </c>
      <c r="K361" s="89">
        <f ca="1">IFERROR(
  SUMIFS(
    'New Backfilled Data'!G:G,
    'New Backfilled Data'!A:A, I361,
    'New Backfilled Data'!D:D, J361,
    'New Backfilled Data'!E:E, "Online"
  ) /
  SUMIFS(
    'New Backfilled Data'!G:G,
    'New Backfilled Data'!A:A, I361,
    'New Backfilled Data'!D:D, J361
  ),
  ""
)</f>
        <v>0.43038395573250399</v>
      </c>
      <c r="L361" s="90"/>
      <c r="M361" s="90"/>
    </row>
    <row r="362" spans="1:13" ht="34" x14ac:dyDescent="0.2">
      <c r="A362" s="37">
        <v>2007</v>
      </c>
      <c r="B362" s="38" t="s">
        <v>66</v>
      </c>
      <c r="C362" s="38" t="s">
        <v>47</v>
      </c>
      <c r="D362" s="38" t="s">
        <v>48</v>
      </c>
      <c r="E362" s="38" t="s">
        <v>67</v>
      </c>
      <c r="F362" s="38" t="s">
        <v>74</v>
      </c>
      <c r="G362" s="79">
        <f ca="1">IFERROR(__xludf.DUMMYFUNCTION("IFERROR(
  IF(A362 = 2008,
    IF(E362 = ""Online"",
      FILTER('Raw PhocalPoint Data'!G:G,
        'Raw PhocalPoint Data'!A:A = 2009,
        'Raw PhocalPoint Data'!D:D = D362,
        'Raw PhocalPoint Data'!E:E = E362,
        'Raw PhocalPoint Data'!F"&amp;":F = F362
      ) /
      (
        FILTER('Raw PhocalPoint Data'!G:G,
          'Raw PhocalPoint Data'!A:A = 2012,
          'Raw PhocalPoint Data'!D:D = D362,
          'Raw PhocalPoint Data'!E:E = E362,
          'Raw PhocalPoint Data'!F:F = F362
     "&amp;"   ) /
        FILTER('Raw PhocalPoint Data'!G:G,
          'Raw PhocalPoint Data'!A:A = 2011,
          'Raw PhocalPoint Data'!D:D = D362,
          'Raw PhocalPoint Data'!E:E = E362,
          'Raw PhocalPoint Data'!F:F = F362
        )
      ),
      F"&amp;"ILTER('Raw PhocalPoint Data'!G:G,
        'Raw PhocalPoint Data'!A:A = 2009,
        'Raw PhocalPoint Data'!D:D = D362,
        'Raw PhocalPoint Data'!E:E = E362,
        'Raw PhocalPoint Data'!F:F = F362
      ) *
      (
        INDEX('Raw GDP data'!$I$"&amp;"2:$M$100,
          MATCH(D362, 'Raw GDP data'!$H$2:$H$100, 0),
          MATCH(2008, 'Raw GDP data'!$I$1:$M$1, 0)
        ) /
        INDEX('Raw GDP data'!$I$2:$M$100,
          MATCH(D362, 'Raw GDP data'!$H$2:$H$100, 0),
          MATCH(2009, 'Raw GDP d"&amp;"ata'!$I$1:$M$1, 0)
        )
      )
    ),
  IF(A362 &lt; 2008,
    (
      FILTER(G:G,
        A:A = 2008,
        D:D = D362,
        E:E = E362,
        F:F = F362
      ) /
      PRODUCT(
        ARRAYFORMULA(
          (
            (
              FIL"&amp;"TER('Raw PhocalPoint Data'!G:G,
                'Raw PhocalPoint Data'!A:A = 2012,
                'Raw PhocalPoint Data'!D:D = D362,
                'Raw PhocalPoint Data'!E:E = E362,
                'Raw PhocalPoint Data'!F:F = F362
              ) /
  "&amp;"            FILTER('Raw PhocalPoint Data'!G:G,
                'Raw PhocalPoint Data'!A:A = 2011,
                'Raw PhocalPoint Data'!D:D = D362,
                'Raw PhocalPoint Data'!E:E = E362,
                'Raw PhocalPoint Data'!F:F = F362
     "&amp;"         ) -
              ROW(INDIRECT(""1:"" &amp; (2008 - A362))) *
              (
                (
                  FILTER('Raw PhocalPoint Data'!G:G,
                    'Raw PhocalPoint Data'!A:A = 2012,
                    'Raw PhocalPoint Data'!D:D"&amp;" = D362,
                    'Raw PhocalPoint Data'!E:E = E362,
                    'Raw PhocalPoint Data'!F:F = F362
                  ) /
                  FILTER('Raw PhocalPoint Data'!G:G,
                    'Raw PhocalPoint Data'!A:A = 2011,
       "&amp;"             'Raw PhocalPoint Data'!D:D = D362,
                    'Raw PhocalPoint Data'!E:E = E362,
                    'Raw PhocalPoint Data'!F:F = F362
                  ) - 1
                ) / 5
              )
            )
          )
        )
"&amp;"      )
    ),
    (
      FILTER('Raw PhocalPoint Data'!G:G,
        'Raw PhocalPoint Data'!A:A = 2009,
        'Raw PhocalPoint Data'!D:D = D362,
        'Raw PhocalPoint Data'!E:E = E362,
        'Raw PhocalPoint Data'!F:F = F362
      ) /
      PRODUC"&amp;"T(
        ARRAYFORMULA(
          (
            FILTER('Raw PhocalPoint Data'!G:G,
              'Raw PhocalPoint Data'!A:A = 2012,
              'Raw PhocalPoint Data'!D:D = D362,
              'Raw PhocalPoint Data'!E:E = E362,
              'Raw Phoca"&amp;"lPoint Data'!F:F = F362
            ) /
            FILTER('Raw PhocalPoint Data'!G:G,
              'Raw PhocalPoint Data'!A:A = 2011,
              'Raw PhocalPoint Data'!D:D = D362,
              'Raw PhocalPoint Data'!E:E = E362,
              'Raw Ph"&amp;"ocalPoint Data'!F:F = F362
            ) -
            (ROW(INDIRECT(""1:"" &amp; (2010 - A362))) - 1) *
            (
              (
                FILTER('Raw PhocalPoint Data'!G:G,
                  'Raw PhocalPoint Data'!A:A = 2012,
                  'R"&amp;"aw PhocalPoint Data'!D:D = D362,
                  'Raw PhocalPoint Data'!E:E = E362,
                  'Raw PhocalPoint Data'!F:F = F362
                ) /
                FILTER('Raw PhocalPoint Data'!G:G,
                  'Raw PhocalPoint Data'!A:A ="&amp;" 2011,
                  'Raw PhocalPoint Data'!D:D = D362,
                  'Raw PhocalPoint Data'!E:E = E362,
                  'Raw PhocalPoint Data'!F:F = F362
                ) - 1
              ) / 5
            )
          )
        )
      )
    "&amp;") *
    INDEX('Raw GDP data'!$I$2:$M$100,
      MATCH(D362, 'Raw GDP data'!$H$2:$H$100, 0),
      MATCH(A362, 'Raw GDP data'!$I$1:$M$1, 0)
    )
  )),
  """"
)
"),71188493994.9975)</f>
        <v>71188493994.997498</v>
      </c>
      <c r="H362" s="80"/>
      <c r="I362" s="81">
        <f ca="1">IFERROR(__xludf.DUMMYFUNCTION("""COMPUTED_VALUE"""),2014)</f>
        <v>2014</v>
      </c>
      <c r="J362" s="82" t="str">
        <f ca="1">IFERROR(__xludf.DUMMYFUNCTION("""COMPUTED_VALUE"""),"Australia-New Zealand")</f>
        <v>Australia-New Zealand</v>
      </c>
      <c r="K362" s="83">
        <f ca="1">IFERROR(
  SUMIFS(
    'New Backfilled Data'!G:G,
    'New Backfilled Data'!A:A, I362,
    'New Backfilled Data'!D:D, J362,
    'New Backfilled Data'!E:E, "Online"
  ) /
  SUMIFS(
    'New Backfilled Data'!G:G,
    'New Backfilled Data'!A:A, I362,
    'New Backfilled Data'!D:D, J362
  ),
  ""
)</f>
        <v>0.3788532387683039</v>
      </c>
      <c r="L362" s="84"/>
      <c r="M362" s="84"/>
    </row>
    <row r="363" spans="1:13" ht="17" x14ac:dyDescent="0.2">
      <c r="A363" s="44">
        <v>2007</v>
      </c>
      <c r="B363" s="45" t="s">
        <v>66</v>
      </c>
      <c r="C363" s="45" t="s">
        <v>47</v>
      </c>
      <c r="D363" s="45" t="s">
        <v>48</v>
      </c>
      <c r="E363" s="45" t="s">
        <v>69</v>
      </c>
      <c r="F363" s="45" t="s">
        <v>71</v>
      </c>
      <c r="G363" s="85">
        <f ca="1">IFERROR(__xludf.DUMMYFUNCTION("IFERROR(
  IF(A363 = 2008,
    IF(E363 = ""Online"",
      FILTER('Raw PhocalPoint Data'!G:G,
        'Raw PhocalPoint Data'!A:A = 2009,
        'Raw PhocalPoint Data'!D:D = D363,
        'Raw PhocalPoint Data'!E:E = E363,
        'Raw PhocalPoint Data'!F"&amp;":F = F363
      ) /
      (
        FILTER('Raw PhocalPoint Data'!G:G,
          'Raw PhocalPoint Data'!A:A = 2012,
          'Raw PhocalPoint Data'!D:D = D363,
          'Raw PhocalPoint Data'!E:E = E363,
          'Raw PhocalPoint Data'!F:F = F363
     "&amp;"   ) /
        FILTER('Raw PhocalPoint Data'!G:G,
          'Raw PhocalPoint Data'!A:A = 2011,
          'Raw PhocalPoint Data'!D:D = D363,
          'Raw PhocalPoint Data'!E:E = E363,
          'Raw PhocalPoint Data'!F:F = F363
        )
      ),
      F"&amp;"ILTER('Raw PhocalPoint Data'!G:G,
        'Raw PhocalPoint Data'!A:A = 2009,
        'Raw PhocalPoint Data'!D:D = D363,
        'Raw PhocalPoint Data'!E:E = E363,
        'Raw PhocalPoint Data'!F:F = F363
      ) *
      (
        INDEX('Raw GDP data'!$I$"&amp;"2:$M$100,
          MATCH(D363, 'Raw GDP data'!$H$2:$H$100, 0),
          MATCH(2008, 'Raw GDP data'!$I$1:$M$1, 0)
        ) /
        INDEX('Raw GDP data'!$I$2:$M$100,
          MATCH(D363, 'Raw GDP data'!$H$2:$H$100, 0),
          MATCH(2009, 'Raw GDP d"&amp;"ata'!$I$1:$M$1, 0)
        )
      )
    ),
  IF(A363 &lt; 2008,
    (
      FILTER(G:G,
        A:A = 2008,
        D:D = D363,
        E:E = E363,
        F:F = F363
      ) /
      PRODUCT(
        ARRAYFORMULA(
          (
            (
              FIL"&amp;"TER('Raw PhocalPoint Data'!G:G,
                'Raw PhocalPoint Data'!A:A = 2012,
                'Raw PhocalPoint Data'!D:D = D363,
                'Raw PhocalPoint Data'!E:E = E363,
                'Raw PhocalPoint Data'!F:F = F363
              ) /
  "&amp;"            FILTER('Raw PhocalPoint Data'!G:G,
                'Raw PhocalPoint Data'!A:A = 2011,
                'Raw PhocalPoint Data'!D:D = D363,
                'Raw PhocalPoint Data'!E:E = E363,
                'Raw PhocalPoint Data'!F:F = F363
     "&amp;"         ) -
              ROW(INDIRECT(""1:"" &amp; (2008 - A363))) *
              (
                (
                  FILTER('Raw PhocalPoint Data'!G:G,
                    'Raw PhocalPoint Data'!A:A = 2012,
                    'Raw PhocalPoint Data'!D:D"&amp;" = D363,
                    'Raw PhocalPoint Data'!E:E = E363,
                    'Raw PhocalPoint Data'!F:F = F363
                  ) /
                  FILTER('Raw PhocalPoint Data'!G:G,
                    'Raw PhocalPoint Data'!A:A = 2011,
       "&amp;"             'Raw PhocalPoint Data'!D:D = D363,
                    'Raw PhocalPoint Data'!E:E = E363,
                    'Raw PhocalPoint Data'!F:F = F363
                  ) - 1
                ) / 5
              )
            )
          )
        )
"&amp;"      )
    ),
    (
      FILTER('Raw PhocalPoint Data'!G:G,
        'Raw PhocalPoint Data'!A:A = 2009,
        'Raw PhocalPoint Data'!D:D = D363,
        'Raw PhocalPoint Data'!E:E = E363,
        'Raw PhocalPoint Data'!F:F = F363
      ) /
      PRODUC"&amp;"T(
        ARRAYFORMULA(
          (
            FILTER('Raw PhocalPoint Data'!G:G,
              'Raw PhocalPoint Data'!A:A = 2012,
              'Raw PhocalPoint Data'!D:D = D363,
              'Raw PhocalPoint Data'!E:E = E363,
              'Raw Phoca"&amp;"lPoint Data'!F:F = F363
            ) /
            FILTER('Raw PhocalPoint Data'!G:G,
              'Raw PhocalPoint Data'!A:A = 2011,
              'Raw PhocalPoint Data'!D:D = D363,
              'Raw PhocalPoint Data'!E:E = E363,
              'Raw Ph"&amp;"ocalPoint Data'!F:F = F363
            ) -
            (ROW(INDIRECT(""1:"" &amp; (2010 - A363))) - 1) *
            (
              (
                FILTER('Raw PhocalPoint Data'!G:G,
                  'Raw PhocalPoint Data'!A:A = 2012,
                  'R"&amp;"aw PhocalPoint Data'!D:D = D363,
                  'Raw PhocalPoint Data'!E:E = E363,
                  'Raw PhocalPoint Data'!F:F = F363
                ) /
                FILTER('Raw PhocalPoint Data'!G:G,
                  'Raw PhocalPoint Data'!A:A ="&amp;" 2011,
                  'Raw PhocalPoint Data'!D:D = D363,
                  'Raw PhocalPoint Data'!E:E = E363,
                  'Raw PhocalPoint Data'!F:F = F363
                ) - 1
              ) / 5
            )
          )
        )
      )
    "&amp;") *
    INDEX('Raw GDP data'!$I$2:$M$100,
      MATCH(D363, 'Raw GDP data'!$H$2:$H$100, 0),
      MATCH(A363, 'Raw GDP data'!$I$1:$M$1, 0)
    )
  )),
  """"
)
"),31659130217.6536)</f>
        <v>31659130217.653599</v>
      </c>
      <c r="H363" s="86"/>
      <c r="I363" s="87">
        <f ca="1">IFERROR(__xludf.DUMMYFUNCTION("""COMPUTED_VALUE"""),2014)</f>
        <v>2014</v>
      </c>
      <c r="J363" s="88" t="str">
        <f ca="1">IFERROR(__xludf.DUMMYFUNCTION("""COMPUTED_VALUE"""),"China")</f>
        <v>China</v>
      </c>
      <c r="K363" s="89">
        <f ca="1">IFERROR(
  SUMIFS(
    'New Backfilled Data'!G:G,
    'New Backfilled Data'!A:A, I363,
    'New Backfilled Data'!D:D, J363,
    'New Backfilled Data'!E:E, "Online"
  ) /
  SUMIFS(
    'New Backfilled Data'!G:G,
    'New Backfilled Data'!A:A, I363,
    'New Backfilled Data'!D:D, J363
  ),
  ""
)</f>
        <v>0.2335779904045468</v>
      </c>
      <c r="L363" s="90"/>
      <c r="M363" s="90"/>
    </row>
    <row r="364" spans="1:13" ht="17" x14ac:dyDescent="0.2">
      <c r="A364" s="37">
        <v>2007</v>
      </c>
      <c r="B364" s="38" t="s">
        <v>66</v>
      </c>
      <c r="C364" s="38" t="s">
        <v>47</v>
      </c>
      <c r="D364" s="38" t="s">
        <v>48</v>
      </c>
      <c r="E364" s="38" t="s">
        <v>69</v>
      </c>
      <c r="F364" s="38" t="s">
        <v>70</v>
      </c>
      <c r="G364" s="79" t="str">
        <f ca="1">IFERROR(__xludf.DUMMYFUNCTION("IFERROR(
  IF(A364 = 2008,
    IF(E364 = ""Online"",
      FILTER('Raw PhocalPoint Data'!G:G,
        'Raw PhocalPoint Data'!A:A = 2009,
        'Raw PhocalPoint Data'!D:D = D364,
        'Raw PhocalPoint Data'!E:E = E364,
        'Raw PhocalPoint Data'!F"&amp;":F = F364
      ) /
      (
        FILTER('Raw PhocalPoint Data'!G:G,
          'Raw PhocalPoint Data'!A:A = 2012,
          'Raw PhocalPoint Data'!D:D = D364,
          'Raw PhocalPoint Data'!E:E = E364,
          'Raw PhocalPoint Data'!F:F = F364
     "&amp;"   ) /
        FILTER('Raw PhocalPoint Data'!G:G,
          'Raw PhocalPoint Data'!A:A = 2011,
          'Raw PhocalPoint Data'!D:D = D364,
          'Raw PhocalPoint Data'!E:E = E364,
          'Raw PhocalPoint Data'!F:F = F364
        )
      ),
      F"&amp;"ILTER('Raw PhocalPoint Data'!G:G,
        'Raw PhocalPoint Data'!A:A = 2009,
        'Raw PhocalPoint Data'!D:D = D364,
        'Raw PhocalPoint Data'!E:E = E364,
        'Raw PhocalPoint Data'!F:F = F364
      ) *
      (
        INDEX('Raw GDP data'!$I$"&amp;"2:$M$100,
          MATCH(D364, 'Raw GDP data'!$H$2:$H$100, 0),
          MATCH(2008, 'Raw GDP data'!$I$1:$M$1, 0)
        ) /
        INDEX('Raw GDP data'!$I$2:$M$100,
          MATCH(D364, 'Raw GDP data'!$H$2:$H$100, 0),
          MATCH(2009, 'Raw GDP d"&amp;"ata'!$I$1:$M$1, 0)
        )
      )
    ),
  IF(A364 &lt; 2008,
    (
      FILTER(G:G,
        A:A = 2008,
        D:D = D364,
        E:E = E364,
        F:F = F364
      ) /
      PRODUCT(
        ARRAYFORMULA(
          (
            (
              FIL"&amp;"TER('Raw PhocalPoint Data'!G:G,
                'Raw PhocalPoint Data'!A:A = 2012,
                'Raw PhocalPoint Data'!D:D = D364,
                'Raw PhocalPoint Data'!E:E = E364,
                'Raw PhocalPoint Data'!F:F = F364
              ) /
  "&amp;"            FILTER('Raw PhocalPoint Data'!G:G,
                'Raw PhocalPoint Data'!A:A = 2011,
                'Raw PhocalPoint Data'!D:D = D364,
                'Raw PhocalPoint Data'!E:E = E364,
                'Raw PhocalPoint Data'!F:F = F364
     "&amp;"         ) -
              ROW(INDIRECT(""1:"" &amp; (2008 - A364))) *
              (
                (
                  FILTER('Raw PhocalPoint Data'!G:G,
                    'Raw PhocalPoint Data'!A:A = 2012,
                    'Raw PhocalPoint Data'!D:D"&amp;" = D364,
                    'Raw PhocalPoint Data'!E:E = E364,
                    'Raw PhocalPoint Data'!F:F = F364
                  ) /
                  FILTER('Raw PhocalPoint Data'!G:G,
                    'Raw PhocalPoint Data'!A:A = 2011,
       "&amp;"             'Raw PhocalPoint Data'!D:D = D364,
                    'Raw PhocalPoint Data'!E:E = E364,
                    'Raw PhocalPoint Data'!F:F = F364
                  ) - 1
                ) / 5
              )
            )
          )
        )
"&amp;"      )
    ),
    (
      FILTER('Raw PhocalPoint Data'!G:G,
        'Raw PhocalPoint Data'!A:A = 2009,
        'Raw PhocalPoint Data'!D:D = D364,
        'Raw PhocalPoint Data'!E:E = E364,
        'Raw PhocalPoint Data'!F:F = F364
      ) /
      PRODUC"&amp;"T(
        ARRAYFORMULA(
          (
            FILTER('Raw PhocalPoint Data'!G:G,
              'Raw PhocalPoint Data'!A:A = 2012,
              'Raw PhocalPoint Data'!D:D = D364,
              'Raw PhocalPoint Data'!E:E = E364,
              'Raw Phoca"&amp;"lPoint Data'!F:F = F364
            ) /
            FILTER('Raw PhocalPoint Data'!G:G,
              'Raw PhocalPoint Data'!A:A = 2011,
              'Raw PhocalPoint Data'!D:D = D364,
              'Raw PhocalPoint Data'!E:E = E364,
              'Raw Ph"&amp;"ocalPoint Data'!F:F = F364
            ) -
            (ROW(INDIRECT(""1:"" &amp; (2010 - A364))) - 1) *
            (
              (
                FILTER('Raw PhocalPoint Data'!G:G,
                  'Raw PhocalPoint Data'!A:A = 2012,
                  'R"&amp;"aw PhocalPoint Data'!D:D = D364,
                  'Raw PhocalPoint Data'!E:E = E364,
                  'Raw PhocalPoint Data'!F:F = F364
                ) /
                FILTER('Raw PhocalPoint Data'!G:G,
                  'Raw PhocalPoint Data'!A:A ="&amp;" 2011,
                  'Raw PhocalPoint Data'!D:D = D364,
                  'Raw PhocalPoint Data'!E:E = E364,
                  'Raw PhocalPoint Data'!F:F = F364
                ) - 1
              ) / 5
            )
          )
        )
      )
    "&amp;") *
    INDEX('Raw GDP data'!$I$2:$M$100,
      MATCH(D364, 'Raw GDP data'!$H$2:$H$100, 0),
      MATCH(A364, 'Raw GDP data'!$I$1:$M$1, 0)
    )
  )),
  """"
)
"),"")</f>
        <v/>
      </c>
      <c r="H364" s="80"/>
      <c r="I364" s="81">
        <f ca="1">IFERROR(__xludf.DUMMYFUNCTION("""COMPUTED_VALUE"""),2014)</f>
        <v>2014</v>
      </c>
      <c r="J364" s="82" t="str">
        <f ca="1">IFERROR(__xludf.DUMMYFUNCTION("""COMPUTED_VALUE"""),"Hong Kong")</f>
        <v>Hong Kong</v>
      </c>
      <c r="K364" s="83">
        <f ca="1">IFERROR(
  SUMIFS(
    'New Backfilled Data'!G:G,
    'New Backfilled Data'!A:A, I364,
    'New Backfilled Data'!D:D, J364,
    'New Backfilled Data'!E:E, "Online"
  ) /
  SUMIFS(
    'New Backfilled Data'!G:G,
    'New Backfilled Data'!A:A, I364,
    'New Backfilled Data'!D:D, J364
  ),
  ""
)</f>
        <v>0.10849816001237345</v>
      </c>
      <c r="L364" s="84"/>
      <c r="M364" s="84"/>
    </row>
    <row r="365" spans="1:13" ht="17" x14ac:dyDescent="0.2">
      <c r="A365" s="44">
        <v>2008</v>
      </c>
      <c r="B365" s="45" t="s">
        <v>66</v>
      </c>
      <c r="C365" s="45" t="s">
        <v>4</v>
      </c>
      <c r="D365" s="45" t="s">
        <v>3</v>
      </c>
      <c r="E365" s="45" t="s">
        <v>67</v>
      </c>
      <c r="F365" s="45" t="s">
        <v>67</v>
      </c>
      <c r="G365" s="85">
        <f ca="1">IFERROR(__xludf.DUMMYFUNCTION("IFERROR(
  IF(A365 = 2008,
    IF(E365 = ""Online"",
      FILTER('Raw PhocalPoint Data'!G:G,
        'Raw PhocalPoint Data'!A:A = 2009,
        'Raw PhocalPoint Data'!D:D = D365,
        'Raw PhocalPoint Data'!E:E = E365,
        'Raw PhocalPoint Data'!F"&amp;":F = F365
      ) /
      (
        FILTER('Raw PhocalPoint Data'!G:G,
          'Raw PhocalPoint Data'!A:A = 2012,
          'Raw PhocalPoint Data'!D:D = D365,
          'Raw PhocalPoint Data'!E:E = E365,
          'Raw PhocalPoint Data'!F:F = F365
     "&amp;"   ) /
        FILTER('Raw PhocalPoint Data'!G:G,
          'Raw PhocalPoint Data'!A:A = 2011,
          'Raw PhocalPoint Data'!D:D = D365,
          'Raw PhocalPoint Data'!E:E = E365,
          'Raw PhocalPoint Data'!F:F = F365
        )
      ),
      F"&amp;"ILTER('Raw PhocalPoint Data'!G:G,
        'Raw PhocalPoint Data'!A:A = 2009,
        'Raw PhocalPoint Data'!D:D = D365,
        'Raw PhocalPoint Data'!E:E = E365,
        'Raw PhocalPoint Data'!F:F = F365
      ) *
      (
        INDEX('Raw GDP data'!$I$"&amp;"2:$M$100,
          MATCH(D365, 'Raw GDP data'!$H$2:$H$100, 0),
          MATCH(2008, 'Raw GDP data'!$I$1:$M$1, 0)
        ) /
        INDEX('Raw GDP data'!$I$2:$M$100,
          MATCH(D365, 'Raw GDP data'!$H$2:$H$100, 0),
          MATCH(2009, 'Raw GDP d"&amp;"ata'!$I$1:$M$1, 0)
        )
      )
    ),
  IF(A365 &lt; 2008,
    (
      FILTER(G:G,
        A:A = 2008,
        D:D = D365,
        E:E = E365,
        F:F = F365
      ) /
      PRODUCT(
        ARRAYFORMULA(
          (
            (
              FIL"&amp;"TER('Raw PhocalPoint Data'!G:G,
                'Raw PhocalPoint Data'!A:A = 2012,
                'Raw PhocalPoint Data'!D:D = D365,
                'Raw PhocalPoint Data'!E:E = E365,
                'Raw PhocalPoint Data'!F:F = F365
              ) /
  "&amp;"            FILTER('Raw PhocalPoint Data'!G:G,
                'Raw PhocalPoint Data'!A:A = 2011,
                'Raw PhocalPoint Data'!D:D = D365,
                'Raw PhocalPoint Data'!E:E = E365,
                'Raw PhocalPoint Data'!F:F = F365
     "&amp;"         ) -
              ROW(INDIRECT(""1:"" &amp; (2008 - A365))) *
              (
                (
                  FILTER('Raw PhocalPoint Data'!G:G,
                    'Raw PhocalPoint Data'!A:A = 2012,
                    'Raw PhocalPoint Data'!D:D"&amp;" = D365,
                    'Raw PhocalPoint Data'!E:E = E365,
                    'Raw PhocalPoint Data'!F:F = F365
                  ) /
                  FILTER('Raw PhocalPoint Data'!G:G,
                    'Raw PhocalPoint Data'!A:A = 2011,
       "&amp;"             'Raw PhocalPoint Data'!D:D = D365,
                    'Raw PhocalPoint Data'!E:E = E365,
                    'Raw PhocalPoint Data'!F:F = F365
                  ) - 1
                ) / 5
              )
            )
          )
        )
"&amp;"      )
    ),
    (
      FILTER('Raw PhocalPoint Data'!G:G,
        'Raw PhocalPoint Data'!A:A = 2009,
        'Raw PhocalPoint Data'!D:D = D365,
        'Raw PhocalPoint Data'!E:E = E365,
        'Raw PhocalPoint Data'!F:F = F365
      ) /
      PRODUC"&amp;"T(
        ARRAYFORMULA(
          (
            FILTER('Raw PhocalPoint Data'!G:G,
              'Raw PhocalPoint Data'!A:A = 2012,
              'Raw PhocalPoint Data'!D:D = D365,
              'Raw PhocalPoint Data'!E:E = E365,
              'Raw Phoca"&amp;"lPoint Data'!F:F = F365
            ) /
            FILTER('Raw PhocalPoint Data'!G:G,
              'Raw PhocalPoint Data'!A:A = 2011,
              'Raw PhocalPoint Data'!D:D = D365,
              'Raw PhocalPoint Data'!E:E = E365,
              'Raw Ph"&amp;"ocalPoint Data'!F:F = F365
            ) -
            (ROW(INDIRECT(""1:"" &amp; (2010 - A365))) - 1) *
            (
              (
                FILTER('Raw PhocalPoint Data'!G:G,
                  'Raw PhocalPoint Data'!A:A = 2012,
                  'R"&amp;"aw PhocalPoint Data'!D:D = D365,
                  'Raw PhocalPoint Data'!E:E = E365,
                  'Raw PhocalPoint Data'!F:F = F365
                ) /
                FILTER('Raw PhocalPoint Data'!G:G,
                  'Raw PhocalPoint Data'!A:A ="&amp;" 2011,
                  'Raw PhocalPoint Data'!D:D = D365,
                  'Raw PhocalPoint Data'!E:E = E365,
                  'Raw PhocalPoint Data'!F:F = F365
                ) - 1
              ) / 5
            )
          )
        )
      )
    "&amp;") *
    INDEX('Raw GDP data'!$I$2:$M$100,
      MATCH(D365, 'Raw GDP data'!$H$2:$H$100, 0),
      MATCH(A365, 'Raw GDP data'!$I$1:$M$1, 0)
    )
  )),
  """"
)
"),17579883307.132)</f>
        <v>17579883307.132</v>
      </c>
      <c r="H365" s="86"/>
      <c r="I365" s="87">
        <f ca="1">IFERROR(__xludf.DUMMYFUNCTION("""COMPUTED_VALUE"""),2014)</f>
        <v>2014</v>
      </c>
      <c r="J365" s="88" t="str">
        <f ca="1">IFERROR(__xludf.DUMMYFUNCTION("""COMPUTED_VALUE"""),"India")</f>
        <v>India</v>
      </c>
      <c r="K365" s="89">
        <f ca="1">IFERROR(
  SUMIFS(
    'New Backfilled Data'!G:G,
    'New Backfilled Data'!A:A, I365,
    'New Backfilled Data'!D:D, J365,
    'New Backfilled Data'!E:E, "Online"
  ) /
  SUMIFS(
    'New Backfilled Data'!G:G,
    'New Backfilled Data'!A:A, I365,
    'New Backfilled Data'!D:D, J365
  ),
  ""
)</f>
        <v>0.31773348708884458</v>
      </c>
      <c r="L365" s="90"/>
      <c r="M365" s="90"/>
    </row>
    <row r="366" spans="1:13" ht="17" x14ac:dyDescent="0.2">
      <c r="A366" s="37">
        <v>2008</v>
      </c>
      <c r="B366" s="38" t="s">
        <v>66</v>
      </c>
      <c r="C366" s="38" t="s">
        <v>4</v>
      </c>
      <c r="D366" s="38" t="s">
        <v>3</v>
      </c>
      <c r="E366" s="38" t="s">
        <v>69</v>
      </c>
      <c r="F366" s="38" t="s">
        <v>71</v>
      </c>
      <c r="G366" s="79">
        <f ca="1">IFERROR(__xludf.DUMMYFUNCTION("IFERROR(
  IF(A366 = 2008,
    IF(E366 = ""Online"",
      FILTER('Raw PhocalPoint Data'!G:G,
        'Raw PhocalPoint Data'!A:A = 2009,
        'Raw PhocalPoint Data'!D:D = D366,
        'Raw PhocalPoint Data'!E:E = E366,
        'Raw PhocalPoint Data'!F"&amp;":F = F366
      ) /
      (
        FILTER('Raw PhocalPoint Data'!G:G,
          'Raw PhocalPoint Data'!A:A = 2012,
          'Raw PhocalPoint Data'!D:D = D366,
          'Raw PhocalPoint Data'!E:E = E366,
          'Raw PhocalPoint Data'!F:F = F366
     "&amp;"   ) /
        FILTER('Raw PhocalPoint Data'!G:G,
          'Raw PhocalPoint Data'!A:A = 2011,
          'Raw PhocalPoint Data'!D:D = D366,
          'Raw PhocalPoint Data'!E:E = E366,
          'Raw PhocalPoint Data'!F:F = F366
        )
      ),
      F"&amp;"ILTER('Raw PhocalPoint Data'!G:G,
        'Raw PhocalPoint Data'!A:A = 2009,
        'Raw PhocalPoint Data'!D:D = D366,
        'Raw PhocalPoint Data'!E:E = E366,
        'Raw PhocalPoint Data'!F:F = F366
      ) *
      (
        INDEX('Raw GDP data'!$I$"&amp;"2:$M$100,
          MATCH(D366, 'Raw GDP data'!$H$2:$H$100, 0),
          MATCH(2008, 'Raw GDP data'!$I$1:$M$1, 0)
        ) /
        INDEX('Raw GDP data'!$I$2:$M$100,
          MATCH(D366, 'Raw GDP data'!$H$2:$H$100, 0),
          MATCH(2009, 'Raw GDP d"&amp;"ata'!$I$1:$M$1, 0)
        )
      )
    ),
  IF(A366 &lt; 2008,
    (
      FILTER(G:G,
        A:A = 2008,
        D:D = D366,
        E:E = E366,
        F:F = F366
      ) /
      PRODUCT(
        ARRAYFORMULA(
          (
            (
              FIL"&amp;"TER('Raw PhocalPoint Data'!G:G,
                'Raw PhocalPoint Data'!A:A = 2012,
                'Raw PhocalPoint Data'!D:D = D366,
                'Raw PhocalPoint Data'!E:E = E366,
                'Raw PhocalPoint Data'!F:F = F366
              ) /
  "&amp;"            FILTER('Raw PhocalPoint Data'!G:G,
                'Raw PhocalPoint Data'!A:A = 2011,
                'Raw PhocalPoint Data'!D:D = D366,
                'Raw PhocalPoint Data'!E:E = E366,
                'Raw PhocalPoint Data'!F:F = F366
     "&amp;"         ) -
              ROW(INDIRECT(""1:"" &amp; (2008 - A366))) *
              (
                (
                  FILTER('Raw PhocalPoint Data'!G:G,
                    'Raw PhocalPoint Data'!A:A = 2012,
                    'Raw PhocalPoint Data'!D:D"&amp;" = D366,
                    'Raw PhocalPoint Data'!E:E = E366,
                    'Raw PhocalPoint Data'!F:F = F366
                  ) /
                  FILTER('Raw PhocalPoint Data'!G:G,
                    'Raw PhocalPoint Data'!A:A = 2011,
       "&amp;"             'Raw PhocalPoint Data'!D:D = D366,
                    'Raw PhocalPoint Data'!E:E = E366,
                    'Raw PhocalPoint Data'!F:F = F366
                  ) - 1
                ) / 5
              )
            )
          )
        )
"&amp;"      )
    ),
    (
      FILTER('Raw PhocalPoint Data'!G:G,
        'Raw PhocalPoint Data'!A:A = 2009,
        'Raw PhocalPoint Data'!D:D = D366,
        'Raw PhocalPoint Data'!E:E = E366,
        'Raw PhocalPoint Data'!F:F = F366
      ) /
      PRODUC"&amp;"T(
        ARRAYFORMULA(
          (
            FILTER('Raw PhocalPoint Data'!G:G,
              'Raw PhocalPoint Data'!A:A = 2012,
              'Raw PhocalPoint Data'!D:D = D366,
              'Raw PhocalPoint Data'!E:E = E366,
              'Raw Phoca"&amp;"lPoint Data'!F:F = F366
            ) /
            FILTER('Raw PhocalPoint Data'!G:G,
              'Raw PhocalPoint Data'!A:A = 2011,
              'Raw PhocalPoint Data'!D:D = D366,
              'Raw PhocalPoint Data'!E:E = E366,
              'Raw Ph"&amp;"ocalPoint Data'!F:F = F366
            ) -
            (ROW(INDIRECT(""1:"" &amp; (2010 - A366))) - 1) *
            (
              (
                FILTER('Raw PhocalPoint Data'!G:G,
                  'Raw PhocalPoint Data'!A:A = 2012,
                  'R"&amp;"aw PhocalPoint Data'!D:D = D366,
                  'Raw PhocalPoint Data'!E:E = E366,
                  'Raw PhocalPoint Data'!F:F = F366
                ) /
                FILTER('Raw PhocalPoint Data'!G:G,
                  'Raw PhocalPoint Data'!A:A ="&amp;" 2011,
                  'Raw PhocalPoint Data'!D:D = D366,
                  'Raw PhocalPoint Data'!E:E = E366,
                  'Raw PhocalPoint Data'!F:F = F366
                ) - 1
              ) / 5
            )
          )
        )
      )
    "&amp;") *
    INDEX('Raw GDP data'!$I$2:$M$100,
      MATCH(D366, 'Raw GDP data'!$H$2:$H$100, 0),
      MATCH(A366, 'Raw GDP data'!$I$1:$M$1, 0)
    )
  )),
  """"
)
"),1002265452.34759)</f>
        <v>1002265452.34759</v>
      </c>
      <c r="H366" s="80"/>
      <c r="I366" s="81">
        <f ca="1">IFERROR(__xludf.DUMMYFUNCTION("""COMPUTED_VALUE"""),2014)</f>
        <v>2014</v>
      </c>
      <c r="J366" s="82" t="str">
        <f ca="1">IFERROR(__xludf.DUMMYFUNCTION("""COMPUTED_VALUE"""),"Indonesia")</f>
        <v>Indonesia</v>
      </c>
      <c r="K366" s="83">
        <f ca="1">IFERROR(
  SUMIFS(
    'New Backfilled Data'!G:G,
    'New Backfilled Data'!A:A, I366,
    'New Backfilled Data'!D:D, J366,
    'New Backfilled Data'!E:E, "Online"
  ) /
  SUMIFS(
    'New Backfilled Data'!G:G,
    'New Backfilled Data'!A:A, I366,
    'New Backfilled Data'!D:D, J366
  ),
  ""
)</f>
        <v>0.10814457247244821</v>
      </c>
      <c r="L366" s="84"/>
      <c r="M366" s="84"/>
    </row>
    <row r="367" spans="1:13" ht="17" x14ac:dyDescent="0.2">
      <c r="A367" s="44">
        <v>2008</v>
      </c>
      <c r="B367" s="45" t="s">
        <v>66</v>
      </c>
      <c r="C367" s="45" t="s">
        <v>4</v>
      </c>
      <c r="D367" s="45" t="s">
        <v>3</v>
      </c>
      <c r="E367" s="45" t="s">
        <v>69</v>
      </c>
      <c r="F367" s="45" t="s">
        <v>70</v>
      </c>
      <c r="G367" s="85">
        <f ca="1">IFERROR(__xludf.DUMMYFUNCTION("IFERROR(
  IF(A367 = 2008,
    IF(E367 = ""Online"",
      FILTER('Raw PhocalPoint Data'!G:G,
        'Raw PhocalPoint Data'!A:A = 2009,
        'Raw PhocalPoint Data'!D:D = D367,
        'Raw PhocalPoint Data'!E:E = E367,
        'Raw PhocalPoint Data'!F"&amp;":F = F367
      ) /
      (
        FILTER('Raw PhocalPoint Data'!G:G,
          'Raw PhocalPoint Data'!A:A = 2012,
          'Raw PhocalPoint Data'!D:D = D367,
          'Raw PhocalPoint Data'!E:E = E367,
          'Raw PhocalPoint Data'!F:F = F367
     "&amp;"   ) /
        FILTER('Raw PhocalPoint Data'!G:G,
          'Raw PhocalPoint Data'!A:A = 2011,
          'Raw PhocalPoint Data'!D:D = D367,
          'Raw PhocalPoint Data'!E:E = E367,
          'Raw PhocalPoint Data'!F:F = F367
        )
      ),
      F"&amp;"ILTER('Raw PhocalPoint Data'!G:G,
        'Raw PhocalPoint Data'!A:A = 2009,
        'Raw PhocalPoint Data'!D:D = D367,
        'Raw PhocalPoint Data'!E:E = E367,
        'Raw PhocalPoint Data'!F:F = F367
      ) *
      (
        INDEX('Raw GDP data'!$I$"&amp;"2:$M$100,
          MATCH(D367, 'Raw GDP data'!$H$2:$H$100, 0),
          MATCH(2008, 'Raw GDP data'!$I$1:$M$1, 0)
        ) /
        INDEX('Raw GDP data'!$I$2:$M$100,
          MATCH(D367, 'Raw GDP data'!$H$2:$H$100, 0),
          MATCH(2009, 'Raw GDP d"&amp;"ata'!$I$1:$M$1, 0)
        )
      )
    ),
  IF(A367 &lt; 2008,
    (
      FILTER(G:G,
        A:A = 2008,
        D:D = D367,
        E:E = E367,
        F:F = F367
      ) /
      PRODUCT(
        ARRAYFORMULA(
          (
            (
              FIL"&amp;"TER('Raw PhocalPoint Data'!G:G,
                'Raw PhocalPoint Data'!A:A = 2012,
                'Raw PhocalPoint Data'!D:D = D367,
                'Raw PhocalPoint Data'!E:E = E367,
                'Raw PhocalPoint Data'!F:F = F367
              ) /
  "&amp;"            FILTER('Raw PhocalPoint Data'!G:G,
                'Raw PhocalPoint Data'!A:A = 2011,
                'Raw PhocalPoint Data'!D:D = D367,
                'Raw PhocalPoint Data'!E:E = E367,
                'Raw PhocalPoint Data'!F:F = F367
     "&amp;"         ) -
              ROW(INDIRECT(""1:"" &amp; (2008 - A367))) *
              (
                (
                  FILTER('Raw PhocalPoint Data'!G:G,
                    'Raw PhocalPoint Data'!A:A = 2012,
                    'Raw PhocalPoint Data'!D:D"&amp;" = D367,
                    'Raw PhocalPoint Data'!E:E = E367,
                    'Raw PhocalPoint Data'!F:F = F367
                  ) /
                  FILTER('Raw PhocalPoint Data'!G:G,
                    'Raw PhocalPoint Data'!A:A = 2011,
       "&amp;"             'Raw PhocalPoint Data'!D:D = D367,
                    'Raw PhocalPoint Data'!E:E = E367,
                    'Raw PhocalPoint Data'!F:F = F367
                  ) - 1
                ) / 5
              )
            )
          )
        )
"&amp;"      )
    ),
    (
      FILTER('Raw PhocalPoint Data'!G:G,
        'Raw PhocalPoint Data'!A:A = 2009,
        'Raw PhocalPoint Data'!D:D = D367,
        'Raw PhocalPoint Data'!E:E = E367,
        'Raw PhocalPoint Data'!F:F = F367
      ) /
      PRODUC"&amp;"T(
        ARRAYFORMULA(
          (
            FILTER('Raw PhocalPoint Data'!G:G,
              'Raw PhocalPoint Data'!A:A = 2012,
              'Raw PhocalPoint Data'!D:D = D367,
              'Raw PhocalPoint Data'!E:E = E367,
              'Raw Phoca"&amp;"lPoint Data'!F:F = F367
            ) /
            FILTER('Raw PhocalPoint Data'!G:G,
              'Raw PhocalPoint Data'!A:A = 2011,
              'Raw PhocalPoint Data'!D:D = D367,
              'Raw PhocalPoint Data'!E:E = E367,
              'Raw Ph"&amp;"ocalPoint Data'!F:F = F367
            ) -
            (ROW(INDIRECT(""1:"" &amp; (2010 - A367))) - 1) *
            (
              (
                FILTER('Raw PhocalPoint Data'!G:G,
                  'Raw PhocalPoint Data'!A:A = 2012,
                  'R"&amp;"aw PhocalPoint Data'!D:D = D367,
                  'Raw PhocalPoint Data'!E:E = E367,
                  'Raw PhocalPoint Data'!F:F = F367
                ) /
                FILTER('Raw PhocalPoint Data'!G:G,
                  'Raw PhocalPoint Data'!A:A ="&amp;" 2011,
                  'Raw PhocalPoint Data'!D:D = D367,
                  'Raw PhocalPoint Data'!E:E = E367,
                  'Raw PhocalPoint Data'!F:F = F367
                ) - 1
              ) / 5
            )
          )
        )
      )
    "&amp;") *
    INDEX('Raw GDP data'!$I$2:$M$100,
      MATCH(D367, 'Raw GDP data'!$H$2:$H$100, 0),
      MATCH(A367, 'Raw GDP data'!$I$1:$M$1, 0)
    )
  )),
  """"
)
"),5816289283.74568)</f>
        <v>5816289283.7456799</v>
      </c>
      <c r="H367" s="86"/>
      <c r="I367" s="87">
        <f ca="1">IFERROR(__xludf.DUMMYFUNCTION("""COMPUTED_VALUE"""),2014)</f>
        <v>2014</v>
      </c>
      <c r="J367" s="88" t="str">
        <f ca="1">IFERROR(__xludf.DUMMYFUNCTION("""COMPUTED_VALUE"""),"Japan")</f>
        <v>Japan</v>
      </c>
      <c r="K367" s="89">
        <f ca="1">IFERROR(
  SUMIFS(
    'New Backfilled Data'!G:G,
    'New Backfilled Data'!A:A, I367,
    'New Backfilled Data'!D:D, J367,
    'New Backfilled Data'!E:E, "Online"
  ) /
  SUMIFS(
    'New Backfilled Data'!G:G,
    'New Backfilled Data'!A:A, I367,
    'New Backfilled Data'!D:D, J367
  ),
  ""
)</f>
        <v>0.34892839868338538</v>
      </c>
      <c r="L367" s="90"/>
      <c r="M367" s="90"/>
    </row>
    <row r="368" spans="1:13" ht="17" x14ac:dyDescent="0.2">
      <c r="A368" s="37">
        <v>2008</v>
      </c>
      <c r="B368" s="38" t="s">
        <v>66</v>
      </c>
      <c r="C368" s="38" t="s">
        <v>4</v>
      </c>
      <c r="D368" s="38" t="s">
        <v>5</v>
      </c>
      <c r="E368" s="38" t="s">
        <v>67</v>
      </c>
      <c r="F368" s="38" t="s">
        <v>67</v>
      </c>
      <c r="G368" s="79">
        <f ca="1">IFERROR(__xludf.DUMMYFUNCTION("IFERROR(
  IF(A368 = 2008,
    IF(E368 = ""Online"",
      FILTER('Raw PhocalPoint Data'!G:G,
        'Raw PhocalPoint Data'!A:A = 2009,
        'Raw PhocalPoint Data'!D:D = D368,
        'Raw PhocalPoint Data'!E:E = E368,
        'Raw PhocalPoint Data'!F"&amp;":F = F368
      ) /
      (
        FILTER('Raw PhocalPoint Data'!G:G,
          'Raw PhocalPoint Data'!A:A = 2012,
          'Raw PhocalPoint Data'!D:D = D368,
          'Raw PhocalPoint Data'!E:E = E368,
          'Raw PhocalPoint Data'!F:F = F368
     "&amp;"   ) /
        FILTER('Raw PhocalPoint Data'!G:G,
          'Raw PhocalPoint Data'!A:A = 2011,
          'Raw PhocalPoint Data'!D:D = D368,
          'Raw PhocalPoint Data'!E:E = E368,
          'Raw PhocalPoint Data'!F:F = F368
        )
      ),
      F"&amp;"ILTER('Raw PhocalPoint Data'!G:G,
        'Raw PhocalPoint Data'!A:A = 2009,
        'Raw PhocalPoint Data'!D:D = D368,
        'Raw PhocalPoint Data'!E:E = E368,
        'Raw PhocalPoint Data'!F:F = F368
      ) *
      (
        INDEX('Raw GDP data'!$I$"&amp;"2:$M$100,
          MATCH(D368, 'Raw GDP data'!$H$2:$H$100, 0),
          MATCH(2008, 'Raw GDP data'!$I$1:$M$1, 0)
        ) /
        INDEX('Raw GDP data'!$I$2:$M$100,
          MATCH(D368, 'Raw GDP data'!$H$2:$H$100, 0),
          MATCH(2009, 'Raw GDP d"&amp;"ata'!$I$1:$M$1, 0)
        )
      )
    ),
  IF(A368 &lt; 2008,
    (
      FILTER(G:G,
        A:A = 2008,
        D:D = D368,
        E:E = E368,
        F:F = F368
      ) /
      PRODUCT(
        ARRAYFORMULA(
          (
            (
              FIL"&amp;"TER('Raw PhocalPoint Data'!G:G,
                'Raw PhocalPoint Data'!A:A = 2012,
                'Raw PhocalPoint Data'!D:D = D368,
                'Raw PhocalPoint Data'!E:E = E368,
                'Raw PhocalPoint Data'!F:F = F368
              ) /
  "&amp;"            FILTER('Raw PhocalPoint Data'!G:G,
                'Raw PhocalPoint Data'!A:A = 2011,
                'Raw PhocalPoint Data'!D:D = D368,
                'Raw PhocalPoint Data'!E:E = E368,
                'Raw PhocalPoint Data'!F:F = F368
     "&amp;"         ) -
              ROW(INDIRECT(""1:"" &amp; (2008 - A368))) *
              (
                (
                  FILTER('Raw PhocalPoint Data'!G:G,
                    'Raw PhocalPoint Data'!A:A = 2012,
                    'Raw PhocalPoint Data'!D:D"&amp;" = D368,
                    'Raw PhocalPoint Data'!E:E = E368,
                    'Raw PhocalPoint Data'!F:F = F368
                  ) /
                  FILTER('Raw PhocalPoint Data'!G:G,
                    'Raw PhocalPoint Data'!A:A = 2011,
       "&amp;"             'Raw PhocalPoint Data'!D:D = D368,
                    'Raw PhocalPoint Data'!E:E = E368,
                    'Raw PhocalPoint Data'!F:F = F368
                  ) - 1
                ) / 5
              )
            )
          )
        )
"&amp;"      )
    ),
    (
      FILTER('Raw PhocalPoint Data'!G:G,
        'Raw PhocalPoint Data'!A:A = 2009,
        'Raw PhocalPoint Data'!D:D = D368,
        'Raw PhocalPoint Data'!E:E = E368,
        'Raw PhocalPoint Data'!F:F = F368
      ) /
      PRODUC"&amp;"T(
        ARRAYFORMULA(
          (
            FILTER('Raw PhocalPoint Data'!G:G,
              'Raw PhocalPoint Data'!A:A = 2012,
              'Raw PhocalPoint Data'!D:D = D368,
              'Raw PhocalPoint Data'!E:E = E368,
              'Raw Phoca"&amp;"lPoint Data'!F:F = F368
            ) /
            FILTER('Raw PhocalPoint Data'!G:G,
              'Raw PhocalPoint Data'!A:A = 2011,
              'Raw PhocalPoint Data'!D:D = D368,
              'Raw PhocalPoint Data'!E:E = E368,
              'Raw Ph"&amp;"ocalPoint Data'!F:F = F368
            ) -
            (ROW(INDIRECT(""1:"" &amp; (2010 - A368))) - 1) *
            (
              (
                FILTER('Raw PhocalPoint Data'!G:G,
                  'Raw PhocalPoint Data'!A:A = 2012,
                  'R"&amp;"aw PhocalPoint Data'!D:D = D368,
                  'Raw PhocalPoint Data'!E:E = E368,
                  'Raw PhocalPoint Data'!F:F = F368
                ) /
                FILTER('Raw PhocalPoint Data'!G:G,
                  'Raw PhocalPoint Data'!A:A ="&amp;" 2011,
                  'Raw PhocalPoint Data'!D:D = D368,
                  'Raw PhocalPoint Data'!E:E = E368,
                  'Raw PhocalPoint Data'!F:F = F368
                ) - 1
              ) / 5
            )
          )
        )
      )
    "&amp;") *
    INDEX('Raw GDP data'!$I$2:$M$100,
      MATCH(D368, 'Raw GDP data'!$H$2:$H$100, 0),
      MATCH(A368, 'Raw GDP data'!$I$1:$M$1, 0)
    )
  )),
  """"
)
"),52142752102.584)</f>
        <v>52142752102.584</v>
      </c>
      <c r="H368" s="80"/>
      <c r="I368" s="81">
        <f ca="1">IFERROR(__xludf.DUMMYFUNCTION("""COMPUTED_VALUE"""),2014)</f>
        <v>2014</v>
      </c>
      <c r="J368" s="82" t="str">
        <f ca="1">IFERROR(__xludf.DUMMYFUNCTION("""COMPUTED_VALUE"""),"Macau")</f>
        <v>Macau</v>
      </c>
      <c r="K368" s="83">
        <f ca="1">IFERROR(
  SUMIFS(
    'New Backfilled Data'!G:G,
    'New Backfilled Data'!A:A, I368,
    'New Backfilled Data'!D:D, J368,
    'New Backfilled Data'!E:E, "Online"
  ) /
  SUMIFS(
    'New Backfilled Data'!G:G,
    'New Backfilled Data'!A:A, I368,
    'New Backfilled Data'!D:D, J368
  ),
  ""
)</f>
        <v>9.0000000461049362E-2</v>
      </c>
      <c r="L368" s="84"/>
      <c r="M368" s="84"/>
    </row>
    <row r="369" spans="1:13" ht="17" x14ac:dyDescent="0.2">
      <c r="A369" s="44">
        <v>2008</v>
      </c>
      <c r="B369" s="45" t="s">
        <v>66</v>
      </c>
      <c r="C369" s="45" t="s">
        <v>4</v>
      </c>
      <c r="D369" s="45" t="s">
        <v>5</v>
      </c>
      <c r="E369" s="45" t="s">
        <v>69</v>
      </c>
      <c r="F369" s="45" t="s">
        <v>71</v>
      </c>
      <c r="G369" s="85">
        <f ca="1">IFERROR(__xludf.DUMMYFUNCTION("IFERROR(
  IF(A369 = 2008,
    IF(E369 = ""Online"",
      FILTER('Raw PhocalPoint Data'!G:G,
        'Raw PhocalPoint Data'!A:A = 2009,
        'Raw PhocalPoint Data'!D:D = D369,
        'Raw PhocalPoint Data'!E:E = E369,
        'Raw PhocalPoint Data'!F"&amp;":F = F369
      ) /
      (
        FILTER('Raw PhocalPoint Data'!G:G,
          'Raw PhocalPoint Data'!A:A = 2012,
          'Raw PhocalPoint Data'!D:D = D369,
          'Raw PhocalPoint Data'!E:E = E369,
          'Raw PhocalPoint Data'!F:F = F369
     "&amp;"   ) /
        FILTER('Raw PhocalPoint Data'!G:G,
          'Raw PhocalPoint Data'!A:A = 2011,
          'Raw PhocalPoint Data'!D:D = D369,
          'Raw PhocalPoint Data'!E:E = E369,
          'Raw PhocalPoint Data'!F:F = F369
        )
      ),
      F"&amp;"ILTER('Raw PhocalPoint Data'!G:G,
        'Raw PhocalPoint Data'!A:A = 2009,
        'Raw PhocalPoint Data'!D:D = D369,
        'Raw PhocalPoint Data'!E:E = E369,
        'Raw PhocalPoint Data'!F:F = F369
      ) *
      (
        INDEX('Raw GDP data'!$I$"&amp;"2:$M$100,
          MATCH(D369, 'Raw GDP data'!$H$2:$H$100, 0),
          MATCH(2008, 'Raw GDP data'!$I$1:$M$1, 0)
        ) /
        INDEX('Raw GDP data'!$I$2:$M$100,
          MATCH(D369, 'Raw GDP data'!$H$2:$H$100, 0),
          MATCH(2009, 'Raw GDP d"&amp;"ata'!$I$1:$M$1, 0)
        )
      )
    ),
  IF(A369 &lt; 2008,
    (
      FILTER(G:G,
        A:A = 2008,
        D:D = D369,
        E:E = E369,
        F:F = F369
      ) /
      PRODUCT(
        ARRAYFORMULA(
          (
            (
              FIL"&amp;"TER('Raw PhocalPoint Data'!G:G,
                'Raw PhocalPoint Data'!A:A = 2012,
                'Raw PhocalPoint Data'!D:D = D369,
                'Raw PhocalPoint Data'!E:E = E369,
                'Raw PhocalPoint Data'!F:F = F369
              ) /
  "&amp;"            FILTER('Raw PhocalPoint Data'!G:G,
                'Raw PhocalPoint Data'!A:A = 2011,
                'Raw PhocalPoint Data'!D:D = D369,
                'Raw PhocalPoint Data'!E:E = E369,
                'Raw PhocalPoint Data'!F:F = F369
     "&amp;"         ) -
              ROW(INDIRECT(""1:"" &amp; (2008 - A369))) *
              (
                (
                  FILTER('Raw PhocalPoint Data'!G:G,
                    'Raw PhocalPoint Data'!A:A = 2012,
                    'Raw PhocalPoint Data'!D:D"&amp;" = D369,
                    'Raw PhocalPoint Data'!E:E = E369,
                    'Raw PhocalPoint Data'!F:F = F369
                  ) /
                  FILTER('Raw PhocalPoint Data'!G:G,
                    'Raw PhocalPoint Data'!A:A = 2011,
       "&amp;"             'Raw PhocalPoint Data'!D:D = D369,
                    'Raw PhocalPoint Data'!E:E = E369,
                    'Raw PhocalPoint Data'!F:F = F369
                  ) - 1
                ) / 5
              )
            )
          )
        )
"&amp;"      )
    ),
    (
      FILTER('Raw PhocalPoint Data'!G:G,
        'Raw PhocalPoint Data'!A:A = 2009,
        'Raw PhocalPoint Data'!D:D = D369,
        'Raw PhocalPoint Data'!E:E = E369,
        'Raw PhocalPoint Data'!F:F = F369
      ) /
      PRODUC"&amp;"T(
        ARRAYFORMULA(
          (
            FILTER('Raw PhocalPoint Data'!G:G,
              'Raw PhocalPoint Data'!A:A = 2012,
              'Raw PhocalPoint Data'!D:D = D369,
              'Raw PhocalPoint Data'!E:E = E369,
              'Raw Phoca"&amp;"lPoint Data'!F:F = F369
            ) /
            FILTER('Raw PhocalPoint Data'!G:G,
              'Raw PhocalPoint Data'!A:A = 2011,
              'Raw PhocalPoint Data'!D:D = D369,
              'Raw PhocalPoint Data'!E:E = E369,
              'Raw Ph"&amp;"ocalPoint Data'!F:F = F369
            ) -
            (ROW(INDIRECT(""1:"" &amp; (2010 - A369))) - 1) *
            (
              (
                FILTER('Raw PhocalPoint Data'!G:G,
                  'Raw PhocalPoint Data'!A:A = 2012,
                  'R"&amp;"aw PhocalPoint Data'!D:D = D369,
                  'Raw PhocalPoint Data'!E:E = E369,
                  'Raw PhocalPoint Data'!F:F = F369
                ) /
                FILTER('Raw PhocalPoint Data'!G:G,
                  'Raw PhocalPoint Data'!A:A ="&amp;" 2011,
                  'Raw PhocalPoint Data'!D:D = D369,
                  'Raw PhocalPoint Data'!E:E = E369,
                  'Raw PhocalPoint Data'!F:F = F369
                ) - 1
              ) / 5
            )
          )
        )
      )
    "&amp;") *
    INDEX('Raw GDP data'!$I$2:$M$100,
      MATCH(D369, 'Raw GDP data'!$H$2:$H$100, 0),
      MATCH(A369, 'Raw GDP data'!$I$1:$M$1, 0)
    )
  )),
  """"
)
"),1293803724.6595)</f>
        <v>1293803724.6594999</v>
      </c>
      <c r="H369" s="86"/>
      <c r="I369" s="87">
        <f ca="1">IFERROR(__xludf.DUMMYFUNCTION("""COMPUTED_VALUE"""),2014)</f>
        <v>2014</v>
      </c>
      <c r="J369" s="88" t="str">
        <f ca="1">IFERROR(__xludf.DUMMYFUNCTION("""COMPUTED_VALUE"""),"Malaysia")</f>
        <v>Malaysia</v>
      </c>
      <c r="K369" s="89">
        <f ca="1">IFERROR(
  SUMIFS(
    'New Backfilled Data'!G:G,
    'New Backfilled Data'!A:A, I369,
    'New Backfilled Data'!D:D, J369,
    'New Backfilled Data'!E:E, "Online"
  ) /
  SUMIFS(
    'New Backfilled Data'!G:G,
    'New Backfilled Data'!A:A, I369,
    'New Backfilled Data'!D:D, J369
  ),
  ""
)</f>
        <v>0.35192128826819447</v>
      </c>
      <c r="L369" s="90"/>
      <c r="M369" s="90"/>
    </row>
    <row r="370" spans="1:13" ht="17" x14ac:dyDescent="0.2">
      <c r="A370" s="37">
        <v>2008</v>
      </c>
      <c r="B370" s="38" t="s">
        <v>66</v>
      </c>
      <c r="C370" s="38" t="s">
        <v>4</v>
      </c>
      <c r="D370" s="38" t="s">
        <v>5</v>
      </c>
      <c r="E370" s="38" t="s">
        <v>69</v>
      </c>
      <c r="F370" s="38" t="s">
        <v>70</v>
      </c>
      <c r="G370" s="79">
        <f ca="1">IFERROR(__xludf.DUMMYFUNCTION("IFERROR(
  IF(A370 = 2008,
    IF(E370 = ""Online"",
      FILTER('Raw PhocalPoint Data'!G:G,
        'Raw PhocalPoint Data'!A:A = 2009,
        'Raw PhocalPoint Data'!D:D = D370,
        'Raw PhocalPoint Data'!E:E = E370,
        'Raw PhocalPoint Data'!F"&amp;":F = F370
      ) /
      (
        FILTER('Raw PhocalPoint Data'!G:G,
          'Raw PhocalPoint Data'!A:A = 2012,
          'Raw PhocalPoint Data'!D:D = D370,
          'Raw PhocalPoint Data'!E:E = E370,
          'Raw PhocalPoint Data'!F:F = F370
     "&amp;"   ) /
        FILTER('Raw PhocalPoint Data'!G:G,
          'Raw PhocalPoint Data'!A:A = 2011,
          'Raw PhocalPoint Data'!D:D = D370,
          'Raw PhocalPoint Data'!E:E = E370,
          'Raw PhocalPoint Data'!F:F = F370
        )
      ),
      F"&amp;"ILTER('Raw PhocalPoint Data'!G:G,
        'Raw PhocalPoint Data'!A:A = 2009,
        'Raw PhocalPoint Data'!D:D = D370,
        'Raw PhocalPoint Data'!E:E = E370,
        'Raw PhocalPoint Data'!F:F = F370
      ) *
      (
        INDEX('Raw GDP data'!$I$"&amp;"2:$M$100,
          MATCH(D370, 'Raw GDP data'!$H$2:$H$100, 0),
          MATCH(2008, 'Raw GDP data'!$I$1:$M$1, 0)
        ) /
        INDEX('Raw GDP data'!$I$2:$M$100,
          MATCH(D370, 'Raw GDP data'!$H$2:$H$100, 0),
          MATCH(2009, 'Raw GDP d"&amp;"ata'!$I$1:$M$1, 0)
        )
      )
    ),
  IF(A370 &lt; 2008,
    (
      FILTER(G:G,
        A:A = 2008,
        D:D = D370,
        E:E = E370,
        F:F = F370
      ) /
      PRODUCT(
        ARRAYFORMULA(
          (
            (
              FIL"&amp;"TER('Raw PhocalPoint Data'!G:G,
                'Raw PhocalPoint Data'!A:A = 2012,
                'Raw PhocalPoint Data'!D:D = D370,
                'Raw PhocalPoint Data'!E:E = E370,
                'Raw PhocalPoint Data'!F:F = F370
              ) /
  "&amp;"            FILTER('Raw PhocalPoint Data'!G:G,
                'Raw PhocalPoint Data'!A:A = 2011,
                'Raw PhocalPoint Data'!D:D = D370,
                'Raw PhocalPoint Data'!E:E = E370,
                'Raw PhocalPoint Data'!F:F = F370
     "&amp;"         ) -
              ROW(INDIRECT(""1:"" &amp; (2008 - A370))) *
              (
                (
                  FILTER('Raw PhocalPoint Data'!G:G,
                    'Raw PhocalPoint Data'!A:A = 2012,
                    'Raw PhocalPoint Data'!D:D"&amp;" = D370,
                    'Raw PhocalPoint Data'!E:E = E370,
                    'Raw PhocalPoint Data'!F:F = F370
                  ) /
                  FILTER('Raw PhocalPoint Data'!G:G,
                    'Raw PhocalPoint Data'!A:A = 2011,
       "&amp;"             'Raw PhocalPoint Data'!D:D = D370,
                    'Raw PhocalPoint Data'!E:E = E370,
                    'Raw PhocalPoint Data'!F:F = F370
                  ) - 1
                ) / 5
              )
            )
          )
        )
"&amp;"      )
    ),
    (
      FILTER('Raw PhocalPoint Data'!G:G,
        'Raw PhocalPoint Data'!A:A = 2009,
        'Raw PhocalPoint Data'!D:D = D370,
        'Raw PhocalPoint Data'!E:E = E370,
        'Raw PhocalPoint Data'!F:F = F370
      ) /
      PRODUC"&amp;"T(
        ARRAYFORMULA(
          (
            FILTER('Raw PhocalPoint Data'!G:G,
              'Raw PhocalPoint Data'!A:A = 2012,
              'Raw PhocalPoint Data'!D:D = D370,
              'Raw PhocalPoint Data'!E:E = E370,
              'Raw Phoca"&amp;"lPoint Data'!F:F = F370
            ) /
            FILTER('Raw PhocalPoint Data'!G:G,
              'Raw PhocalPoint Data'!A:A = 2011,
              'Raw PhocalPoint Data'!D:D = D370,
              'Raw PhocalPoint Data'!E:E = E370,
              'Raw Ph"&amp;"ocalPoint Data'!F:F = F370
            ) -
            (ROW(INDIRECT(""1:"" &amp; (2010 - A370))) - 1) *
            (
              (
                FILTER('Raw PhocalPoint Data'!G:G,
                  'Raw PhocalPoint Data'!A:A = 2012,
                  'R"&amp;"aw PhocalPoint Data'!D:D = D370,
                  'Raw PhocalPoint Data'!E:E = E370,
                  'Raw PhocalPoint Data'!F:F = F370
                ) /
                FILTER('Raw PhocalPoint Data'!G:G,
                  'Raw PhocalPoint Data'!A:A ="&amp;" 2011,
                  'Raw PhocalPoint Data'!D:D = D370,
                  'Raw PhocalPoint Data'!E:E = E370,
                  'Raw PhocalPoint Data'!F:F = F370
                ) - 1
              ) / 5
            )
          )
        )
      )
    "&amp;") *
    INDEX('Raw GDP data'!$I$2:$M$100,
      MATCH(D370, 'Raw GDP data'!$H$2:$H$100, 0),
      MATCH(A370, 'Raw GDP data'!$I$1:$M$1, 0)
    )
  )),
  """"
)
"),1472904215.37518)</f>
        <v>1472904215.37518</v>
      </c>
      <c r="H370" s="80"/>
      <c r="I370" s="81">
        <f ca="1">IFERROR(__xludf.DUMMYFUNCTION("""COMPUTED_VALUE"""),2014)</f>
        <v>2014</v>
      </c>
      <c r="J370" s="82" t="str">
        <f ca="1">IFERROR(__xludf.DUMMYFUNCTION("""COMPUTED_VALUE"""),"Singapore")</f>
        <v>Singapore</v>
      </c>
      <c r="K370" s="83">
        <f ca="1">IFERROR(
  SUMIFS(
    'New Backfilled Data'!G:G,
    'New Backfilled Data'!A:A, I370,
    'New Backfilled Data'!D:D, J370,
    'New Backfilled Data'!E:E, "Online"
  ) /
  SUMIFS(
    'New Backfilled Data'!G:G,
    'New Backfilled Data'!A:A, I370,
    'New Backfilled Data'!D:D, J370
  ),
  ""
)</f>
        <v>0.31638006782332895</v>
      </c>
      <c r="L370" s="84"/>
      <c r="M370" s="84"/>
    </row>
    <row r="371" spans="1:13" ht="17" x14ac:dyDescent="0.2">
      <c r="A371" s="44">
        <v>2008</v>
      </c>
      <c r="B371" s="45" t="s">
        <v>66</v>
      </c>
      <c r="C371" s="45" t="s">
        <v>4</v>
      </c>
      <c r="D371" s="45" t="s">
        <v>6</v>
      </c>
      <c r="E371" s="45" t="s">
        <v>67</v>
      </c>
      <c r="F371" s="45" t="s">
        <v>67</v>
      </c>
      <c r="G371" s="85">
        <f ca="1">IFERROR(__xludf.DUMMYFUNCTION("IFERROR(
  IF(A371 = 2008,
    IF(E371 = ""Online"",
      FILTER('Raw PhocalPoint Data'!G:G,
        'Raw PhocalPoint Data'!A:A = 2009,
        'Raw PhocalPoint Data'!D:D = D371,
        'Raw PhocalPoint Data'!E:E = E371,
        'Raw PhocalPoint Data'!F"&amp;":F = F371
      ) /
      (
        FILTER('Raw PhocalPoint Data'!G:G,
          'Raw PhocalPoint Data'!A:A = 2012,
          'Raw PhocalPoint Data'!D:D = D371,
          'Raw PhocalPoint Data'!E:E = E371,
          'Raw PhocalPoint Data'!F:F = F371
     "&amp;"   ) /
        FILTER('Raw PhocalPoint Data'!G:G,
          'Raw PhocalPoint Data'!A:A = 2011,
          'Raw PhocalPoint Data'!D:D = D371,
          'Raw PhocalPoint Data'!E:E = E371,
          'Raw PhocalPoint Data'!F:F = F371
        )
      ),
      F"&amp;"ILTER('Raw PhocalPoint Data'!G:G,
        'Raw PhocalPoint Data'!A:A = 2009,
        'Raw PhocalPoint Data'!D:D = D371,
        'Raw PhocalPoint Data'!E:E = E371,
        'Raw PhocalPoint Data'!F:F = F371
      ) *
      (
        INDEX('Raw GDP data'!$I$"&amp;"2:$M$100,
          MATCH(D371, 'Raw GDP data'!$H$2:$H$100, 0),
          MATCH(2008, 'Raw GDP data'!$I$1:$M$1, 0)
        ) /
        INDEX('Raw GDP data'!$I$2:$M$100,
          MATCH(D371, 'Raw GDP data'!$H$2:$H$100, 0),
          MATCH(2009, 'Raw GDP d"&amp;"ata'!$I$1:$M$1, 0)
        )
      )
    ),
  IF(A371 &lt; 2008,
    (
      FILTER(G:G,
        A:A = 2008,
        D:D = D371,
        E:E = E371,
        F:F = F371
      ) /
      PRODUCT(
        ARRAYFORMULA(
          (
            (
              FIL"&amp;"TER('Raw PhocalPoint Data'!G:G,
                'Raw PhocalPoint Data'!A:A = 2012,
                'Raw PhocalPoint Data'!D:D = D371,
                'Raw PhocalPoint Data'!E:E = E371,
                'Raw PhocalPoint Data'!F:F = F371
              ) /
  "&amp;"            FILTER('Raw PhocalPoint Data'!G:G,
                'Raw PhocalPoint Data'!A:A = 2011,
                'Raw PhocalPoint Data'!D:D = D371,
                'Raw PhocalPoint Data'!E:E = E371,
                'Raw PhocalPoint Data'!F:F = F371
     "&amp;"         ) -
              ROW(INDIRECT(""1:"" &amp; (2008 - A371))) *
              (
                (
                  FILTER('Raw PhocalPoint Data'!G:G,
                    'Raw PhocalPoint Data'!A:A = 2012,
                    'Raw PhocalPoint Data'!D:D"&amp;" = D371,
                    'Raw PhocalPoint Data'!E:E = E371,
                    'Raw PhocalPoint Data'!F:F = F371
                  ) /
                  FILTER('Raw PhocalPoint Data'!G:G,
                    'Raw PhocalPoint Data'!A:A = 2011,
       "&amp;"             'Raw PhocalPoint Data'!D:D = D371,
                    'Raw PhocalPoint Data'!E:E = E371,
                    'Raw PhocalPoint Data'!F:F = F371
                  ) - 1
                ) / 5
              )
            )
          )
        )
"&amp;"      )
    ),
    (
      FILTER('Raw PhocalPoint Data'!G:G,
        'Raw PhocalPoint Data'!A:A = 2009,
        'Raw PhocalPoint Data'!D:D = D371,
        'Raw PhocalPoint Data'!E:E = E371,
        'Raw PhocalPoint Data'!F:F = F371
      ) /
      PRODUC"&amp;"T(
        ARRAYFORMULA(
          (
            FILTER('Raw PhocalPoint Data'!G:G,
              'Raw PhocalPoint Data'!A:A = 2012,
              'Raw PhocalPoint Data'!D:D = D371,
              'Raw PhocalPoint Data'!E:E = E371,
              'Raw Phoca"&amp;"lPoint Data'!F:F = F371
            ) /
            FILTER('Raw PhocalPoint Data'!G:G,
              'Raw PhocalPoint Data'!A:A = 2011,
              'Raw PhocalPoint Data'!D:D = D371,
              'Raw PhocalPoint Data'!E:E = E371,
              'Raw Ph"&amp;"ocalPoint Data'!F:F = F371
            ) -
            (ROW(INDIRECT(""1:"" &amp; (2010 - A371))) - 1) *
            (
              (
                FILTER('Raw PhocalPoint Data'!G:G,
                  'Raw PhocalPoint Data'!A:A = 2012,
                  'R"&amp;"aw PhocalPoint Data'!D:D = D371,
                  'Raw PhocalPoint Data'!E:E = E371,
                  'Raw PhocalPoint Data'!F:F = F371
                ) /
                FILTER('Raw PhocalPoint Data'!G:G,
                  'Raw PhocalPoint Data'!A:A ="&amp;" 2011,
                  'Raw PhocalPoint Data'!D:D = D371,
                  'Raw PhocalPoint Data'!E:E = E371,
                  'Raw PhocalPoint Data'!F:F = F371
                ) - 1
              ) / 5
            )
          )
        )
      )
    "&amp;") *
    INDEX('Raw GDP data'!$I$2:$M$100,
      MATCH(D371, 'Raw GDP data'!$H$2:$H$100, 0),
      MATCH(A371, 'Raw GDP data'!$I$1:$M$1, 0)
    )
  )),
  """"
)
"),8797474010.36191)</f>
        <v>8797474010.3619099</v>
      </c>
      <c r="H371" s="86"/>
      <c r="I371" s="87">
        <f ca="1">IFERROR(__xludf.DUMMYFUNCTION("""COMPUTED_VALUE"""),2014)</f>
        <v>2014</v>
      </c>
      <c r="J371" s="88" t="str">
        <f ca="1">IFERROR(__xludf.DUMMYFUNCTION("""COMPUTED_VALUE"""),"South Korea")</f>
        <v>South Korea</v>
      </c>
      <c r="K371" s="89">
        <f ca="1">IFERROR(
  SUMIFS(
    'New Backfilled Data'!G:G,
    'New Backfilled Data'!A:A, I371,
    'New Backfilled Data'!D:D, J371,
    'New Backfilled Data'!E:E, "Online"
  ) /
  SUMIFS(
    'New Backfilled Data'!G:G,
    'New Backfilled Data'!A:A, I371,
    'New Backfilled Data'!D:D, J371
  ),
  ""
)</f>
        <v>0.2637297692740328</v>
      </c>
      <c r="L371" s="90"/>
      <c r="M371" s="90"/>
    </row>
    <row r="372" spans="1:13" ht="17" x14ac:dyDescent="0.2">
      <c r="A372" s="37">
        <v>2008</v>
      </c>
      <c r="B372" s="38" t="s">
        <v>66</v>
      </c>
      <c r="C372" s="38" t="s">
        <v>4</v>
      </c>
      <c r="D372" s="38" t="s">
        <v>6</v>
      </c>
      <c r="E372" s="38" t="s">
        <v>69</v>
      </c>
      <c r="F372" s="38" t="s">
        <v>71</v>
      </c>
      <c r="G372" s="79">
        <f ca="1">IFERROR(__xludf.DUMMYFUNCTION("IFERROR(
  IF(A372 = 2008,
    IF(E372 = ""Online"",
      FILTER('Raw PhocalPoint Data'!G:G,
        'Raw PhocalPoint Data'!A:A = 2009,
        'Raw PhocalPoint Data'!D:D = D372,
        'Raw PhocalPoint Data'!E:E = E372,
        'Raw PhocalPoint Data'!F"&amp;":F = F372
      ) /
      (
        FILTER('Raw PhocalPoint Data'!G:G,
          'Raw PhocalPoint Data'!A:A = 2012,
          'Raw PhocalPoint Data'!D:D = D372,
          'Raw PhocalPoint Data'!E:E = E372,
          'Raw PhocalPoint Data'!F:F = F372
     "&amp;"   ) /
        FILTER('Raw PhocalPoint Data'!G:G,
          'Raw PhocalPoint Data'!A:A = 2011,
          'Raw PhocalPoint Data'!D:D = D372,
          'Raw PhocalPoint Data'!E:E = E372,
          'Raw PhocalPoint Data'!F:F = F372
        )
      ),
      F"&amp;"ILTER('Raw PhocalPoint Data'!G:G,
        'Raw PhocalPoint Data'!A:A = 2009,
        'Raw PhocalPoint Data'!D:D = D372,
        'Raw PhocalPoint Data'!E:E = E372,
        'Raw PhocalPoint Data'!F:F = F372
      ) *
      (
        INDEX('Raw GDP data'!$I$"&amp;"2:$M$100,
          MATCH(D372, 'Raw GDP data'!$H$2:$H$100, 0),
          MATCH(2008, 'Raw GDP data'!$I$1:$M$1, 0)
        ) /
        INDEX('Raw GDP data'!$I$2:$M$100,
          MATCH(D372, 'Raw GDP data'!$H$2:$H$100, 0),
          MATCH(2009, 'Raw GDP d"&amp;"ata'!$I$1:$M$1, 0)
        )
      )
    ),
  IF(A372 &lt; 2008,
    (
      FILTER(G:G,
        A:A = 2008,
        D:D = D372,
        E:E = E372,
        F:F = F372
      ) /
      PRODUCT(
        ARRAYFORMULA(
          (
            (
              FIL"&amp;"TER('Raw PhocalPoint Data'!G:G,
                'Raw PhocalPoint Data'!A:A = 2012,
                'Raw PhocalPoint Data'!D:D = D372,
                'Raw PhocalPoint Data'!E:E = E372,
                'Raw PhocalPoint Data'!F:F = F372
              ) /
  "&amp;"            FILTER('Raw PhocalPoint Data'!G:G,
                'Raw PhocalPoint Data'!A:A = 2011,
                'Raw PhocalPoint Data'!D:D = D372,
                'Raw PhocalPoint Data'!E:E = E372,
                'Raw PhocalPoint Data'!F:F = F372
     "&amp;"         ) -
              ROW(INDIRECT(""1:"" &amp; (2008 - A372))) *
              (
                (
                  FILTER('Raw PhocalPoint Data'!G:G,
                    'Raw PhocalPoint Data'!A:A = 2012,
                    'Raw PhocalPoint Data'!D:D"&amp;" = D372,
                    'Raw PhocalPoint Data'!E:E = E372,
                    'Raw PhocalPoint Data'!F:F = F372
                  ) /
                  FILTER('Raw PhocalPoint Data'!G:G,
                    'Raw PhocalPoint Data'!A:A = 2011,
       "&amp;"             'Raw PhocalPoint Data'!D:D = D372,
                    'Raw PhocalPoint Data'!E:E = E372,
                    'Raw PhocalPoint Data'!F:F = F372
                  ) - 1
                ) / 5
              )
            )
          )
        )
"&amp;"      )
    ),
    (
      FILTER('Raw PhocalPoint Data'!G:G,
        'Raw PhocalPoint Data'!A:A = 2009,
        'Raw PhocalPoint Data'!D:D = D372,
        'Raw PhocalPoint Data'!E:E = E372,
        'Raw PhocalPoint Data'!F:F = F372
      ) /
      PRODUC"&amp;"T(
        ARRAYFORMULA(
          (
            FILTER('Raw PhocalPoint Data'!G:G,
              'Raw PhocalPoint Data'!A:A = 2012,
              'Raw PhocalPoint Data'!D:D = D372,
              'Raw PhocalPoint Data'!E:E = E372,
              'Raw Phoca"&amp;"lPoint Data'!F:F = F372
            ) /
            FILTER('Raw PhocalPoint Data'!G:G,
              'Raw PhocalPoint Data'!A:A = 2011,
              'Raw PhocalPoint Data'!D:D = D372,
              'Raw PhocalPoint Data'!E:E = E372,
              'Raw Ph"&amp;"ocalPoint Data'!F:F = F372
            ) -
            (ROW(INDIRECT(""1:"" &amp; (2010 - A372))) - 1) *
            (
              (
                FILTER('Raw PhocalPoint Data'!G:G,
                  'Raw PhocalPoint Data'!A:A = 2012,
                  'R"&amp;"aw PhocalPoint Data'!D:D = D372,
                  'Raw PhocalPoint Data'!E:E = E372,
                  'Raw PhocalPoint Data'!F:F = F372
                ) /
                FILTER('Raw PhocalPoint Data'!G:G,
                  'Raw PhocalPoint Data'!A:A ="&amp;" 2011,
                  'Raw PhocalPoint Data'!D:D = D372,
                  'Raw PhocalPoint Data'!E:E = E372,
                  'Raw PhocalPoint Data'!F:F = F372
                ) - 1
              ) / 5
            )
          )
        )
      )
    "&amp;") *
    INDEX('Raw GDP data'!$I$2:$M$100,
      MATCH(D372, 'Raw GDP data'!$H$2:$H$100, 0),
      MATCH(A372, 'Raw GDP data'!$I$1:$M$1, 0)
    )
  )),
  """"
)
"),88219154.6321135)</f>
        <v>88219154.632113501</v>
      </c>
      <c r="H372" s="80"/>
      <c r="I372" s="81">
        <f ca="1">IFERROR(__xludf.DUMMYFUNCTION("""COMPUTED_VALUE"""),2014)</f>
        <v>2014</v>
      </c>
      <c r="J372" s="82" t="str">
        <f ca="1">IFERROR(__xludf.DUMMYFUNCTION("""COMPUTED_VALUE"""),"Taiwan")</f>
        <v>Taiwan</v>
      </c>
      <c r="K372" s="83">
        <f ca="1">IFERROR(
  SUMIFS(
    'New Backfilled Data'!G:G,
    'New Backfilled Data'!A:A, I372,
    'New Backfilled Data'!D:D, J372,
    'New Backfilled Data'!E:E, "Online"
  ) /
  SUMIFS(
    'New Backfilled Data'!G:G,
    'New Backfilled Data'!A:A, I372,
    'New Backfilled Data'!D:D, J372
  ),
  ""
)</f>
        <v>0.14428506503621472</v>
      </c>
      <c r="L372" s="84"/>
      <c r="M372" s="84"/>
    </row>
    <row r="373" spans="1:13" ht="17" x14ac:dyDescent="0.2">
      <c r="A373" s="44">
        <v>2008</v>
      </c>
      <c r="B373" s="45" t="s">
        <v>66</v>
      </c>
      <c r="C373" s="45" t="s">
        <v>4</v>
      </c>
      <c r="D373" s="45" t="s">
        <v>6</v>
      </c>
      <c r="E373" s="45" t="s">
        <v>69</v>
      </c>
      <c r="F373" s="45" t="s">
        <v>70</v>
      </c>
      <c r="G373" s="85">
        <f ca="1">IFERROR(__xludf.DUMMYFUNCTION("IFERROR(
  IF(A373 = 2008,
    IF(E373 = ""Online"",
      FILTER('Raw PhocalPoint Data'!G:G,
        'Raw PhocalPoint Data'!A:A = 2009,
        'Raw PhocalPoint Data'!D:D = D373,
        'Raw PhocalPoint Data'!E:E = E373,
        'Raw PhocalPoint Data'!F"&amp;":F = F373
      ) /
      (
        FILTER('Raw PhocalPoint Data'!G:G,
          'Raw PhocalPoint Data'!A:A = 2012,
          'Raw PhocalPoint Data'!D:D = D373,
          'Raw PhocalPoint Data'!E:E = E373,
          'Raw PhocalPoint Data'!F:F = F373
     "&amp;"   ) /
        FILTER('Raw PhocalPoint Data'!G:G,
          'Raw PhocalPoint Data'!A:A = 2011,
          'Raw PhocalPoint Data'!D:D = D373,
          'Raw PhocalPoint Data'!E:E = E373,
          'Raw PhocalPoint Data'!F:F = F373
        )
      ),
      F"&amp;"ILTER('Raw PhocalPoint Data'!G:G,
        'Raw PhocalPoint Data'!A:A = 2009,
        'Raw PhocalPoint Data'!D:D = D373,
        'Raw PhocalPoint Data'!E:E = E373,
        'Raw PhocalPoint Data'!F:F = F373
      ) *
      (
        INDEX('Raw GDP data'!$I$"&amp;"2:$M$100,
          MATCH(D373, 'Raw GDP data'!$H$2:$H$100, 0),
          MATCH(2008, 'Raw GDP data'!$I$1:$M$1, 0)
        ) /
        INDEX('Raw GDP data'!$I$2:$M$100,
          MATCH(D373, 'Raw GDP data'!$H$2:$H$100, 0),
          MATCH(2009, 'Raw GDP d"&amp;"ata'!$I$1:$M$1, 0)
        )
      )
    ),
  IF(A373 &lt; 2008,
    (
      FILTER(G:G,
        A:A = 2008,
        D:D = D373,
        E:E = E373,
        F:F = F373
      ) /
      PRODUCT(
        ARRAYFORMULA(
          (
            (
              FIL"&amp;"TER('Raw PhocalPoint Data'!G:G,
                'Raw PhocalPoint Data'!A:A = 2012,
                'Raw PhocalPoint Data'!D:D = D373,
                'Raw PhocalPoint Data'!E:E = E373,
                'Raw PhocalPoint Data'!F:F = F373
              ) /
  "&amp;"            FILTER('Raw PhocalPoint Data'!G:G,
                'Raw PhocalPoint Data'!A:A = 2011,
                'Raw PhocalPoint Data'!D:D = D373,
                'Raw PhocalPoint Data'!E:E = E373,
                'Raw PhocalPoint Data'!F:F = F373
     "&amp;"         ) -
              ROW(INDIRECT(""1:"" &amp; (2008 - A373))) *
              (
                (
                  FILTER('Raw PhocalPoint Data'!G:G,
                    'Raw PhocalPoint Data'!A:A = 2012,
                    'Raw PhocalPoint Data'!D:D"&amp;" = D373,
                    'Raw PhocalPoint Data'!E:E = E373,
                    'Raw PhocalPoint Data'!F:F = F373
                  ) /
                  FILTER('Raw PhocalPoint Data'!G:G,
                    'Raw PhocalPoint Data'!A:A = 2011,
       "&amp;"             'Raw PhocalPoint Data'!D:D = D373,
                    'Raw PhocalPoint Data'!E:E = E373,
                    'Raw PhocalPoint Data'!F:F = F373
                  ) - 1
                ) / 5
              )
            )
          )
        )
"&amp;"      )
    ),
    (
      FILTER('Raw PhocalPoint Data'!G:G,
        'Raw PhocalPoint Data'!A:A = 2009,
        'Raw PhocalPoint Data'!D:D = D373,
        'Raw PhocalPoint Data'!E:E = E373,
        'Raw PhocalPoint Data'!F:F = F373
      ) /
      PRODUC"&amp;"T(
        ARRAYFORMULA(
          (
            FILTER('Raw PhocalPoint Data'!G:G,
              'Raw PhocalPoint Data'!A:A = 2012,
              'Raw PhocalPoint Data'!D:D = D373,
              'Raw PhocalPoint Data'!E:E = E373,
              'Raw Phoca"&amp;"lPoint Data'!F:F = F373
            ) /
            FILTER('Raw PhocalPoint Data'!G:G,
              'Raw PhocalPoint Data'!A:A = 2011,
              'Raw PhocalPoint Data'!D:D = D373,
              'Raw PhocalPoint Data'!E:E = E373,
              'Raw Ph"&amp;"ocalPoint Data'!F:F = F373
            ) -
            (ROW(INDIRECT(""1:"" &amp; (2010 - A373))) - 1) *
            (
              (
                FILTER('Raw PhocalPoint Data'!G:G,
                  'Raw PhocalPoint Data'!A:A = 2012,
                  'R"&amp;"aw PhocalPoint Data'!D:D = D373,
                  'Raw PhocalPoint Data'!E:E = E373,
                  'Raw PhocalPoint Data'!F:F = F373
                ) /
                FILTER('Raw PhocalPoint Data'!G:G,
                  'Raw PhocalPoint Data'!A:A ="&amp;" 2011,
                  'Raw PhocalPoint Data'!D:D = D373,
                  'Raw PhocalPoint Data'!E:E = E373,
                  'Raw PhocalPoint Data'!F:F = F373
                ) - 1
              ) / 5
            )
          )
        )
      )
    "&amp;") *
    INDEX('Raw GDP data'!$I$2:$M$100,
      MATCH(D373, 'Raw GDP data'!$H$2:$H$100, 0),
      MATCH(A373, 'Raw GDP data'!$I$1:$M$1, 0)
    )
  )),
  """"
)
"),308653374.282719)</f>
        <v>308653374.28271902</v>
      </c>
      <c r="H373" s="86"/>
      <c r="I373" s="87">
        <f ca="1">IFERROR(__xludf.DUMMYFUNCTION("""COMPUTED_VALUE"""),2014)</f>
        <v>2014</v>
      </c>
      <c r="J373" s="88" t="str">
        <f ca="1">IFERROR(__xludf.DUMMYFUNCTION("""COMPUTED_VALUE"""),"Thailand")</f>
        <v>Thailand</v>
      </c>
      <c r="K373" s="89">
        <f ca="1">IFERROR(
  SUMIFS(
    'New Backfilled Data'!G:G,
    'New Backfilled Data'!A:A, I373,
    'New Backfilled Data'!D:D, J373,
    'New Backfilled Data'!E:E, "Online"
  ) /
  SUMIFS(
    'New Backfilled Data'!G:G,
    'New Backfilled Data'!A:A, I373,
    'New Backfilled Data'!D:D, J373
  ),
  ""
)</f>
        <v>0.2664694202200511</v>
      </c>
      <c r="L373" s="90"/>
      <c r="M373" s="90"/>
    </row>
    <row r="374" spans="1:13" ht="17" x14ac:dyDescent="0.2">
      <c r="A374" s="37">
        <v>2008</v>
      </c>
      <c r="B374" s="38" t="s">
        <v>66</v>
      </c>
      <c r="C374" s="38" t="s">
        <v>4</v>
      </c>
      <c r="D374" s="38" t="s">
        <v>7</v>
      </c>
      <c r="E374" s="38" t="s">
        <v>67</v>
      </c>
      <c r="F374" s="38" t="s">
        <v>67</v>
      </c>
      <c r="G374" s="79">
        <f ca="1">IFERROR(__xludf.DUMMYFUNCTION("IFERROR(
  IF(A374 = 2008,
    IF(E374 = ""Online"",
      FILTER('Raw PhocalPoint Data'!G:G,
        'Raw PhocalPoint Data'!A:A = 2009,
        'Raw PhocalPoint Data'!D:D = D374,
        'Raw PhocalPoint Data'!E:E = E374,
        'Raw PhocalPoint Data'!F"&amp;":F = F374
      ) /
      (
        FILTER('Raw PhocalPoint Data'!G:G,
          'Raw PhocalPoint Data'!A:A = 2012,
          'Raw PhocalPoint Data'!D:D = D374,
          'Raw PhocalPoint Data'!E:E = E374,
          'Raw PhocalPoint Data'!F:F = F374
     "&amp;"   ) /
        FILTER('Raw PhocalPoint Data'!G:G,
          'Raw PhocalPoint Data'!A:A = 2011,
          'Raw PhocalPoint Data'!D:D = D374,
          'Raw PhocalPoint Data'!E:E = E374,
          'Raw PhocalPoint Data'!F:F = F374
        )
      ),
      F"&amp;"ILTER('Raw PhocalPoint Data'!G:G,
        'Raw PhocalPoint Data'!A:A = 2009,
        'Raw PhocalPoint Data'!D:D = D374,
        'Raw PhocalPoint Data'!E:E = E374,
        'Raw PhocalPoint Data'!F:F = F374
      ) *
      (
        INDEX('Raw GDP data'!$I$"&amp;"2:$M$100,
          MATCH(D374, 'Raw GDP data'!$H$2:$H$100, 0),
          MATCH(2008, 'Raw GDP data'!$I$1:$M$1, 0)
        ) /
        INDEX('Raw GDP data'!$I$2:$M$100,
          MATCH(D374, 'Raw GDP data'!$H$2:$H$100, 0),
          MATCH(2009, 'Raw GDP d"&amp;"ata'!$I$1:$M$1, 0)
        )
      )
    ),
  IF(A374 &lt; 2008,
    (
      FILTER(G:G,
        A:A = 2008,
        D:D = D374,
        E:E = E374,
        F:F = F374
      ) /
      PRODUCT(
        ARRAYFORMULA(
          (
            (
              FIL"&amp;"TER('Raw PhocalPoint Data'!G:G,
                'Raw PhocalPoint Data'!A:A = 2012,
                'Raw PhocalPoint Data'!D:D = D374,
                'Raw PhocalPoint Data'!E:E = E374,
                'Raw PhocalPoint Data'!F:F = F374
              ) /
  "&amp;"            FILTER('Raw PhocalPoint Data'!G:G,
                'Raw PhocalPoint Data'!A:A = 2011,
                'Raw PhocalPoint Data'!D:D = D374,
                'Raw PhocalPoint Data'!E:E = E374,
                'Raw PhocalPoint Data'!F:F = F374
     "&amp;"         ) -
              ROW(INDIRECT(""1:"" &amp; (2008 - A374))) *
              (
                (
                  FILTER('Raw PhocalPoint Data'!G:G,
                    'Raw PhocalPoint Data'!A:A = 2012,
                    'Raw PhocalPoint Data'!D:D"&amp;" = D374,
                    'Raw PhocalPoint Data'!E:E = E374,
                    'Raw PhocalPoint Data'!F:F = F374
                  ) /
                  FILTER('Raw PhocalPoint Data'!G:G,
                    'Raw PhocalPoint Data'!A:A = 2011,
       "&amp;"             'Raw PhocalPoint Data'!D:D = D374,
                    'Raw PhocalPoint Data'!E:E = E374,
                    'Raw PhocalPoint Data'!F:F = F374
                  ) - 1
                ) / 5
              )
            )
          )
        )
"&amp;"      )
    ),
    (
      FILTER('Raw PhocalPoint Data'!G:G,
        'Raw PhocalPoint Data'!A:A = 2009,
        'Raw PhocalPoint Data'!D:D = D374,
        'Raw PhocalPoint Data'!E:E = E374,
        'Raw PhocalPoint Data'!F:F = F374
      ) /
      PRODUC"&amp;"T(
        ARRAYFORMULA(
          (
            FILTER('Raw PhocalPoint Data'!G:G,
              'Raw PhocalPoint Data'!A:A = 2012,
              'Raw PhocalPoint Data'!D:D = D374,
              'Raw PhocalPoint Data'!E:E = E374,
              'Raw Phoca"&amp;"lPoint Data'!F:F = F374
            ) /
            FILTER('Raw PhocalPoint Data'!G:G,
              'Raw PhocalPoint Data'!A:A = 2011,
              'Raw PhocalPoint Data'!D:D = D374,
              'Raw PhocalPoint Data'!E:E = E374,
              'Raw Ph"&amp;"ocalPoint Data'!F:F = F374
            ) -
            (ROW(INDIRECT(""1:"" &amp; (2010 - A374))) - 1) *
            (
              (
                FILTER('Raw PhocalPoint Data'!G:G,
                  'Raw PhocalPoint Data'!A:A = 2012,
                  'R"&amp;"aw PhocalPoint Data'!D:D = D374,
                  'Raw PhocalPoint Data'!E:E = E374,
                  'Raw PhocalPoint Data'!F:F = F374
                ) /
                FILTER('Raw PhocalPoint Data'!G:G,
                  'Raw PhocalPoint Data'!A:A ="&amp;" 2011,
                  'Raw PhocalPoint Data'!D:D = D374,
                  'Raw PhocalPoint Data'!E:E = E374,
                  'Raw PhocalPoint Data'!F:F = F374
                ) - 1
              ) / 5
            )
          )
        )
      )
    "&amp;") *
    INDEX('Raw GDP data'!$I$2:$M$100,
      MATCH(D374, 'Raw GDP data'!$H$2:$H$100, 0),
      MATCH(A374, 'Raw GDP data'!$I$1:$M$1, 0)
    )
  )),
  """"
)
"),12261355186.5338)</f>
        <v>12261355186.5338</v>
      </c>
      <c r="H374" s="80"/>
      <c r="I374" s="81">
        <f ca="1">IFERROR(__xludf.DUMMYFUNCTION("""COMPUTED_VALUE"""),2014)</f>
        <v>2014</v>
      </c>
      <c r="J374" s="82" t="str">
        <f ca="1">IFERROR(__xludf.DUMMYFUNCTION("""COMPUTED_VALUE"""),"Bulgaria")</f>
        <v>Bulgaria</v>
      </c>
      <c r="K374" s="83">
        <f ca="1">IFERROR(
  SUMIFS(
    'New Backfilled Data'!G:G,
    'New Backfilled Data'!A:A, I374,
    'New Backfilled Data'!D:D, J374,
    'New Backfilled Data'!E:E, "Online"
  ) /
  SUMIFS(
    'New Backfilled Data'!G:G,
    'New Backfilled Data'!A:A, I374,
    'New Backfilled Data'!D:D, J374
  ),
  ""
)</f>
        <v>0.21317437791610894</v>
      </c>
      <c r="L374" s="84"/>
      <c r="M374" s="84"/>
    </row>
    <row r="375" spans="1:13" ht="17" x14ac:dyDescent="0.2">
      <c r="A375" s="44">
        <v>2008</v>
      </c>
      <c r="B375" s="45" t="s">
        <v>66</v>
      </c>
      <c r="C375" s="45" t="s">
        <v>4</v>
      </c>
      <c r="D375" s="45" t="s">
        <v>7</v>
      </c>
      <c r="E375" s="45" t="s">
        <v>69</v>
      </c>
      <c r="F375" s="45" t="s">
        <v>71</v>
      </c>
      <c r="G375" s="85">
        <f ca="1">IFERROR(__xludf.DUMMYFUNCTION("IFERROR(
  IF(A375 = 2008,
    IF(E375 = ""Online"",
      FILTER('Raw PhocalPoint Data'!G:G,
        'Raw PhocalPoint Data'!A:A = 2009,
        'Raw PhocalPoint Data'!D:D = D375,
        'Raw PhocalPoint Data'!E:E = E375,
        'Raw PhocalPoint Data'!F"&amp;":F = F375
      ) /
      (
        FILTER('Raw PhocalPoint Data'!G:G,
          'Raw PhocalPoint Data'!A:A = 2012,
          'Raw PhocalPoint Data'!D:D = D375,
          'Raw PhocalPoint Data'!E:E = E375,
          'Raw PhocalPoint Data'!F:F = F375
     "&amp;"   ) /
        FILTER('Raw PhocalPoint Data'!G:G,
          'Raw PhocalPoint Data'!A:A = 2011,
          'Raw PhocalPoint Data'!D:D = D375,
          'Raw PhocalPoint Data'!E:E = E375,
          'Raw PhocalPoint Data'!F:F = F375
        )
      ),
      F"&amp;"ILTER('Raw PhocalPoint Data'!G:G,
        'Raw PhocalPoint Data'!A:A = 2009,
        'Raw PhocalPoint Data'!D:D = D375,
        'Raw PhocalPoint Data'!E:E = E375,
        'Raw PhocalPoint Data'!F:F = F375
      ) *
      (
        INDEX('Raw GDP data'!$I$"&amp;"2:$M$100,
          MATCH(D375, 'Raw GDP data'!$H$2:$H$100, 0),
          MATCH(2008, 'Raw GDP data'!$I$1:$M$1, 0)
        ) /
        INDEX('Raw GDP data'!$I$2:$M$100,
          MATCH(D375, 'Raw GDP data'!$H$2:$H$100, 0),
          MATCH(2009, 'Raw GDP d"&amp;"ata'!$I$1:$M$1, 0)
        )
      )
    ),
  IF(A375 &lt; 2008,
    (
      FILTER(G:G,
        A:A = 2008,
        D:D = D375,
        E:E = E375,
        F:F = F375
      ) /
      PRODUCT(
        ARRAYFORMULA(
          (
            (
              FIL"&amp;"TER('Raw PhocalPoint Data'!G:G,
                'Raw PhocalPoint Data'!A:A = 2012,
                'Raw PhocalPoint Data'!D:D = D375,
                'Raw PhocalPoint Data'!E:E = E375,
                'Raw PhocalPoint Data'!F:F = F375
              ) /
  "&amp;"            FILTER('Raw PhocalPoint Data'!G:G,
                'Raw PhocalPoint Data'!A:A = 2011,
                'Raw PhocalPoint Data'!D:D = D375,
                'Raw PhocalPoint Data'!E:E = E375,
                'Raw PhocalPoint Data'!F:F = F375
     "&amp;"         ) -
              ROW(INDIRECT(""1:"" &amp; (2008 - A375))) *
              (
                (
                  FILTER('Raw PhocalPoint Data'!G:G,
                    'Raw PhocalPoint Data'!A:A = 2012,
                    'Raw PhocalPoint Data'!D:D"&amp;" = D375,
                    'Raw PhocalPoint Data'!E:E = E375,
                    'Raw PhocalPoint Data'!F:F = F375
                  ) /
                  FILTER('Raw PhocalPoint Data'!G:G,
                    'Raw PhocalPoint Data'!A:A = 2011,
       "&amp;"             'Raw PhocalPoint Data'!D:D = D375,
                    'Raw PhocalPoint Data'!E:E = E375,
                    'Raw PhocalPoint Data'!F:F = F375
                  ) - 1
                ) / 5
              )
            )
          )
        )
"&amp;"      )
    ),
    (
      FILTER('Raw PhocalPoint Data'!G:G,
        'Raw PhocalPoint Data'!A:A = 2009,
        'Raw PhocalPoint Data'!D:D = D375,
        'Raw PhocalPoint Data'!E:E = E375,
        'Raw PhocalPoint Data'!F:F = F375
      ) /
      PRODUC"&amp;"T(
        ARRAYFORMULA(
          (
            FILTER('Raw PhocalPoint Data'!G:G,
              'Raw PhocalPoint Data'!A:A = 2012,
              'Raw PhocalPoint Data'!D:D = D375,
              'Raw PhocalPoint Data'!E:E = E375,
              'Raw Phoca"&amp;"lPoint Data'!F:F = F375
            ) /
            FILTER('Raw PhocalPoint Data'!G:G,
              'Raw PhocalPoint Data'!A:A = 2011,
              'Raw PhocalPoint Data'!D:D = D375,
              'Raw PhocalPoint Data'!E:E = E375,
              'Raw Ph"&amp;"ocalPoint Data'!F:F = F375
            ) -
            (ROW(INDIRECT(""1:"" &amp; (2010 - A375))) - 1) *
            (
              (
                FILTER('Raw PhocalPoint Data'!G:G,
                  'Raw PhocalPoint Data'!A:A = 2012,
                  'R"&amp;"aw PhocalPoint Data'!D:D = D375,
                  'Raw PhocalPoint Data'!E:E = E375,
                  'Raw PhocalPoint Data'!F:F = F375
                ) /
                FILTER('Raw PhocalPoint Data'!G:G,
                  'Raw PhocalPoint Data'!A:A ="&amp;" 2011,
                  'Raw PhocalPoint Data'!D:D = D375,
                  'Raw PhocalPoint Data'!E:E = E375,
                  'Raw PhocalPoint Data'!F:F = F375
                ) - 1
              ) / 5
            )
          )
        )
      )
    "&amp;") *
    INDEX('Raw GDP data'!$I$2:$M$100,
      MATCH(D375, 'Raw GDP data'!$H$2:$H$100, 0),
      MATCH(A375, 'Raw GDP data'!$I$1:$M$1, 0)
    )
  )),
  """"
)
"),1188443891.20411)</f>
        <v>1188443891.2041099</v>
      </c>
      <c r="H375" s="86"/>
      <c r="I375" s="87">
        <f ca="1">IFERROR(__xludf.DUMMYFUNCTION("""COMPUTED_VALUE"""),2014)</f>
        <v>2014</v>
      </c>
      <c r="J375" s="88" t="str">
        <f ca="1">IFERROR(__xludf.DUMMYFUNCTION("""COMPUTED_VALUE"""),"Czech Republic")</f>
        <v>Czech Republic</v>
      </c>
      <c r="K375" s="89">
        <f ca="1">IFERROR(
  SUMIFS(
    'New Backfilled Data'!G:G,
    'New Backfilled Data'!A:A, I375,
    'New Backfilled Data'!D:D, J375,
    'New Backfilled Data'!E:E, "Online"
  ) /
  SUMIFS(
    'New Backfilled Data'!G:G,
    'New Backfilled Data'!A:A, I375,
    'New Backfilled Data'!D:D, J375
  ),
  ""
)</f>
        <v>0.29417681425089021</v>
      </c>
      <c r="L375" s="90"/>
      <c r="M375" s="90"/>
    </row>
    <row r="376" spans="1:13" ht="17" x14ac:dyDescent="0.2">
      <c r="A376" s="37">
        <v>2008</v>
      </c>
      <c r="B376" s="38" t="s">
        <v>66</v>
      </c>
      <c r="C376" s="38" t="s">
        <v>4</v>
      </c>
      <c r="D376" s="38" t="s">
        <v>7</v>
      </c>
      <c r="E376" s="38" t="s">
        <v>69</v>
      </c>
      <c r="F376" s="38" t="s">
        <v>70</v>
      </c>
      <c r="G376" s="79">
        <f ca="1">IFERROR(__xludf.DUMMYFUNCTION("IFERROR(
  IF(A376 = 2008,
    IF(E376 = ""Online"",
      FILTER('Raw PhocalPoint Data'!G:G,
        'Raw PhocalPoint Data'!A:A = 2009,
        'Raw PhocalPoint Data'!D:D = D376,
        'Raw PhocalPoint Data'!E:E = E376,
        'Raw PhocalPoint Data'!F"&amp;":F = F376
      ) /
      (
        FILTER('Raw PhocalPoint Data'!G:G,
          'Raw PhocalPoint Data'!A:A = 2012,
          'Raw PhocalPoint Data'!D:D = D376,
          'Raw PhocalPoint Data'!E:E = E376,
          'Raw PhocalPoint Data'!F:F = F376
     "&amp;"   ) /
        FILTER('Raw PhocalPoint Data'!G:G,
          'Raw PhocalPoint Data'!A:A = 2011,
          'Raw PhocalPoint Data'!D:D = D376,
          'Raw PhocalPoint Data'!E:E = E376,
          'Raw PhocalPoint Data'!F:F = F376
        )
      ),
      F"&amp;"ILTER('Raw PhocalPoint Data'!G:G,
        'Raw PhocalPoint Data'!A:A = 2009,
        'Raw PhocalPoint Data'!D:D = D376,
        'Raw PhocalPoint Data'!E:E = E376,
        'Raw PhocalPoint Data'!F:F = F376
      ) *
      (
        INDEX('Raw GDP data'!$I$"&amp;"2:$M$100,
          MATCH(D376, 'Raw GDP data'!$H$2:$H$100, 0),
          MATCH(2008, 'Raw GDP data'!$I$1:$M$1, 0)
        ) /
        INDEX('Raw GDP data'!$I$2:$M$100,
          MATCH(D376, 'Raw GDP data'!$H$2:$H$100, 0),
          MATCH(2009, 'Raw GDP d"&amp;"ata'!$I$1:$M$1, 0)
        )
      )
    ),
  IF(A376 &lt; 2008,
    (
      FILTER(G:G,
        A:A = 2008,
        D:D = D376,
        E:E = E376,
        F:F = F376
      ) /
      PRODUCT(
        ARRAYFORMULA(
          (
            (
              FIL"&amp;"TER('Raw PhocalPoint Data'!G:G,
                'Raw PhocalPoint Data'!A:A = 2012,
                'Raw PhocalPoint Data'!D:D = D376,
                'Raw PhocalPoint Data'!E:E = E376,
                'Raw PhocalPoint Data'!F:F = F376
              ) /
  "&amp;"            FILTER('Raw PhocalPoint Data'!G:G,
                'Raw PhocalPoint Data'!A:A = 2011,
                'Raw PhocalPoint Data'!D:D = D376,
                'Raw PhocalPoint Data'!E:E = E376,
                'Raw PhocalPoint Data'!F:F = F376
     "&amp;"         ) -
              ROW(INDIRECT(""1:"" &amp; (2008 - A376))) *
              (
                (
                  FILTER('Raw PhocalPoint Data'!G:G,
                    'Raw PhocalPoint Data'!A:A = 2012,
                    'Raw PhocalPoint Data'!D:D"&amp;" = D376,
                    'Raw PhocalPoint Data'!E:E = E376,
                    'Raw PhocalPoint Data'!F:F = F376
                  ) /
                  FILTER('Raw PhocalPoint Data'!G:G,
                    'Raw PhocalPoint Data'!A:A = 2011,
       "&amp;"             'Raw PhocalPoint Data'!D:D = D376,
                    'Raw PhocalPoint Data'!E:E = E376,
                    'Raw PhocalPoint Data'!F:F = F376
                  ) - 1
                ) / 5
              )
            )
          )
        )
"&amp;"      )
    ),
    (
      FILTER('Raw PhocalPoint Data'!G:G,
        'Raw PhocalPoint Data'!A:A = 2009,
        'Raw PhocalPoint Data'!D:D = D376,
        'Raw PhocalPoint Data'!E:E = E376,
        'Raw PhocalPoint Data'!F:F = F376
      ) /
      PRODUC"&amp;"T(
        ARRAYFORMULA(
          (
            FILTER('Raw PhocalPoint Data'!G:G,
              'Raw PhocalPoint Data'!A:A = 2012,
              'Raw PhocalPoint Data'!D:D = D376,
              'Raw PhocalPoint Data'!E:E = E376,
              'Raw Phoca"&amp;"lPoint Data'!F:F = F376
            ) /
            FILTER('Raw PhocalPoint Data'!G:G,
              'Raw PhocalPoint Data'!A:A = 2011,
              'Raw PhocalPoint Data'!D:D = D376,
              'Raw PhocalPoint Data'!E:E = E376,
              'Raw Ph"&amp;"ocalPoint Data'!F:F = F376
            ) -
            (ROW(INDIRECT(""1:"" &amp; (2010 - A376))) - 1) *
            (
              (
                FILTER('Raw PhocalPoint Data'!G:G,
                  'Raw PhocalPoint Data'!A:A = 2012,
                  'R"&amp;"aw PhocalPoint Data'!D:D = D376,
                  'Raw PhocalPoint Data'!E:E = E376,
                  'Raw PhocalPoint Data'!F:F = F376
                ) /
                FILTER('Raw PhocalPoint Data'!G:G,
                  'Raw PhocalPoint Data'!A:A ="&amp;" 2011,
                  'Raw PhocalPoint Data'!D:D = D376,
                  'Raw PhocalPoint Data'!E:E = E376,
                  'Raw PhocalPoint Data'!F:F = F376
                ) - 1
              ) / 5
            )
          )
        )
      )
    "&amp;") *
    INDEX('Raw GDP data'!$I$2:$M$100,
      MATCH(D376, 'Raw GDP data'!$H$2:$H$100, 0),
      MATCH(A376, 'Raw GDP data'!$I$1:$M$1, 0)
    )
  )),
  """"
)
"),2408881355.38824)</f>
        <v>2408881355.3882399</v>
      </c>
      <c r="H376" s="80"/>
      <c r="I376" s="81">
        <f ca="1">IFERROR(__xludf.DUMMYFUNCTION("""COMPUTED_VALUE"""),2014)</f>
        <v>2014</v>
      </c>
      <c r="J376" s="82" t="str">
        <f ca="1">IFERROR(__xludf.DUMMYFUNCTION("""COMPUTED_VALUE"""),"Greece")</f>
        <v>Greece</v>
      </c>
      <c r="K376" s="83">
        <f ca="1">IFERROR(
  SUMIFS(
    'New Backfilled Data'!G:G,
    'New Backfilled Data'!A:A, I376,
    'New Backfilled Data'!D:D, J376,
    'New Backfilled Data'!E:E, "Online"
  ) /
  SUMIFS(
    'New Backfilled Data'!G:G,
    'New Backfilled Data'!A:A, I376,
    'New Backfilled Data'!D:D, J376
  ),
  ""
)</f>
        <v>0.19018898014413402</v>
      </c>
      <c r="L376" s="84"/>
      <c r="M376" s="84"/>
    </row>
    <row r="377" spans="1:13" ht="17" x14ac:dyDescent="0.2">
      <c r="A377" s="44">
        <v>2008</v>
      </c>
      <c r="B377" s="45" t="s">
        <v>66</v>
      </c>
      <c r="C377" s="45" t="s">
        <v>4</v>
      </c>
      <c r="D377" s="45" t="s">
        <v>8</v>
      </c>
      <c r="E377" s="45" t="s">
        <v>67</v>
      </c>
      <c r="F377" s="45" t="s">
        <v>67</v>
      </c>
      <c r="G377" s="85">
        <f ca="1">IFERROR(__xludf.DUMMYFUNCTION("IFERROR(
  IF(A377 = 2008,
    IF(E377 = ""Online"",
      FILTER('Raw PhocalPoint Data'!G:G,
        'Raw PhocalPoint Data'!A:A = 2009,
        'Raw PhocalPoint Data'!D:D = D377,
        'Raw PhocalPoint Data'!E:E = E377,
        'Raw PhocalPoint Data'!F"&amp;":F = F377
      ) /
      (
        FILTER('Raw PhocalPoint Data'!G:G,
          'Raw PhocalPoint Data'!A:A = 2012,
          'Raw PhocalPoint Data'!D:D = D377,
          'Raw PhocalPoint Data'!E:E = E377,
          'Raw PhocalPoint Data'!F:F = F377
     "&amp;"   ) /
        FILTER('Raw PhocalPoint Data'!G:G,
          'Raw PhocalPoint Data'!A:A = 2011,
          'Raw PhocalPoint Data'!D:D = D377,
          'Raw PhocalPoint Data'!E:E = E377,
          'Raw PhocalPoint Data'!F:F = F377
        )
      ),
      F"&amp;"ILTER('Raw PhocalPoint Data'!G:G,
        'Raw PhocalPoint Data'!A:A = 2009,
        'Raw PhocalPoint Data'!D:D = D377,
        'Raw PhocalPoint Data'!E:E = E377,
        'Raw PhocalPoint Data'!F:F = F377
      ) *
      (
        INDEX('Raw GDP data'!$I$"&amp;"2:$M$100,
          MATCH(D377, 'Raw GDP data'!$H$2:$H$100, 0),
          MATCH(2008, 'Raw GDP data'!$I$1:$M$1, 0)
        ) /
        INDEX('Raw GDP data'!$I$2:$M$100,
          MATCH(D377, 'Raw GDP data'!$H$2:$H$100, 0),
          MATCH(2009, 'Raw GDP d"&amp;"ata'!$I$1:$M$1, 0)
        )
      )
    ),
  IF(A377 &lt; 2008,
    (
      FILTER(G:G,
        A:A = 2008,
        D:D = D377,
        E:E = E377,
        F:F = F377
      ) /
      PRODUCT(
        ARRAYFORMULA(
          (
            (
              FIL"&amp;"TER('Raw PhocalPoint Data'!G:G,
                'Raw PhocalPoint Data'!A:A = 2012,
                'Raw PhocalPoint Data'!D:D = D377,
                'Raw PhocalPoint Data'!E:E = E377,
                'Raw PhocalPoint Data'!F:F = F377
              ) /
  "&amp;"            FILTER('Raw PhocalPoint Data'!G:G,
                'Raw PhocalPoint Data'!A:A = 2011,
                'Raw PhocalPoint Data'!D:D = D377,
                'Raw PhocalPoint Data'!E:E = E377,
                'Raw PhocalPoint Data'!F:F = F377
     "&amp;"         ) -
              ROW(INDIRECT(""1:"" &amp; (2008 - A377))) *
              (
                (
                  FILTER('Raw PhocalPoint Data'!G:G,
                    'Raw PhocalPoint Data'!A:A = 2012,
                    'Raw PhocalPoint Data'!D:D"&amp;" = D377,
                    'Raw PhocalPoint Data'!E:E = E377,
                    'Raw PhocalPoint Data'!F:F = F377
                  ) /
                  FILTER('Raw PhocalPoint Data'!G:G,
                    'Raw PhocalPoint Data'!A:A = 2011,
       "&amp;"             'Raw PhocalPoint Data'!D:D = D377,
                    'Raw PhocalPoint Data'!E:E = E377,
                    'Raw PhocalPoint Data'!F:F = F377
                  ) - 1
                ) / 5
              )
            )
          )
        )
"&amp;"      )
    ),
    (
      FILTER('Raw PhocalPoint Data'!G:G,
        'Raw PhocalPoint Data'!A:A = 2009,
        'Raw PhocalPoint Data'!D:D = D377,
        'Raw PhocalPoint Data'!E:E = E377,
        'Raw PhocalPoint Data'!F:F = F377
      ) /
      PRODUC"&amp;"T(
        ARRAYFORMULA(
          (
            FILTER('Raw PhocalPoint Data'!G:G,
              'Raw PhocalPoint Data'!A:A = 2012,
              'Raw PhocalPoint Data'!D:D = D377,
              'Raw PhocalPoint Data'!E:E = E377,
              'Raw Phoca"&amp;"lPoint Data'!F:F = F377
            ) /
            FILTER('Raw PhocalPoint Data'!G:G,
              'Raw PhocalPoint Data'!A:A = 2011,
              'Raw PhocalPoint Data'!D:D = D377,
              'Raw PhocalPoint Data'!E:E = E377,
              'Raw Ph"&amp;"ocalPoint Data'!F:F = F377
            ) -
            (ROW(INDIRECT(""1:"" &amp; (2010 - A377))) - 1) *
            (
              (
                FILTER('Raw PhocalPoint Data'!G:G,
                  'Raw PhocalPoint Data'!A:A = 2012,
                  'R"&amp;"aw PhocalPoint Data'!D:D = D377,
                  'Raw PhocalPoint Data'!E:E = E377,
                  'Raw PhocalPoint Data'!F:F = F377
                ) /
                FILTER('Raw PhocalPoint Data'!G:G,
                  'Raw PhocalPoint Data'!A:A ="&amp;" 2011,
                  'Raw PhocalPoint Data'!D:D = D377,
                  'Raw PhocalPoint Data'!E:E = E377,
                  'Raw PhocalPoint Data'!F:F = F377
                ) - 1
              ) / 5
            )
          )
        )
      )
    "&amp;") *
    INDEX('Raw GDP data'!$I$2:$M$100,
      MATCH(D377, 'Raw GDP data'!$H$2:$H$100, 0),
      MATCH(A377, 'Raw GDP data'!$I$1:$M$1, 0)
    )
  )),
  """"
)
"),4560996640.13198)</f>
        <v>4560996640.1319799</v>
      </c>
      <c r="H377" s="86"/>
      <c r="I377" s="87">
        <f ca="1">IFERROR(__xludf.DUMMYFUNCTION("""COMPUTED_VALUE"""),2014)</f>
        <v>2014</v>
      </c>
      <c r="J377" s="88" t="str">
        <f ca="1">IFERROR(__xludf.DUMMYFUNCTION("""COMPUTED_VALUE"""),"Hungary")</f>
        <v>Hungary</v>
      </c>
      <c r="K377" s="89">
        <f ca="1">IFERROR(
  SUMIFS(
    'New Backfilled Data'!G:G,
    'New Backfilled Data'!A:A, I377,
    'New Backfilled Data'!D:D, J377,
    'New Backfilled Data'!E:E, "Online"
  ) /
  SUMIFS(
    'New Backfilled Data'!G:G,
    'New Backfilled Data'!A:A, I377,
    'New Backfilled Data'!D:D, J377
  ),
  ""
)</f>
        <v>0.33592426067460557</v>
      </c>
      <c r="L377" s="90"/>
      <c r="M377" s="90"/>
    </row>
    <row r="378" spans="1:13" ht="17" x14ac:dyDescent="0.2">
      <c r="A378" s="37">
        <v>2008</v>
      </c>
      <c r="B378" s="38" t="s">
        <v>66</v>
      </c>
      <c r="C378" s="38" t="s">
        <v>4</v>
      </c>
      <c r="D378" s="38" t="s">
        <v>8</v>
      </c>
      <c r="E378" s="38" t="s">
        <v>69</v>
      </c>
      <c r="F378" s="38" t="s">
        <v>71</v>
      </c>
      <c r="G378" s="79">
        <f ca="1">IFERROR(__xludf.DUMMYFUNCTION("IFERROR(
  IF(A378 = 2008,
    IF(E378 = ""Online"",
      FILTER('Raw PhocalPoint Data'!G:G,
        'Raw PhocalPoint Data'!A:A = 2009,
        'Raw PhocalPoint Data'!D:D = D378,
        'Raw PhocalPoint Data'!E:E = E378,
        'Raw PhocalPoint Data'!F"&amp;":F = F378
      ) /
      (
        FILTER('Raw PhocalPoint Data'!G:G,
          'Raw PhocalPoint Data'!A:A = 2012,
          'Raw PhocalPoint Data'!D:D = D378,
          'Raw PhocalPoint Data'!E:E = E378,
          'Raw PhocalPoint Data'!F:F = F378
     "&amp;"   ) /
        FILTER('Raw PhocalPoint Data'!G:G,
          'Raw PhocalPoint Data'!A:A = 2011,
          'Raw PhocalPoint Data'!D:D = D378,
          'Raw PhocalPoint Data'!E:E = E378,
          'Raw PhocalPoint Data'!F:F = F378
        )
      ),
      F"&amp;"ILTER('Raw PhocalPoint Data'!G:G,
        'Raw PhocalPoint Data'!A:A = 2009,
        'Raw PhocalPoint Data'!D:D = D378,
        'Raw PhocalPoint Data'!E:E = E378,
        'Raw PhocalPoint Data'!F:F = F378
      ) *
      (
        INDEX('Raw GDP data'!$I$"&amp;"2:$M$100,
          MATCH(D378, 'Raw GDP data'!$H$2:$H$100, 0),
          MATCH(2008, 'Raw GDP data'!$I$1:$M$1, 0)
        ) /
        INDEX('Raw GDP data'!$I$2:$M$100,
          MATCH(D378, 'Raw GDP data'!$H$2:$H$100, 0),
          MATCH(2009, 'Raw GDP d"&amp;"ata'!$I$1:$M$1, 0)
        )
      )
    ),
  IF(A378 &lt; 2008,
    (
      FILTER(G:G,
        A:A = 2008,
        D:D = D378,
        E:E = E378,
        F:F = F378
      ) /
      PRODUCT(
        ARRAYFORMULA(
          (
            (
              FIL"&amp;"TER('Raw PhocalPoint Data'!G:G,
                'Raw PhocalPoint Data'!A:A = 2012,
                'Raw PhocalPoint Data'!D:D = D378,
                'Raw PhocalPoint Data'!E:E = E378,
                'Raw PhocalPoint Data'!F:F = F378
              ) /
  "&amp;"            FILTER('Raw PhocalPoint Data'!G:G,
                'Raw PhocalPoint Data'!A:A = 2011,
                'Raw PhocalPoint Data'!D:D = D378,
                'Raw PhocalPoint Data'!E:E = E378,
                'Raw PhocalPoint Data'!F:F = F378
     "&amp;"         ) -
              ROW(INDIRECT(""1:"" &amp; (2008 - A378))) *
              (
                (
                  FILTER('Raw PhocalPoint Data'!G:G,
                    'Raw PhocalPoint Data'!A:A = 2012,
                    'Raw PhocalPoint Data'!D:D"&amp;" = D378,
                    'Raw PhocalPoint Data'!E:E = E378,
                    'Raw PhocalPoint Data'!F:F = F378
                  ) /
                  FILTER('Raw PhocalPoint Data'!G:G,
                    'Raw PhocalPoint Data'!A:A = 2011,
       "&amp;"             'Raw PhocalPoint Data'!D:D = D378,
                    'Raw PhocalPoint Data'!E:E = E378,
                    'Raw PhocalPoint Data'!F:F = F378
                  ) - 1
                ) / 5
              )
            )
          )
        )
"&amp;"      )
    ),
    (
      FILTER('Raw PhocalPoint Data'!G:G,
        'Raw PhocalPoint Data'!A:A = 2009,
        'Raw PhocalPoint Data'!D:D = D378,
        'Raw PhocalPoint Data'!E:E = E378,
        'Raw PhocalPoint Data'!F:F = F378
      ) /
      PRODUC"&amp;"T(
        ARRAYFORMULA(
          (
            FILTER('Raw PhocalPoint Data'!G:G,
              'Raw PhocalPoint Data'!A:A = 2012,
              'Raw PhocalPoint Data'!D:D = D378,
              'Raw PhocalPoint Data'!E:E = E378,
              'Raw Phoca"&amp;"lPoint Data'!F:F = F378
            ) /
            FILTER('Raw PhocalPoint Data'!G:G,
              'Raw PhocalPoint Data'!A:A = 2011,
              'Raw PhocalPoint Data'!D:D = D378,
              'Raw PhocalPoint Data'!E:E = E378,
              'Raw Ph"&amp;"ocalPoint Data'!F:F = F378
            ) -
            (ROW(INDIRECT(""1:"" &amp; (2010 - A378))) - 1) *
            (
              (
                FILTER('Raw PhocalPoint Data'!G:G,
                  'Raw PhocalPoint Data'!A:A = 2012,
                  'R"&amp;"aw PhocalPoint Data'!D:D = D378,
                  'Raw PhocalPoint Data'!E:E = E378,
                  'Raw PhocalPoint Data'!F:F = F378
                ) /
                FILTER('Raw PhocalPoint Data'!G:G,
                  'Raw PhocalPoint Data'!A:A ="&amp;" 2011,
                  'Raw PhocalPoint Data'!D:D = D378,
                  'Raw PhocalPoint Data'!E:E = E378,
                  'Raw PhocalPoint Data'!F:F = F378
                ) - 1
              ) / 5
            )
          )
        )
      )
    "&amp;") *
    INDEX('Raw GDP data'!$I$2:$M$100,
      MATCH(D378, 'Raw GDP data'!$H$2:$H$100, 0),
      MATCH(A378, 'Raw GDP data'!$I$1:$M$1, 0)
    )
  )),
  """"
)
"),17617564.8837639)</f>
        <v>17617564.883763898</v>
      </c>
      <c r="H378" s="80"/>
      <c r="I378" s="81">
        <f ca="1">IFERROR(__xludf.DUMMYFUNCTION("""COMPUTED_VALUE"""),2014)</f>
        <v>2014</v>
      </c>
      <c r="J378" s="82" t="str">
        <f ca="1">IFERROR(__xludf.DUMMYFUNCTION("""COMPUTED_VALUE"""),"Poland")</f>
        <v>Poland</v>
      </c>
      <c r="K378" s="83">
        <f ca="1">IFERROR(
  SUMIFS(
    'New Backfilled Data'!G:G,
    'New Backfilled Data'!A:A, I378,
    'New Backfilled Data'!D:D, J378,
    'New Backfilled Data'!E:E, "Online"
  ) /
  SUMIFS(
    'New Backfilled Data'!G:G,
    'New Backfilled Data'!A:A, I378,
    'New Backfilled Data'!D:D, J378
  ),
  ""
)</f>
        <v>0.29724685124234601</v>
      </c>
      <c r="L378" s="84"/>
      <c r="M378" s="84"/>
    </row>
    <row r="379" spans="1:13" ht="34" x14ac:dyDescent="0.2">
      <c r="A379" s="44">
        <v>2008</v>
      </c>
      <c r="B379" s="45" t="s">
        <v>66</v>
      </c>
      <c r="C379" s="45" t="s">
        <v>4</v>
      </c>
      <c r="D379" s="45" t="s">
        <v>8</v>
      </c>
      <c r="E379" s="45" t="s">
        <v>69</v>
      </c>
      <c r="F379" s="45" t="s">
        <v>70</v>
      </c>
      <c r="G379" s="85">
        <f ca="1">IFERROR(__xludf.DUMMYFUNCTION("IFERROR(
  IF(A379 = 2008,
    IF(E379 = ""Online"",
      FILTER('Raw PhocalPoint Data'!G:G,
        'Raw PhocalPoint Data'!A:A = 2009,
        'Raw PhocalPoint Data'!D:D = D379,
        'Raw PhocalPoint Data'!E:E = E379,
        'Raw PhocalPoint Data'!F"&amp;":F = F379
      ) /
      (
        FILTER('Raw PhocalPoint Data'!G:G,
          'Raw PhocalPoint Data'!A:A = 2012,
          'Raw PhocalPoint Data'!D:D = D379,
          'Raw PhocalPoint Data'!E:E = E379,
          'Raw PhocalPoint Data'!F:F = F379
     "&amp;"   ) /
        FILTER('Raw PhocalPoint Data'!G:G,
          'Raw PhocalPoint Data'!A:A = 2011,
          'Raw PhocalPoint Data'!D:D = D379,
          'Raw PhocalPoint Data'!E:E = E379,
          'Raw PhocalPoint Data'!F:F = F379
        )
      ),
      F"&amp;"ILTER('Raw PhocalPoint Data'!G:G,
        'Raw PhocalPoint Data'!A:A = 2009,
        'Raw PhocalPoint Data'!D:D = D379,
        'Raw PhocalPoint Data'!E:E = E379,
        'Raw PhocalPoint Data'!F:F = F379
      ) *
      (
        INDEX('Raw GDP data'!$I$"&amp;"2:$M$100,
          MATCH(D379, 'Raw GDP data'!$H$2:$H$100, 0),
          MATCH(2008, 'Raw GDP data'!$I$1:$M$1, 0)
        ) /
        INDEX('Raw GDP data'!$I$2:$M$100,
          MATCH(D379, 'Raw GDP data'!$H$2:$H$100, 0),
          MATCH(2009, 'Raw GDP d"&amp;"ata'!$I$1:$M$1, 0)
        )
      )
    ),
  IF(A379 &lt; 2008,
    (
      FILTER(G:G,
        A:A = 2008,
        D:D = D379,
        E:E = E379,
        F:F = F379
      ) /
      PRODUCT(
        ARRAYFORMULA(
          (
            (
              FIL"&amp;"TER('Raw PhocalPoint Data'!G:G,
                'Raw PhocalPoint Data'!A:A = 2012,
                'Raw PhocalPoint Data'!D:D = D379,
                'Raw PhocalPoint Data'!E:E = E379,
                'Raw PhocalPoint Data'!F:F = F379
              ) /
  "&amp;"            FILTER('Raw PhocalPoint Data'!G:G,
                'Raw PhocalPoint Data'!A:A = 2011,
                'Raw PhocalPoint Data'!D:D = D379,
                'Raw PhocalPoint Data'!E:E = E379,
                'Raw PhocalPoint Data'!F:F = F379
     "&amp;"         ) -
              ROW(INDIRECT(""1:"" &amp; (2008 - A379))) *
              (
                (
                  FILTER('Raw PhocalPoint Data'!G:G,
                    'Raw PhocalPoint Data'!A:A = 2012,
                    'Raw PhocalPoint Data'!D:D"&amp;" = D379,
                    'Raw PhocalPoint Data'!E:E = E379,
                    'Raw PhocalPoint Data'!F:F = F379
                  ) /
                  FILTER('Raw PhocalPoint Data'!G:G,
                    'Raw PhocalPoint Data'!A:A = 2011,
       "&amp;"             'Raw PhocalPoint Data'!D:D = D379,
                    'Raw PhocalPoint Data'!E:E = E379,
                    'Raw PhocalPoint Data'!F:F = F379
                  ) - 1
                ) / 5
              )
            )
          )
        )
"&amp;"      )
    ),
    (
      FILTER('Raw PhocalPoint Data'!G:G,
        'Raw PhocalPoint Data'!A:A = 2009,
        'Raw PhocalPoint Data'!D:D = D379,
        'Raw PhocalPoint Data'!E:E = E379,
        'Raw PhocalPoint Data'!F:F = F379
      ) /
      PRODUC"&amp;"T(
        ARRAYFORMULA(
          (
            FILTER('Raw PhocalPoint Data'!G:G,
              'Raw PhocalPoint Data'!A:A = 2012,
              'Raw PhocalPoint Data'!D:D = D379,
              'Raw PhocalPoint Data'!E:E = E379,
              'Raw Phoca"&amp;"lPoint Data'!F:F = F379
            ) /
            FILTER('Raw PhocalPoint Data'!G:G,
              'Raw PhocalPoint Data'!A:A = 2011,
              'Raw PhocalPoint Data'!D:D = D379,
              'Raw PhocalPoint Data'!E:E = E379,
              'Raw Ph"&amp;"ocalPoint Data'!F:F = F379
            ) -
            (ROW(INDIRECT(""1:"" &amp; (2010 - A379))) - 1) *
            (
              (
                FILTER('Raw PhocalPoint Data'!G:G,
                  'Raw PhocalPoint Data'!A:A = 2012,
                  'R"&amp;"aw PhocalPoint Data'!D:D = D379,
                  'Raw PhocalPoint Data'!E:E = E379,
                  'Raw PhocalPoint Data'!F:F = F379
                ) /
                FILTER('Raw PhocalPoint Data'!G:G,
                  'Raw PhocalPoint Data'!A:A ="&amp;" 2011,
                  'Raw PhocalPoint Data'!D:D = D379,
                  'Raw PhocalPoint Data'!E:E = E379,
                  'Raw PhocalPoint Data'!F:F = F379
                ) - 1
              ) / 5
            )
          )
        )
      )
    "&amp;") *
    INDEX('Raw GDP data'!$I$2:$M$100,
      MATCH(D379, 'Raw GDP data'!$H$2:$H$100, 0),
      MATCH(A379, 'Raw GDP data'!$I$1:$M$1, 0)
    )
  )),
  """"
)
"),72386697.6296765)</f>
        <v>72386697.629676506</v>
      </c>
      <c r="H379" s="86"/>
      <c r="I379" s="87">
        <f ca="1">IFERROR(__xludf.DUMMYFUNCTION("""COMPUTED_VALUE"""),2014)</f>
        <v>2014</v>
      </c>
      <c r="J379" s="88" t="str">
        <f ca="1">IFERROR(__xludf.DUMMYFUNCTION("""COMPUTED_VALUE"""),"Rest of Eastern Europe")</f>
        <v>Rest of Eastern Europe</v>
      </c>
      <c r="K379" s="89">
        <f ca="1">IFERROR(
  SUMIFS(
    'New Backfilled Data'!G:G,
    'New Backfilled Data'!A:A, I379,
    'New Backfilled Data'!D:D, J379,
    'New Backfilled Data'!E:E, "Online"
  ) /
  SUMIFS(
    'New Backfilled Data'!G:G,
    'New Backfilled Data'!A:A, I379,
    'New Backfilled Data'!D:D, J379
  ),
  ""
)</f>
        <v>0.1928077519222785</v>
      </c>
      <c r="L379" s="90"/>
      <c r="M379" s="90"/>
    </row>
    <row r="380" spans="1:13" ht="17" x14ac:dyDescent="0.2">
      <c r="A380" s="37">
        <v>2008</v>
      </c>
      <c r="B380" s="38" t="s">
        <v>66</v>
      </c>
      <c r="C380" s="38" t="s">
        <v>4</v>
      </c>
      <c r="D380" s="38" t="s">
        <v>9</v>
      </c>
      <c r="E380" s="38" t="s">
        <v>67</v>
      </c>
      <c r="F380" s="38" t="s">
        <v>67</v>
      </c>
      <c r="G380" s="79">
        <f ca="1">IFERROR(__xludf.DUMMYFUNCTION("IFERROR(
  IF(A380 = 2008,
    IF(E380 = ""Online"",
      FILTER('Raw PhocalPoint Data'!G:G,
        'Raw PhocalPoint Data'!A:A = 2009,
        'Raw PhocalPoint Data'!D:D = D380,
        'Raw PhocalPoint Data'!E:E = E380,
        'Raw PhocalPoint Data'!F"&amp;":F = F380
      ) /
      (
        FILTER('Raw PhocalPoint Data'!G:G,
          'Raw PhocalPoint Data'!A:A = 2012,
          'Raw PhocalPoint Data'!D:D = D380,
          'Raw PhocalPoint Data'!E:E = E380,
          'Raw PhocalPoint Data'!F:F = F380
     "&amp;"   ) /
        FILTER('Raw PhocalPoint Data'!G:G,
          'Raw PhocalPoint Data'!A:A = 2011,
          'Raw PhocalPoint Data'!D:D = D380,
          'Raw PhocalPoint Data'!E:E = E380,
          'Raw PhocalPoint Data'!F:F = F380
        )
      ),
      F"&amp;"ILTER('Raw PhocalPoint Data'!G:G,
        'Raw PhocalPoint Data'!A:A = 2009,
        'Raw PhocalPoint Data'!D:D = D380,
        'Raw PhocalPoint Data'!E:E = E380,
        'Raw PhocalPoint Data'!F:F = F380
      ) *
      (
        INDEX('Raw GDP data'!$I$"&amp;"2:$M$100,
          MATCH(D380, 'Raw GDP data'!$H$2:$H$100, 0),
          MATCH(2008, 'Raw GDP data'!$I$1:$M$1, 0)
        ) /
        INDEX('Raw GDP data'!$I$2:$M$100,
          MATCH(D380, 'Raw GDP data'!$H$2:$H$100, 0),
          MATCH(2009, 'Raw GDP d"&amp;"ata'!$I$1:$M$1, 0)
        )
      )
    ),
  IF(A380 &lt; 2008,
    (
      FILTER(G:G,
        A:A = 2008,
        D:D = D380,
        E:E = E380,
        F:F = F380
      ) /
      PRODUCT(
        ARRAYFORMULA(
          (
            (
              FIL"&amp;"TER('Raw PhocalPoint Data'!G:G,
                'Raw PhocalPoint Data'!A:A = 2012,
                'Raw PhocalPoint Data'!D:D = D380,
                'Raw PhocalPoint Data'!E:E = E380,
                'Raw PhocalPoint Data'!F:F = F380
              ) /
  "&amp;"            FILTER('Raw PhocalPoint Data'!G:G,
                'Raw PhocalPoint Data'!A:A = 2011,
                'Raw PhocalPoint Data'!D:D = D380,
                'Raw PhocalPoint Data'!E:E = E380,
                'Raw PhocalPoint Data'!F:F = F380
     "&amp;"         ) -
              ROW(INDIRECT(""1:"" &amp; (2008 - A380))) *
              (
                (
                  FILTER('Raw PhocalPoint Data'!G:G,
                    'Raw PhocalPoint Data'!A:A = 2012,
                    'Raw PhocalPoint Data'!D:D"&amp;" = D380,
                    'Raw PhocalPoint Data'!E:E = E380,
                    'Raw PhocalPoint Data'!F:F = F380
                  ) /
                  FILTER('Raw PhocalPoint Data'!G:G,
                    'Raw PhocalPoint Data'!A:A = 2011,
       "&amp;"             'Raw PhocalPoint Data'!D:D = D380,
                    'Raw PhocalPoint Data'!E:E = E380,
                    'Raw PhocalPoint Data'!F:F = F380
                  ) - 1
                ) / 5
              )
            )
          )
        )
"&amp;"      )
    ),
    (
      FILTER('Raw PhocalPoint Data'!G:G,
        'Raw PhocalPoint Data'!A:A = 2009,
        'Raw PhocalPoint Data'!D:D = D380,
        'Raw PhocalPoint Data'!E:E = E380,
        'Raw PhocalPoint Data'!F:F = F380
      ) /
      PRODUC"&amp;"T(
        ARRAYFORMULA(
          (
            FILTER('Raw PhocalPoint Data'!G:G,
              'Raw PhocalPoint Data'!A:A = 2012,
              'Raw PhocalPoint Data'!D:D = D380,
              'Raw PhocalPoint Data'!E:E = E380,
              'Raw Phoca"&amp;"lPoint Data'!F:F = F380
            ) /
            FILTER('Raw PhocalPoint Data'!G:G,
              'Raw PhocalPoint Data'!A:A = 2011,
              'Raw PhocalPoint Data'!D:D = D380,
              'Raw PhocalPoint Data'!E:E = E380,
              'Raw Ph"&amp;"ocalPoint Data'!F:F = F380
            ) -
            (ROW(INDIRECT(""1:"" &amp; (2010 - A380))) - 1) *
            (
              (
                FILTER('Raw PhocalPoint Data'!G:G,
                  'Raw PhocalPoint Data'!A:A = 2012,
                  'R"&amp;"aw PhocalPoint Data'!D:D = D380,
                  'Raw PhocalPoint Data'!E:E = E380,
                  'Raw PhocalPoint Data'!F:F = F380
                ) /
                FILTER('Raw PhocalPoint Data'!G:G,
                  'Raw PhocalPoint Data'!A:A ="&amp;" 2011,
                  'Raw PhocalPoint Data'!D:D = D380,
                  'Raw PhocalPoint Data'!E:E = E380,
                  'Raw PhocalPoint Data'!F:F = F380
                ) - 1
              ) / 5
            )
          )
        )
      )
    "&amp;") *
    INDEX('Raw GDP data'!$I$2:$M$100,
      MATCH(D380, 'Raw GDP data'!$H$2:$H$100, 0),
      MATCH(A380, 'Raw GDP data'!$I$1:$M$1, 0)
    )
  )),
  """"
)
"),64154536007.3527)</f>
        <v>64154536007.352699</v>
      </c>
      <c r="H380" s="80"/>
      <c r="I380" s="81">
        <f ca="1">IFERROR(__xludf.DUMMYFUNCTION("""COMPUTED_VALUE"""),2014)</f>
        <v>2014</v>
      </c>
      <c r="J380" s="82" t="str">
        <f ca="1">IFERROR(__xludf.DUMMYFUNCTION("""COMPUTED_VALUE"""),"Romania")</f>
        <v>Romania</v>
      </c>
      <c r="K380" s="83">
        <f ca="1">IFERROR(
  SUMIFS(
    'New Backfilled Data'!G:G,
    'New Backfilled Data'!A:A, I380,
    'New Backfilled Data'!D:D, J380,
    'New Backfilled Data'!E:E, "Online"
  ) /
  SUMIFS(
    'New Backfilled Data'!G:G,
    'New Backfilled Data'!A:A, I380,
    'New Backfilled Data'!D:D, J380
  ),
  ""
)</f>
        <v>0.28623449874653589</v>
      </c>
      <c r="L380" s="84"/>
      <c r="M380" s="84"/>
    </row>
    <row r="381" spans="1:13" ht="17" x14ac:dyDescent="0.2">
      <c r="A381" s="44">
        <v>2008</v>
      </c>
      <c r="B381" s="45" t="s">
        <v>66</v>
      </c>
      <c r="C381" s="45" t="s">
        <v>4</v>
      </c>
      <c r="D381" s="45" t="s">
        <v>9</v>
      </c>
      <c r="E381" s="45" t="s">
        <v>69</v>
      </c>
      <c r="F381" s="45" t="s">
        <v>71</v>
      </c>
      <c r="G381" s="85">
        <f ca="1">IFERROR(__xludf.DUMMYFUNCTION("IFERROR(
  IF(A381 = 2008,
    IF(E381 = ""Online"",
      FILTER('Raw PhocalPoint Data'!G:G,
        'Raw PhocalPoint Data'!A:A = 2009,
        'Raw PhocalPoint Data'!D:D = D381,
        'Raw PhocalPoint Data'!E:E = E381,
        'Raw PhocalPoint Data'!F"&amp;":F = F381
      ) /
      (
        FILTER('Raw PhocalPoint Data'!G:G,
          'Raw PhocalPoint Data'!A:A = 2012,
          'Raw PhocalPoint Data'!D:D = D381,
          'Raw PhocalPoint Data'!E:E = E381,
          'Raw PhocalPoint Data'!F:F = F381
     "&amp;"   ) /
        FILTER('Raw PhocalPoint Data'!G:G,
          'Raw PhocalPoint Data'!A:A = 2011,
          'Raw PhocalPoint Data'!D:D = D381,
          'Raw PhocalPoint Data'!E:E = E381,
          'Raw PhocalPoint Data'!F:F = F381
        )
      ),
      F"&amp;"ILTER('Raw PhocalPoint Data'!G:G,
        'Raw PhocalPoint Data'!A:A = 2009,
        'Raw PhocalPoint Data'!D:D = D381,
        'Raw PhocalPoint Data'!E:E = E381,
        'Raw PhocalPoint Data'!F:F = F381
      ) *
      (
        INDEX('Raw GDP data'!$I$"&amp;"2:$M$100,
          MATCH(D381, 'Raw GDP data'!$H$2:$H$100, 0),
          MATCH(2008, 'Raw GDP data'!$I$1:$M$1, 0)
        ) /
        INDEX('Raw GDP data'!$I$2:$M$100,
          MATCH(D381, 'Raw GDP data'!$H$2:$H$100, 0),
          MATCH(2009, 'Raw GDP d"&amp;"ata'!$I$1:$M$1, 0)
        )
      )
    ),
  IF(A381 &lt; 2008,
    (
      FILTER(G:G,
        A:A = 2008,
        D:D = D381,
        E:E = E381,
        F:F = F381
      ) /
      PRODUCT(
        ARRAYFORMULA(
          (
            (
              FIL"&amp;"TER('Raw PhocalPoint Data'!G:G,
                'Raw PhocalPoint Data'!A:A = 2012,
                'Raw PhocalPoint Data'!D:D = D381,
                'Raw PhocalPoint Data'!E:E = E381,
                'Raw PhocalPoint Data'!F:F = F381
              ) /
  "&amp;"            FILTER('Raw PhocalPoint Data'!G:G,
                'Raw PhocalPoint Data'!A:A = 2011,
                'Raw PhocalPoint Data'!D:D = D381,
                'Raw PhocalPoint Data'!E:E = E381,
                'Raw PhocalPoint Data'!F:F = F381
     "&amp;"         ) -
              ROW(INDIRECT(""1:"" &amp; (2008 - A381))) *
              (
                (
                  FILTER('Raw PhocalPoint Data'!G:G,
                    'Raw PhocalPoint Data'!A:A = 2012,
                    'Raw PhocalPoint Data'!D:D"&amp;" = D381,
                    'Raw PhocalPoint Data'!E:E = E381,
                    'Raw PhocalPoint Data'!F:F = F381
                  ) /
                  FILTER('Raw PhocalPoint Data'!G:G,
                    'Raw PhocalPoint Data'!A:A = 2011,
       "&amp;"             'Raw PhocalPoint Data'!D:D = D381,
                    'Raw PhocalPoint Data'!E:E = E381,
                    'Raw PhocalPoint Data'!F:F = F381
                  ) - 1
                ) / 5
              )
            )
          )
        )
"&amp;"      )
    ),
    (
      FILTER('Raw PhocalPoint Data'!G:G,
        'Raw PhocalPoint Data'!A:A = 2009,
        'Raw PhocalPoint Data'!D:D = D381,
        'Raw PhocalPoint Data'!E:E = E381,
        'Raw PhocalPoint Data'!F:F = F381
      ) /
      PRODUC"&amp;"T(
        ARRAYFORMULA(
          (
            FILTER('Raw PhocalPoint Data'!G:G,
              'Raw PhocalPoint Data'!A:A = 2012,
              'Raw PhocalPoint Data'!D:D = D381,
              'Raw PhocalPoint Data'!E:E = E381,
              'Raw Phoca"&amp;"lPoint Data'!F:F = F381
            ) /
            FILTER('Raw PhocalPoint Data'!G:G,
              'Raw PhocalPoint Data'!A:A = 2011,
              'Raw PhocalPoint Data'!D:D = D381,
              'Raw PhocalPoint Data'!E:E = E381,
              'Raw Ph"&amp;"ocalPoint Data'!F:F = F381
            ) -
            (ROW(INDIRECT(""1:"" &amp; (2010 - A381))) - 1) *
            (
              (
                FILTER('Raw PhocalPoint Data'!G:G,
                  'Raw PhocalPoint Data'!A:A = 2012,
                  'R"&amp;"aw PhocalPoint Data'!D:D = D381,
                  'Raw PhocalPoint Data'!E:E = E381,
                  'Raw PhocalPoint Data'!F:F = F381
                ) /
                FILTER('Raw PhocalPoint Data'!G:G,
                  'Raw PhocalPoint Data'!A:A ="&amp;" 2011,
                  'Raw PhocalPoint Data'!D:D = D381,
                  'Raw PhocalPoint Data'!E:E = E381,
                  'Raw PhocalPoint Data'!F:F = F381
                ) - 1
              ) / 5
            )
          )
        )
      )
    "&amp;") *
    INDEX('Raw GDP data'!$I$2:$M$100,
      MATCH(D381, 'Raw GDP data'!$H$2:$H$100, 0),
      MATCH(A381, 'Raw GDP data'!$I$1:$M$1, 0)
    )
  )),
  """"
)
"),5522405672.79496)</f>
        <v>5522405672.79496</v>
      </c>
      <c r="H381" s="86"/>
      <c r="I381" s="87">
        <f ca="1">IFERROR(__xludf.DUMMYFUNCTION("""COMPUTED_VALUE"""),2014)</f>
        <v>2014</v>
      </c>
      <c r="J381" s="88" t="str">
        <f ca="1">IFERROR(__xludf.DUMMYFUNCTION("""COMPUTED_VALUE"""),"Russia")</f>
        <v>Russia</v>
      </c>
      <c r="K381" s="89">
        <f ca="1">IFERROR(
  SUMIFS(
    'New Backfilled Data'!G:G,
    'New Backfilled Data'!A:A, I381,
    'New Backfilled Data'!D:D, J381,
    'New Backfilled Data'!E:E, "Online"
  ) /
  SUMIFS(
    'New Backfilled Data'!G:G,
    'New Backfilled Data'!A:A, I381,
    'New Backfilled Data'!D:D, J381
  ),
  ""
)</f>
        <v>0.24463948463702706</v>
      </c>
      <c r="L381" s="90"/>
      <c r="M381" s="90"/>
    </row>
    <row r="382" spans="1:13" ht="17" x14ac:dyDescent="0.2">
      <c r="A382" s="37">
        <v>2008</v>
      </c>
      <c r="B382" s="38" t="s">
        <v>66</v>
      </c>
      <c r="C382" s="38" t="s">
        <v>4</v>
      </c>
      <c r="D382" s="38" t="s">
        <v>9</v>
      </c>
      <c r="E382" s="38" t="s">
        <v>69</v>
      </c>
      <c r="F382" s="38" t="s">
        <v>70</v>
      </c>
      <c r="G382" s="79">
        <f ca="1">IFERROR(__xludf.DUMMYFUNCTION("IFERROR(
  IF(A382 = 2008,
    IF(E382 = ""Online"",
      FILTER('Raw PhocalPoint Data'!G:G,
        'Raw PhocalPoint Data'!A:A = 2009,
        'Raw PhocalPoint Data'!D:D = D382,
        'Raw PhocalPoint Data'!E:E = E382,
        'Raw PhocalPoint Data'!F"&amp;":F = F382
      ) /
      (
        FILTER('Raw PhocalPoint Data'!G:G,
          'Raw PhocalPoint Data'!A:A = 2012,
          'Raw PhocalPoint Data'!D:D = D382,
          'Raw PhocalPoint Data'!E:E = E382,
          'Raw PhocalPoint Data'!F:F = F382
     "&amp;"   ) /
        FILTER('Raw PhocalPoint Data'!G:G,
          'Raw PhocalPoint Data'!A:A = 2011,
          'Raw PhocalPoint Data'!D:D = D382,
          'Raw PhocalPoint Data'!E:E = E382,
          'Raw PhocalPoint Data'!F:F = F382
        )
      ),
      F"&amp;"ILTER('Raw PhocalPoint Data'!G:G,
        'Raw PhocalPoint Data'!A:A = 2009,
        'Raw PhocalPoint Data'!D:D = D382,
        'Raw PhocalPoint Data'!E:E = E382,
        'Raw PhocalPoint Data'!F:F = F382
      ) *
      (
        INDEX('Raw GDP data'!$I$"&amp;"2:$M$100,
          MATCH(D382, 'Raw GDP data'!$H$2:$H$100, 0),
          MATCH(2008, 'Raw GDP data'!$I$1:$M$1, 0)
        ) /
        INDEX('Raw GDP data'!$I$2:$M$100,
          MATCH(D382, 'Raw GDP data'!$H$2:$H$100, 0),
          MATCH(2009, 'Raw GDP d"&amp;"ata'!$I$1:$M$1, 0)
        )
      )
    ),
  IF(A382 &lt; 2008,
    (
      FILTER(G:G,
        A:A = 2008,
        D:D = D382,
        E:E = E382,
        F:F = F382
      ) /
      PRODUCT(
        ARRAYFORMULA(
          (
            (
              FIL"&amp;"TER('Raw PhocalPoint Data'!G:G,
                'Raw PhocalPoint Data'!A:A = 2012,
                'Raw PhocalPoint Data'!D:D = D382,
                'Raw PhocalPoint Data'!E:E = E382,
                'Raw PhocalPoint Data'!F:F = F382
              ) /
  "&amp;"            FILTER('Raw PhocalPoint Data'!G:G,
                'Raw PhocalPoint Data'!A:A = 2011,
                'Raw PhocalPoint Data'!D:D = D382,
                'Raw PhocalPoint Data'!E:E = E382,
                'Raw PhocalPoint Data'!F:F = F382
     "&amp;"         ) -
              ROW(INDIRECT(""1:"" &amp; (2008 - A382))) *
              (
                (
                  FILTER('Raw PhocalPoint Data'!G:G,
                    'Raw PhocalPoint Data'!A:A = 2012,
                    'Raw PhocalPoint Data'!D:D"&amp;" = D382,
                    'Raw PhocalPoint Data'!E:E = E382,
                    'Raw PhocalPoint Data'!F:F = F382
                  ) /
                  FILTER('Raw PhocalPoint Data'!G:G,
                    'Raw PhocalPoint Data'!A:A = 2011,
       "&amp;"             'Raw PhocalPoint Data'!D:D = D382,
                    'Raw PhocalPoint Data'!E:E = E382,
                    'Raw PhocalPoint Data'!F:F = F382
                  ) - 1
                ) / 5
              )
            )
          )
        )
"&amp;"      )
    ),
    (
      FILTER('Raw PhocalPoint Data'!G:G,
        'Raw PhocalPoint Data'!A:A = 2009,
        'Raw PhocalPoint Data'!D:D = D382,
        'Raw PhocalPoint Data'!E:E = E382,
        'Raw PhocalPoint Data'!F:F = F382
      ) /
      PRODUC"&amp;"T(
        ARRAYFORMULA(
          (
            FILTER('Raw PhocalPoint Data'!G:G,
              'Raw PhocalPoint Data'!A:A = 2012,
              'Raw PhocalPoint Data'!D:D = D382,
              'Raw PhocalPoint Data'!E:E = E382,
              'Raw Phoca"&amp;"lPoint Data'!F:F = F382
            ) /
            FILTER('Raw PhocalPoint Data'!G:G,
              'Raw PhocalPoint Data'!A:A = 2011,
              'Raw PhocalPoint Data'!D:D = D382,
              'Raw PhocalPoint Data'!E:E = E382,
              'Raw Ph"&amp;"ocalPoint Data'!F:F = F382
            ) -
            (ROW(INDIRECT(""1:"" &amp; (2010 - A382))) - 1) *
            (
              (
                FILTER('Raw PhocalPoint Data'!G:G,
                  'Raw PhocalPoint Data'!A:A = 2012,
                  'R"&amp;"aw PhocalPoint Data'!D:D = D382,
                  'Raw PhocalPoint Data'!E:E = E382,
                  'Raw PhocalPoint Data'!F:F = F382
                ) /
                FILTER('Raw PhocalPoint Data'!G:G,
                  'Raw PhocalPoint Data'!A:A ="&amp;" 2011,
                  'Raw PhocalPoint Data'!D:D = D382,
                  'Raw PhocalPoint Data'!E:E = E382,
                  'Raw PhocalPoint Data'!F:F = F382
                ) - 1
              ) / 5
            )
          )
        )
      )
    "&amp;") *
    INDEX('Raw GDP data'!$I$2:$M$100,
      MATCH(D382, 'Raw GDP data'!$H$2:$H$100, 0),
      MATCH(A382, 'Raw GDP data'!$I$1:$M$1, 0)
    )
  )),
  """"
)
"),12667550192.958)</f>
        <v>12667550192.958</v>
      </c>
      <c r="H382" s="80"/>
      <c r="I382" s="81">
        <f ca="1">IFERROR(__xludf.DUMMYFUNCTION("""COMPUTED_VALUE"""),2014)</f>
        <v>2014</v>
      </c>
      <c r="J382" s="82" t="str">
        <f ca="1">IFERROR(__xludf.DUMMYFUNCTION("""COMPUTED_VALUE"""),"Ukraine")</f>
        <v>Ukraine</v>
      </c>
      <c r="K382" s="83">
        <f ca="1">IFERROR(
  SUMIFS(
    'New Backfilled Data'!G:G,
    'New Backfilled Data'!A:A, I382,
    'New Backfilled Data'!D:D, J382,
    'New Backfilled Data'!E:E, "Online"
  ) /
  SUMIFS(
    'New Backfilled Data'!G:G,
    'New Backfilled Data'!A:A, I382,
    'New Backfilled Data'!D:D, J382
  ),
  ""
)</f>
        <v>0.17360726695639633</v>
      </c>
      <c r="L382" s="84"/>
      <c r="M382" s="84"/>
    </row>
    <row r="383" spans="1:13" ht="17" x14ac:dyDescent="0.2">
      <c r="A383" s="44">
        <v>2008</v>
      </c>
      <c r="B383" s="45" t="s">
        <v>66</v>
      </c>
      <c r="C383" s="45" t="s">
        <v>4</v>
      </c>
      <c r="D383" s="45" t="s">
        <v>10</v>
      </c>
      <c r="E383" s="45" t="s">
        <v>67</v>
      </c>
      <c r="F383" s="45" t="s">
        <v>67</v>
      </c>
      <c r="G383" s="85">
        <f ca="1">IFERROR(__xludf.DUMMYFUNCTION("IFERROR(
  IF(A383 = 2008,
    IF(E383 = ""Online"",
      FILTER('Raw PhocalPoint Data'!G:G,
        'Raw PhocalPoint Data'!A:A = 2009,
        'Raw PhocalPoint Data'!D:D = D383,
        'Raw PhocalPoint Data'!E:E = E383,
        'Raw PhocalPoint Data'!F"&amp;":F = F383
      ) /
      (
        FILTER('Raw PhocalPoint Data'!G:G,
          'Raw PhocalPoint Data'!A:A = 2012,
          'Raw PhocalPoint Data'!D:D = D383,
          'Raw PhocalPoint Data'!E:E = E383,
          'Raw PhocalPoint Data'!F:F = F383
     "&amp;"   ) /
        FILTER('Raw PhocalPoint Data'!G:G,
          'Raw PhocalPoint Data'!A:A = 2011,
          'Raw PhocalPoint Data'!D:D = D383,
          'Raw PhocalPoint Data'!E:E = E383,
          'Raw PhocalPoint Data'!F:F = F383
        )
      ),
      F"&amp;"ILTER('Raw PhocalPoint Data'!G:G,
        'Raw PhocalPoint Data'!A:A = 2009,
        'Raw PhocalPoint Data'!D:D = D383,
        'Raw PhocalPoint Data'!E:E = E383,
        'Raw PhocalPoint Data'!F:F = F383
      ) *
      (
        INDEX('Raw GDP data'!$I$"&amp;"2:$M$100,
          MATCH(D383, 'Raw GDP data'!$H$2:$H$100, 0),
          MATCH(2008, 'Raw GDP data'!$I$1:$M$1, 0)
        ) /
        INDEX('Raw GDP data'!$I$2:$M$100,
          MATCH(D383, 'Raw GDP data'!$H$2:$H$100, 0),
          MATCH(2009, 'Raw GDP d"&amp;"ata'!$I$1:$M$1, 0)
        )
      )
    ),
  IF(A383 &lt; 2008,
    (
      FILTER(G:G,
        A:A = 2008,
        D:D = D383,
        E:E = E383,
        F:F = F383
      ) /
      PRODUCT(
        ARRAYFORMULA(
          (
            (
              FIL"&amp;"TER('Raw PhocalPoint Data'!G:G,
                'Raw PhocalPoint Data'!A:A = 2012,
                'Raw PhocalPoint Data'!D:D = D383,
                'Raw PhocalPoint Data'!E:E = E383,
                'Raw PhocalPoint Data'!F:F = F383
              ) /
  "&amp;"            FILTER('Raw PhocalPoint Data'!G:G,
                'Raw PhocalPoint Data'!A:A = 2011,
                'Raw PhocalPoint Data'!D:D = D383,
                'Raw PhocalPoint Data'!E:E = E383,
                'Raw PhocalPoint Data'!F:F = F383
     "&amp;"         ) -
              ROW(INDIRECT(""1:"" &amp; (2008 - A383))) *
              (
                (
                  FILTER('Raw PhocalPoint Data'!G:G,
                    'Raw PhocalPoint Data'!A:A = 2012,
                    'Raw PhocalPoint Data'!D:D"&amp;" = D383,
                    'Raw PhocalPoint Data'!E:E = E383,
                    'Raw PhocalPoint Data'!F:F = F383
                  ) /
                  FILTER('Raw PhocalPoint Data'!G:G,
                    'Raw PhocalPoint Data'!A:A = 2011,
       "&amp;"             'Raw PhocalPoint Data'!D:D = D383,
                    'Raw PhocalPoint Data'!E:E = E383,
                    'Raw PhocalPoint Data'!F:F = F383
                  ) - 1
                ) / 5
              )
            )
          )
        )
"&amp;"      )
    ),
    (
      FILTER('Raw PhocalPoint Data'!G:G,
        'Raw PhocalPoint Data'!A:A = 2009,
        'Raw PhocalPoint Data'!D:D = D383,
        'Raw PhocalPoint Data'!E:E = E383,
        'Raw PhocalPoint Data'!F:F = F383
      ) /
      PRODUC"&amp;"T(
        ARRAYFORMULA(
          (
            FILTER('Raw PhocalPoint Data'!G:G,
              'Raw PhocalPoint Data'!A:A = 2012,
              'Raw PhocalPoint Data'!D:D = D383,
              'Raw PhocalPoint Data'!E:E = E383,
              'Raw Phoca"&amp;"lPoint Data'!F:F = F383
            ) /
            FILTER('Raw PhocalPoint Data'!G:G,
              'Raw PhocalPoint Data'!A:A = 2011,
              'Raw PhocalPoint Data'!D:D = D383,
              'Raw PhocalPoint Data'!E:E = E383,
              'Raw Ph"&amp;"ocalPoint Data'!F:F = F383
            ) -
            (ROW(INDIRECT(""1:"" &amp; (2010 - A383))) - 1) *
            (
              (
                FILTER('Raw PhocalPoint Data'!G:G,
                  'Raw PhocalPoint Data'!A:A = 2012,
                  'R"&amp;"aw PhocalPoint Data'!D:D = D383,
                  'Raw PhocalPoint Data'!E:E = E383,
                  'Raw PhocalPoint Data'!F:F = F383
                ) /
                FILTER('Raw PhocalPoint Data'!G:G,
                  'Raw PhocalPoint Data'!A:A ="&amp;" 2011,
                  'Raw PhocalPoint Data'!D:D = D383,
                  'Raw PhocalPoint Data'!E:E = E383,
                  'Raw PhocalPoint Data'!F:F = F383
                ) - 1
              ) / 5
            )
          )
        )
      )
    "&amp;") *
    INDEX('Raw GDP data'!$I$2:$M$100,
      MATCH(D383, 'Raw GDP data'!$H$2:$H$100, 0),
      MATCH(A383, 'Raw GDP data'!$I$1:$M$1, 0)
    )
  )),
  """"
)
"),536833283.163167)</f>
        <v>536833283.163167</v>
      </c>
      <c r="H383" s="86"/>
      <c r="I383" s="87">
        <f ca="1">IFERROR(__xludf.DUMMYFUNCTION("""COMPUTED_VALUE"""),2014)</f>
        <v>2014</v>
      </c>
      <c r="J383" s="88" t="str">
        <f ca="1">IFERROR(__xludf.DUMMYFUNCTION("""COMPUTED_VALUE"""),"France")</f>
        <v>France</v>
      </c>
      <c r="K383" s="89">
        <f ca="1">IFERROR(
  SUMIFS(
    'New Backfilled Data'!G:G,
    'New Backfilled Data'!A:A, I383,
    'New Backfilled Data'!D:D, J383,
    'New Backfilled Data'!E:E, "Online"
  ) /
  SUMIFS(
    'New Backfilled Data'!G:G,
    'New Backfilled Data'!A:A, I383,
    'New Backfilled Data'!D:D, J383
  ),
  ""
)</f>
        <v>0.36916706622693618</v>
      </c>
      <c r="L383" s="90"/>
      <c r="M383" s="90"/>
    </row>
    <row r="384" spans="1:13" ht="17" x14ac:dyDescent="0.2">
      <c r="A384" s="37">
        <v>2008</v>
      </c>
      <c r="B384" s="38" t="s">
        <v>66</v>
      </c>
      <c r="C384" s="38" t="s">
        <v>4</v>
      </c>
      <c r="D384" s="38" t="s">
        <v>10</v>
      </c>
      <c r="E384" s="38" t="s">
        <v>69</v>
      </c>
      <c r="F384" s="38" t="s">
        <v>71</v>
      </c>
      <c r="G384" s="79">
        <f ca="1">IFERROR(__xludf.DUMMYFUNCTION("IFERROR(
  IF(A384 = 2008,
    IF(E384 = ""Online"",
      FILTER('Raw PhocalPoint Data'!G:G,
        'Raw PhocalPoint Data'!A:A = 2009,
        'Raw PhocalPoint Data'!D:D = D384,
        'Raw PhocalPoint Data'!E:E = E384,
        'Raw PhocalPoint Data'!F"&amp;":F = F384
      ) /
      (
        FILTER('Raw PhocalPoint Data'!G:G,
          'Raw PhocalPoint Data'!A:A = 2012,
          'Raw PhocalPoint Data'!D:D = D384,
          'Raw PhocalPoint Data'!E:E = E384,
          'Raw PhocalPoint Data'!F:F = F384
     "&amp;"   ) /
        FILTER('Raw PhocalPoint Data'!G:G,
          'Raw PhocalPoint Data'!A:A = 2011,
          'Raw PhocalPoint Data'!D:D = D384,
          'Raw PhocalPoint Data'!E:E = E384,
          'Raw PhocalPoint Data'!F:F = F384
        )
      ),
      F"&amp;"ILTER('Raw PhocalPoint Data'!G:G,
        'Raw PhocalPoint Data'!A:A = 2009,
        'Raw PhocalPoint Data'!D:D = D384,
        'Raw PhocalPoint Data'!E:E = E384,
        'Raw PhocalPoint Data'!F:F = F384
      ) *
      (
        INDEX('Raw GDP data'!$I$"&amp;"2:$M$100,
          MATCH(D384, 'Raw GDP data'!$H$2:$H$100, 0),
          MATCH(2008, 'Raw GDP data'!$I$1:$M$1, 0)
        ) /
        INDEX('Raw GDP data'!$I$2:$M$100,
          MATCH(D384, 'Raw GDP data'!$H$2:$H$100, 0),
          MATCH(2009, 'Raw GDP d"&amp;"ata'!$I$1:$M$1, 0)
        )
      )
    ),
  IF(A384 &lt; 2008,
    (
      FILTER(G:G,
        A:A = 2008,
        D:D = D384,
        E:E = E384,
        F:F = F384
      ) /
      PRODUCT(
        ARRAYFORMULA(
          (
            (
              FIL"&amp;"TER('Raw PhocalPoint Data'!G:G,
                'Raw PhocalPoint Data'!A:A = 2012,
                'Raw PhocalPoint Data'!D:D = D384,
                'Raw PhocalPoint Data'!E:E = E384,
                'Raw PhocalPoint Data'!F:F = F384
              ) /
  "&amp;"            FILTER('Raw PhocalPoint Data'!G:G,
                'Raw PhocalPoint Data'!A:A = 2011,
                'Raw PhocalPoint Data'!D:D = D384,
                'Raw PhocalPoint Data'!E:E = E384,
                'Raw PhocalPoint Data'!F:F = F384
     "&amp;"         ) -
              ROW(INDIRECT(""1:"" &amp; (2008 - A384))) *
              (
                (
                  FILTER('Raw PhocalPoint Data'!G:G,
                    'Raw PhocalPoint Data'!A:A = 2012,
                    'Raw PhocalPoint Data'!D:D"&amp;" = D384,
                    'Raw PhocalPoint Data'!E:E = E384,
                    'Raw PhocalPoint Data'!F:F = F384
                  ) /
                  FILTER('Raw PhocalPoint Data'!G:G,
                    'Raw PhocalPoint Data'!A:A = 2011,
       "&amp;"             'Raw PhocalPoint Data'!D:D = D384,
                    'Raw PhocalPoint Data'!E:E = E384,
                    'Raw PhocalPoint Data'!F:F = F384
                  ) - 1
                ) / 5
              )
            )
          )
        )
"&amp;"      )
    ),
    (
      FILTER('Raw PhocalPoint Data'!G:G,
        'Raw PhocalPoint Data'!A:A = 2009,
        'Raw PhocalPoint Data'!D:D = D384,
        'Raw PhocalPoint Data'!E:E = E384,
        'Raw PhocalPoint Data'!F:F = F384
      ) /
      PRODUC"&amp;"T(
        ARRAYFORMULA(
          (
            FILTER('Raw PhocalPoint Data'!G:G,
              'Raw PhocalPoint Data'!A:A = 2012,
              'Raw PhocalPoint Data'!D:D = D384,
              'Raw PhocalPoint Data'!E:E = E384,
              'Raw Phoca"&amp;"lPoint Data'!F:F = F384
            ) /
            FILTER('Raw PhocalPoint Data'!G:G,
              'Raw PhocalPoint Data'!A:A = 2011,
              'Raw PhocalPoint Data'!D:D = D384,
              'Raw PhocalPoint Data'!E:E = E384,
              'Raw Ph"&amp;"ocalPoint Data'!F:F = F384
            ) -
            (ROW(INDIRECT(""1:"" &amp; (2010 - A384))) - 1) *
            (
              (
                FILTER('Raw PhocalPoint Data'!G:G,
                  'Raw PhocalPoint Data'!A:A = 2012,
                  'R"&amp;"aw PhocalPoint Data'!D:D = D384,
                  'Raw PhocalPoint Data'!E:E = E384,
                  'Raw PhocalPoint Data'!F:F = F384
                ) /
                FILTER('Raw PhocalPoint Data'!G:G,
                  'Raw PhocalPoint Data'!A:A ="&amp;" 2011,
                  'Raw PhocalPoint Data'!D:D = D384,
                  'Raw PhocalPoint Data'!E:E = E384,
                  'Raw PhocalPoint Data'!F:F = F384
                ) - 1
              ) / 5
            )
          )
        )
      )
    "&amp;") *
    INDEX('Raw GDP data'!$I$2:$M$100,
      MATCH(D384, 'Raw GDP data'!$H$2:$H$100, 0),
      MATCH(A384, 'Raw GDP data'!$I$1:$M$1, 0)
    )
  )),
  """"
)
"),3982105.98443689)</f>
        <v>3982105.9844368901</v>
      </c>
      <c r="H384" s="80"/>
      <c r="I384" s="81">
        <f ca="1">IFERROR(__xludf.DUMMYFUNCTION("""COMPUTED_VALUE"""),2014)</f>
        <v>2014</v>
      </c>
      <c r="J384" s="82" t="str">
        <f ca="1">IFERROR(__xludf.DUMMYFUNCTION("""COMPUTED_VALUE"""),"Germany")</f>
        <v>Germany</v>
      </c>
      <c r="K384" s="83">
        <f ca="1">IFERROR(
  SUMIFS(
    'New Backfilled Data'!G:G,
    'New Backfilled Data'!A:A, I384,
    'New Backfilled Data'!D:D, J384,
    'New Backfilled Data'!E:E, "Online"
  ) /
  SUMIFS(
    'New Backfilled Data'!G:G,
    'New Backfilled Data'!A:A, I384,
    'New Backfilled Data'!D:D, J384
  ),
  ""
)</f>
        <v>0.37379856119335897</v>
      </c>
      <c r="L384" s="84"/>
      <c r="M384" s="84"/>
    </row>
    <row r="385" spans="1:13" ht="17" x14ac:dyDescent="0.2">
      <c r="A385" s="44">
        <v>2008</v>
      </c>
      <c r="B385" s="45" t="s">
        <v>66</v>
      </c>
      <c r="C385" s="45" t="s">
        <v>4</v>
      </c>
      <c r="D385" s="45" t="s">
        <v>10</v>
      </c>
      <c r="E385" s="45" t="s">
        <v>69</v>
      </c>
      <c r="F385" s="45" t="s">
        <v>70</v>
      </c>
      <c r="G385" s="85">
        <f ca="1">IFERROR(__xludf.DUMMYFUNCTION("IFERROR(
  IF(A385 = 2008,
    IF(E385 = ""Online"",
      FILTER('Raw PhocalPoint Data'!G:G,
        'Raw PhocalPoint Data'!A:A = 2009,
        'Raw PhocalPoint Data'!D:D = D385,
        'Raw PhocalPoint Data'!E:E = E385,
        'Raw PhocalPoint Data'!F"&amp;":F = F385
      ) /
      (
        FILTER('Raw PhocalPoint Data'!G:G,
          'Raw PhocalPoint Data'!A:A = 2012,
          'Raw PhocalPoint Data'!D:D = D385,
          'Raw PhocalPoint Data'!E:E = E385,
          'Raw PhocalPoint Data'!F:F = F385
     "&amp;"   ) /
        FILTER('Raw PhocalPoint Data'!G:G,
          'Raw PhocalPoint Data'!A:A = 2011,
          'Raw PhocalPoint Data'!D:D = D385,
          'Raw PhocalPoint Data'!E:E = E385,
          'Raw PhocalPoint Data'!F:F = F385
        )
      ),
      F"&amp;"ILTER('Raw PhocalPoint Data'!G:G,
        'Raw PhocalPoint Data'!A:A = 2009,
        'Raw PhocalPoint Data'!D:D = D385,
        'Raw PhocalPoint Data'!E:E = E385,
        'Raw PhocalPoint Data'!F:F = F385
      ) *
      (
        INDEX('Raw GDP data'!$I$"&amp;"2:$M$100,
          MATCH(D385, 'Raw GDP data'!$H$2:$H$100, 0),
          MATCH(2008, 'Raw GDP data'!$I$1:$M$1, 0)
        ) /
        INDEX('Raw GDP data'!$I$2:$M$100,
          MATCH(D385, 'Raw GDP data'!$H$2:$H$100, 0),
          MATCH(2009, 'Raw GDP d"&amp;"ata'!$I$1:$M$1, 0)
        )
      )
    ),
  IF(A385 &lt; 2008,
    (
      FILTER(G:G,
        A:A = 2008,
        D:D = D385,
        E:E = E385,
        F:F = F385
      ) /
      PRODUCT(
        ARRAYFORMULA(
          (
            (
              FIL"&amp;"TER('Raw PhocalPoint Data'!G:G,
                'Raw PhocalPoint Data'!A:A = 2012,
                'Raw PhocalPoint Data'!D:D = D385,
                'Raw PhocalPoint Data'!E:E = E385,
                'Raw PhocalPoint Data'!F:F = F385
              ) /
  "&amp;"            FILTER('Raw PhocalPoint Data'!G:G,
                'Raw PhocalPoint Data'!A:A = 2011,
                'Raw PhocalPoint Data'!D:D = D385,
                'Raw PhocalPoint Data'!E:E = E385,
                'Raw PhocalPoint Data'!F:F = F385
     "&amp;"         ) -
              ROW(INDIRECT(""1:"" &amp; (2008 - A385))) *
              (
                (
                  FILTER('Raw PhocalPoint Data'!G:G,
                    'Raw PhocalPoint Data'!A:A = 2012,
                    'Raw PhocalPoint Data'!D:D"&amp;" = D385,
                    'Raw PhocalPoint Data'!E:E = E385,
                    'Raw PhocalPoint Data'!F:F = F385
                  ) /
                  FILTER('Raw PhocalPoint Data'!G:G,
                    'Raw PhocalPoint Data'!A:A = 2011,
       "&amp;"             'Raw PhocalPoint Data'!D:D = D385,
                    'Raw PhocalPoint Data'!E:E = E385,
                    'Raw PhocalPoint Data'!F:F = F385
                  ) - 1
                ) / 5
              )
            )
          )
        )
"&amp;"      )
    ),
    (
      FILTER('Raw PhocalPoint Data'!G:G,
        'Raw PhocalPoint Data'!A:A = 2009,
        'Raw PhocalPoint Data'!D:D = D385,
        'Raw PhocalPoint Data'!E:E = E385,
        'Raw PhocalPoint Data'!F:F = F385
      ) /
      PRODUC"&amp;"T(
        ARRAYFORMULA(
          (
            FILTER('Raw PhocalPoint Data'!G:G,
              'Raw PhocalPoint Data'!A:A = 2012,
              'Raw PhocalPoint Data'!D:D = D385,
              'Raw PhocalPoint Data'!E:E = E385,
              'Raw Phoca"&amp;"lPoint Data'!F:F = F385
            ) /
            FILTER('Raw PhocalPoint Data'!G:G,
              'Raw PhocalPoint Data'!A:A = 2011,
              'Raw PhocalPoint Data'!D:D = D385,
              'Raw PhocalPoint Data'!E:E = E385,
              'Raw Ph"&amp;"ocalPoint Data'!F:F = F385
            ) -
            (ROW(INDIRECT(""1:"" &amp; (2010 - A385))) - 1) *
            (
              (
                FILTER('Raw PhocalPoint Data'!G:G,
                  'Raw PhocalPoint Data'!A:A = 2012,
                  'R"&amp;"aw PhocalPoint Data'!D:D = D385,
                  'Raw PhocalPoint Data'!E:E = E385,
                  'Raw PhocalPoint Data'!F:F = F385
                ) /
                FILTER('Raw PhocalPoint Data'!G:G,
                  'Raw PhocalPoint Data'!A:A ="&amp;" 2011,
                  'Raw PhocalPoint Data'!D:D = D385,
                  'Raw PhocalPoint Data'!E:E = E385,
                  'Raw PhocalPoint Data'!F:F = F385
                ) - 1
              ) / 5
            )
          )
        )
      )
    "&amp;") *
    INDEX('Raw GDP data'!$I$2:$M$100,
      MATCH(D385, 'Raw GDP data'!$H$2:$H$100, 0),
      MATCH(A385, 'Raw GDP data'!$I$1:$M$1, 0)
    )
  )),
  """"
)
"),4093493.60819653)</f>
        <v>4093493.60819653</v>
      </c>
      <c r="H385" s="86"/>
      <c r="I385" s="87">
        <f ca="1">IFERROR(__xludf.DUMMYFUNCTION("""COMPUTED_VALUE"""),2014)</f>
        <v>2014</v>
      </c>
      <c r="J385" s="88" t="str">
        <f ca="1">IFERROR(__xludf.DUMMYFUNCTION("""COMPUTED_VALUE"""),"Italy")</f>
        <v>Italy</v>
      </c>
      <c r="K385" s="89">
        <f ca="1">IFERROR(
  SUMIFS(
    'New Backfilled Data'!G:G,
    'New Backfilled Data'!A:A, I385,
    'New Backfilled Data'!D:D, J385,
    'New Backfilled Data'!E:E, "Online"
  ) /
  SUMIFS(
    'New Backfilled Data'!G:G,
    'New Backfilled Data'!A:A, I385,
    'New Backfilled Data'!D:D, J385
  ),
  ""
)</f>
        <v>0.32314898962310146</v>
      </c>
      <c r="L385" s="90"/>
      <c r="M385" s="90"/>
    </row>
    <row r="386" spans="1:13" ht="17" x14ac:dyDescent="0.2">
      <c r="A386" s="37">
        <v>2008</v>
      </c>
      <c r="B386" s="38" t="s">
        <v>66</v>
      </c>
      <c r="C386" s="38" t="s">
        <v>4</v>
      </c>
      <c r="D386" s="38" t="s">
        <v>11</v>
      </c>
      <c r="E386" s="38" t="s">
        <v>67</v>
      </c>
      <c r="F386" s="38" t="s">
        <v>67</v>
      </c>
      <c r="G386" s="79">
        <f ca="1">IFERROR(__xludf.DUMMYFUNCTION("IFERROR(
  IF(A386 = 2008,
    IF(E386 = ""Online"",
      FILTER('Raw PhocalPoint Data'!G:G,
        'Raw PhocalPoint Data'!A:A = 2009,
        'Raw PhocalPoint Data'!D:D = D386,
        'Raw PhocalPoint Data'!E:E = E386,
        'Raw PhocalPoint Data'!F"&amp;":F = F386
      ) /
      (
        FILTER('Raw PhocalPoint Data'!G:G,
          'Raw PhocalPoint Data'!A:A = 2012,
          'Raw PhocalPoint Data'!D:D = D386,
          'Raw PhocalPoint Data'!E:E = E386,
          'Raw PhocalPoint Data'!F:F = F386
     "&amp;"   ) /
        FILTER('Raw PhocalPoint Data'!G:G,
          'Raw PhocalPoint Data'!A:A = 2011,
          'Raw PhocalPoint Data'!D:D = D386,
          'Raw PhocalPoint Data'!E:E = E386,
          'Raw PhocalPoint Data'!F:F = F386
        )
      ),
      F"&amp;"ILTER('Raw PhocalPoint Data'!G:G,
        'Raw PhocalPoint Data'!A:A = 2009,
        'Raw PhocalPoint Data'!D:D = D386,
        'Raw PhocalPoint Data'!E:E = E386,
        'Raw PhocalPoint Data'!F:F = F386
      ) *
      (
        INDEX('Raw GDP data'!$I$"&amp;"2:$M$100,
          MATCH(D386, 'Raw GDP data'!$H$2:$H$100, 0),
          MATCH(2008, 'Raw GDP data'!$I$1:$M$1, 0)
        ) /
        INDEX('Raw GDP data'!$I$2:$M$100,
          MATCH(D386, 'Raw GDP data'!$H$2:$H$100, 0),
          MATCH(2009, 'Raw GDP d"&amp;"ata'!$I$1:$M$1, 0)
        )
      )
    ),
  IF(A386 &lt; 2008,
    (
      FILTER(G:G,
        A:A = 2008,
        D:D = D386,
        E:E = E386,
        F:F = F386
      ) /
      PRODUCT(
        ARRAYFORMULA(
          (
            (
              FIL"&amp;"TER('Raw PhocalPoint Data'!G:G,
                'Raw PhocalPoint Data'!A:A = 2012,
                'Raw PhocalPoint Data'!D:D = D386,
                'Raw PhocalPoint Data'!E:E = E386,
                'Raw PhocalPoint Data'!F:F = F386
              ) /
  "&amp;"            FILTER('Raw PhocalPoint Data'!G:G,
                'Raw PhocalPoint Data'!A:A = 2011,
                'Raw PhocalPoint Data'!D:D = D386,
                'Raw PhocalPoint Data'!E:E = E386,
                'Raw PhocalPoint Data'!F:F = F386
     "&amp;"         ) -
              ROW(INDIRECT(""1:"" &amp; (2008 - A386))) *
              (
                (
                  FILTER('Raw PhocalPoint Data'!G:G,
                    'Raw PhocalPoint Data'!A:A = 2012,
                    'Raw PhocalPoint Data'!D:D"&amp;" = D386,
                    'Raw PhocalPoint Data'!E:E = E386,
                    'Raw PhocalPoint Data'!F:F = F386
                  ) /
                  FILTER('Raw PhocalPoint Data'!G:G,
                    'Raw PhocalPoint Data'!A:A = 2011,
       "&amp;"             'Raw PhocalPoint Data'!D:D = D386,
                    'Raw PhocalPoint Data'!E:E = E386,
                    'Raw PhocalPoint Data'!F:F = F386
                  ) - 1
                ) / 5
              )
            )
          )
        )
"&amp;"      )
    ),
    (
      FILTER('Raw PhocalPoint Data'!G:G,
        'Raw PhocalPoint Data'!A:A = 2009,
        'Raw PhocalPoint Data'!D:D = D386,
        'Raw PhocalPoint Data'!E:E = E386,
        'Raw PhocalPoint Data'!F:F = F386
      ) /
      PRODUC"&amp;"T(
        ARRAYFORMULA(
          (
            FILTER('Raw PhocalPoint Data'!G:G,
              'Raw PhocalPoint Data'!A:A = 2012,
              'Raw PhocalPoint Data'!D:D = D386,
              'Raw PhocalPoint Data'!E:E = E386,
              'Raw Phoca"&amp;"lPoint Data'!F:F = F386
            ) /
            FILTER('Raw PhocalPoint Data'!G:G,
              'Raw PhocalPoint Data'!A:A = 2011,
              'Raw PhocalPoint Data'!D:D = D386,
              'Raw PhocalPoint Data'!E:E = E386,
              'Raw Ph"&amp;"ocalPoint Data'!F:F = F386
            ) -
            (ROW(INDIRECT(""1:"" &amp; (2010 - A386))) - 1) *
            (
              (
                FILTER('Raw PhocalPoint Data'!G:G,
                  'Raw PhocalPoint Data'!A:A = 2012,
                  'R"&amp;"aw PhocalPoint Data'!D:D = D386,
                  'Raw PhocalPoint Data'!E:E = E386,
                  'Raw PhocalPoint Data'!F:F = F386
                ) /
                FILTER('Raw PhocalPoint Data'!G:G,
                  'Raw PhocalPoint Data'!A:A ="&amp;" 2011,
                  'Raw PhocalPoint Data'!D:D = D386,
                  'Raw PhocalPoint Data'!E:E = E386,
                  'Raw PhocalPoint Data'!F:F = F386
                ) - 1
              ) / 5
            )
          )
        )
      )
    "&amp;") *
    INDEX('Raw GDP data'!$I$2:$M$100,
      MATCH(D386, 'Raw GDP data'!$H$2:$H$100, 0),
      MATCH(A386, 'Raw GDP data'!$I$1:$M$1, 0)
    )
  )),
  """"
)
"),4614071492.46474)</f>
        <v>4614071492.4647398</v>
      </c>
      <c r="H386" s="80"/>
      <c r="I386" s="81">
        <f ca="1">IFERROR(__xludf.DUMMYFUNCTION("""COMPUTED_VALUE"""),2014)</f>
        <v>2014</v>
      </c>
      <c r="J386" s="82" t="str">
        <f ca="1">IFERROR(__xludf.DUMMYFUNCTION("""COMPUTED_VALUE"""),"Rest of Europe")</f>
        <v>Rest of Europe</v>
      </c>
      <c r="K386" s="83">
        <f ca="1">IFERROR(
  SUMIFS(
    'New Backfilled Data'!G:G,
    'New Backfilled Data'!A:A, I386,
    'New Backfilled Data'!D:D, J386,
    'New Backfilled Data'!E:E, "Online"
  ) /
  SUMIFS(
    'New Backfilled Data'!G:G,
    'New Backfilled Data'!A:A, I386,
    'New Backfilled Data'!D:D, J386
  ),
  ""
)</f>
        <v>0.37202245942101603</v>
      </c>
      <c r="L386" s="84"/>
      <c r="M386" s="84"/>
    </row>
    <row r="387" spans="1:13" ht="17" x14ac:dyDescent="0.2">
      <c r="A387" s="44">
        <v>2008</v>
      </c>
      <c r="B387" s="45" t="s">
        <v>66</v>
      </c>
      <c r="C387" s="45" t="s">
        <v>4</v>
      </c>
      <c r="D387" s="45" t="s">
        <v>11</v>
      </c>
      <c r="E387" s="45" t="s">
        <v>69</v>
      </c>
      <c r="F387" s="45" t="s">
        <v>71</v>
      </c>
      <c r="G387" s="85">
        <f ca="1">IFERROR(__xludf.DUMMYFUNCTION("IFERROR(
  IF(A387 = 2008,
    IF(E387 = ""Online"",
      FILTER('Raw PhocalPoint Data'!G:G,
        'Raw PhocalPoint Data'!A:A = 2009,
        'Raw PhocalPoint Data'!D:D = D387,
        'Raw PhocalPoint Data'!E:E = E387,
        'Raw PhocalPoint Data'!F"&amp;":F = F387
      ) /
      (
        FILTER('Raw PhocalPoint Data'!G:G,
          'Raw PhocalPoint Data'!A:A = 2012,
          'Raw PhocalPoint Data'!D:D = D387,
          'Raw PhocalPoint Data'!E:E = E387,
          'Raw PhocalPoint Data'!F:F = F387
     "&amp;"   ) /
        FILTER('Raw PhocalPoint Data'!G:G,
          'Raw PhocalPoint Data'!A:A = 2011,
          'Raw PhocalPoint Data'!D:D = D387,
          'Raw PhocalPoint Data'!E:E = E387,
          'Raw PhocalPoint Data'!F:F = F387
        )
      ),
      F"&amp;"ILTER('Raw PhocalPoint Data'!G:G,
        'Raw PhocalPoint Data'!A:A = 2009,
        'Raw PhocalPoint Data'!D:D = D387,
        'Raw PhocalPoint Data'!E:E = E387,
        'Raw PhocalPoint Data'!F:F = F387
      ) *
      (
        INDEX('Raw GDP data'!$I$"&amp;"2:$M$100,
          MATCH(D387, 'Raw GDP data'!$H$2:$H$100, 0),
          MATCH(2008, 'Raw GDP data'!$I$1:$M$1, 0)
        ) /
        INDEX('Raw GDP data'!$I$2:$M$100,
          MATCH(D387, 'Raw GDP data'!$H$2:$H$100, 0),
          MATCH(2009, 'Raw GDP d"&amp;"ata'!$I$1:$M$1, 0)
        )
      )
    ),
  IF(A387 &lt; 2008,
    (
      FILTER(G:G,
        A:A = 2008,
        D:D = D387,
        E:E = E387,
        F:F = F387
      ) /
      PRODUCT(
        ARRAYFORMULA(
          (
            (
              FIL"&amp;"TER('Raw PhocalPoint Data'!G:G,
                'Raw PhocalPoint Data'!A:A = 2012,
                'Raw PhocalPoint Data'!D:D = D387,
                'Raw PhocalPoint Data'!E:E = E387,
                'Raw PhocalPoint Data'!F:F = F387
              ) /
  "&amp;"            FILTER('Raw PhocalPoint Data'!G:G,
                'Raw PhocalPoint Data'!A:A = 2011,
                'Raw PhocalPoint Data'!D:D = D387,
                'Raw PhocalPoint Data'!E:E = E387,
                'Raw PhocalPoint Data'!F:F = F387
     "&amp;"         ) -
              ROW(INDIRECT(""1:"" &amp; (2008 - A387))) *
              (
                (
                  FILTER('Raw PhocalPoint Data'!G:G,
                    'Raw PhocalPoint Data'!A:A = 2012,
                    'Raw PhocalPoint Data'!D:D"&amp;" = D387,
                    'Raw PhocalPoint Data'!E:E = E387,
                    'Raw PhocalPoint Data'!F:F = F387
                  ) /
                  FILTER('Raw PhocalPoint Data'!G:G,
                    'Raw PhocalPoint Data'!A:A = 2011,
       "&amp;"             'Raw PhocalPoint Data'!D:D = D387,
                    'Raw PhocalPoint Data'!E:E = E387,
                    'Raw PhocalPoint Data'!F:F = F387
                  ) - 1
                ) / 5
              )
            )
          )
        )
"&amp;"      )
    ),
    (
      FILTER('Raw PhocalPoint Data'!G:G,
        'Raw PhocalPoint Data'!A:A = 2009,
        'Raw PhocalPoint Data'!D:D = D387,
        'Raw PhocalPoint Data'!E:E = E387,
        'Raw PhocalPoint Data'!F:F = F387
      ) /
      PRODUC"&amp;"T(
        ARRAYFORMULA(
          (
            FILTER('Raw PhocalPoint Data'!G:G,
              'Raw PhocalPoint Data'!A:A = 2012,
              'Raw PhocalPoint Data'!D:D = D387,
              'Raw PhocalPoint Data'!E:E = E387,
              'Raw Phoca"&amp;"lPoint Data'!F:F = F387
            ) /
            FILTER('Raw PhocalPoint Data'!G:G,
              'Raw PhocalPoint Data'!A:A = 2011,
              'Raw PhocalPoint Data'!D:D = D387,
              'Raw PhocalPoint Data'!E:E = E387,
              'Raw Ph"&amp;"ocalPoint Data'!F:F = F387
            ) -
            (ROW(INDIRECT(""1:"" &amp; (2010 - A387))) - 1) *
            (
              (
                FILTER('Raw PhocalPoint Data'!G:G,
                  'Raw PhocalPoint Data'!A:A = 2012,
                  'R"&amp;"aw PhocalPoint Data'!D:D = D387,
                  'Raw PhocalPoint Data'!E:E = E387,
                  'Raw PhocalPoint Data'!F:F = F387
                ) /
                FILTER('Raw PhocalPoint Data'!G:G,
                  'Raw PhocalPoint Data'!A:A ="&amp;" 2011,
                  'Raw PhocalPoint Data'!D:D = D387,
                  'Raw PhocalPoint Data'!E:E = E387,
                  'Raw PhocalPoint Data'!F:F = F387
                ) - 1
              ) / 5
            )
          )
        )
      )
    "&amp;") *
    INDEX('Raw GDP data'!$I$2:$M$100,
      MATCH(D387, 'Raw GDP data'!$H$2:$H$100, 0),
      MATCH(A387, 'Raw GDP data'!$I$1:$M$1, 0)
    )
  )),
  """"
)
"),48231614.9830294)</f>
        <v>48231614.983029403</v>
      </c>
      <c r="H387" s="86"/>
      <c r="I387" s="87">
        <f ca="1">IFERROR(__xludf.DUMMYFUNCTION("""COMPUTED_VALUE"""),2014)</f>
        <v>2014</v>
      </c>
      <c r="J387" s="88" t="str">
        <f ca="1">IFERROR(__xludf.DUMMYFUNCTION("""COMPUTED_VALUE"""),"Scandinavia")</f>
        <v>Scandinavia</v>
      </c>
      <c r="K387" s="89">
        <f ca="1">IFERROR(
  SUMIFS(
    'New Backfilled Data'!G:G,
    'New Backfilled Data'!A:A, I387,
    'New Backfilled Data'!D:D, J387,
    'New Backfilled Data'!E:E, "Online"
  ) /
  SUMIFS(
    'New Backfilled Data'!G:G,
    'New Backfilled Data'!A:A, I387,
    'New Backfilled Data'!D:D, J387
  ),
  ""
)</f>
        <v>0.53645547151541617</v>
      </c>
      <c r="L387" s="90"/>
      <c r="M387" s="90"/>
    </row>
    <row r="388" spans="1:13" ht="17" x14ac:dyDescent="0.2">
      <c r="A388" s="37">
        <v>2008</v>
      </c>
      <c r="B388" s="38" t="s">
        <v>66</v>
      </c>
      <c r="C388" s="38" t="s">
        <v>4</v>
      </c>
      <c r="D388" s="38" t="s">
        <v>11</v>
      </c>
      <c r="E388" s="38" t="s">
        <v>69</v>
      </c>
      <c r="F388" s="38" t="s">
        <v>70</v>
      </c>
      <c r="G388" s="79">
        <f ca="1">IFERROR(__xludf.DUMMYFUNCTION("IFERROR(
  IF(A388 = 2008,
    IF(E388 = ""Online"",
      FILTER('Raw PhocalPoint Data'!G:G,
        'Raw PhocalPoint Data'!A:A = 2009,
        'Raw PhocalPoint Data'!D:D = D388,
        'Raw PhocalPoint Data'!E:E = E388,
        'Raw PhocalPoint Data'!F"&amp;":F = F388
      ) /
      (
        FILTER('Raw PhocalPoint Data'!G:G,
          'Raw PhocalPoint Data'!A:A = 2012,
          'Raw PhocalPoint Data'!D:D = D388,
          'Raw PhocalPoint Data'!E:E = E388,
          'Raw PhocalPoint Data'!F:F = F388
     "&amp;"   ) /
        FILTER('Raw PhocalPoint Data'!G:G,
          'Raw PhocalPoint Data'!A:A = 2011,
          'Raw PhocalPoint Data'!D:D = D388,
          'Raw PhocalPoint Data'!E:E = E388,
          'Raw PhocalPoint Data'!F:F = F388
        )
      ),
      F"&amp;"ILTER('Raw PhocalPoint Data'!G:G,
        'Raw PhocalPoint Data'!A:A = 2009,
        'Raw PhocalPoint Data'!D:D = D388,
        'Raw PhocalPoint Data'!E:E = E388,
        'Raw PhocalPoint Data'!F:F = F388
      ) *
      (
        INDEX('Raw GDP data'!$I$"&amp;"2:$M$100,
          MATCH(D388, 'Raw GDP data'!$H$2:$H$100, 0),
          MATCH(2008, 'Raw GDP data'!$I$1:$M$1, 0)
        ) /
        INDEX('Raw GDP data'!$I$2:$M$100,
          MATCH(D388, 'Raw GDP data'!$H$2:$H$100, 0),
          MATCH(2009, 'Raw GDP d"&amp;"ata'!$I$1:$M$1, 0)
        )
      )
    ),
  IF(A388 &lt; 2008,
    (
      FILTER(G:G,
        A:A = 2008,
        D:D = D388,
        E:E = E388,
        F:F = F388
      ) /
      PRODUCT(
        ARRAYFORMULA(
          (
            (
              FIL"&amp;"TER('Raw PhocalPoint Data'!G:G,
                'Raw PhocalPoint Data'!A:A = 2012,
                'Raw PhocalPoint Data'!D:D = D388,
                'Raw PhocalPoint Data'!E:E = E388,
                'Raw PhocalPoint Data'!F:F = F388
              ) /
  "&amp;"            FILTER('Raw PhocalPoint Data'!G:G,
                'Raw PhocalPoint Data'!A:A = 2011,
                'Raw PhocalPoint Data'!D:D = D388,
                'Raw PhocalPoint Data'!E:E = E388,
                'Raw PhocalPoint Data'!F:F = F388
     "&amp;"         ) -
              ROW(INDIRECT(""1:"" &amp; (2008 - A388))) *
              (
                (
                  FILTER('Raw PhocalPoint Data'!G:G,
                    'Raw PhocalPoint Data'!A:A = 2012,
                    'Raw PhocalPoint Data'!D:D"&amp;" = D388,
                    'Raw PhocalPoint Data'!E:E = E388,
                    'Raw PhocalPoint Data'!F:F = F388
                  ) /
                  FILTER('Raw PhocalPoint Data'!G:G,
                    'Raw PhocalPoint Data'!A:A = 2011,
       "&amp;"             'Raw PhocalPoint Data'!D:D = D388,
                    'Raw PhocalPoint Data'!E:E = E388,
                    'Raw PhocalPoint Data'!F:F = F388
                  ) - 1
                ) / 5
              )
            )
          )
        )
"&amp;"      )
    ),
    (
      FILTER('Raw PhocalPoint Data'!G:G,
        'Raw PhocalPoint Data'!A:A = 2009,
        'Raw PhocalPoint Data'!D:D = D388,
        'Raw PhocalPoint Data'!E:E = E388,
        'Raw PhocalPoint Data'!F:F = F388
      ) /
      PRODUC"&amp;"T(
        ARRAYFORMULA(
          (
            FILTER('Raw PhocalPoint Data'!G:G,
              'Raw PhocalPoint Data'!A:A = 2012,
              'Raw PhocalPoint Data'!D:D = D388,
              'Raw PhocalPoint Data'!E:E = E388,
              'Raw Phoca"&amp;"lPoint Data'!F:F = F388
            ) /
            FILTER('Raw PhocalPoint Data'!G:G,
              'Raw PhocalPoint Data'!A:A = 2011,
              'Raw PhocalPoint Data'!D:D = D388,
              'Raw PhocalPoint Data'!E:E = E388,
              'Raw Ph"&amp;"ocalPoint Data'!F:F = F388
            ) -
            (ROW(INDIRECT(""1:"" &amp; (2010 - A388))) - 1) *
            (
              (
                FILTER('Raw PhocalPoint Data'!G:G,
                  'Raw PhocalPoint Data'!A:A = 2012,
                  'R"&amp;"aw PhocalPoint Data'!D:D = D388,
                  'Raw PhocalPoint Data'!E:E = E388,
                  'Raw PhocalPoint Data'!F:F = F388
                ) /
                FILTER('Raw PhocalPoint Data'!G:G,
                  'Raw PhocalPoint Data'!A:A ="&amp;" 2011,
                  'Raw PhocalPoint Data'!D:D = D388,
                  'Raw PhocalPoint Data'!E:E = E388,
                  'Raw PhocalPoint Data'!F:F = F388
                ) - 1
              ) / 5
            )
          )
        )
      )
    "&amp;") *
    INDEX('Raw GDP data'!$I$2:$M$100,
      MATCH(D388, 'Raw GDP data'!$H$2:$H$100, 0),
      MATCH(A388, 'Raw GDP data'!$I$1:$M$1, 0)
    )
  )),
  """"
)
"),1192548944.01659)</f>
        <v>1192548944.0165901</v>
      </c>
      <c r="H388" s="80"/>
      <c r="I388" s="81">
        <f ca="1">IFERROR(__xludf.DUMMYFUNCTION("""COMPUTED_VALUE"""),2014)</f>
        <v>2014</v>
      </c>
      <c r="J388" s="82" t="str">
        <f ca="1">IFERROR(__xludf.DUMMYFUNCTION("""COMPUTED_VALUE"""),"Spain")</f>
        <v>Spain</v>
      </c>
      <c r="K388" s="83">
        <f ca="1">IFERROR(
  SUMIFS(
    'New Backfilled Data'!G:G,
    'New Backfilled Data'!A:A, I388,
    'New Backfilled Data'!D:D, J388,
    'New Backfilled Data'!E:E, "Online"
  ) /
  SUMIFS(
    'New Backfilled Data'!G:G,
    'New Backfilled Data'!A:A, I388,
    'New Backfilled Data'!D:D, J388
  ),
  ""
)</f>
        <v>0.4001041170713785</v>
      </c>
      <c r="L388" s="84"/>
      <c r="M388" s="84"/>
    </row>
    <row r="389" spans="1:13" ht="17" x14ac:dyDescent="0.2">
      <c r="A389" s="44">
        <v>2008</v>
      </c>
      <c r="B389" s="45" t="s">
        <v>66</v>
      </c>
      <c r="C389" s="45" t="s">
        <v>4</v>
      </c>
      <c r="D389" s="45" t="s">
        <v>12</v>
      </c>
      <c r="E389" s="45" t="s">
        <v>67</v>
      </c>
      <c r="F389" s="45" t="s">
        <v>67</v>
      </c>
      <c r="G389" s="85">
        <f ca="1">IFERROR(__xludf.DUMMYFUNCTION("IFERROR(
  IF(A389 = 2008,
    IF(E389 = ""Online"",
      FILTER('Raw PhocalPoint Data'!G:G,
        'Raw PhocalPoint Data'!A:A = 2009,
        'Raw PhocalPoint Data'!D:D = D389,
        'Raw PhocalPoint Data'!E:E = E389,
        'Raw PhocalPoint Data'!F"&amp;":F = F389
      ) /
      (
        FILTER('Raw PhocalPoint Data'!G:G,
          'Raw PhocalPoint Data'!A:A = 2012,
          'Raw PhocalPoint Data'!D:D = D389,
          'Raw PhocalPoint Data'!E:E = E389,
          'Raw PhocalPoint Data'!F:F = F389
     "&amp;"   ) /
        FILTER('Raw PhocalPoint Data'!G:G,
          'Raw PhocalPoint Data'!A:A = 2011,
          'Raw PhocalPoint Data'!D:D = D389,
          'Raw PhocalPoint Data'!E:E = E389,
          'Raw PhocalPoint Data'!F:F = F389
        )
      ),
      F"&amp;"ILTER('Raw PhocalPoint Data'!G:G,
        'Raw PhocalPoint Data'!A:A = 2009,
        'Raw PhocalPoint Data'!D:D = D389,
        'Raw PhocalPoint Data'!E:E = E389,
        'Raw PhocalPoint Data'!F:F = F389
      ) *
      (
        INDEX('Raw GDP data'!$I$"&amp;"2:$M$100,
          MATCH(D389, 'Raw GDP data'!$H$2:$H$100, 0),
          MATCH(2008, 'Raw GDP data'!$I$1:$M$1, 0)
        ) /
        INDEX('Raw GDP data'!$I$2:$M$100,
          MATCH(D389, 'Raw GDP data'!$H$2:$H$100, 0),
          MATCH(2009, 'Raw GDP d"&amp;"ata'!$I$1:$M$1, 0)
        )
      )
    ),
  IF(A389 &lt; 2008,
    (
      FILTER(G:G,
        A:A = 2008,
        D:D = D389,
        E:E = E389,
        F:F = F389
      ) /
      PRODUCT(
        ARRAYFORMULA(
          (
            (
              FIL"&amp;"TER('Raw PhocalPoint Data'!G:G,
                'Raw PhocalPoint Data'!A:A = 2012,
                'Raw PhocalPoint Data'!D:D = D389,
                'Raw PhocalPoint Data'!E:E = E389,
                'Raw PhocalPoint Data'!F:F = F389
              ) /
  "&amp;"            FILTER('Raw PhocalPoint Data'!G:G,
                'Raw PhocalPoint Data'!A:A = 2011,
                'Raw PhocalPoint Data'!D:D = D389,
                'Raw PhocalPoint Data'!E:E = E389,
                'Raw PhocalPoint Data'!F:F = F389
     "&amp;"         ) -
              ROW(INDIRECT(""1:"" &amp; (2008 - A389))) *
              (
                (
                  FILTER('Raw PhocalPoint Data'!G:G,
                    'Raw PhocalPoint Data'!A:A = 2012,
                    'Raw PhocalPoint Data'!D:D"&amp;" = D389,
                    'Raw PhocalPoint Data'!E:E = E389,
                    'Raw PhocalPoint Data'!F:F = F389
                  ) /
                  FILTER('Raw PhocalPoint Data'!G:G,
                    'Raw PhocalPoint Data'!A:A = 2011,
       "&amp;"             'Raw PhocalPoint Data'!D:D = D389,
                    'Raw PhocalPoint Data'!E:E = E389,
                    'Raw PhocalPoint Data'!F:F = F389
                  ) - 1
                ) / 5
              )
            )
          )
        )
"&amp;"      )
    ),
    (
      FILTER('Raw PhocalPoint Data'!G:G,
        'Raw PhocalPoint Data'!A:A = 2009,
        'Raw PhocalPoint Data'!D:D = D389,
        'Raw PhocalPoint Data'!E:E = E389,
        'Raw PhocalPoint Data'!F:F = F389
      ) /
      PRODUC"&amp;"T(
        ARRAYFORMULA(
          (
            FILTER('Raw PhocalPoint Data'!G:G,
              'Raw PhocalPoint Data'!A:A = 2012,
              'Raw PhocalPoint Data'!D:D = D389,
              'Raw PhocalPoint Data'!E:E = E389,
              'Raw Phoca"&amp;"lPoint Data'!F:F = F389
            ) /
            FILTER('Raw PhocalPoint Data'!G:G,
              'Raw PhocalPoint Data'!A:A = 2011,
              'Raw PhocalPoint Data'!D:D = D389,
              'Raw PhocalPoint Data'!E:E = E389,
              'Raw Ph"&amp;"ocalPoint Data'!F:F = F389
            ) -
            (ROW(INDIRECT(""1:"" &amp; (2010 - A389))) - 1) *
            (
              (
                FILTER('Raw PhocalPoint Data'!G:G,
                  'Raw PhocalPoint Data'!A:A = 2012,
                  'R"&amp;"aw PhocalPoint Data'!D:D = D389,
                  'Raw PhocalPoint Data'!E:E = E389,
                  'Raw PhocalPoint Data'!F:F = F389
                ) /
                FILTER('Raw PhocalPoint Data'!G:G,
                  'Raw PhocalPoint Data'!A:A ="&amp;" 2011,
                  'Raw PhocalPoint Data'!D:D = D389,
                  'Raw PhocalPoint Data'!E:E = E389,
                  'Raw PhocalPoint Data'!F:F = F389
                ) - 1
              ) / 5
            )
          )
        )
      )
    "&amp;") *
    INDEX('Raw GDP data'!$I$2:$M$100,
      MATCH(D389, 'Raw GDP data'!$H$2:$H$100, 0),
      MATCH(A389, 'Raw GDP data'!$I$1:$M$1, 0)
    )
  )),
  """"
)
"),5169106090.2995)</f>
        <v>5169106090.2995005</v>
      </c>
      <c r="H389" s="86"/>
      <c r="I389" s="87">
        <f ca="1">IFERROR(__xludf.DUMMYFUNCTION("""COMPUTED_VALUE"""),2014)</f>
        <v>2014</v>
      </c>
      <c r="J389" s="88" t="str">
        <f ca="1">IFERROR(__xludf.DUMMYFUNCTION("""COMPUTED_VALUE"""),"U.K.")</f>
        <v>U.K.</v>
      </c>
      <c r="K389" s="89">
        <f ca="1">IFERROR(
  SUMIFS(
    'New Backfilled Data'!G:G,
    'New Backfilled Data'!A:A, I389,
    'New Backfilled Data'!D:D, J389,
    'New Backfilled Data'!E:E, "Online"
  ) /
  SUMIFS(
    'New Backfilled Data'!G:G,
    'New Backfilled Data'!A:A, I389,
    'New Backfilled Data'!D:D, J389
  ),
  ""
)</f>
        <v>0.53848879530721616</v>
      </c>
      <c r="L389" s="90"/>
      <c r="M389" s="90"/>
    </row>
    <row r="390" spans="1:13" ht="17" x14ac:dyDescent="0.2">
      <c r="A390" s="37">
        <v>2008</v>
      </c>
      <c r="B390" s="38" t="s">
        <v>66</v>
      </c>
      <c r="C390" s="38" t="s">
        <v>4</v>
      </c>
      <c r="D390" s="38" t="s">
        <v>12</v>
      </c>
      <c r="E390" s="38" t="s">
        <v>69</v>
      </c>
      <c r="F390" s="38" t="s">
        <v>71</v>
      </c>
      <c r="G390" s="79">
        <f ca="1">IFERROR(__xludf.DUMMYFUNCTION("IFERROR(
  IF(A390 = 2008,
    IF(E390 = ""Online"",
      FILTER('Raw PhocalPoint Data'!G:G,
        'Raw PhocalPoint Data'!A:A = 2009,
        'Raw PhocalPoint Data'!D:D = D390,
        'Raw PhocalPoint Data'!E:E = E390,
        'Raw PhocalPoint Data'!F"&amp;":F = F390
      ) /
      (
        FILTER('Raw PhocalPoint Data'!G:G,
          'Raw PhocalPoint Data'!A:A = 2012,
          'Raw PhocalPoint Data'!D:D = D390,
          'Raw PhocalPoint Data'!E:E = E390,
          'Raw PhocalPoint Data'!F:F = F390
     "&amp;"   ) /
        FILTER('Raw PhocalPoint Data'!G:G,
          'Raw PhocalPoint Data'!A:A = 2011,
          'Raw PhocalPoint Data'!D:D = D390,
          'Raw PhocalPoint Data'!E:E = E390,
          'Raw PhocalPoint Data'!F:F = F390
        )
      ),
      F"&amp;"ILTER('Raw PhocalPoint Data'!G:G,
        'Raw PhocalPoint Data'!A:A = 2009,
        'Raw PhocalPoint Data'!D:D = D390,
        'Raw PhocalPoint Data'!E:E = E390,
        'Raw PhocalPoint Data'!F:F = F390
      ) *
      (
        INDEX('Raw GDP data'!$I$"&amp;"2:$M$100,
          MATCH(D390, 'Raw GDP data'!$H$2:$H$100, 0),
          MATCH(2008, 'Raw GDP data'!$I$1:$M$1, 0)
        ) /
        INDEX('Raw GDP data'!$I$2:$M$100,
          MATCH(D390, 'Raw GDP data'!$H$2:$H$100, 0),
          MATCH(2009, 'Raw GDP d"&amp;"ata'!$I$1:$M$1, 0)
        )
      )
    ),
  IF(A390 &lt; 2008,
    (
      FILTER(G:G,
        A:A = 2008,
        D:D = D390,
        E:E = E390,
        F:F = F390
      ) /
      PRODUCT(
        ARRAYFORMULA(
          (
            (
              FIL"&amp;"TER('Raw PhocalPoint Data'!G:G,
                'Raw PhocalPoint Data'!A:A = 2012,
                'Raw PhocalPoint Data'!D:D = D390,
                'Raw PhocalPoint Data'!E:E = E390,
                'Raw PhocalPoint Data'!F:F = F390
              ) /
  "&amp;"            FILTER('Raw PhocalPoint Data'!G:G,
                'Raw PhocalPoint Data'!A:A = 2011,
                'Raw PhocalPoint Data'!D:D = D390,
                'Raw PhocalPoint Data'!E:E = E390,
                'Raw PhocalPoint Data'!F:F = F390
     "&amp;"         ) -
              ROW(INDIRECT(""1:"" &amp; (2008 - A390))) *
              (
                (
                  FILTER('Raw PhocalPoint Data'!G:G,
                    'Raw PhocalPoint Data'!A:A = 2012,
                    'Raw PhocalPoint Data'!D:D"&amp;" = D390,
                    'Raw PhocalPoint Data'!E:E = E390,
                    'Raw PhocalPoint Data'!F:F = F390
                  ) /
                  FILTER('Raw PhocalPoint Data'!G:G,
                    'Raw PhocalPoint Data'!A:A = 2011,
       "&amp;"             'Raw PhocalPoint Data'!D:D = D390,
                    'Raw PhocalPoint Data'!E:E = E390,
                    'Raw PhocalPoint Data'!F:F = F390
                  ) - 1
                ) / 5
              )
            )
          )
        )
"&amp;"      )
    ),
    (
      FILTER('Raw PhocalPoint Data'!G:G,
        'Raw PhocalPoint Data'!A:A = 2009,
        'Raw PhocalPoint Data'!D:D = D390,
        'Raw PhocalPoint Data'!E:E = E390,
        'Raw PhocalPoint Data'!F:F = F390
      ) /
      PRODUC"&amp;"T(
        ARRAYFORMULA(
          (
            FILTER('Raw PhocalPoint Data'!G:G,
              'Raw PhocalPoint Data'!A:A = 2012,
              'Raw PhocalPoint Data'!D:D = D390,
              'Raw PhocalPoint Data'!E:E = E390,
              'Raw Phoca"&amp;"lPoint Data'!F:F = F390
            ) /
            FILTER('Raw PhocalPoint Data'!G:G,
              'Raw PhocalPoint Data'!A:A = 2011,
              'Raw PhocalPoint Data'!D:D = D390,
              'Raw PhocalPoint Data'!E:E = E390,
              'Raw Ph"&amp;"ocalPoint Data'!F:F = F390
            ) -
            (ROW(INDIRECT(""1:"" &amp; (2010 - A390))) - 1) *
            (
              (
                FILTER('Raw PhocalPoint Data'!G:G,
                  'Raw PhocalPoint Data'!A:A = 2012,
                  'R"&amp;"aw PhocalPoint Data'!D:D = D390,
                  'Raw PhocalPoint Data'!E:E = E390,
                  'Raw PhocalPoint Data'!F:F = F390
                ) /
                FILTER('Raw PhocalPoint Data'!G:G,
                  'Raw PhocalPoint Data'!A:A ="&amp;" 2011,
                  'Raw PhocalPoint Data'!D:D = D390,
                  'Raw PhocalPoint Data'!E:E = E390,
                  'Raw PhocalPoint Data'!F:F = F390
                ) - 1
              ) / 5
            )
          )
        )
      )
    "&amp;") *
    INDEX('Raw GDP data'!$I$2:$M$100,
      MATCH(D390, 'Raw GDP data'!$H$2:$H$100, 0),
      MATCH(A390, 'Raw GDP data'!$I$1:$M$1, 0)
    )
  )),
  """"
)
"),170021442.25557)</f>
        <v>170021442.25556999</v>
      </c>
      <c r="H390" s="80"/>
      <c r="I390" s="81">
        <f ca="1">IFERROR(__xludf.DUMMYFUNCTION("""COMPUTED_VALUE"""),2014)</f>
        <v>2014</v>
      </c>
      <c r="J390" s="82" t="str">
        <f ca="1">IFERROR(__xludf.DUMMYFUNCTION("""COMPUTED_VALUE"""),"Argentina")</f>
        <v>Argentina</v>
      </c>
      <c r="K390" s="83">
        <f ca="1">IFERROR(
  SUMIFS(
    'New Backfilled Data'!G:G,
    'New Backfilled Data'!A:A, I390,
    'New Backfilled Data'!D:D, J390,
    'New Backfilled Data'!E:E, "Online"
  ) /
  SUMIFS(
    'New Backfilled Data'!G:G,
    'New Backfilled Data'!A:A, I390,
    'New Backfilled Data'!D:D, J390
  ),
  ""
)</f>
        <v>0.19552599571611928</v>
      </c>
      <c r="L390" s="84"/>
      <c r="M390" s="84"/>
    </row>
    <row r="391" spans="1:13" ht="17" x14ac:dyDescent="0.2">
      <c r="A391" s="44">
        <v>2008</v>
      </c>
      <c r="B391" s="45" t="s">
        <v>66</v>
      </c>
      <c r="C391" s="45" t="s">
        <v>4</v>
      </c>
      <c r="D391" s="45" t="s">
        <v>12</v>
      </c>
      <c r="E391" s="45" t="s">
        <v>69</v>
      </c>
      <c r="F391" s="45" t="s">
        <v>70</v>
      </c>
      <c r="G391" s="85">
        <f ca="1">IFERROR(__xludf.DUMMYFUNCTION("IFERROR(
  IF(A391 = 2008,
    IF(E391 = ""Online"",
      FILTER('Raw PhocalPoint Data'!G:G,
        'Raw PhocalPoint Data'!A:A = 2009,
        'Raw PhocalPoint Data'!D:D = D391,
        'Raw PhocalPoint Data'!E:E = E391,
        'Raw PhocalPoint Data'!F"&amp;":F = F391
      ) /
      (
        FILTER('Raw PhocalPoint Data'!G:G,
          'Raw PhocalPoint Data'!A:A = 2012,
          'Raw PhocalPoint Data'!D:D = D391,
          'Raw PhocalPoint Data'!E:E = E391,
          'Raw PhocalPoint Data'!F:F = F391
     "&amp;"   ) /
        FILTER('Raw PhocalPoint Data'!G:G,
          'Raw PhocalPoint Data'!A:A = 2011,
          'Raw PhocalPoint Data'!D:D = D391,
          'Raw PhocalPoint Data'!E:E = E391,
          'Raw PhocalPoint Data'!F:F = F391
        )
      ),
      F"&amp;"ILTER('Raw PhocalPoint Data'!G:G,
        'Raw PhocalPoint Data'!A:A = 2009,
        'Raw PhocalPoint Data'!D:D = D391,
        'Raw PhocalPoint Data'!E:E = E391,
        'Raw PhocalPoint Data'!F:F = F391
      ) *
      (
        INDEX('Raw GDP data'!$I$"&amp;"2:$M$100,
          MATCH(D391, 'Raw GDP data'!$H$2:$H$100, 0),
          MATCH(2008, 'Raw GDP data'!$I$1:$M$1, 0)
        ) /
        INDEX('Raw GDP data'!$I$2:$M$100,
          MATCH(D391, 'Raw GDP data'!$H$2:$H$100, 0),
          MATCH(2009, 'Raw GDP d"&amp;"ata'!$I$1:$M$1, 0)
        )
      )
    ),
  IF(A391 &lt; 2008,
    (
      FILTER(G:G,
        A:A = 2008,
        D:D = D391,
        E:E = E391,
        F:F = F391
      ) /
      PRODUCT(
        ARRAYFORMULA(
          (
            (
              FIL"&amp;"TER('Raw PhocalPoint Data'!G:G,
                'Raw PhocalPoint Data'!A:A = 2012,
                'Raw PhocalPoint Data'!D:D = D391,
                'Raw PhocalPoint Data'!E:E = E391,
                'Raw PhocalPoint Data'!F:F = F391
              ) /
  "&amp;"            FILTER('Raw PhocalPoint Data'!G:G,
                'Raw PhocalPoint Data'!A:A = 2011,
                'Raw PhocalPoint Data'!D:D = D391,
                'Raw PhocalPoint Data'!E:E = E391,
                'Raw PhocalPoint Data'!F:F = F391
     "&amp;"         ) -
              ROW(INDIRECT(""1:"" &amp; (2008 - A391))) *
              (
                (
                  FILTER('Raw PhocalPoint Data'!G:G,
                    'Raw PhocalPoint Data'!A:A = 2012,
                    'Raw PhocalPoint Data'!D:D"&amp;" = D391,
                    'Raw PhocalPoint Data'!E:E = E391,
                    'Raw PhocalPoint Data'!F:F = F391
                  ) /
                  FILTER('Raw PhocalPoint Data'!G:G,
                    'Raw PhocalPoint Data'!A:A = 2011,
       "&amp;"             'Raw PhocalPoint Data'!D:D = D391,
                    'Raw PhocalPoint Data'!E:E = E391,
                    'Raw PhocalPoint Data'!F:F = F391
                  ) - 1
                ) / 5
              )
            )
          )
        )
"&amp;"      )
    ),
    (
      FILTER('Raw PhocalPoint Data'!G:G,
        'Raw PhocalPoint Data'!A:A = 2009,
        'Raw PhocalPoint Data'!D:D = D391,
        'Raw PhocalPoint Data'!E:E = E391,
        'Raw PhocalPoint Data'!F:F = F391
      ) /
      PRODUC"&amp;"T(
        ARRAYFORMULA(
          (
            FILTER('Raw PhocalPoint Data'!G:G,
              'Raw PhocalPoint Data'!A:A = 2012,
              'Raw PhocalPoint Data'!D:D = D391,
              'Raw PhocalPoint Data'!E:E = E391,
              'Raw Phoca"&amp;"lPoint Data'!F:F = F391
            ) /
            FILTER('Raw PhocalPoint Data'!G:G,
              'Raw PhocalPoint Data'!A:A = 2011,
              'Raw PhocalPoint Data'!D:D = D391,
              'Raw PhocalPoint Data'!E:E = E391,
              'Raw Ph"&amp;"ocalPoint Data'!F:F = F391
            ) -
            (ROW(INDIRECT(""1:"" &amp; (2010 - A391))) - 1) *
            (
              (
                FILTER('Raw PhocalPoint Data'!G:G,
                  'Raw PhocalPoint Data'!A:A = 2012,
                  'R"&amp;"aw PhocalPoint Data'!D:D = D391,
                  'Raw PhocalPoint Data'!E:E = E391,
                  'Raw PhocalPoint Data'!F:F = F391
                ) /
                FILTER('Raw PhocalPoint Data'!G:G,
                  'Raw PhocalPoint Data'!A:A ="&amp;" 2011,
                  'Raw PhocalPoint Data'!D:D = D391,
                  'Raw PhocalPoint Data'!E:E = E391,
                  'Raw PhocalPoint Data'!F:F = F391
                ) - 1
              ) / 5
            )
          )
        )
      )
    "&amp;") *
    INDEX('Raw GDP data'!$I$2:$M$100,
      MATCH(D391, 'Raw GDP data'!$H$2:$H$100, 0),
      MATCH(A391, 'Raw GDP data'!$I$1:$M$1, 0)
    )
  )),
  """"
)
"),1190327304.18703)</f>
        <v>1190327304.1870301</v>
      </c>
      <c r="H391" s="86"/>
      <c r="I391" s="87">
        <f ca="1">IFERROR(__xludf.DUMMYFUNCTION("""COMPUTED_VALUE"""),2014)</f>
        <v>2014</v>
      </c>
      <c r="J391" s="88" t="str">
        <f ca="1">IFERROR(__xludf.DUMMYFUNCTION("""COMPUTED_VALUE"""),"Brazil")</f>
        <v>Brazil</v>
      </c>
      <c r="K391" s="89">
        <f ca="1">IFERROR(
  SUMIFS(
    'New Backfilled Data'!G:G,
    'New Backfilled Data'!A:A, I391,
    'New Backfilled Data'!D:D, J391,
    'New Backfilled Data'!E:E, "Online"
  ) /
  SUMIFS(
    'New Backfilled Data'!G:G,
    'New Backfilled Data'!A:A, I391,
    'New Backfilled Data'!D:D, J391
  ),
  ""
)</f>
        <v>0.26078709353396473</v>
      </c>
      <c r="L391" s="90"/>
      <c r="M391" s="90"/>
    </row>
    <row r="392" spans="1:13" ht="17" x14ac:dyDescent="0.2">
      <c r="A392" s="37">
        <v>2008</v>
      </c>
      <c r="B392" s="38" t="s">
        <v>66</v>
      </c>
      <c r="C392" s="38" t="s">
        <v>4</v>
      </c>
      <c r="D392" s="38" t="s">
        <v>13</v>
      </c>
      <c r="E392" s="38" t="s">
        <v>67</v>
      </c>
      <c r="F392" s="38" t="s">
        <v>67</v>
      </c>
      <c r="G392" s="79">
        <f ca="1">IFERROR(__xludf.DUMMYFUNCTION("IFERROR(
  IF(A392 = 2008,
    IF(E392 = ""Online"",
      FILTER('Raw PhocalPoint Data'!G:G,
        'Raw PhocalPoint Data'!A:A = 2009,
        'Raw PhocalPoint Data'!D:D = D392,
        'Raw PhocalPoint Data'!E:E = E392,
        'Raw PhocalPoint Data'!F"&amp;":F = F392
      ) /
      (
        FILTER('Raw PhocalPoint Data'!G:G,
          'Raw PhocalPoint Data'!A:A = 2012,
          'Raw PhocalPoint Data'!D:D = D392,
          'Raw PhocalPoint Data'!E:E = E392,
          'Raw PhocalPoint Data'!F:F = F392
     "&amp;"   ) /
        FILTER('Raw PhocalPoint Data'!G:G,
          'Raw PhocalPoint Data'!A:A = 2011,
          'Raw PhocalPoint Data'!D:D = D392,
          'Raw PhocalPoint Data'!E:E = E392,
          'Raw PhocalPoint Data'!F:F = F392
        )
      ),
      F"&amp;"ILTER('Raw PhocalPoint Data'!G:G,
        'Raw PhocalPoint Data'!A:A = 2009,
        'Raw PhocalPoint Data'!D:D = D392,
        'Raw PhocalPoint Data'!E:E = E392,
        'Raw PhocalPoint Data'!F:F = F392
      ) *
      (
        INDEX('Raw GDP data'!$I$"&amp;"2:$M$100,
          MATCH(D392, 'Raw GDP data'!$H$2:$H$100, 0),
          MATCH(2008, 'Raw GDP data'!$I$1:$M$1, 0)
        ) /
        INDEX('Raw GDP data'!$I$2:$M$100,
          MATCH(D392, 'Raw GDP data'!$H$2:$H$100, 0),
          MATCH(2009, 'Raw GDP d"&amp;"ata'!$I$1:$M$1, 0)
        )
      )
    ),
  IF(A392 &lt; 2008,
    (
      FILTER(G:G,
        A:A = 2008,
        D:D = D392,
        E:E = E392,
        F:F = F392
      ) /
      PRODUCT(
        ARRAYFORMULA(
          (
            (
              FIL"&amp;"TER('Raw PhocalPoint Data'!G:G,
                'Raw PhocalPoint Data'!A:A = 2012,
                'Raw PhocalPoint Data'!D:D = D392,
                'Raw PhocalPoint Data'!E:E = E392,
                'Raw PhocalPoint Data'!F:F = F392
              ) /
  "&amp;"            FILTER('Raw PhocalPoint Data'!G:G,
                'Raw PhocalPoint Data'!A:A = 2011,
                'Raw PhocalPoint Data'!D:D = D392,
                'Raw PhocalPoint Data'!E:E = E392,
                'Raw PhocalPoint Data'!F:F = F392
     "&amp;"         ) -
              ROW(INDIRECT(""1:"" &amp; (2008 - A392))) *
              (
                (
                  FILTER('Raw PhocalPoint Data'!G:G,
                    'Raw PhocalPoint Data'!A:A = 2012,
                    'Raw PhocalPoint Data'!D:D"&amp;" = D392,
                    'Raw PhocalPoint Data'!E:E = E392,
                    'Raw PhocalPoint Data'!F:F = F392
                  ) /
                  FILTER('Raw PhocalPoint Data'!G:G,
                    'Raw PhocalPoint Data'!A:A = 2011,
       "&amp;"             'Raw PhocalPoint Data'!D:D = D392,
                    'Raw PhocalPoint Data'!E:E = E392,
                    'Raw PhocalPoint Data'!F:F = F392
                  ) - 1
                ) / 5
              )
            )
          )
        )
"&amp;"      )
    ),
    (
      FILTER('Raw PhocalPoint Data'!G:G,
        'Raw PhocalPoint Data'!A:A = 2009,
        'Raw PhocalPoint Data'!D:D = D392,
        'Raw PhocalPoint Data'!E:E = E392,
        'Raw PhocalPoint Data'!F:F = F392
      ) /
      PRODUC"&amp;"T(
        ARRAYFORMULA(
          (
            FILTER('Raw PhocalPoint Data'!G:G,
              'Raw PhocalPoint Data'!A:A = 2012,
              'Raw PhocalPoint Data'!D:D = D392,
              'Raw PhocalPoint Data'!E:E = E392,
              'Raw Phoca"&amp;"lPoint Data'!F:F = F392
            ) /
            FILTER('Raw PhocalPoint Data'!G:G,
              'Raw PhocalPoint Data'!A:A = 2011,
              'Raw PhocalPoint Data'!D:D = D392,
              'Raw PhocalPoint Data'!E:E = E392,
              'Raw Ph"&amp;"ocalPoint Data'!F:F = F392
            ) -
            (ROW(INDIRECT(""1:"" &amp; (2010 - A392))) - 1) *
            (
              (
                FILTER('Raw PhocalPoint Data'!G:G,
                  'Raw PhocalPoint Data'!A:A = 2012,
                  'R"&amp;"aw PhocalPoint Data'!D:D = D392,
                  'Raw PhocalPoint Data'!E:E = E392,
                  'Raw PhocalPoint Data'!F:F = F392
                ) /
                FILTER('Raw PhocalPoint Data'!G:G,
                  'Raw PhocalPoint Data'!A:A ="&amp;" 2011,
                  'Raw PhocalPoint Data'!D:D = D392,
                  'Raw PhocalPoint Data'!E:E = E392,
                  'Raw PhocalPoint Data'!F:F = F392
                ) - 1
              ) / 5
            )
          )
        )
      )
    "&amp;") *
    INDEX('Raw GDP data'!$I$2:$M$100,
      MATCH(D392, 'Raw GDP data'!$H$2:$H$100, 0),
      MATCH(A392, 'Raw GDP data'!$I$1:$M$1, 0)
    )
  )),
  """"
)
"),9794142429.92549)</f>
        <v>9794142429.9254894</v>
      </c>
      <c r="H392" s="80"/>
      <c r="I392" s="81">
        <f ca="1">IFERROR(__xludf.DUMMYFUNCTION("""COMPUTED_VALUE"""),2014)</f>
        <v>2014</v>
      </c>
      <c r="J392" s="82" t="str">
        <f ca="1">IFERROR(__xludf.DUMMYFUNCTION("""COMPUTED_VALUE"""),"Chile")</f>
        <v>Chile</v>
      </c>
      <c r="K392" s="83">
        <f ca="1">IFERROR(
  SUMIFS(
    'New Backfilled Data'!G:G,
    'New Backfilled Data'!A:A, I392,
    'New Backfilled Data'!D:D, J392,
    'New Backfilled Data'!E:E, "Online"
  ) /
  SUMIFS(
    'New Backfilled Data'!G:G,
    'New Backfilled Data'!A:A, I392,
    'New Backfilled Data'!D:D, J392
  ),
  ""
)</f>
        <v>0.29656983113811847</v>
      </c>
      <c r="L392" s="84"/>
      <c r="M392" s="84"/>
    </row>
    <row r="393" spans="1:13" ht="17" x14ac:dyDescent="0.2">
      <c r="A393" s="44">
        <v>2008</v>
      </c>
      <c r="B393" s="45" t="s">
        <v>66</v>
      </c>
      <c r="C393" s="45" t="s">
        <v>4</v>
      </c>
      <c r="D393" s="45" t="s">
        <v>13</v>
      </c>
      <c r="E393" s="45" t="s">
        <v>69</v>
      </c>
      <c r="F393" s="45" t="s">
        <v>71</v>
      </c>
      <c r="G393" s="85">
        <f ca="1">IFERROR(__xludf.DUMMYFUNCTION("IFERROR(
  IF(A393 = 2008,
    IF(E393 = ""Online"",
      FILTER('Raw PhocalPoint Data'!G:G,
        'Raw PhocalPoint Data'!A:A = 2009,
        'Raw PhocalPoint Data'!D:D = D393,
        'Raw PhocalPoint Data'!E:E = E393,
        'Raw PhocalPoint Data'!F"&amp;":F = F393
      ) /
      (
        FILTER('Raw PhocalPoint Data'!G:G,
          'Raw PhocalPoint Data'!A:A = 2012,
          'Raw PhocalPoint Data'!D:D = D393,
          'Raw PhocalPoint Data'!E:E = E393,
          'Raw PhocalPoint Data'!F:F = F393
     "&amp;"   ) /
        FILTER('Raw PhocalPoint Data'!G:G,
          'Raw PhocalPoint Data'!A:A = 2011,
          'Raw PhocalPoint Data'!D:D = D393,
          'Raw PhocalPoint Data'!E:E = E393,
          'Raw PhocalPoint Data'!F:F = F393
        )
      ),
      F"&amp;"ILTER('Raw PhocalPoint Data'!G:G,
        'Raw PhocalPoint Data'!A:A = 2009,
        'Raw PhocalPoint Data'!D:D = D393,
        'Raw PhocalPoint Data'!E:E = E393,
        'Raw PhocalPoint Data'!F:F = F393
      ) *
      (
        INDEX('Raw GDP data'!$I$"&amp;"2:$M$100,
          MATCH(D393, 'Raw GDP data'!$H$2:$H$100, 0),
          MATCH(2008, 'Raw GDP data'!$I$1:$M$1, 0)
        ) /
        INDEX('Raw GDP data'!$I$2:$M$100,
          MATCH(D393, 'Raw GDP data'!$H$2:$H$100, 0),
          MATCH(2009, 'Raw GDP d"&amp;"ata'!$I$1:$M$1, 0)
        )
      )
    ),
  IF(A393 &lt; 2008,
    (
      FILTER(G:G,
        A:A = 2008,
        D:D = D393,
        E:E = E393,
        F:F = F393
      ) /
      PRODUCT(
        ARRAYFORMULA(
          (
            (
              FIL"&amp;"TER('Raw PhocalPoint Data'!G:G,
                'Raw PhocalPoint Data'!A:A = 2012,
                'Raw PhocalPoint Data'!D:D = D393,
                'Raw PhocalPoint Data'!E:E = E393,
                'Raw PhocalPoint Data'!F:F = F393
              ) /
  "&amp;"            FILTER('Raw PhocalPoint Data'!G:G,
                'Raw PhocalPoint Data'!A:A = 2011,
                'Raw PhocalPoint Data'!D:D = D393,
                'Raw PhocalPoint Data'!E:E = E393,
                'Raw PhocalPoint Data'!F:F = F393
     "&amp;"         ) -
              ROW(INDIRECT(""1:"" &amp; (2008 - A393))) *
              (
                (
                  FILTER('Raw PhocalPoint Data'!G:G,
                    'Raw PhocalPoint Data'!A:A = 2012,
                    'Raw PhocalPoint Data'!D:D"&amp;" = D393,
                    'Raw PhocalPoint Data'!E:E = E393,
                    'Raw PhocalPoint Data'!F:F = F393
                  ) /
                  FILTER('Raw PhocalPoint Data'!G:G,
                    'Raw PhocalPoint Data'!A:A = 2011,
       "&amp;"             'Raw PhocalPoint Data'!D:D = D393,
                    'Raw PhocalPoint Data'!E:E = E393,
                    'Raw PhocalPoint Data'!F:F = F393
                  ) - 1
                ) / 5
              )
            )
          )
        )
"&amp;"      )
    ),
    (
      FILTER('Raw PhocalPoint Data'!G:G,
        'Raw PhocalPoint Data'!A:A = 2009,
        'Raw PhocalPoint Data'!D:D = D393,
        'Raw PhocalPoint Data'!E:E = E393,
        'Raw PhocalPoint Data'!F:F = F393
      ) /
      PRODUC"&amp;"T(
        ARRAYFORMULA(
          (
            FILTER('Raw PhocalPoint Data'!G:G,
              'Raw PhocalPoint Data'!A:A = 2012,
              'Raw PhocalPoint Data'!D:D = D393,
              'Raw PhocalPoint Data'!E:E = E393,
              'Raw Phoca"&amp;"lPoint Data'!F:F = F393
            ) /
            FILTER('Raw PhocalPoint Data'!G:G,
              'Raw PhocalPoint Data'!A:A = 2011,
              'Raw PhocalPoint Data'!D:D = D393,
              'Raw PhocalPoint Data'!E:E = E393,
              'Raw Ph"&amp;"ocalPoint Data'!F:F = F393
            ) -
            (ROW(INDIRECT(""1:"" &amp; (2010 - A393))) - 1) *
            (
              (
                FILTER('Raw PhocalPoint Data'!G:G,
                  'Raw PhocalPoint Data'!A:A = 2012,
                  'R"&amp;"aw PhocalPoint Data'!D:D = D393,
                  'Raw PhocalPoint Data'!E:E = E393,
                  'Raw PhocalPoint Data'!F:F = F393
                ) /
                FILTER('Raw PhocalPoint Data'!G:G,
                  'Raw PhocalPoint Data'!A:A ="&amp;" 2011,
                  'Raw PhocalPoint Data'!D:D = D393,
                  'Raw PhocalPoint Data'!E:E = E393,
                  'Raw PhocalPoint Data'!F:F = F393
                ) - 1
              ) / 5
            )
          )
        )
      )
    "&amp;") *
    INDEX('Raw GDP data'!$I$2:$M$100,
      MATCH(D393, 'Raw GDP data'!$H$2:$H$100, 0),
      MATCH(A393, 'Raw GDP data'!$I$1:$M$1, 0)
    )
  )),
  """"
)
"),39635601.314615)</f>
        <v>39635601.314614996</v>
      </c>
      <c r="H393" s="86"/>
      <c r="I393" s="87">
        <f ca="1">IFERROR(__xludf.DUMMYFUNCTION("""COMPUTED_VALUE"""),2014)</f>
        <v>2014</v>
      </c>
      <c r="J393" s="88" t="str">
        <f ca="1">IFERROR(__xludf.DUMMYFUNCTION("""COMPUTED_VALUE"""),"Colombia")</f>
        <v>Colombia</v>
      </c>
      <c r="K393" s="89">
        <f ca="1">IFERROR(
  SUMIFS(
    'New Backfilled Data'!G:G,
    'New Backfilled Data'!A:A, I393,
    'New Backfilled Data'!D:D, J393,
    'New Backfilled Data'!E:E, "Online"
  ) /
  SUMIFS(
    'New Backfilled Data'!G:G,
    'New Backfilled Data'!A:A, I393,
    'New Backfilled Data'!D:D, J393
  ),
  ""
)</f>
        <v>0.25806329547689105</v>
      </c>
      <c r="L393" s="90"/>
      <c r="M393" s="90"/>
    </row>
    <row r="394" spans="1:13" ht="17" x14ac:dyDescent="0.2">
      <c r="A394" s="37">
        <v>2008</v>
      </c>
      <c r="B394" s="38" t="s">
        <v>66</v>
      </c>
      <c r="C394" s="38" t="s">
        <v>4</v>
      </c>
      <c r="D394" s="38" t="s">
        <v>13</v>
      </c>
      <c r="E394" s="38" t="s">
        <v>69</v>
      </c>
      <c r="F394" s="38" t="s">
        <v>70</v>
      </c>
      <c r="G394" s="79">
        <f ca="1">IFERROR(__xludf.DUMMYFUNCTION("IFERROR(
  IF(A394 = 2008,
    IF(E394 = ""Online"",
      FILTER('Raw PhocalPoint Data'!G:G,
        'Raw PhocalPoint Data'!A:A = 2009,
        'Raw PhocalPoint Data'!D:D = D394,
        'Raw PhocalPoint Data'!E:E = E394,
        'Raw PhocalPoint Data'!F"&amp;":F = F394
      ) /
      (
        FILTER('Raw PhocalPoint Data'!G:G,
          'Raw PhocalPoint Data'!A:A = 2012,
          'Raw PhocalPoint Data'!D:D = D394,
          'Raw PhocalPoint Data'!E:E = E394,
          'Raw PhocalPoint Data'!F:F = F394
     "&amp;"   ) /
        FILTER('Raw PhocalPoint Data'!G:G,
          'Raw PhocalPoint Data'!A:A = 2011,
          'Raw PhocalPoint Data'!D:D = D394,
          'Raw PhocalPoint Data'!E:E = E394,
          'Raw PhocalPoint Data'!F:F = F394
        )
      ),
      F"&amp;"ILTER('Raw PhocalPoint Data'!G:G,
        'Raw PhocalPoint Data'!A:A = 2009,
        'Raw PhocalPoint Data'!D:D = D394,
        'Raw PhocalPoint Data'!E:E = E394,
        'Raw PhocalPoint Data'!F:F = F394
      ) *
      (
        INDEX('Raw GDP data'!$I$"&amp;"2:$M$100,
          MATCH(D394, 'Raw GDP data'!$H$2:$H$100, 0),
          MATCH(2008, 'Raw GDP data'!$I$1:$M$1, 0)
        ) /
        INDEX('Raw GDP data'!$I$2:$M$100,
          MATCH(D394, 'Raw GDP data'!$H$2:$H$100, 0),
          MATCH(2009, 'Raw GDP d"&amp;"ata'!$I$1:$M$1, 0)
        )
      )
    ),
  IF(A394 &lt; 2008,
    (
      FILTER(G:G,
        A:A = 2008,
        D:D = D394,
        E:E = E394,
        F:F = F394
      ) /
      PRODUCT(
        ARRAYFORMULA(
          (
            (
              FIL"&amp;"TER('Raw PhocalPoint Data'!G:G,
                'Raw PhocalPoint Data'!A:A = 2012,
                'Raw PhocalPoint Data'!D:D = D394,
                'Raw PhocalPoint Data'!E:E = E394,
                'Raw PhocalPoint Data'!F:F = F394
              ) /
  "&amp;"            FILTER('Raw PhocalPoint Data'!G:G,
                'Raw PhocalPoint Data'!A:A = 2011,
                'Raw PhocalPoint Data'!D:D = D394,
                'Raw PhocalPoint Data'!E:E = E394,
                'Raw PhocalPoint Data'!F:F = F394
     "&amp;"         ) -
              ROW(INDIRECT(""1:"" &amp; (2008 - A394))) *
              (
                (
                  FILTER('Raw PhocalPoint Data'!G:G,
                    'Raw PhocalPoint Data'!A:A = 2012,
                    'Raw PhocalPoint Data'!D:D"&amp;" = D394,
                    'Raw PhocalPoint Data'!E:E = E394,
                    'Raw PhocalPoint Data'!F:F = F394
                  ) /
                  FILTER('Raw PhocalPoint Data'!G:G,
                    'Raw PhocalPoint Data'!A:A = 2011,
       "&amp;"             'Raw PhocalPoint Data'!D:D = D394,
                    'Raw PhocalPoint Data'!E:E = E394,
                    'Raw PhocalPoint Data'!F:F = F394
                  ) - 1
                ) / 5
              )
            )
          )
        )
"&amp;"      )
    ),
    (
      FILTER('Raw PhocalPoint Data'!G:G,
        'Raw PhocalPoint Data'!A:A = 2009,
        'Raw PhocalPoint Data'!D:D = D394,
        'Raw PhocalPoint Data'!E:E = E394,
        'Raw PhocalPoint Data'!F:F = F394
      ) /
      PRODUC"&amp;"T(
        ARRAYFORMULA(
          (
            FILTER('Raw PhocalPoint Data'!G:G,
              'Raw PhocalPoint Data'!A:A = 2012,
              'Raw PhocalPoint Data'!D:D = D394,
              'Raw PhocalPoint Data'!E:E = E394,
              'Raw Phoca"&amp;"lPoint Data'!F:F = F394
            ) /
            FILTER('Raw PhocalPoint Data'!G:G,
              'Raw PhocalPoint Data'!A:A = 2011,
              'Raw PhocalPoint Data'!D:D = D394,
              'Raw PhocalPoint Data'!E:E = E394,
              'Raw Ph"&amp;"ocalPoint Data'!F:F = F394
            ) -
            (ROW(INDIRECT(""1:"" &amp; (2010 - A394))) - 1) *
            (
              (
                FILTER('Raw PhocalPoint Data'!G:G,
                  'Raw PhocalPoint Data'!A:A = 2012,
                  'R"&amp;"aw PhocalPoint Data'!D:D = D394,
                  'Raw PhocalPoint Data'!E:E = E394,
                  'Raw PhocalPoint Data'!F:F = F394
                ) /
                FILTER('Raw PhocalPoint Data'!G:G,
                  'Raw PhocalPoint Data'!A:A ="&amp;" 2011,
                  'Raw PhocalPoint Data'!D:D = D394,
                  'Raw PhocalPoint Data'!E:E = E394,
                  'Raw PhocalPoint Data'!F:F = F394
                ) - 1
              ) / 5
            )
          )
        )
      )
    "&amp;") *
    INDEX('Raw GDP data'!$I$2:$M$100,
      MATCH(D394, 'Raw GDP data'!$H$2:$H$100, 0),
      MATCH(A394, 'Raw GDP data'!$I$1:$M$1, 0)
    )
  )),
  """"
)
"),824744111.200329)</f>
        <v>824744111.20032895</v>
      </c>
      <c r="H394" s="80"/>
      <c r="I394" s="81">
        <f ca="1">IFERROR(__xludf.DUMMYFUNCTION("""COMPUTED_VALUE"""),2014)</f>
        <v>2014</v>
      </c>
      <c r="J394" s="82" t="str">
        <f ca="1">IFERROR(__xludf.DUMMYFUNCTION("""COMPUTED_VALUE"""),"Mexico")</f>
        <v>Mexico</v>
      </c>
      <c r="K394" s="83">
        <f ca="1">IFERROR(
  SUMIFS(
    'New Backfilled Data'!G:G,
    'New Backfilled Data'!A:A, I394,
    'New Backfilled Data'!D:D, J394,
    'New Backfilled Data'!E:E, "Online"
  ) /
  SUMIFS(
    'New Backfilled Data'!G:G,
    'New Backfilled Data'!A:A, I394,
    'New Backfilled Data'!D:D, J394
  ),
  ""
)</f>
        <v>0.27062409111780761</v>
      </c>
      <c r="L394" s="84"/>
      <c r="M394" s="84"/>
    </row>
    <row r="395" spans="1:13" ht="17" x14ac:dyDescent="0.2">
      <c r="A395" s="44">
        <v>2008</v>
      </c>
      <c r="B395" s="45" t="s">
        <v>66</v>
      </c>
      <c r="C395" s="45" t="s">
        <v>4</v>
      </c>
      <c r="D395" s="45" t="s">
        <v>14</v>
      </c>
      <c r="E395" s="45" t="s">
        <v>67</v>
      </c>
      <c r="F395" s="45" t="s">
        <v>67</v>
      </c>
      <c r="G395" s="85">
        <f ca="1">IFERROR(__xludf.DUMMYFUNCTION("IFERROR(
  IF(A395 = 2008,
    IF(E395 = ""Online"",
      FILTER('Raw PhocalPoint Data'!G:G,
        'Raw PhocalPoint Data'!A:A = 2009,
        'Raw PhocalPoint Data'!D:D = D395,
        'Raw PhocalPoint Data'!E:E = E395,
        'Raw PhocalPoint Data'!F"&amp;":F = F395
      ) /
      (
        FILTER('Raw PhocalPoint Data'!G:G,
          'Raw PhocalPoint Data'!A:A = 2012,
          'Raw PhocalPoint Data'!D:D = D395,
          'Raw PhocalPoint Data'!E:E = E395,
          'Raw PhocalPoint Data'!F:F = F395
     "&amp;"   ) /
        FILTER('Raw PhocalPoint Data'!G:G,
          'Raw PhocalPoint Data'!A:A = 2011,
          'Raw PhocalPoint Data'!D:D = D395,
          'Raw PhocalPoint Data'!E:E = E395,
          'Raw PhocalPoint Data'!F:F = F395
        )
      ),
      F"&amp;"ILTER('Raw PhocalPoint Data'!G:G,
        'Raw PhocalPoint Data'!A:A = 2009,
        'Raw PhocalPoint Data'!D:D = D395,
        'Raw PhocalPoint Data'!E:E = E395,
        'Raw PhocalPoint Data'!F:F = F395
      ) *
      (
        INDEX('Raw GDP data'!$I$"&amp;"2:$M$100,
          MATCH(D395, 'Raw GDP data'!$H$2:$H$100, 0),
          MATCH(2008, 'Raw GDP data'!$I$1:$M$1, 0)
        ) /
        INDEX('Raw GDP data'!$I$2:$M$100,
          MATCH(D395, 'Raw GDP data'!$H$2:$H$100, 0),
          MATCH(2009, 'Raw GDP d"&amp;"ata'!$I$1:$M$1, 0)
        )
      )
    ),
  IF(A395 &lt; 2008,
    (
      FILTER(G:G,
        A:A = 2008,
        D:D = D395,
        E:E = E395,
        F:F = F395
      ) /
      PRODUCT(
        ARRAYFORMULA(
          (
            (
              FIL"&amp;"TER('Raw PhocalPoint Data'!G:G,
                'Raw PhocalPoint Data'!A:A = 2012,
                'Raw PhocalPoint Data'!D:D = D395,
                'Raw PhocalPoint Data'!E:E = E395,
                'Raw PhocalPoint Data'!F:F = F395
              ) /
  "&amp;"            FILTER('Raw PhocalPoint Data'!G:G,
                'Raw PhocalPoint Data'!A:A = 2011,
                'Raw PhocalPoint Data'!D:D = D395,
                'Raw PhocalPoint Data'!E:E = E395,
                'Raw PhocalPoint Data'!F:F = F395
     "&amp;"         ) -
              ROW(INDIRECT(""1:"" &amp; (2008 - A395))) *
              (
                (
                  FILTER('Raw PhocalPoint Data'!G:G,
                    'Raw PhocalPoint Data'!A:A = 2012,
                    'Raw PhocalPoint Data'!D:D"&amp;" = D395,
                    'Raw PhocalPoint Data'!E:E = E395,
                    'Raw PhocalPoint Data'!F:F = F395
                  ) /
                  FILTER('Raw PhocalPoint Data'!G:G,
                    'Raw PhocalPoint Data'!A:A = 2011,
       "&amp;"             'Raw PhocalPoint Data'!D:D = D395,
                    'Raw PhocalPoint Data'!E:E = E395,
                    'Raw PhocalPoint Data'!F:F = F395
                  ) - 1
                ) / 5
              )
            )
          )
        )
"&amp;"      )
    ),
    (
      FILTER('Raw PhocalPoint Data'!G:G,
        'Raw PhocalPoint Data'!A:A = 2009,
        'Raw PhocalPoint Data'!D:D = D395,
        'Raw PhocalPoint Data'!E:E = E395,
        'Raw PhocalPoint Data'!F:F = F395
      ) /
      PRODUC"&amp;"T(
        ARRAYFORMULA(
          (
            FILTER('Raw PhocalPoint Data'!G:G,
              'Raw PhocalPoint Data'!A:A = 2012,
              'Raw PhocalPoint Data'!D:D = D395,
              'Raw PhocalPoint Data'!E:E = E395,
              'Raw Phoca"&amp;"lPoint Data'!F:F = F395
            ) /
            FILTER('Raw PhocalPoint Data'!G:G,
              'Raw PhocalPoint Data'!A:A = 2011,
              'Raw PhocalPoint Data'!D:D = D395,
              'Raw PhocalPoint Data'!E:E = E395,
              'Raw Ph"&amp;"ocalPoint Data'!F:F = F395
            ) -
            (ROW(INDIRECT(""1:"" &amp; (2010 - A395))) - 1) *
            (
              (
                FILTER('Raw PhocalPoint Data'!G:G,
                  'Raw PhocalPoint Data'!A:A = 2012,
                  'R"&amp;"aw PhocalPoint Data'!D:D = D395,
                  'Raw PhocalPoint Data'!E:E = E395,
                  'Raw PhocalPoint Data'!F:F = F395
                ) /
                FILTER('Raw PhocalPoint Data'!G:G,
                  'Raw PhocalPoint Data'!A:A ="&amp;" 2011,
                  'Raw PhocalPoint Data'!D:D = D395,
                  'Raw PhocalPoint Data'!E:E = E395,
                  'Raw PhocalPoint Data'!F:F = F395
                ) - 1
              ) / 5
            )
          )
        )
      )
    "&amp;") *
    INDEX('Raw GDP data'!$I$2:$M$100,
      MATCH(D395, 'Raw GDP data'!$H$2:$H$100, 0),
      MATCH(A395, 'Raw GDP data'!$I$1:$M$1, 0)
    )
  )),
  """"
)
"),4524203695.28671)</f>
        <v>4524203695.2867098</v>
      </c>
      <c r="H395" s="86"/>
      <c r="I395" s="87">
        <f ca="1">IFERROR(__xludf.DUMMYFUNCTION("""COMPUTED_VALUE"""),2014)</f>
        <v>2014</v>
      </c>
      <c r="J395" s="88" t="str">
        <f ca="1">IFERROR(__xludf.DUMMYFUNCTION("""COMPUTED_VALUE"""),"Egypt")</f>
        <v>Egypt</v>
      </c>
      <c r="K395" s="89">
        <f ca="1">IFERROR(
  SUMIFS(
    'New Backfilled Data'!G:G,
    'New Backfilled Data'!A:A, I395,
    'New Backfilled Data'!D:D, J395,
    'New Backfilled Data'!E:E, "Online"
  ) /
  SUMIFS(
    'New Backfilled Data'!G:G,
    'New Backfilled Data'!A:A, I395,
    'New Backfilled Data'!D:D, J395
  ),
  ""
)</f>
        <v>0.10625562264604128</v>
      </c>
      <c r="L395" s="90"/>
      <c r="M395" s="90"/>
    </row>
    <row r="396" spans="1:13" ht="17" x14ac:dyDescent="0.2">
      <c r="A396" s="37">
        <v>2008</v>
      </c>
      <c r="B396" s="38" t="s">
        <v>66</v>
      </c>
      <c r="C396" s="38" t="s">
        <v>4</v>
      </c>
      <c r="D396" s="38" t="s">
        <v>14</v>
      </c>
      <c r="E396" s="38" t="s">
        <v>69</v>
      </c>
      <c r="F396" s="38" t="s">
        <v>71</v>
      </c>
      <c r="G396" s="79">
        <f ca="1">IFERROR(__xludf.DUMMYFUNCTION("IFERROR(
  IF(A396 = 2008,
    IF(E396 = ""Online"",
      FILTER('Raw PhocalPoint Data'!G:G,
        'Raw PhocalPoint Data'!A:A = 2009,
        'Raw PhocalPoint Data'!D:D = D396,
        'Raw PhocalPoint Data'!E:E = E396,
        'Raw PhocalPoint Data'!F"&amp;":F = F396
      ) /
      (
        FILTER('Raw PhocalPoint Data'!G:G,
          'Raw PhocalPoint Data'!A:A = 2012,
          'Raw PhocalPoint Data'!D:D = D396,
          'Raw PhocalPoint Data'!E:E = E396,
          'Raw PhocalPoint Data'!F:F = F396
     "&amp;"   ) /
        FILTER('Raw PhocalPoint Data'!G:G,
          'Raw PhocalPoint Data'!A:A = 2011,
          'Raw PhocalPoint Data'!D:D = D396,
          'Raw PhocalPoint Data'!E:E = E396,
          'Raw PhocalPoint Data'!F:F = F396
        )
      ),
      F"&amp;"ILTER('Raw PhocalPoint Data'!G:G,
        'Raw PhocalPoint Data'!A:A = 2009,
        'Raw PhocalPoint Data'!D:D = D396,
        'Raw PhocalPoint Data'!E:E = E396,
        'Raw PhocalPoint Data'!F:F = F396
      ) *
      (
        INDEX('Raw GDP data'!$I$"&amp;"2:$M$100,
          MATCH(D396, 'Raw GDP data'!$H$2:$H$100, 0),
          MATCH(2008, 'Raw GDP data'!$I$1:$M$1, 0)
        ) /
        INDEX('Raw GDP data'!$I$2:$M$100,
          MATCH(D396, 'Raw GDP data'!$H$2:$H$100, 0),
          MATCH(2009, 'Raw GDP d"&amp;"ata'!$I$1:$M$1, 0)
        )
      )
    ),
  IF(A396 &lt; 2008,
    (
      FILTER(G:G,
        A:A = 2008,
        D:D = D396,
        E:E = E396,
        F:F = F396
      ) /
      PRODUCT(
        ARRAYFORMULA(
          (
            (
              FIL"&amp;"TER('Raw PhocalPoint Data'!G:G,
                'Raw PhocalPoint Data'!A:A = 2012,
                'Raw PhocalPoint Data'!D:D = D396,
                'Raw PhocalPoint Data'!E:E = E396,
                'Raw PhocalPoint Data'!F:F = F396
              ) /
  "&amp;"            FILTER('Raw PhocalPoint Data'!G:G,
                'Raw PhocalPoint Data'!A:A = 2011,
                'Raw PhocalPoint Data'!D:D = D396,
                'Raw PhocalPoint Data'!E:E = E396,
                'Raw PhocalPoint Data'!F:F = F396
     "&amp;"         ) -
              ROW(INDIRECT(""1:"" &amp; (2008 - A396))) *
              (
                (
                  FILTER('Raw PhocalPoint Data'!G:G,
                    'Raw PhocalPoint Data'!A:A = 2012,
                    'Raw PhocalPoint Data'!D:D"&amp;" = D396,
                    'Raw PhocalPoint Data'!E:E = E396,
                    'Raw PhocalPoint Data'!F:F = F396
                  ) /
                  FILTER('Raw PhocalPoint Data'!G:G,
                    'Raw PhocalPoint Data'!A:A = 2011,
       "&amp;"             'Raw PhocalPoint Data'!D:D = D396,
                    'Raw PhocalPoint Data'!E:E = E396,
                    'Raw PhocalPoint Data'!F:F = F396
                  ) - 1
                ) / 5
              )
            )
          )
        )
"&amp;"      )
    ),
    (
      FILTER('Raw PhocalPoint Data'!G:G,
        'Raw PhocalPoint Data'!A:A = 2009,
        'Raw PhocalPoint Data'!D:D = D396,
        'Raw PhocalPoint Data'!E:E = E396,
        'Raw PhocalPoint Data'!F:F = F396
      ) /
      PRODUC"&amp;"T(
        ARRAYFORMULA(
          (
            FILTER('Raw PhocalPoint Data'!G:G,
              'Raw PhocalPoint Data'!A:A = 2012,
              'Raw PhocalPoint Data'!D:D = D396,
              'Raw PhocalPoint Data'!E:E = E396,
              'Raw Phoca"&amp;"lPoint Data'!F:F = F396
            ) /
            FILTER('Raw PhocalPoint Data'!G:G,
              'Raw PhocalPoint Data'!A:A = 2011,
              'Raw PhocalPoint Data'!D:D = D396,
              'Raw PhocalPoint Data'!E:E = E396,
              'Raw Ph"&amp;"ocalPoint Data'!F:F = F396
            ) -
            (ROW(INDIRECT(""1:"" &amp; (2010 - A396))) - 1) *
            (
              (
                FILTER('Raw PhocalPoint Data'!G:G,
                  'Raw PhocalPoint Data'!A:A = 2012,
                  'R"&amp;"aw PhocalPoint Data'!D:D = D396,
                  'Raw PhocalPoint Data'!E:E = E396,
                  'Raw PhocalPoint Data'!F:F = F396
                ) /
                FILTER('Raw PhocalPoint Data'!G:G,
                  'Raw PhocalPoint Data'!A:A ="&amp;" 2011,
                  'Raw PhocalPoint Data'!D:D = D396,
                  'Raw PhocalPoint Data'!E:E = E396,
                  'Raw PhocalPoint Data'!F:F = F396
                ) - 1
              ) / 5
            )
          )
        )
      )
    "&amp;") *
    INDEX('Raw GDP data'!$I$2:$M$100,
      MATCH(D396, 'Raw GDP data'!$H$2:$H$100, 0),
      MATCH(A396, 'Raw GDP data'!$I$1:$M$1, 0)
    )
  )),
  """"
)
"),65272752.5383798)</f>
        <v>65272752.538379803</v>
      </c>
      <c r="H396" s="80"/>
      <c r="I396" s="81">
        <f ca="1">IFERROR(__xludf.DUMMYFUNCTION("""COMPUTED_VALUE"""),2014)</f>
        <v>2014</v>
      </c>
      <c r="J396" s="82" t="str">
        <f ca="1">IFERROR(__xludf.DUMMYFUNCTION("""COMPUTED_VALUE"""),"Qatar")</f>
        <v>Qatar</v>
      </c>
      <c r="K396" s="83">
        <f ca="1">IFERROR(
  SUMIFS(
    'New Backfilled Data'!G:G,
    'New Backfilled Data'!A:A, I396,
    'New Backfilled Data'!D:D, J396,
    'New Backfilled Data'!E:E, "Online"
  ) /
  SUMIFS(
    'New Backfilled Data'!G:G,
    'New Backfilled Data'!A:A, I396,
    'New Backfilled Data'!D:D, J396
  ),
  ""
)</f>
        <v>0.21604157270772836</v>
      </c>
      <c r="L396" s="84"/>
      <c r="M396" s="84"/>
    </row>
    <row r="397" spans="1:13" ht="34" x14ac:dyDescent="0.2">
      <c r="A397" s="44">
        <v>2008</v>
      </c>
      <c r="B397" s="45" t="s">
        <v>66</v>
      </c>
      <c r="C397" s="45" t="s">
        <v>4</v>
      </c>
      <c r="D397" s="45" t="s">
        <v>14</v>
      </c>
      <c r="E397" s="45" t="s">
        <v>69</v>
      </c>
      <c r="F397" s="45" t="s">
        <v>70</v>
      </c>
      <c r="G397" s="85">
        <f ca="1">IFERROR(__xludf.DUMMYFUNCTION("IFERROR(
  IF(A397 = 2008,
    IF(E397 = ""Online"",
      FILTER('Raw PhocalPoint Data'!G:G,
        'Raw PhocalPoint Data'!A:A = 2009,
        'Raw PhocalPoint Data'!D:D = D397,
        'Raw PhocalPoint Data'!E:E = E397,
        'Raw PhocalPoint Data'!F"&amp;":F = F397
      ) /
      (
        FILTER('Raw PhocalPoint Data'!G:G,
          'Raw PhocalPoint Data'!A:A = 2012,
          'Raw PhocalPoint Data'!D:D = D397,
          'Raw PhocalPoint Data'!E:E = E397,
          'Raw PhocalPoint Data'!F:F = F397
     "&amp;"   ) /
        FILTER('Raw PhocalPoint Data'!G:G,
          'Raw PhocalPoint Data'!A:A = 2011,
          'Raw PhocalPoint Data'!D:D = D397,
          'Raw PhocalPoint Data'!E:E = E397,
          'Raw PhocalPoint Data'!F:F = F397
        )
      ),
      F"&amp;"ILTER('Raw PhocalPoint Data'!G:G,
        'Raw PhocalPoint Data'!A:A = 2009,
        'Raw PhocalPoint Data'!D:D = D397,
        'Raw PhocalPoint Data'!E:E = E397,
        'Raw PhocalPoint Data'!F:F = F397
      ) *
      (
        INDEX('Raw GDP data'!$I$"&amp;"2:$M$100,
          MATCH(D397, 'Raw GDP data'!$H$2:$H$100, 0),
          MATCH(2008, 'Raw GDP data'!$I$1:$M$1, 0)
        ) /
        INDEX('Raw GDP data'!$I$2:$M$100,
          MATCH(D397, 'Raw GDP data'!$H$2:$H$100, 0),
          MATCH(2009, 'Raw GDP d"&amp;"ata'!$I$1:$M$1, 0)
        )
      )
    ),
  IF(A397 &lt; 2008,
    (
      FILTER(G:G,
        A:A = 2008,
        D:D = D397,
        E:E = E397,
        F:F = F397
      ) /
      PRODUCT(
        ARRAYFORMULA(
          (
            (
              FIL"&amp;"TER('Raw PhocalPoint Data'!G:G,
                'Raw PhocalPoint Data'!A:A = 2012,
                'Raw PhocalPoint Data'!D:D = D397,
                'Raw PhocalPoint Data'!E:E = E397,
                'Raw PhocalPoint Data'!F:F = F397
              ) /
  "&amp;"            FILTER('Raw PhocalPoint Data'!G:G,
                'Raw PhocalPoint Data'!A:A = 2011,
                'Raw PhocalPoint Data'!D:D = D397,
                'Raw PhocalPoint Data'!E:E = E397,
                'Raw PhocalPoint Data'!F:F = F397
     "&amp;"         ) -
              ROW(INDIRECT(""1:"" &amp; (2008 - A397))) *
              (
                (
                  FILTER('Raw PhocalPoint Data'!G:G,
                    'Raw PhocalPoint Data'!A:A = 2012,
                    'Raw PhocalPoint Data'!D:D"&amp;" = D397,
                    'Raw PhocalPoint Data'!E:E = E397,
                    'Raw PhocalPoint Data'!F:F = F397
                  ) /
                  FILTER('Raw PhocalPoint Data'!G:G,
                    'Raw PhocalPoint Data'!A:A = 2011,
       "&amp;"             'Raw PhocalPoint Data'!D:D = D397,
                    'Raw PhocalPoint Data'!E:E = E397,
                    'Raw PhocalPoint Data'!F:F = F397
                  ) - 1
                ) / 5
              )
            )
          )
        )
"&amp;"      )
    ),
    (
      FILTER('Raw PhocalPoint Data'!G:G,
        'Raw PhocalPoint Data'!A:A = 2009,
        'Raw PhocalPoint Data'!D:D = D397,
        'Raw PhocalPoint Data'!E:E = E397,
        'Raw PhocalPoint Data'!F:F = F397
      ) /
      PRODUC"&amp;"T(
        ARRAYFORMULA(
          (
            FILTER('Raw PhocalPoint Data'!G:G,
              'Raw PhocalPoint Data'!A:A = 2012,
              'Raw PhocalPoint Data'!D:D = D397,
              'Raw PhocalPoint Data'!E:E = E397,
              'Raw Phoca"&amp;"lPoint Data'!F:F = F397
            ) /
            FILTER('Raw PhocalPoint Data'!G:G,
              'Raw PhocalPoint Data'!A:A = 2011,
              'Raw PhocalPoint Data'!D:D = D397,
              'Raw PhocalPoint Data'!E:E = E397,
              'Raw Ph"&amp;"ocalPoint Data'!F:F = F397
            ) -
            (ROW(INDIRECT(""1:"" &amp; (2010 - A397))) - 1) *
            (
              (
                FILTER('Raw PhocalPoint Data'!G:G,
                  'Raw PhocalPoint Data'!A:A = 2012,
                  'R"&amp;"aw PhocalPoint Data'!D:D = D397,
                  'Raw PhocalPoint Data'!E:E = E397,
                  'Raw PhocalPoint Data'!F:F = F397
                ) /
                FILTER('Raw PhocalPoint Data'!G:G,
                  'Raw PhocalPoint Data'!A:A ="&amp;" 2011,
                  'Raw PhocalPoint Data'!D:D = D397,
                  'Raw PhocalPoint Data'!E:E = E397,
                  'Raw PhocalPoint Data'!F:F = F397
                ) - 1
              ) / 5
            )
          )
        )
      )
    "&amp;") *
    INDEX('Raw GDP data'!$I$2:$M$100,
      MATCH(D397, 'Raw GDP data'!$H$2:$H$100, 0),
      MATCH(A397, 'Raw GDP data'!$I$1:$M$1, 0)
    )
  )),
  """"
)
"),249309832.879606)</f>
        <v>249309832.87960601</v>
      </c>
      <c r="H397" s="86"/>
      <c r="I397" s="87">
        <f ca="1">IFERROR(__xludf.DUMMYFUNCTION("""COMPUTED_VALUE"""),2014)</f>
        <v>2014</v>
      </c>
      <c r="J397" s="88" t="str">
        <f ca="1">IFERROR(__xludf.DUMMYFUNCTION("""COMPUTED_VALUE"""),"Rest of Middle East")</f>
        <v>Rest of Middle East</v>
      </c>
      <c r="K397" s="89">
        <f ca="1">IFERROR(
  SUMIFS(
    'New Backfilled Data'!G:G,
    'New Backfilled Data'!A:A, I397,
    'New Backfilled Data'!D:D, J397,
    'New Backfilled Data'!E:E, "Online"
  ) /
  SUMIFS(
    'New Backfilled Data'!G:G,
    'New Backfilled Data'!A:A, I397,
    'New Backfilled Data'!D:D, J397
  ),
  ""
)</f>
        <v>0.1994028971633526</v>
      </c>
      <c r="L397" s="90"/>
      <c r="M397" s="90"/>
    </row>
    <row r="398" spans="1:13" ht="17" x14ac:dyDescent="0.2">
      <c r="A398" s="37">
        <v>2008</v>
      </c>
      <c r="B398" s="38" t="s">
        <v>66</v>
      </c>
      <c r="C398" s="38" t="s">
        <v>4</v>
      </c>
      <c r="D398" s="38" t="s">
        <v>15</v>
      </c>
      <c r="E398" s="38" t="s">
        <v>67</v>
      </c>
      <c r="F398" s="38" t="s">
        <v>67</v>
      </c>
      <c r="G398" s="79">
        <f ca="1">IFERROR(__xludf.DUMMYFUNCTION("IFERROR(
  IF(A398 = 2008,
    IF(E398 = ""Online"",
      FILTER('Raw PhocalPoint Data'!G:G,
        'Raw PhocalPoint Data'!A:A = 2009,
        'Raw PhocalPoint Data'!D:D = D398,
        'Raw PhocalPoint Data'!E:E = E398,
        'Raw PhocalPoint Data'!F"&amp;":F = F398
      ) /
      (
        FILTER('Raw PhocalPoint Data'!G:G,
          'Raw PhocalPoint Data'!A:A = 2012,
          'Raw PhocalPoint Data'!D:D = D398,
          'Raw PhocalPoint Data'!E:E = E398,
          'Raw PhocalPoint Data'!F:F = F398
     "&amp;"   ) /
        FILTER('Raw PhocalPoint Data'!G:G,
          'Raw PhocalPoint Data'!A:A = 2011,
          'Raw PhocalPoint Data'!D:D = D398,
          'Raw PhocalPoint Data'!E:E = E398,
          'Raw PhocalPoint Data'!F:F = F398
        )
      ),
      F"&amp;"ILTER('Raw PhocalPoint Data'!G:G,
        'Raw PhocalPoint Data'!A:A = 2009,
        'Raw PhocalPoint Data'!D:D = D398,
        'Raw PhocalPoint Data'!E:E = E398,
        'Raw PhocalPoint Data'!F:F = F398
      ) *
      (
        INDEX('Raw GDP data'!$I$"&amp;"2:$M$100,
          MATCH(D398, 'Raw GDP data'!$H$2:$H$100, 0),
          MATCH(2008, 'Raw GDP data'!$I$1:$M$1, 0)
        ) /
        INDEX('Raw GDP data'!$I$2:$M$100,
          MATCH(D398, 'Raw GDP data'!$H$2:$H$100, 0),
          MATCH(2009, 'Raw GDP d"&amp;"ata'!$I$1:$M$1, 0)
        )
      )
    ),
  IF(A398 &lt; 2008,
    (
      FILTER(G:G,
        A:A = 2008,
        D:D = D398,
        E:E = E398,
        F:F = F398
      ) /
      PRODUCT(
        ARRAYFORMULA(
          (
            (
              FIL"&amp;"TER('Raw PhocalPoint Data'!G:G,
                'Raw PhocalPoint Data'!A:A = 2012,
                'Raw PhocalPoint Data'!D:D = D398,
                'Raw PhocalPoint Data'!E:E = E398,
                'Raw PhocalPoint Data'!F:F = F398
              ) /
  "&amp;"            FILTER('Raw PhocalPoint Data'!G:G,
                'Raw PhocalPoint Data'!A:A = 2011,
                'Raw PhocalPoint Data'!D:D = D398,
                'Raw PhocalPoint Data'!E:E = E398,
                'Raw PhocalPoint Data'!F:F = F398
     "&amp;"         ) -
              ROW(INDIRECT(""1:"" &amp; (2008 - A398))) *
              (
                (
                  FILTER('Raw PhocalPoint Data'!G:G,
                    'Raw PhocalPoint Data'!A:A = 2012,
                    'Raw PhocalPoint Data'!D:D"&amp;" = D398,
                    'Raw PhocalPoint Data'!E:E = E398,
                    'Raw PhocalPoint Data'!F:F = F398
                  ) /
                  FILTER('Raw PhocalPoint Data'!G:G,
                    'Raw PhocalPoint Data'!A:A = 2011,
       "&amp;"             'Raw PhocalPoint Data'!D:D = D398,
                    'Raw PhocalPoint Data'!E:E = E398,
                    'Raw PhocalPoint Data'!F:F = F398
                  ) - 1
                ) / 5
              )
            )
          )
        )
"&amp;"      )
    ),
    (
      FILTER('Raw PhocalPoint Data'!G:G,
        'Raw PhocalPoint Data'!A:A = 2009,
        'Raw PhocalPoint Data'!D:D = D398,
        'Raw PhocalPoint Data'!E:E = E398,
        'Raw PhocalPoint Data'!F:F = F398
      ) /
      PRODUC"&amp;"T(
        ARRAYFORMULA(
          (
            FILTER('Raw PhocalPoint Data'!G:G,
              'Raw PhocalPoint Data'!A:A = 2012,
              'Raw PhocalPoint Data'!D:D = D398,
              'Raw PhocalPoint Data'!E:E = E398,
              'Raw Phoca"&amp;"lPoint Data'!F:F = F398
            ) /
            FILTER('Raw PhocalPoint Data'!G:G,
              'Raw PhocalPoint Data'!A:A = 2011,
              'Raw PhocalPoint Data'!D:D = D398,
              'Raw PhocalPoint Data'!E:E = E398,
              'Raw Ph"&amp;"ocalPoint Data'!F:F = F398
            ) -
            (ROW(INDIRECT(""1:"" &amp; (2010 - A398))) - 1) *
            (
              (
                FILTER('Raw PhocalPoint Data'!G:G,
                  'Raw PhocalPoint Data'!A:A = 2012,
                  'R"&amp;"aw PhocalPoint Data'!D:D = D398,
                  'Raw PhocalPoint Data'!E:E = E398,
                  'Raw PhocalPoint Data'!F:F = F398
                ) /
                FILTER('Raw PhocalPoint Data'!G:G,
                  'Raw PhocalPoint Data'!A:A ="&amp;" 2011,
                  'Raw PhocalPoint Data'!D:D = D398,
                  'Raw PhocalPoint Data'!E:E = E398,
                  'Raw PhocalPoint Data'!F:F = F398
                ) - 1
              ) / 5
            )
          )
        )
      )
    "&amp;") *
    INDEX('Raw GDP data'!$I$2:$M$100,
      MATCH(D398, 'Raw GDP data'!$H$2:$H$100, 0),
      MATCH(A398, 'Raw GDP data'!$I$1:$M$1, 0)
    )
  )),
  """"
)
"),8496888911.51773)</f>
        <v>8496888911.5177298</v>
      </c>
      <c r="H398" s="80"/>
      <c r="I398" s="81">
        <f ca="1">IFERROR(__xludf.DUMMYFUNCTION("""COMPUTED_VALUE"""),2014)</f>
        <v>2014</v>
      </c>
      <c r="J398" s="82" t="str">
        <f ca="1">IFERROR(__xludf.DUMMYFUNCTION("""COMPUTED_VALUE"""),"Saudi Arabia")</f>
        <v>Saudi Arabia</v>
      </c>
      <c r="K398" s="83">
        <f ca="1">IFERROR(
  SUMIFS(
    'New Backfilled Data'!G:G,
    'New Backfilled Data'!A:A, I398,
    'New Backfilled Data'!D:D, J398,
    'New Backfilled Data'!E:E, "Online"
  ) /
  SUMIFS(
    'New Backfilled Data'!G:G,
    'New Backfilled Data'!A:A, I398,
    'New Backfilled Data'!D:D, J398
  ),
  ""
)</f>
        <v>0.21076050850951239</v>
      </c>
      <c r="L398" s="84"/>
      <c r="M398" s="84"/>
    </row>
    <row r="399" spans="1:13" ht="17" x14ac:dyDescent="0.2">
      <c r="A399" s="44">
        <v>2008</v>
      </c>
      <c r="B399" s="45" t="s">
        <v>66</v>
      </c>
      <c r="C399" s="45" t="s">
        <v>4</v>
      </c>
      <c r="D399" s="45" t="s">
        <v>15</v>
      </c>
      <c r="E399" s="45" t="s">
        <v>69</v>
      </c>
      <c r="F399" s="45" t="s">
        <v>71</v>
      </c>
      <c r="G399" s="85">
        <f ca="1">IFERROR(__xludf.DUMMYFUNCTION("IFERROR(
  IF(A399 = 2008,
    IF(E399 = ""Online"",
      FILTER('Raw PhocalPoint Data'!G:G,
        'Raw PhocalPoint Data'!A:A = 2009,
        'Raw PhocalPoint Data'!D:D = D399,
        'Raw PhocalPoint Data'!E:E = E399,
        'Raw PhocalPoint Data'!F"&amp;":F = F399
      ) /
      (
        FILTER('Raw PhocalPoint Data'!G:G,
          'Raw PhocalPoint Data'!A:A = 2012,
          'Raw PhocalPoint Data'!D:D = D399,
          'Raw PhocalPoint Data'!E:E = E399,
          'Raw PhocalPoint Data'!F:F = F399
     "&amp;"   ) /
        FILTER('Raw PhocalPoint Data'!G:G,
          'Raw PhocalPoint Data'!A:A = 2011,
          'Raw PhocalPoint Data'!D:D = D399,
          'Raw PhocalPoint Data'!E:E = E399,
          'Raw PhocalPoint Data'!F:F = F399
        )
      ),
      F"&amp;"ILTER('Raw PhocalPoint Data'!G:G,
        'Raw PhocalPoint Data'!A:A = 2009,
        'Raw PhocalPoint Data'!D:D = D399,
        'Raw PhocalPoint Data'!E:E = E399,
        'Raw PhocalPoint Data'!F:F = F399
      ) *
      (
        INDEX('Raw GDP data'!$I$"&amp;"2:$M$100,
          MATCH(D399, 'Raw GDP data'!$H$2:$H$100, 0),
          MATCH(2008, 'Raw GDP data'!$I$1:$M$1, 0)
        ) /
        INDEX('Raw GDP data'!$I$2:$M$100,
          MATCH(D399, 'Raw GDP data'!$H$2:$H$100, 0),
          MATCH(2009, 'Raw GDP d"&amp;"ata'!$I$1:$M$1, 0)
        )
      )
    ),
  IF(A399 &lt; 2008,
    (
      FILTER(G:G,
        A:A = 2008,
        D:D = D399,
        E:E = E399,
        F:F = F399
      ) /
      PRODUCT(
        ARRAYFORMULA(
          (
            (
              FIL"&amp;"TER('Raw PhocalPoint Data'!G:G,
                'Raw PhocalPoint Data'!A:A = 2012,
                'Raw PhocalPoint Data'!D:D = D399,
                'Raw PhocalPoint Data'!E:E = E399,
                'Raw PhocalPoint Data'!F:F = F399
              ) /
  "&amp;"            FILTER('Raw PhocalPoint Data'!G:G,
                'Raw PhocalPoint Data'!A:A = 2011,
                'Raw PhocalPoint Data'!D:D = D399,
                'Raw PhocalPoint Data'!E:E = E399,
                'Raw PhocalPoint Data'!F:F = F399
     "&amp;"         ) -
              ROW(INDIRECT(""1:"" &amp; (2008 - A399))) *
              (
                (
                  FILTER('Raw PhocalPoint Data'!G:G,
                    'Raw PhocalPoint Data'!A:A = 2012,
                    'Raw PhocalPoint Data'!D:D"&amp;" = D399,
                    'Raw PhocalPoint Data'!E:E = E399,
                    'Raw PhocalPoint Data'!F:F = F399
                  ) /
                  FILTER('Raw PhocalPoint Data'!G:G,
                    'Raw PhocalPoint Data'!A:A = 2011,
       "&amp;"             'Raw PhocalPoint Data'!D:D = D399,
                    'Raw PhocalPoint Data'!E:E = E399,
                    'Raw PhocalPoint Data'!F:F = F399
                  ) - 1
                ) / 5
              )
            )
          )
        )
"&amp;"      )
    ),
    (
      FILTER('Raw PhocalPoint Data'!G:G,
        'Raw PhocalPoint Data'!A:A = 2009,
        'Raw PhocalPoint Data'!D:D = D399,
        'Raw PhocalPoint Data'!E:E = E399,
        'Raw PhocalPoint Data'!F:F = F399
      ) /
      PRODUC"&amp;"T(
        ARRAYFORMULA(
          (
            FILTER('Raw PhocalPoint Data'!G:G,
              'Raw PhocalPoint Data'!A:A = 2012,
              'Raw PhocalPoint Data'!D:D = D399,
              'Raw PhocalPoint Data'!E:E = E399,
              'Raw Phoca"&amp;"lPoint Data'!F:F = F399
            ) /
            FILTER('Raw PhocalPoint Data'!G:G,
              'Raw PhocalPoint Data'!A:A = 2011,
              'Raw PhocalPoint Data'!D:D = D399,
              'Raw PhocalPoint Data'!E:E = E399,
              'Raw Ph"&amp;"ocalPoint Data'!F:F = F399
            ) -
            (ROW(INDIRECT(""1:"" &amp; (2010 - A399))) - 1) *
            (
              (
                FILTER('Raw PhocalPoint Data'!G:G,
                  'Raw PhocalPoint Data'!A:A = 2012,
                  'R"&amp;"aw PhocalPoint Data'!D:D = D399,
                  'Raw PhocalPoint Data'!E:E = E399,
                  'Raw PhocalPoint Data'!F:F = F399
                ) /
                FILTER('Raw PhocalPoint Data'!G:G,
                  'Raw PhocalPoint Data'!A:A ="&amp;" 2011,
                  'Raw PhocalPoint Data'!D:D = D399,
                  'Raw PhocalPoint Data'!E:E = E399,
                  'Raw PhocalPoint Data'!F:F = F399
                ) - 1
              ) / 5
            )
          )
        )
      )
    "&amp;") *
    INDEX('Raw GDP data'!$I$2:$M$100,
      MATCH(D399, 'Raw GDP data'!$H$2:$H$100, 0),
      MATCH(A399, 'Raw GDP data'!$I$1:$M$1, 0)
    )
  )),
  """"
)
"),414152856.807793)</f>
        <v>414152856.80779302</v>
      </c>
      <c r="H399" s="86"/>
      <c r="I399" s="87">
        <f ca="1">IFERROR(__xludf.DUMMYFUNCTION("""COMPUTED_VALUE"""),2014)</f>
        <v>2014</v>
      </c>
      <c r="J399" s="88" t="str">
        <f ca="1">IFERROR(__xludf.DUMMYFUNCTION("""COMPUTED_VALUE"""),"U.A.E.")</f>
        <v>U.A.E.</v>
      </c>
      <c r="K399" s="89">
        <f ca="1">IFERROR(
  SUMIFS(
    'New Backfilled Data'!G:G,
    'New Backfilled Data'!A:A, I399,
    'New Backfilled Data'!D:D, J399,
    'New Backfilled Data'!E:E, "Online"
  ) /
  SUMIFS(
    'New Backfilled Data'!G:G,
    'New Backfilled Data'!A:A, I399,
    'New Backfilled Data'!D:D, J399
  ),
  ""
)</f>
        <v>0.27864845011545969</v>
      </c>
      <c r="L399" s="90"/>
      <c r="M399" s="90"/>
    </row>
    <row r="400" spans="1:13" ht="17" x14ac:dyDescent="0.2">
      <c r="A400" s="37">
        <v>2008</v>
      </c>
      <c r="B400" s="38" t="s">
        <v>66</v>
      </c>
      <c r="C400" s="38" t="s">
        <v>4</v>
      </c>
      <c r="D400" s="38" t="s">
        <v>15</v>
      </c>
      <c r="E400" s="38" t="s">
        <v>69</v>
      </c>
      <c r="F400" s="38" t="s">
        <v>70</v>
      </c>
      <c r="G400" s="79">
        <f ca="1">IFERROR(__xludf.DUMMYFUNCTION("IFERROR(
  IF(A400 = 2008,
    IF(E400 = ""Online"",
      FILTER('Raw PhocalPoint Data'!G:G,
        'Raw PhocalPoint Data'!A:A = 2009,
        'Raw PhocalPoint Data'!D:D = D400,
        'Raw PhocalPoint Data'!E:E = E400,
        'Raw PhocalPoint Data'!F"&amp;":F = F400
      ) /
      (
        FILTER('Raw PhocalPoint Data'!G:G,
          'Raw PhocalPoint Data'!A:A = 2012,
          'Raw PhocalPoint Data'!D:D = D400,
          'Raw PhocalPoint Data'!E:E = E400,
          'Raw PhocalPoint Data'!F:F = F400
     "&amp;"   ) /
        FILTER('Raw PhocalPoint Data'!G:G,
          'Raw PhocalPoint Data'!A:A = 2011,
          'Raw PhocalPoint Data'!D:D = D400,
          'Raw PhocalPoint Data'!E:E = E400,
          'Raw PhocalPoint Data'!F:F = F400
        )
      ),
      F"&amp;"ILTER('Raw PhocalPoint Data'!G:G,
        'Raw PhocalPoint Data'!A:A = 2009,
        'Raw PhocalPoint Data'!D:D = D400,
        'Raw PhocalPoint Data'!E:E = E400,
        'Raw PhocalPoint Data'!F:F = F400
      ) *
      (
        INDEX('Raw GDP data'!$I$"&amp;"2:$M$100,
          MATCH(D400, 'Raw GDP data'!$H$2:$H$100, 0),
          MATCH(2008, 'Raw GDP data'!$I$1:$M$1, 0)
        ) /
        INDEX('Raw GDP data'!$I$2:$M$100,
          MATCH(D400, 'Raw GDP data'!$H$2:$H$100, 0),
          MATCH(2009, 'Raw GDP d"&amp;"ata'!$I$1:$M$1, 0)
        )
      )
    ),
  IF(A400 &lt; 2008,
    (
      FILTER(G:G,
        A:A = 2008,
        D:D = D400,
        E:E = E400,
        F:F = F400
      ) /
      PRODUCT(
        ARRAYFORMULA(
          (
            (
              FIL"&amp;"TER('Raw PhocalPoint Data'!G:G,
                'Raw PhocalPoint Data'!A:A = 2012,
                'Raw PhocalPoint Data'!D:D = D400,
                'Raw PhocalPoint Data'!E:E = E400,
                'Raw PhocalPoint Data'!F:F = F400
              ) /
  "&amp;"            FILTER('Raw PhocalPoint Data'!G:G,
                'Raw PhocalPoint Data'!A:A = 2011,
                'Raw PhocalPoint Data'!D:D = D400,
                'Raw PhocalPoint Data'!E:E = E400,
                'Raw PhocalPoint Data'!F:F = F400
     "&amp;"         ) -
              ROW(INDIRECT(""1:"" &amp; (2008 - A400))) *
              (
                (
                  FILTER('Raw PhocalPoint Data'!G:G,
                    'Raw PhocalPoint Data'!A:A = 2012,
                    'Raw PhocalPoint Data'!D:D"&amp;" = D400,
                    'Raw PhocalPoint Data'!E:E = E400,
                    'Raw PhocalPoint Data'!F:F = F400
                  ) /
                  FILTER('Raw PhocalPoint Data'!G:G,
                    'Raw PhocalPoint Data'!A:A = 2011,
       "&amp;"             'Raw PhocalPoint Data'!D:D = D400,
                    'Raw PhocalPoint Data'!E:E = E400,
                    'Raw PhocalPoint Data'!F:F = F400
                  ) - 1
                ) / 5
              )
            )
          )
        )
"&amp;"      )
    ),
    (
      FILTER('Raw PhocalPoint Data'!G:G,
        'Raw PhocalPoint Data'!A:A = 2009,
        'Raw PhocalPoint Data'!D:D = D400,
        'Raw PhocalPoint Data'!E:E = E400,
        'Raw PhocalPoint Data'!F:F = F400
      ) /
      PRODUC"&amp;"T(
        ARRAYFORMULA(
          (
            FILTER('Raw PhocalPoint Data'!G:G,
              'Raw PhocalPoint Data'!A:A = 2012,
              'Raw PhocalPoint Data'!D:D = D400,
              'Raw PhocalPoint Data'!E:E = E400,
              'Raw Phoca"&amp;"lPoint Data'!F:F = F400
            ) /
            FILTER('Raw PhocalPoint Data'!G:G,
              'Raw PhocalPoint Data'!A:A = 2011,
              'Raw PhocalPoint Data'!D:D = D400,
              'Raw PhocalPoint Data'!E:E = E400,
              'Raw Ph"&amp;"ocalPoint Data'!F:F = F400
            ) -
            (ROW(INDIRECT(""1:"" &amp; (2010 - A400))) - 1) *
            (
              (
                FILTER('Raw PhocalPoint Data'!G:G,
                  'Raw PhocalPoint Data'!A:A = 2012,
                  'R"&amp;"aw PhocalPoint Data'!D:D = D400,
                  'Raw PhocalPoint Data'!E:E = E400,
                  'Raw PhocalPoint Data'!F:F = F400
                ) /
                FILTER('Raw PhocalPoint Data'!G:G,
                  'Raw PhocalPoint Data'!A:A ="&amp;" 2011,
                  'Raw PhocalPoint Data'!D:D = D400,
                  'Raw PhocalPoint Data'!E:E = E400,
                  'Raw PhocalPoint Data'!F:F = F400
                ) - 1
              ) / 5
            )
          )
        )
      )
    "&amp;") *
    INDEX('Raw GDP data'!$I$2:$M$100,
      MATCH(D400, 'Raw GDP data'!$H$2:$H$100, 0),
      MATCH(A400, 'Raw GDP data'!$I$1:$M$1, 0)
    )
  )),
  """"
)
"),689837002.085014)</f>
        <v>689837002.08501399</v>
      </c>
      <c r="H400" s="80"/>
      <c r="I400" s="81">
        <f ca="1">IFERROR(__xludf.DUMMYFUNCTION("""COMPUTED_VALUE"""),2014)</f>
        <v>2014</v>
      </c>
      <c r="J400" s="82" t="str">
        <f ca="1">IFERROR(__xludf.DUMMYFUNCTION("""COMPUTED_VALUE"""),"Canada")</f>
        <v>Canada</v>
      </c>
      <c r="K400" s="83">
        <f ca="1">IFERROR(
  SUMIFS(
    'New Backfilled Data'!G:G,
    'New Backfilled Data'!A:A, I400,
    'New Backfilled Data'!D:D, J400,
    'New Backfilled Data'!E:E, "Online"
  ) /
  SUMIFS(
    'New Backfilled Data'!G:G,
    'New Backfilled Data'!A:A, I400,
    'New Backfilled Data'!D:D, J400
  ),
  ""
)</f>
        <v>0.3842113005920107</v>
      </c>
      <c r="L400" s="84"/>
      <c r="M400" s="84"/>
    </row>
    <row r="401" spans="1:13" ht="17" x14ac:dyDescent="0.2">
      <c r="A401" s="44">
        <v>2008</v>
      </c>
      <c r="B401" s="45" t="s">
        <v>66</v>
      </c>
      <c r="C401" s="45" t="s">
        <v>17</v>
      </c>
      <c r="D401" s="45" t="s">
        <v>16</v>
      </c>
      <c r="E401" s="45" t="s">
        <v>67</v>
      </c>
      <c r="F401" s="45" t="s">
        <v>67</v>
      </c>
      <c r="G401" s="85">
        <f ca="1">IFERROR(__xludf.DUMMYFUNCTION("IFERROR(
  IF(A401 = 2008,
    IF(E401 = ""Online"",
      FILTER('Raw PhocalPoint Data'!G:G,
        'Raw PhocalPoint Data'!A:A = 2009,
        'Raw PhocalPoint Data'!D:D = D401,
        'Raw PhocalPoint Data'!E:E = E401,
        'Raw PhocalPoint Data'!F"&amp;":F = F401
      ) /
      (
        FILTER('Raw PhocalPoint Data'!G:G,
          'Raw PhocalPoint Data'!A:A = 2012,
          'Raw PhocalPoint Data'!D:D = D401,
          'Raw PhocalPoint Data'!E:E = E401,
          'Raw PhocalPoint Data'!F:F = F401
     "&amp;"   ) /
        FILTER('Raw PhocalPoint Data'!G:G,
          'Raw PhocalPoint Data'!A:A = 2011,
          'Raw PhocalPoint Data'!D:D = D401,
          'Raw PhocalPoint Data'!E:E = E401,
          'Raw PhocalPoint Data'!F:F = F401
        )
      ),
      F"&amp;"ILTER('Raw PhocalPoint Data'!G:G,
        'Raw PhocalPoint Data'!A:A = 2009,
        'Raw PhocalPoint Data'!D:D = D401,
        'Raw PhocalPoint Data'!E:E = E401,
        'Raw PhocalPoint Data'!F:F = F401
      ) *
      (
        INDEX('Raw GDP data'!$I$"&amp;"2:$M$100,
          MATCH(D401, 'Raw GDP data'!$H$2:$H$100, 0),
          MATCH(2008, 'Raw GDP data'!$I$1:$M$1, 0)
        ) /
        INDEX('Raw GDP data'!$I$2:$M$100,
          MATCH(D401, 'Raw GDP data'!$H$2:$H$100, 0),
          MATCH(2009, 'Raw GDP d"&amp;"ata'!$I$1:$M$1, 0)
        )
      )
    ),
  IF(A401 &lt; 2008,
    (
      FILTER(G:G,
        A:A = 2008,
        D:D = D401,
        E:E = E401,
        F:F = F401
      ) /
      PRODUCT(
        ARRAYFORMULA(
          (
            (
              FIL"&amp;"TER('Raw PhocalPoint Data'!G:G,
                'Raw PhocalPoint Data'!A:A = 2012,
                'Raw PhocalPoint Data'!D:D = D401,
                'Raw PhocalPoint Data'!E:E = E401,
                'Raw PhocalPoint Data'!F:F = F401
              ) /
  "&amp;"            FILTER('Raw PhocalPoint Data'!G:G,
                'Raw PhocalPoint Data'!A:A = 2011,
                'Raw PhocalPoint Data'!D:D = D401,
                'Raw PhocalPoint Data'!E:E = E401,
                'Raw PhocalPoint Data'!F:F = F401
     "&amp;"         ) -
              ROW(INDIRECT(""1:"" &amp; (2008 - A401))) *
              (
                (
                  FILTER('Raw PhocalPoint Data'!G:G,
                    'Raw PhocalPoint Data'!A:A = 2012,
                    'Raw PhocalPoint Data'!D:D"&amp;" = D401,
                    'Raw PhocalPoint Data'!E:E = E401,
                    'Raw PhocalPoint Data'!F:F = F401
                  ) /
                  FILTER('Raw PhocalPoint Data'!G:G,
                    'Raw PhocalPoint Data'!A:A = 2011,
       "&amp;"             'Raw PhocalPoint Data'!D:D = D401,
                    'Raw PhocalPoint Data'!E:E = E401,
                    'Raw PhocalPoint Data'!F:F = F401
                  ) - 1
                ) / 5
              )
            )
          )
        )
"&amp;"      )
    ),
    (
      FILTER('Raw PhocalPoint Data'!G:G,
        'Raw PhocalPoint Data'!A:A = 2009,
        'Raw PhocalPoint Data'!D:D = D401,
        'Raw PhocalPoint Data'!E:E = E401,
        'Raw PhocalPoint Data'!F:F = F401
      ) /
      PRODUC"&amp;"T(
        ARRAYFORMULA(
          (
            FILTER('Raw PhocalPoint Data'!G:G,
              'Raw PhocalPoint Data'!A:A = 2012,
              'Raw PhocalPoint Data'!D:D = D401,
              'Raw PhocalPoint Data'!E:E = E401,
              'Raw Phoca"&amp;"lPoint Data'!F:F = F401
            ) /
            FILTER('Raw PhocalPoint Data'!G:G,
              'Raw PhocalPoint Data'!A:A = 2011,
              'Raw PhocalPoint Data'!D:D = D401,
              'Raw PhocalPoint Data'!E:E = E401,
              'Raw Ph"&amp;"ocalPoint Data'!F:F = F401
            ) -
            (ROW(INDIRECT(""1:"" &amp; (2010 - A401))) - 1) *
            (
              (
                FILTER('Raw PhocalPoint Data'!G:G,
                  'Raw PhocalPoint Data'!A:A = 2012,
                  'R"&amp;"aw PhocalPoint Data'!D:D = D401,
                  'Raw PhocalPoint Data'!E:E = E401,
                  'Raw PhocalPoint Data'!F:F = F401
                ) /
                FILTER('Raw PhocalPoint Data'!G:G,
                  'Raw PhocalPoint Data'!A:A ="&amp;" 2011,
                  'Raw PhocalPoint Data'!D:D = D401,
                  'Raw PhocalPoint Data'!E:E = E401,
                  'Raw PhocalPoint Data'!F:F = F401
                ) - 1
              ) / 5
            )
          )
        )
      )
    "&amp;") *
    INDEX('Raw GDP data'!$I$2:$M$100,
      MATCH(D401, 'Raw GDP data'!$H$2:$H$100, 0),
      MATCH(A401, 'Raw GDP data'!$I$1:$M$1, 0)
    )
  )),
  """"
)
"),1380600141.07036)</f>
        <v>1380600141.0703599</v>
      </c>
      <c r="H401" s="86"/>
      <c r="I401" s="87">
        <f ca="1">IFERROR(__xludf.DUMMYFUNCTION("""COMPUTED_VALUE"""),2014)</f>
        <v>2014</v>
      </c>
      <c r="J401" s="88" t="str">
        <f ca="1">IFERROR(__xludf.DUMMYFUNCTION("""COMPUTED_VALUE"""),"U.S.")</f>
        <v>U.S.</v>
      </c>
      <c r="K401" s="89">
        <f ca="1">IFERROR(
  SUMIFS(
    'New Backfilled Data'!G:G,
    'New Backfilled Data'!A:A, I401,
    'New Backfilled Data'!D:D, J401,
    'New Backfilled Data'!E:E, "Online"
  ) /
  SUMIFS(
    'New Backfilled Data'!G:G,
    'New Backfilled Data'!A:A, I401,
    'New Backfilled Data'!D:D, J401
  ),
  ""
)</f>
        <v>0.43444587611468721</v>
      </c>
      <c r="L401" s="90"/>
      <c r="M401" s="90"/>
    </row>
    <row r="402" spans="1:13" ht="34" x14ac:dyDescent="0.2">
      <c r="A402" s="37">
        <v>2008</v>
      </c>
      <c r="B402" s="38" t="s">
        <v>66</v>
      </c>
      <c r="C402" s="38" t="s">
        <v>17</v>
      </c>
      <c r="D402" s="38" t="s">
        <v>16</v>
      </c>
      <c r="E402" s="38" t="s">
        <v>69</v>
      </c>
      <c r="F402" s="38" t="s">
        <v>71</v>
      </c>
      <c r="G402" s="79">
        <f ca="1">IFERROR(__xludf.DUMMYFUNCTION("IFERROR(
  IF(A402 = 2008,
    IF(E402 = ""Online"",
      FILTER('Raw PhocalPoint Data'!G:G,
        'Raw PhocalPoint Data'!A:A = 2009,
        'Raw PhocalPoint Data'!D:D = D402,
        'Raw PhocalPoint Data'!E:E = E402,
        'Raw PhocalPoint Data'!F"&amp;":F = F402
      ) /
      (
        FILTER('Raw PhocalPoint Data'!G:G,
          'Raw PhocalPoint Data'!A:A = 2012,
          'Raw PhocalPoint Data'!D:D = D402,
          'Raw PhocalPoint Data'!E:E = E402,
          'Raw PhocalPoint Data'!F:F = F402
     "&amp;"   ) /
        FILTER('Raw PhocalPoint Data'!G:G,
          'Raw PhocalPoint Data'!A:A = 2011,
          'Raw PhocalPoint Data'!D:D = D402,
          'Raw PhocalPoint Data'!E:E = E402,
          'Raw PhocalPoint Data'!F:F = F402
        )
      ),
      F"&amp;"ILTER('Raw PhocalPoint Data'!G:G,
        'Raw PhocalPoint Data'!A:A = 2009,
        'Raw PhocalPoint Data'!D:D = D402,
        'Raw PhocalPoint Data'!E:E = E402,
        'Raw PhocalPoint Data'!F:F = F402
      ) *
      (
        INDEX('Raw GDP data'!$I$"&amp;"2:$M$100,
          MATCH(D402, 'Raw GDP data'!$H$2:$H$100, 0),
          MATCH(2008, 'Raw GDP data'!$I$1:$M$1, 0)
        ) /
        INDEX('Raw GDP data'!$I$2:$M$100,
          MATCH(D402, 'Raw GDP data'!$H$2:$H$100, 0),
          MATCH(2009, 'Raw GDP d"&amp;"ata'!$I$1:$M$1, 0)
        )
      )
    ),
  IF(A402 &lt; 2008,
    (
      FILTER(G:G,
        A:A = 2008,
        D:D = D402,
        E:E = E402,
        F:F = F402
      ) /
      PRODUCT(
        ARRAYFORMULA(
          (
            (
              FIL"&amp;"TER('Raw PhocalPoint Data'!G:G,
                'Raw PhocalPoint Data'!A:A = 2012,
                'Raw PhocalPoint Data'!D:D = D402,
                'Raw PhocalPoint Data'!E:E = E402,
                'Raw PhocalPoint Data'!F:F = F402
              ) /
  "&amp;"            FILTER('Raw PhocalPoint Data'!G:G,
                'Raw PhocalPoint Data'!A:A = 2011,
                'Raw PhocalPoint Data'!D:D = D402,
                'Raw PhocalPoint Data'!E:E = E402,
                'Raw PhocalPoint Data'!F:F = F402
     "&amp;"         ) -
              ROW(INDIRECT(""1:"" &amp; (2008 - A402))) *
              (
                (
                  FILTER('Raw PhocalPoint Data'!G:G,
                    'Raw PhocalPoint Data'!A:A = 2012,
                    'Raw PhocalPoint Data'!D:D"&amp;" = D402,
                    'Raw PhocalPoint Data'!E:E = E402,
                    'Raw PhocalPoint Data'!F:F = F402
                  ) /
                  FILTER('Raw PhocalPoint Data'!G:G,
                    'Raw PhocalPoint Data'!A:A = 2011,
       "&amp;"             'Raw PhocalPoint Data'!D:D = D402,
                    'Raw PhocalPoint Data'!E:E = E402,
                    'Raw PhocalPoint Data'!F:F = F402
                  ) - 1
                ) / 5
              )
            )
          )
        )
"&amp;"      )
    ),
    (
      FILTER('Raw PhocalPoint Data'!G:G,
        'Raw PhocalPoint Data'!A:A = 2009,
        'Raw PhocalPoint Data'!D:D = D402,
        'Raw PhocalPoint Data'!E:E = E402,
        'Raw PhocalPoint Data'!F:F = F402
      ) /
      PRODUC"&amp;"T(
        ARRAYFORMULA(
          (
            FILTER('Raw PhocalPoint Data'!G:G,
              'Raw PhocalPoint Data'!A:A = 2012,
              'Raw PhocalPoint Data'!D:D = D402,
              'Raw PhocalPoint Data'!E:E = E402,
              'Raw Phoca"&amp;"lPoint Data'!F:F = F402
            ) /
            FILTER('Raw PhocalPoint Data'!G:G,
              'Raw PhocalPoint Data'!A:A = 2011,
              'Raw PhocalPoint Data'!D:D = D402,
              'Raw PhocalPoint Data'!E:E = E402,
              'Raw Ph"&amp;"ocalPoint Data'!F:F = F402
            ) -
            (ROW(INDIRECT(""1:"" &amp; (2010 - A402))) - 1) *
            (
              (
                FILTER('Raw PhocalPoint Data'!G:G,
                  'Raw PhocalPoint Data'!A:A = 2012,
                  'R"&amp;"aw PhocalPoint Data'!D:D = D402,
                  'Raw PhocalPoint Data'!E:E = E402,
                  'Raw PhocalPoint Data'!F:F = F402
                ) /
                FILTER('Raw PhocalPoint Data'!G:G,
                  'Raw PhocalPoint Data'!A:A ="&amp;" 2011,
                  'Raw PhocalPoint Data'!D:D = D402,
                  'Raw PhocalPoint Data'!E:E = E402,
                  'Raw PhocalPoint Data'!F:F = F402
                ) - 1
              ) / 5
            )
          )
        )
      )
    "&amp;") *
    INDEX('Raw GDP data'!$I$2:$M$100,
      MATCH(D402, 'Raw GDP data'!$H$2:$H$100, 0),
      MATCH(A402, 'Raw GDP data'!$I$1:$M$1, 0)
    )
  )),
  """"
)
"),12904743.7057463)</f>
        <v>12904743.705746301</v>
      </c>
      <c r="H402" s="80"/>
      <c r="I402" s="81">
        <f ca="1">IFERROR(__xludf.DUMMYFUNCTION("""COMPUTED_VALUE"""),2015)</f>
        <v>2015</v>
      </c>
      <c r="J402" s="82" t="str">
        <f ca="1">IFERROR(__xludf.DUMMYFUNCTION("""COMPUTED_VALUE"""),"Australia-New Zealand")</f>
        <v>Australia-New Zealand</v>
      </c>
      <c r="K402" s="83">
        <f ca="1">IFERROR(
  SUMIFS(
    'New Backfilled Data'!G:G,
    'New Backfilled Data'!A:A, I402,
    'New Backfilled Data'!D:D, J402,
    'New Backfilled Data'!E:E, "Online"
  ) /
  SUMIFS(
    'New Backfilled Data'!G:G,
    'New Backfilled Data'!A:A, I402,
    'New Backfilled Data'!D:D, J402
  ),
  ""
)</f>
        <v>0.39326192653722897</v>
      </c>
      <c r="L402" s="84"/>
      <c r="M402" s="84"/>
    </row>
    <row r="403" spans="1:13" ht="17" x14ac:dyDescent="0.2">
      <c r="A403" s="44">
        <v>2008</v>
      </c>
      <c r="B403" s="45" t="s">
        <v>66</v>
      </c>
      <c r="C403" s="45" t="s">
        <v>17</v>
      </c>
      <c r="D403" s="45" t="s">
        <v>16</v>
      </c>
      <c r="E403" s="45" t="s">
        <v>69</v>
      </c>
      <c r="F403" s="45" t="s">
        <v>70</v>
      </c>
      <c r="G403" s="85">
        <f ca="1">IFERROR(__xludf.DUMMYFUNCTION("IFERROR(
  IF(A403 = 2008,
    IF(E403 = ""Online"",
      FILTER('Raw PhocalPoint Data'!G:G,
        'Raw PhocalPoint Data'!A:A = 2009,
        'Raw PhocalPoint Data'!D:D = D403,
        'Raw PhocalPoint Data'!E:E = E403,
        'Raw PhocalPoint Data'!F"&amp;":F = F403
      ) /
      (
        FILTER('Raw PhocalPoint Data'!G:G,
          'Raw PhocalPoint Data'!A:A = 2012,
          'Raw PhocalPoint Data'!D:D = D403,
          'Raw PhocalPoint Data'!E:E = E403,
          'Raw PhocalPoint Data'!F:F = F403
     "&amp;"   ) /
        FILTER('Raw PhocalPoint Data'!G:G,
          'Raw PhocalPoint Data'!A:A = 2011,
          'Raw PhocalPoint Data'!D:D = D403,
          'Raw PhocalPoint Data'!E:E = E403,
          'Raw PhocalPoint Data'!F:F = F403
        )
      ),
      F"&amp;"ILTER('Raw PhocalPoint Data'!G:G,
        'Raw PhocalPoint Data'!A:A = 2009,
        'Raw PhocalPoint Data'!D:D = D403,
        'Raw PhocalPoint Data'!E:E = E403,
        'Raw PhocalPoint Data'!F:F = F403
      ) *
      (
        INDEX('Raw GDP data'!$I$"&amp;"2:$M$100,
          MATCH(D403, 'Raw GDP data'!$H$2:$H$100, 0),
          MATCH(2008, 'Raw GDP data'!$I$1:$M$1, 0)
        ) /
        INDEX('Raw GDP data'!$I$2:$M$100,
          MATCH(D403, 'Raw GDP data'!$H$2:$H$100, 0),
          MATCH(2009, 'Raw GDP d"&amp;"ata'!$I$1:$M$1, 0)
        )
      )
    ),
  IF(A403 &lt; 2008,
    (
      FILTER(G:G,
        A:A = 2008,
        D:D = D403,
        E:E = E403,
        F:F = F403
      ) /
      PRODUCT(
        ARRAYFORMULA(
          (
            (
              FIL"&amp;"TER('Raw PhocalPoint Data'!G:G,
                'Raw PhocalPoint Data'!A:A = 2012,
                'Raw PhocalPoint Data'!D:D = D403,
                'Raw PhocalPoint Data'!E:E = E403,
                'Raw PhocalPoint Data'!F:F = F403
              ) /
  "&amp;"            FILTER('Raw PhocalPoint Data'!G:G,
                'Raw PhocalPoint Data'!A:A = 2011,
                'Raw PhocalPoint Data'!D:D = D403,
                'Raw PhocalPoint Data'!E:E = E403,
                'Raw PhocalPoint Data'!F:F = F403
     "&amp;"         ) -
              ROW(INDIRECT(""1:"" &amp; (2008 - A403))) *
              (
                (
                  FILTER('Raw PhocalPoint Data'!G:G,
                    'Raw PhocalPoint Data'!A:A = 2012,
                    'Raw PhocalPoint Data'!D:D"&amp;" = D403,
                    'Raw PhocalPoint Data'!E:E = E403,
                    'Raw PhocalPoint Data'!F:F = F403
                  ) /
                  FILTER('Raw PhocalPoint Data'!G:G,
                    'Raw PhocalPoint Data'!A:A = 2011,
       "&amp;"             'Raw PhocalPoint Data'!D:D = D403,
                    'Raw PhocalPoint Data'!E:E = E403,
                    'Raw PhocalPoint Data'!F:F = F403
                  ) - 1
                ) / 5
              )
            )
          )
        )
"&amp;"      )
    ),
    (
      FILTER('Raw PhocalPoint Data'!G:G,
        'Raw PhocalPoint Data'!A:A = 2009,
        'Raw PhocalPoint Data'!D:D = D403,
        'Raw PhocalPoint Data'!E:E = E403,
        'Raw PhocalPoint Data'!F:F = F403
      ) /
      PRODUC"&amp;"T(
        ARRAYFORMULA(
          (
            FILTER('Raw PhocalPoint Data'!G:G,
              'Raw PhocalPoint Data'!A:A = 2012,
              'Raw PhocalPoint Data'!D:D = D403,
              'Raw PhocalPoint Data'!E:E = E403,
              'Raw Phoca"&amp;"lPoint Data'!F:F = F403
            ) /
            FILTER('Raw PhocalPoint Data'!G:G,
              'Raw PhocalPoint Data'!A:A = 2011,
              'Raw PhocalPoint Data'!D:D = D403,
              'Raw PhocalPoint Data'!E:E = E403,
              'Raw Ph"&amp;"ocalPoint Data'!F:F = F403
            ) -
            (ROW(INDIRECT(""1:"" &amp; (2010 - A403))) - 1) *
            (
              (
                FILTER('Raw PhocalPoint Data'!G:G,
                  'Raw PhocalPoint Data'!A:A = 2012,
                  'R"&amp;"aw PhocalPoint Data'!D:D = D403,
                  'Raw PhocalPoint Data'!E:E = E403,
                  'Raw PhocalPoint Data'!F:F = F403
                ) /
                FILTER('Raw PhocalPoint Data'!G:G,
                  'Raw PhocalPoint Data'!A:A ="&amp;" 2011,
                  'Raw PhocalPoint Data'!D:D = D403,
                  'Raw PhocalPoint Data'!E:E = E403,
                  'Raw PhocalPoint Data'!F:F = F403
                ) - 1
              ) / 5
            )
          )
        )
      )
    "&amp;") *
    INDEX('Raw GDP data'!$I$2:$M$100,
      MATCH(D403, 'Raw GDP data'!$H$2:$H$100, 0),
      MATCH(A403, 'Raw GDP data'!$I$1:$M$1, 0)
    )
  )),
  """"
)
"),65176502.9699039)</f>
        <v>65176502.969903901</v>
      </c>
      <c r="H403" s="86"/>
      <c r="I403" s="87">
        <f ca="1">IFERROR(__xludf.DUMMYFUNCTION("""COMPUTED_VALUE"""),2015)</f>
        <v>2015</v>
      </c>
      <c r="J403" s="88" t="str">
        <f ca="1">IFERROR(__xludf.DUMMYFUNCTION("""COMPUTED_VALUE"""),"China")</f>
        <v>China</v>
      </c>
      <c r="K403" s="89">
        <f ca="1">IFERROR(
  SUMIFS(
    'New Backfilled Data'!G:G,
    'New Backfilled Data'!A:A, I403,
    'New Backfilled Data'!D:D, J403,
    'New Backfilled Data'!E:E, "Online"
  ) /
  SUMIFS(
    'New Backfilled Data'!G:G,
    'New Backfilled Data'!A:A, I403,
    'New Backfilled Data'!D:D, J403
  ),
  ""
)</f>
        <v>0.30091872350732191</v>
      </c>
      <c r="L403" s="90"/>
      <c r="M403" s="90"/>
    </row>
    <row r="404" spans="1:13" ht="17" x14ac:dyDescent="0.2">
      <c r="A404" s="37">
        <v>2008</v>
      </c>
      <c r="B404" s="38" t="s">
        <v>66</v>
      </c>
      <c r="C404" s="38" t="s">
        <v>17</v>
      </c>
      <c r="D404" s="38" t="s">
        <v>18</v>
      </c>
      <c r="E404" s="38" t="s">
        <v>67</v>
      </c>
      <c r="F404" s="38" t="s">
        <v>67</v>
      </c>
      <c r="G404" s="79">
        <f ca="1">IFERROR(__xludf.DUMMYFUNCTION("IFERROR(
  IF(A404 = 2008,
    IF(E404 = ""Online"",
      FILTER('Raw PhocalPoint Data'!G:G,
        'Raw PhocalPoint Data'!A:A = 2009,
        'Raw PhocalPoint Data'!D:D = D404,
        'Raw PhocalPoint Data'!E:E = E404,
        'Raw PhocalPoint Data'!F"&amp;":F = F404
      ) /
      (
        FILTER('Raw PhocalPoint Data'!G:G,
          'Raw PhocalPoint Data'!A:A = 2012,
          'Raw PhocalPoint Data'!D:D = D404,
          'Raw PhocalPoint Data'!E:E = E404,
          'Raw PhocalPoint Data'!F:F = F404
     "&amp;"   ) /
        FILTER('Raw PhocalPoint Data'!G:G,
          'Raw PhocalPoint Data'!A:A = 2011,
          'Raw PhocalPoint Data'!D:D = D404,
          'Raw PhocalPoint Data'!E:E = E404,
          'Raw PhocalPoint Data'!F:F = F404
        )
      ),
      F"&amp;"ILTER('Raw PhocalPoint Data'!G:G,
        'Raw PhocalPoint Data'!A:A = 2009,
        'Raw PhocalPoint Data'!D:D = D404,
        'Raw PhocalPoint Data'!E:E = E404,
        'Raw PhocalPoint Data'!F:F = F404
      ) *
      (
        INDEX('Raw GDP data'!$I$"&amp;"2:$M$100,
          MATCH(D404, 'Raw GDP data'!$H$2:$H$100, 0),
          MATCH(2008, 'Raw GDP data'!$I$1:$M$1, 0)
        ) /
        INDEX('Raw GDP data'!$I$2:$M$100,
          MATCH(D404, 'Raw GDP data'!$H$2:$H$100, 0),
          MATCH(2009, 'Raw GDP d"&amp;"ata'!$I$1:$M$1, 0)
        )
      )
    ),
  IF(A404 &lt; 2008,
    (
      FILTER(G:G,
        A:A = 2008,
        D:D = D404,
        E:E = E404,
        F:F = F404
      ) /
      PRODUCT(
        ARRAYFORMULA(
          (
            (
              FIL"&amp;"TER('Raw PhocalPoint Data'!G:G,
                'Raw PhocalPoint Data'!A:A = 2012,
                'Raw PhocalPoint Data'!D:D = D404,
                'Raw PhocalPoint Data'!E:E = E404,
                'Raw PhocalPoint Data'!F:F = F404
              ) /
  "&amp;"            FILTER('Raw PhocalPoint Data'!G:G,
                'Raw PhocalPoint Data'!A:A = 2011,
                'Raw PhocalPoint Data'!D:D = D404,
                'Raw PhocalPoint Data'!E:E = E404,
                'Raw PhocalPoint Data'!F:F = F404
     "&amp;"         ) -
              ROW(INDIRECT(""1:"" &amp; (2008 - A404))) *
              (
                (
                  FILTER('Raw PhocalPoint Data'!G:G,
                    'Raw PhocalPoint Data'!A:A = 2012,
                    'Raw PhocalPoint Data'!D:D"&amp;" = D404,
                    'Raw PhocalPoint Data'!E:E = E404,
                    'Raw PhocalPoint Data'!F:F = F404
                  ) /
                  FILTER('Raw PhocalPoint Data'!G:G,
                    'Raw PhocalPoint Data'!A:A = 2011,
       "&amp;"             'Raw PhocalPoint Data'!D:D = D404,
                    'Raw PhocalPoint Data'!E:E = E404,
                    'Raw PhocalPoint Data'!F:F = F404
                  ) - 1
                ) / 5
              )
            )
          )
        )
"&amp;"      )
    ),
    (
      FILTER('Raw PhocalPoint Data'!G:G,
        'Raw PhocalPoint Data'!A:A = 2009,
        'Raw PhocalPoint Data'!D:D = D404,
        'Raw PhocalPoint Data'!E:E = E404,
        'Raw PhocalPoint Data'!F:F = F404
      ) /
      PRODUC"&amp;"T(
        ARRAYFORMULA(
          (
            FILTER('Raw PhocalPoint Data'!G:G,
              'Raw PhocalPoint Data'!A:A = 2012,
              'Raw PhocalPoint Data'!D:D = D404,
              'Raw PhocalPoint Data'!E:E = E404,
              'Raw Phoca"&amp;"lPoint Data'!F:F = F404
            ) /
            FILTER('Raw PhocalPoint Data'!G:G,
              'Raw PhocalPoint Data'!A:A = 2011,
              'Raw PhocalPoint Data'!D:D = D404,
              'Raw PhocalPoint Data'!E:E = E404,
              'Raw Ph"&amp;"ocalPoint Data'!F:F = F404
            ) -
            (ROW(INDIRECT(""1:"" &amp; (2010 - A404))) - 1) *
            (
              (
                FILTER('Raw PhocalPoint Data'!G:G,
                  'Raw PhocalPoint Data'!A:A = 2012,
                  'R"&amp;"aw PhocalPoint Data'!D:D = D404,
                  'Raw PhocalPoint Data'!E:E = E404,
                  'Raw PhocalPoint Data'!F:F = F404
                ) /
                FILTER('Raw PhocalPoint Data'!G:G,
                  'Raw PhocalPoint Data'!A:A ="&amp;" 2011,
                  'Raw PhocalPoint Data'!D:D = D404,
                  'Raw PhocalPoint Data'!E:E = E404,
                  'Raw PhocalPoint Data'!F:F = F404
                ) - 1
              ) / 5
            )
          )
        )
      )
    "&amp;") *
    INDEX('Raw GDP data'!$I$2:$M$100,
      MATCH(D404, 'Raw GDP data'!$H$2:$H$100, 0),
      MATCH(A404, 'Raw GDP data'!$I$1:$M$1, 0)
    )
  )),
  """"
)
"),3054846131.50467)</f>
        <v>3054846131.5046701</v>
      </c>
      <c r="H404" s="80"/>
      <c r="I404" s="81">
        <f ca="1">IFERROR(__xludf.DUMMYFUNCTION("""COMPUTED_VALUE"""),2015)</f>
        <v>2015</v>
      </c>
      <c r="J404" s="82" t="str">
        <f ca="1">IFERROR(__xludf.DUMMYFUNCTION("""COMPUTED_VALUE"""),"Hong Kong")</f>
        <v>Hong Kong</v>
      </c>
      <c r="K404" s="83">
        <f ca="1">IFERROR(
  SUMIFS(
    'New Backfilled Data'!G:G,
    'New Backfilled Data'!A:A, I404,
    'New Backfilled Data'!D:D, J404,
    'New Backfilled Data'!E:E, "Online"
  ) /
  SUMIFS(
    'New Backfilled Data'!G:G,
    'New Backfilled Data'!A:A, I404,
    'New Backfilled Data'!D:D, J404
  ),
  ""
)</f>
        <v>0.121785445510923</v>
      </c>
      <c r="L404" s="84"/>
      <c r="M404" s="84"/>
    </row>
    <row r="405" spans="1:13" ht="17" x14ac:dyDescent="0.2">
      <c r="A405" s="44">
        <v>2008</v>
      </c>
      <c r="B405" s="45" t="s">
        <v>66</v>
      </c>
      <c r="C405" s="45" t="s">
        <v>17</v>
      </c>
      <c r="D405" s="45" t="s">
        <v>18</v>
      </c>
      <c r="E405" s="45" t="s">
        <v>69</v>
      </c>
      <c r="F405" s="45" t="s">
        <v>71</v>
      </c>
      <c r="G405" s="85">
        <f ca="1">IFERROR(__xludf.DUMMYFUNCTION("IFERROR(
  IF(A405 = 2008,
    IF(E405 = ""Online"",
      FILTER('Raw PhocalPoint Data'!G:G,
        'Raw PhocalPoint Data'!A:A = 2009,
        'Raw PhocalPoint Data'!D:D = D405,
        'Raw PhocalPoint Data'!E:E = E405,
        'Raw PhocalPoint Data'!F"&amp;":F = F405
      ) /
      (
        FILTER('Raw PhocalPoint Data'!G:G,
          'Raw PhocalPoint Data'!A:A = 2012,
          'Raw PhocalPoint Data'!D:D = D405,
          'Raw PhocalPoint Data'!E:E = E405,
          'Raw PhocalPoint Data'!F:F = F405
     "&amp;"   ) /
        FILTER('Raw PhocalPoint Data'!G:G,
          'Raw PhocalPoint Data'!A:A = 2011,
          'Raw PhocalPoint Data'!D:D = D405,
          'Raw PhocalPoint Data'!E:E = E405,
          'Raw PhocalPoint Data'!F:F = F405
        )
      ),
      F"&amp;"ILTER('Raw PhocalPoint Data'!G:G,
        'Raw PhocalPoint Data'!A:A = 2009,
        'Raw PhocalPoint Data'!D:D = D405,
        'Raw PhocalPoint Data'!E:E = E405,
        'Raw PhocalPoint Data'!F:F = F405
      ) *
      (
        INDEX('Raw GDP data'!$I$"&amp;"2:$M$100,
          MATCH(D405, 'Raw GDP data'!$H$2:$H$100, 0),
          MATCH(2008, 'Raw GDP data'!$I$1:$M$1, 0)
        ) /
        INDEX('Raw GDP data'!$I$2:$M$100,
          MATCH(D405, 'Raw GDP data'!$H$2:$H$100, 0),
          MATCH(2009, 'Raw GDP d"&amp;"ata'!$I$1:$M$1, 0)
        )
      )
    ),
  IF(A405 &lt; 2008,
    (
      FILTER(G:G,
        A:A = 2008,
        D:D = D405,
        E:E = E405,
        F:F = F405
      ) /
      PRODUCT(
        ARRAYFORMULA(
          (
            (
              FIL"&amp;"TER('Raw PhocalPoint Data'!G:G,
                'Raw PhocalPoint Data'!A:A = 2012,
                'Raw PhocalPoint Data'!D:D = D405,
                'Raw PhocalPoint Data'!E:E = E405,
                'Raw PhocalPoint Data'!F:F = F405
              ) /
  "&amp;"            FILTER('Raw PhocalPoint Data'!G:G,
                'Raw PhocalPoint Data'!A:A = 2011,
                'Raw PhocalPoint Data'!D:D = D405,
                'Raw PhocalPoint Data'!E:E = E405,
                'Raw PhocalPoint Data'!F:F = F405
     "&amp;"         ) -
              ROW(INDIRECT(""1:"" &amp; (2008 - A405))) *
              (
                (
                  FILTER('Raw PhocalPoint Data'!G:G,
                    'Raw PhocalPoint Data'!A:A = 2012,
                    'Raw PhocalPoint Data'!D:D"&amp;" = D405,
                    'Raw PhocalPoint Data'!E:E = E405,
                    'Raw PhocalPoint Data'!F:F = F405
                  ) /
                  FILTER('Raw PhocalPoint Data'!G:G,
                    'Raw PhocalPoint Data'!A:A = 2011,
       "&amp;"             'Raw PhocalPoint Data'!D:D = D405,
                    'Raw PhocalPoint Data'!E:E = E405,
                    'Raw PhocalPoint Data'!F:F = F405
                  ) - 1
                ) / 5
              )
            )
          )
        )
"&amp;"      )
    ),
    (
      FILTER('Raw PhocalPoint Data'!G:G,
        'Raw PhocalPoint Data'!A:A = 2009,
        'Raw PhocalPoint Data'!D:D = D405,
        'Raw PhocalPoint Data'!E:E = E405,
        'Raw PhocalPoint Data'!F:F = F405
      ) /
      PRODUC"&amp;"T(
        ARRAYFORMULA(
          (
            FILTER('Raw PhocalPoint Data'!G:G,
              'Raw PhocalPoint Data'!A:A = 2012,
              'Raw PhocalPoint Data'!D:D = D405,
              'Raw PhocalPoint Data'!E:E = E405,
              'Raw Phoca"&amp;"lPoint Data'!F:F = F405
            ) /
            FILTER('Raw PhocalPoint Data'!G:G,
              'Raw PhocalPoint Data'!A:A = 2011,
              'Raw PhocalPoint Data'!D:D = D405,
              'Raw PhocalPoint Data'!E:E = E405,
              'Raw Ph"&amp;"ocalPoint Data'!F:F = F405
            ) -
            (ROW(INDIRECT(""1:"" &amp; (2010 - A405))) - 1) *
            (
              (
                FILTER('Raw PhocalPoint Data'!G:G,
                  'Raw PhocalPoint Data'!A:A = 2012,
                  'R"&amp;"aw PhocalPoint Data'!D:D = D405,
                  'Raw PhocalPoint Data'!E:E = E405,
                  'Raw PhocalPoint Data'!F:F = F405
                ) /
                FILTER('Raw PhocalPoint Data'!G:G,
                  'Raw PhocalPoint Data'!A:A ="&amp;" 2011,
                  'Raw PhocalPoint Data'!D:D = D405,
                  'Raw PhocalPoint Data'!E:E = E405,
                  'Raw PhocalPoint Data'!F:F = F405
                ) - 1
              ) / 5
            )
          )
        )
      )
    "&amp;") *
    INDEX('Raw GDP data'!$I$2:$M$100,
      MATCH(D405, 'Raw GDP data'!$H$2:$H$100, 0),
      MATCH(A405, 'Raw GDP data'!$I$1:$M$1, 0)
    )
  )),
  """"
)
"),235279371.309651)</f>
        <v>235279371.30965099</v>
      </c>
      <c r="H405" s="86"/>
      <c r="I405" s="87">
        <f ca="1">IFERROR(__xludf.DUMMYFUNCTION("""COMPUTED_VALUE"""),2015)</f>
        <v>2015</v>
      </c>
      <c r="J405" s="88" t="str">
        <f ca="1">IFERROR(__xludf.DUMMYFUNCTION("""COMPUTED_VALUE"""),"India")</f>
        <v>India</v>
      </c>
      <c r="K405" s="89">
        <f ca="1">IFERROR(
  SUMIFS(
    'New Backfilled Data'!G:G,
    'New Backfilled Data'!A:A, I405,
    'New Backfilled Data'!D:D, J405,
    'New Backfilled Data'!E:E, "Online"
  ) /
  SUMIFS(
    'New Backfilled Data'!G:G,
    'New Backfilled Data'!A:A, I405,
    'New Backfilled Data'!D:D, J405
  ),
  ""
)</f>
        <v>0.34287229667557068</v>
      </c>
      <c r="L405" s="90"/>
      <c r="M405" s="90"/>
    </row>
    <row r="406" spans="1:13" ht="17" x14ac:dyDescent="0.2">
      <c r="A406" s="37">
        <v>2008</v>
      </c>
      <c r="B406" s="38" t="s">
        <v>66</v>
      </c>
      <c r="C406" s="38" t="s">
        <v>17</v>
      </c>
      <c r="D406" s="38" t="s">
        <v>18</v>
      </c>
      <c r="E406" s="38" t="s">
        <v>69</v>
      </c>
      <c r="F406" s="38" t="s">
        <v>70</v>
      </c>
      <c r="G406" s="79">
        <f ca="1">IFERROR(__xludf.DUMMYFUNCTION("IFERROR(
  IF(A406 = 2008,
    IF(E406 = ""Online"",
      FILTER('Raw PhocalPoint Data'!G:G,
        'Raw PhocalPoint Data'!A:A = 2009,
        'Raw PhocalPoint Data'!D:D = D406,
        'Raw PhocalPoint Data'!E:E = E406,
        'Raw PhocalPoint Data'!F"&amp;":F = F406
      ) /
      (
        FILTER('Raw PhocalPoint Data'!G:G,
          'Raw PhocalPoint Data'!A:A = 2012,
          'Raw PhocalPoint Data'!D:D = D406,
          'Raw PhocalPoint Data'!E:E = E406,
          'Raw PhocalPoint Data'!F:F = F406
     "&amp;"   ) /
        FILTER('Raw PhocalPoint Data'!G:G,
          'Raw PhocalPoint Data'!A:A = 2011,
          'Raw PhocalPoint Data'!D:D = D406,
          'Raw PhocalPoint Data'!E:E = E406,
          'Raw PhocalPoint Data'!F:F = F406
        )
      ),
      F"&amp;"ILTER('Raw PhocalPoint Data'!G:G,
        'Raw PhocalPoint Data'!A:A = 2009,
        'Raw PhocalPoint Data'!D:D = D406,
        'Raw PhocalPoint Data'!E:E = E406,
        'Raw PhocalPoint Data'!F:F = F406
      ) *
      (
        INDEX('Raw GDP data'!$I$"&amp;"2:$M$100,
          MATCH(D406, 'Raw GDP data'!$H$2:$H$100, 0),
          MATCH(2008, 'Raw GDP data'!$I$1:$M$1, 0)
        ) /
        INDEX('Raw GDP data'!$I$2:$M$100,
          MATCH(D406, 'Raw GDP data'!$H$2:$H$100, 0),
          MATCH(2009, 'Raw GDP d"&amp;"ata'!$I$1:$M$1, 0)
        )
      )
    ),
  IF(A406 &lt; 2008,
    (
      FILTER(G:G,
        A:A = 2008,
        D:D = D406,
        E:E = E406,
        F:F = F406
      ) /
      PRODUCT(
        ARRAYFORMULA(
          (
            (
              FIL"&amp;"TER('Raw PhocalPoint Data'!G:G,
                'Raw PhocalPoint Data'!A:A = 2012,
                'Raw PhocalPoint Data'!D:D = D406,
                'Raw PhocalPoint Data'!E:E = E406,
                'Raw PhocalPoint Data'!F:F = F406
              ) /
  "&amp;"            FILTER('Raw PhocalPoint Data'!G:G,
                'Raw PhocalPoint Data'!A:A = 2011,
                'Raw PhocalPoint Data'!D:D = D406,
                'Raw PhocalPoint Data'!E:E = E406,
                'Raw PhocalPoint Data'!F:F = F406
     "&amp;"         ) -
              ROW(INDIRECT(""1:"" &amp; (2008 - A406))) *
              (
                (
                  FILTER('Raw PhocalPoint Data'!G:G,
                    'Raw PhocalPoint Data'!A:A = 2012,
                    'Raw PhocalPoint Data'!D:D"&amp;" = D406,
                    'Raw PhocalPoint Data'!E:E = E406,
                    'Raw PhocalPoint Data'!F:F = F406
                  ) /
                  FILTER('Raw PhocalPoint Data'!G:G,
                    'Raw PhocalPoint Data'!A:A = 2011,
       "&amp;"             'Raw PhocalPoint Data'!D:D = D406,
                    'Raw PhocalPoint Data'!E:E = E406,
                    'Raw PhocalPoint Data'!F:F = F406
                  ) - 1
                ) / 5
              )
            )
          )
        )
"&amp;"      )
    ),
    (
      FILTER('Raw PhocalPoint Data'!G:G,
        'Raw PhocalPoint Data'!A:A = 2009,
        'Raw PhocalPoint Data'!D:D = D406,
        'Raw PhocalPoint Data'!E:E = E406,
        'Raw PhocalPoint Data'!F:F = F406
      ) /
      PRODUC"&amp;"T(
        ARRAYFORMULA(
          (
            FILTER('Raw PhocalPoint Data'!G:G,
              'Raw PhocalPoint Data'!A:A = 2012,
              'Raw PhocalPoint Data'!D:D = D406,
              'Raw PhocalPoint Data'!E:E = E406,
              'Raw Phoca"&amp;"lPoint Data'!F:F = F406
            ) /
            FILTER('Raw PhocalPoint Data'!G:G,
              'Raw PhocalPoint Data'!A:A = 2011,
              'Raw PhocalPoint Data'!D:D = D406,
              'Raw PhocalPoint Data'!E:E = E406,
              'Raw Ph"&amp;"ocalPoint Data'!F:F = F406
            ) -
            (ROW(INDIRECT(""1:"" &amp; (2010 - A406))) - 1) *
            (
              (
                FILTER('Raw PhocalPoint Data'!G:G,
                  'Raw PhocalPoint Data'!A:A = 2012,
                  'R"&amp;"aw PhocalPoint Data'!D:D = D406,
                  'Raw PhocalPoint Data'!E:E = E406,
                  'Raw PhocalPoint Data'!F:F = F406
                ) /
                FILTER('Raw PhocalPoint Data'!G:G,
                  'Raw PhocalPoint Data'!A:A ="&amp;" 2011,
                  'Raw PhocalPoint Data'!D:D = D406,
                  'Raw PhocalPoint Data'!E:E = E406,
                  'Raw PhocalPoint Data'!F:F = F406
                ) - 1
              ) / 5
            )
          )
        )
      )
    "&amp;") *
    INDEX('Raw GDP data'!$I$2:$M$100,
      MATCH(D406, 'Raw GDP data'!$H$2:$H$100, 0),
      MATCH(A406, 'Raw GDP data'!$I$1:$M$1, 0)
    )
  )),
  """"
)
"),202632987.177162)</f>
        <v>202632987.17716199</v>
      </c>
      <c r="H406" s="80"/>
      <c r="I406" s="81">
        <f ca="1">IFERROR(__xludf.DUMMYFUNCTION("""COMPUTED_VALUE"""),2015)</f>
        <v>2015</v>
      </c>
      <c r="J406" s="82" t="str">
        <f ca="1">IFERROR(__xludf.DUMMYFUNCTION("""COMPUTED_VALUE"""),"Indonesia")</f>
        <v>Indonesia</v>
      </c>
      <c r="K406" s="83">
        <f ca="1">IFERROR(
  SUMIFS(
    'New Backfilled Data'!G:G,
    'New Backfilled Data'!A:A, I406,
    'New Backfilled Data'!D:D, J406,
    'New Backfilled Data'!E:E, "Online"
  ) /
  SUMIFS(
    'New Backfilled Data'!G:G,
    'New Backfilled Data'!A:A, I406,
    'New Backfilled Data'!D:D, J406
  ),
  ""
)</f>
        <v>0.14397462858021187</v>
      </c>
      <c r="L406" s="84"/>
      <c r="M406" s="84"/>
    </row>
    <row r="407" spans="1:13" ht="17" x14ac:dyDescent="0.2">
      <c r="A407" s="44">
        <v>2008</v>
      </c>
      <c r="B407" s="45" t="s">
        <v>66</v>
      </c>
      <c r="C407" s="45" t="s">
        <v>17</v>
      </c>
      <c r="D407" s="45" t="s">
        <v>19</v>
      </c>
      <c r="E407" s="45" t="s">
        <v>67</v>
      </c>
      <c r="F407" s="45" t="s">
        <v>67</v>
      </c>
      <c r="G407" s="85">
        <f ca="1">IFERROR(__xludf.DUMMYFUNCTION("IFERROR(
  IF(A407 = 2008,
    IF(E407 = ""Online"",
      FILTER('Raw PhocalPoint Data'!G:G,
        'Raw PhocalPoint Data'!A:A = 2009,
        'Raw PhocalPoint Data'!D:D = D407,
        'Raw PhocalPoint Data'!E:E = E407,
        'Raw PhocalPoint Data'!F"&amp;":F = F407
      ) /
      (
        FILTER('Raw PhocalPoint Data'!G:G,
          'Raw PhocalPoint Data'!A:A = 2012,
          'Raw PhocalPoint Data'!D:D = D407,
          'Raw PhocalPoint Data'!E:E = E407,
          'Raw PhocalPoint Data'!F:F = F407
     "&amp;"   ) /
        FILTER('Raw PhocalPoint Data'!G:G,
          'Raw PhocalPoint Data'!A:A = 2011,
          'Raw PhocalPoint Data'!D:D = D407,
          'Raw PhocalPoint Data'!E:E = E407,
          'Raw PhocalPoint Data'!F:F = F407
        )
      ),
      F"&amp;"ILTER('Raw PhocalPoint Data'!G:G,
        'Raw PhocalPoint Data'!A:A = 2009,
        'Raw PhocalPoint Data'!D:D = D407,
        'Raw PhocalPoint Data'!E:E = E407,
        'Raw PhocalPoint Data'!F:F = F407
      ) *
      (
        INDEX('Raw GDP data'!$I$"&amp;"2:$M$100,
          MATCH(D407, 'Raw GDP data'!$H$2:$H$100, 0),
          MATCH(2008, 'Raw GDP data'!$I$1:$M$1, 0)
        ) /
        INDEX('Raw GDP data'!$I$2:$M$100,
          MATCH(D407, 'Raw GDP data'!$H$2:$H$100, 0),
          MATCH(2009, 'Raw GDP d"&amp;"ata'!$I$1:$M$1, 0)
        )
      )
    ),
  IF(A407 &lt; 2008,
    (
      FILTER(G:G,
        A:A = 2008,
        D:D = D407,
        E:E = E407,
        F:F = F407
      ) /
      PRODUCT(
        ARRAYFORMULA(
          (
            (
              FIL"&amp;"TER('Raw PhocalPoint Data'!G:G,
                'Raw PhocalPoint Data'!A:A = 2012,
                'Raw PhocalPoint Data'!D:D = D407,
                'Raw PhocalPoint Data'!E:E = E407,
                'Raw PhocalPoint Data'!F:F = F407
              ) /
  "&amp;"            FILTER('Raw PhocalPoint Data'!G:G,
                'Raw PhocalPoint Data'!A:A = 2011,
                'Raw PhocalPoint Data'!D:D = D407,
                'Raw PhocalPoint Data'!E:E = E407,
                'Raw PhocalPoint Data'!F:F = F407
     "&amp;"         ) -
              ROW(INDIRECT(""1:"" &amp; (2008 - A407))) *
              (
                (
                  FILTER('Raw PhocalPoint Data'!G:G,
                    'Raw PhocalPoint Data'!A:A = 2012,
                    'Raw PhocalPoint Data'!D:D"&amp;" = D407,
                    'Raw PhocalPoint Data'!E:E = E407,
                    'Raw PhocalPoint Data'!F:F = F407
                  ) /
                  FILTER('Raw PhocalPoint Data'!G:G,
                    'Raw PhocalPoint Data'!A:A = 2011,
       "&amp;"             'Raw PhocalPoint Data'!D:D = D407,
                    'Raw PhocalPoint Data'!E:E = E407,
                    'Raw PhocalPoint Data'!F:F = F407
                  ) - 1
                ) / 5
              )
            )
          )
        )
"&amp;"      )
    ),
    (
      FILTER('Raw PhocalPoint Data'!G:G,
        'Raw PhocalPoint Data'!A:A = 2009,
        'Raw PhocalPoint Data'!D:D = D407,
        'Raw PhocalPoint Data'!E:E = E407,
        'Raw PhocalPoint Data'!F:F = F407
      ) /
      PRODUC"&amp;"T(
        ARRAYFORMULA(
          (
            FILTER('Raw PhocalPoint Data'!G:G,
              'Raw PhocalPoint Data'!A:A = 2012,
              'Raw PhocalPoint Data'!D:D = D407,
              'Raw PhocalPoint Data'!E:E = E407,
              'Raw Phoca"&amp;"lPoint Data'!F:F = F407
            ) /
            FILTER('Raw PhocalPoint Data'!G:G,
              'Raw PhocalPoint Data'!A:A = 2011,
              'Raw PhocalPoint Data'!D:D = D407,
              'Raw PhocalPoint Data'!E:E = E407,
              'Raw Ph"&amp;"ocalPoint Data'!F:F = F407
            ) -
            (ROW(INDIRECT(""1:"" &amp; (2010 - A407))) - 1) *
            (
              (
                FILTER('Raw PhocalPoint Data'!G:G,
                  'Raw PhocalPoint Data'!A:A = 2012,
                  'R"&amp;"aw PhocalPoint Data'!D:D = D407,
                  'Raw PhocalPoint Data'!E:E = E407,
                  'Raw PhocalPoint Data'!F:F = F407
                ) /
                FILTER('Raw PhocalPoint Data'!G:G,
                  'Raw PhocalPoint Data'!A:A ="&amp;" 2011,
                  'Raw PhocalPoint Data'!D:D = D407,
                  'Raw PhocalPoint Data'!E:E = E407,
                  'Raw PhocalPoint Data'!F:F = F407
                ) - 1
              ) / 5
            )
          )
        )
      )
    "&amp;") *
    INDEX('Raw GDP data'!$I$2:$M$100,
      MATCH(D407, 'Raw GDP data'!$H$2:$H$100, 0),
      MATCH(A407, 'Raw GDP data'!$I$1:$M$1, 0)
    )
  )),
  """"
)
"),8816413969.47221)</f>
        <v>8816413969.4722099</v>
      </c>
      <c r="H407" s="86"/>
      <c r="I407" s="87">
        <f ca="1">IFERROR(__xludf.DUMMYFUNCTION("""COMPUTED_VALUE"""),2015)</f>
        <v>2015</v>
      </c>
      <c r="J407" s="88" t="str">
        <f ca="1">IFERROR(__xludf.DUMMYFUNCTION("""COMPUTED_VALUE"""),"Japan")</f>
        <v>Japan</v>
      </c>
      <c r="K407" s="89">
        <f ca="1">IFERROR(
  SUMIFS(
    'New Backfilled Data'!G:G,
    'New Backfilled Data'!A:A, I407,
    'New Backfilled Data'!D:D, J407,
    'New Backfilled Data'!E:E, "Online"
  ) /
  SUMIFS(
    'New Backfilled Data'!G:G,
    'New Backfilled Data'!A:A, I407,
    'New Backfilled Data'!D:D, J407
  ),
  ""
)</f>
        <v>0.36443404192457551</v>
      </c>
      <c r="L407" s="90"/>
      <c r="M407" s="90"/>
    </row>
    <row r="408" spans="1:13" ht="17" x14ac:dyDescent="0.2">
      <c r="A408" s="37">
        <v>2008</v>
      </c>
      <c r="B408" s="38" t="s">
        <v>66</v>
      </c>
      <c r="C408" s="38" t="s">
        <v>17</v>
      </c>
      <c r="D408" s="38" t="s">
        <v>19</v>
      </c>
      <c r="E408" s="38" t="s">
        <v>69</v>
      </c>
      <c r="F408" s="38" t="s">
        <v>71</v>
      </c>
      <c r="G408" s="79">
        <f ca="1">IFERROR(__xludf.DUMMYFUNCTION("IFERROR(
  IF(A408 = 2008,
    IF(E408 = ""Online"",
      FILTER('Raw PhocalPoint Data'!G:G,
        'Raw PhocalPoint Data'!A:A = 2009,
        'Raw PhocalPoint Data'!D:D = D408,
        'Raw PhocalPoint Data'!E:E = E408,
        'Raw PhocalPoint Data'!F"&amp;":F = F408
      ) /
      (
        FILTER('Raw PhocalPoint Data'!G:G,
          'Raw PhocalPoint Data'!A:A = 2012,
          'Raw PhocalPoint Data'!D:D = D408,
          'Raw PhocalPoint Data'!E:E = E408,
          'Raw PhocalPoint Data'!F:F = F408
     "&amp;"   ) /
        FILTER('Raw PhocalPoint Data'!G:G,
          'Raw PhocalPoint Data'!A:A = 2011,
          'Raw PhocalPoint Data'!D:D = D408,
          'Raw PhocalPoint Data'!E:E = E408,
          'Raw PhocalPoint Data'!F:F = F408
        )
      ),
      F"&amp;"ILTER('Raw PhocalPoint Data'!G:G,
        'Raw PhocalPoint Data'!A:A = 2009,
        'Raw PhocalPoint Data'!D:D = D408,
        'Raw PhocalPoint Data'!E:E = E408,
        'Raw PhocalPoint Data'!F:F = F408
      ) *
      (
        INDEX('Raw GDP data'!$I$"&amp;"2:$M$100,
          MATCH(D408, 'Raw GDP data'!$H$2:$H$100, 0),
          MATCH(2008, 'Raw GDP data'!$I$1:$M$1, 0)
        ) /
        INDEX('Raw GDP data'!$I$2:$M$100,
          MATCH(D408, 'Raw GDP data'!$H$2:$H$100, 0),
          MATCH(2009, 'Raw GDP d"&amp;"ata'!$I$1:$M$1, 0)
        )
      )
    ),
  IF(A408 &lt; 2008,
    (
      FILTER(G:G,
        A:A = 2008,
        D:D = D408,
        E:E = E408,
        F:F = F408
      ) /
      PRODUCT(
        ARRAYFORMULA(
          (
            (
              FIL"&amp;"TER('Raw PhocalPoint Data'!G:G,
                'Raw PhocalPoint Data'!A:A = 2012,
                'Raw PhocalPoint Data'!D:D = D408,
                'Raw PhocalPoint Data'!E:E = E408,
                'Raw PhocalPoint Data'!F:F = F408
              ) /
  "&amp;"            FILTER('Raw PhocalPoint Data'!G:G,
                'Raw PhocalPoint Data'!A:A = 2011,
                'Raw PhocalPoint Data'!D:D = D408,
                'Raw PhocalPoint Data'!E:E = E408,
                'Raw PhocalPoint Data'!F:F = F408
     "&amp;"         ) -
              ROW(INDIRECT(""1:"" &amp; (2008 - A408))) *
              (
                (
                  FILTER('Raw PhocalPoint Data'!G:G,
                    'Raw PhocalPoint Data'!A:A = 2012,
                    'Raw PhocalPoint Data'!D:D"&amp;" = D408,
                    'Raw PhocalPoint Data'!E:E = E408,
                    'Raw PhocalPoint Data'!F:F = F408
                  ) /
                  FILTER('Raw PhocalPoint Data'!G:G,
                    'Raw PhocalPoint Data'!A:A = 2011,
       "&amp;"             'Raw PhocalPoint Data'!D:D = D408,
                    'Raw PhocalPoint Data'!E:E = E408,
                    'Raw PhocalPoint Data'!F:F = F408
                  ) - 1
                ) / 5
              )
            )
          )
        )
"&amp;"      )
    ),
    (
      FILTER('Raw PhocalPoint Data'!G:G,
        'Raw PhocalPoint Data'!A:A = 2009,
        'Raw PhocalPoint Data'!D:D = D408,
        'Raw PhocalPoint Data'!E:E = E408,
        'Raw PhocalPoint Data'!F:F = F408
      ) /
      PRODUC"&amp;"T(
        ARRAYFORMULA(
          (
            FILTER('Raw PhocalPoint Data'!G:G,
              'Raw PhocalPoint Data'!A:A = 2012,
              'Raw PhocalPoint Data'!D:D = D408,
              'Raw PhocalPoint Data'!E:E = E408,
              'Raw Phoca"&amp;"lPoint Data'!F:F = F408
            ) /
            FILTER('Raw PhocalPoint Data'!G:G,
              'Raw PhocalPoint Data'!A:A = 2011,
              'Raw PhocalPoint Data'!D:D = D408,
              'Raw PhocalPoint Data'!E:E = E408,
              'Raw Ph"&amp;"ocalPoint Data'!F:F = F408
            ) -
            (ROW(INDIRECT(""1:"" &amp; (2010 - A408))) - 1) *
            (
              (
                FILTER('Raw PhocalPoint Data'!G:G,
                  'Raw PhocalPoint Data'!A:A = 2012,
                  'R"&amp;"aw PhocalPoint Data'!D:D = D408,
                  'Raw PhocalPoint Data'!E:E = E408,
                  'Raw PhocalPoint Data'!F:F = F408
                ) /
                FILTER('Raw PhocalPoint Data'!G:G,
                  'Raw PhocalPoint Data'!A:A ="&amp;" 2011,
                  'Raw PhocalPoint Data'!D:D = D408,
                  'Raw PhocalPoint Data'!E:E = E408,
                  'Raw PhocalPoint Data'!F:F = F408
                ) - 1
              ) / 5
            )
          )
        )
      )
    "&amp;") *
    INDEX('Raw GDP data'!$I$2:$M$100,
      MATCH(D408, 'Raw GDP data'!$H$2:$H$100, 0),
      MATCH(A408, 'Raw GDP data'!$I$1:$M$1, 0)
    )
  )),
  """"
)
"),448986409.657392)</f>
        <v>448986409.65739202</v>
      </c>
      <c r="H408" s="80"/>
      <c r="I408" s="81">
        <f ca="1">IFERROR(__xludf.DUMMYFUNCTION("""COMPUTED_VALUE"""),2015)</f>
        <v>2015</v>
      </c>
      <c r="J408" s="82" t="str">
        <f ca="1">IFERROR(__xludf.DUMMYFUNCTION("""COMPUTED_VALUE"""),"Macau")</f>
        <v>Macau</v>
      </c>
      <c r="K408" s="83">
        <f ca="1">IFERROR(
  SUMIFS(
    'New Backfilled Data'!G:G,
    'New Backfilled Data'!A:A, I408,
    'New Backfilled Data'!D:D, J408,
    'New Backfilled Data'!E:E, "Online"
  ) /
  SUMIFS(
    'New Backfilled Data'!G:G,
    'New Backfilled Data'!A:A, I408,
    'New Backfilled Data'!D:D, J408
  ),
  ""
)</f>
        <v>0.1200000000722232</v>
      </c>
      <c r="L408" s="84"/>
      <c r="M408" s="84"/>
    </row>
    <row r="409" spans="1:13" ht="17" x14ac:dyDescent="0.2">
      <c r="A409" s="44">
        <v>2008</v>
      </c>
      <c r="B409" s="45" t="s">
        <v>66</v>
      </c>
      <c r="C409" s="45" t="s">
        <v>17</v>
      </c>
      <c r="D409" s="45" t="s">
        <v>19</v>
      </c>
      <c r="E409" s="45" t="s">
        <v>69</v>
      </c>
      <c r="F409" s="45" t="s">
        <v>70</v>
      </c>
      <c r="G409" s="85">
        <f ca="1">IFERROR(__xludf.DUMMYFUNCTION("IFERROR(
  IF(A409 = 2008,
    IF(E409 = ""Online"",
      FILTER('Raw PhocalPoint Data'!G:G,
        'Raw PhocalPoint Data'!A:A = 2009,
        'Raw PhocalPoint Data'!D:D = D409,
        'Raw PhocalPoint Data'!E:E = E409,
        'Raw PhocalPoint Data'!F"&amp;":F = F409
      ) /
      (
        FILTER('Raw PhocalPoint Data'!G:G,
          'Raw PhocalPoint Data'!A:A = 2012,
          'Raw PhocalPoint Data'!D:D = D409,
          'Raw PhocalPoint Data'!E:E = E409,
          'Raw PhocalPoint Data'!F:F = F409
     "&amp;"   ) /
        FILTER('Raw PhocalPoint Data'!G:G,
          'Raw PhocalPoint Data'!A:A = 2011,
          'Raw PhocalPoint Data'!D:D = D409,
          'Raw PhocalPoint Data'!E:E = E409,
          'Raw PhocalPoint Data'!F:F = F409
        )
      ),
      F"&amp;"ILTER('Raw PhocalPoint Data'!G:G,
        'Raw PhocalPoint Data'!A:A = 2009,
        'Raw PhocalPoint Data'!D:D = D409,
        'Raw PhocalPoint Data'!E:E = E409,
        'Raw PhocalPoint Data'!F:F = F409
      ) *
      (
        INDEX('Raw GDP data'!$I$"&amp;"2:$M$100,
          MATCH(D409, 'Raw GDP data'!$H$2:$H$100, 0),
          MATCH(2008, 'Raw GDP data'!$I$1:$M$1, 0)
        ) /
        INDEX('Raw GDP data'!$I$2:$M$100,
          MATCH(D409, 'Raw GDP data'!$H$2:$H$100, 0),
          MATCH(2009, 'Raw GDP d"&amp;"ata'!$I$1:$M$1, 0)
        )
      )
    ),
  IF(A409 &lt; 2008,
    (
      FILTER(G:G,
        A:A = 2008,
        D:D = D409,
        E:E = E409,
        F:F = F409
      ) /
      PRODUCT(
        ARRAYFORMULA(
          (
            (
              FIL"&amp;"TER('Raw PhocalPoint Data'!G:G,
                'Raw PhocalPoint Data'!A:A = 2012,
                'Raw PhocalPoint Data'!D:D = D409,
                'Raw PhocalPoint Data'!E:E = E409,
                'Raw PhocalPoint Data'!F:F = F409
              ) /
  "&amp;"            FILTER('Raw PhocalPoint Data'!G:G,
                'Raw PhocalPoint Data'!A:A = 2011,
                'Raw PhocalPoint Data'!D:D = D409,
                'Raw PhocalPoint Data'!E:E = E409,
                'Raw PhocalPoint Data'!F:F = F409
     "&amp;"         ) -
              ROW(INDIRECT(""1:"" &amp; (2008 - A409))) *
              (
                (
                  FILTER('Raw PhocalPoint Data'!G:G,
                    'Raw PhocalPoint Data'!A:A = 2012,
                    'Raw PhocalPoint Data'!D:D"&amp;" = D409,
                    'Raw PhocalPoint Data'!E:E = E409,
                    'Raw PhocalPoint Data'!F:F = F409
                  ) /
                  FILTER('Raw PhocalPoint Data'!G:G,
                    'Raw PhocalPoint Data'!A:A = 2011,
       "&amp;"             'Raw PhocalPoint Data'!D:D = D409,
                    'Raw PhocalPoint Data'!E:E = E409,
                    'Raw PhocalPoint Data'!F:F = F409
                  ) - 1
                ) / 5
              )
            )
          )
        )
"&amp;"      )
    ),
    (
      FILTER('Raw PhocalPoint Data'!G:G,
        'Raw PhocalPoint Data'!A:A = 2009,
        'Raw PhocalPoint Data'!D:D = D409,
        'Raw PhocalPoint Data'!E:E = E409,
        'Raw PhocalPoint Data'!F:F = F409
      ) /
      PRODUC"&amp;"T(
        ARRAYFORMULA(
          (
            FILTER('Raw PhocalPoint Data'!G:G,
              'Raw PhocalPoint Data'!A:A = 2012,
              'Raw PhocalPoint Data'!D:D = D409,
              'Raw PhocalPoint Data'!E:E = E409,
              'Raw Phoca"&amp;"lPoint Data'!F:F = F409
            ) /
            FILTER('Raw PhocalPoint Data'!G:G,
              'Raw PhocalPoint Data'!A:A = 2011,
              'Raw PhocalPoint Data'!D:D = D409,
              'Raw PhocalPoint Data'!E:E = E409,
              'Raw Ph"&amp;"ocalPoint Data'!F:F = F409
            ) -
            (ROW(INDIRECT(""1:"" &amp; (2010 - A409))) - 1) *
            (
              (
                FILTER('Raw PhocalPoint Data'!G:G,
                  'Raw PhocalPoint Data'!A:A = 2012,
                  'R"&amp;"aw PhocalPoint Data'!D:D = D409,
                  'Raw PhocalPoint Data'!E:E = E409,
                  'Raw PhocalPoint Data'!F:F = F409
                ) /
                FILTER('Raw PhocalPoint Data'!G:G,
                  'Raw PhocalPoint Data'!A:A ="&amp;" 2011,
                  'Raw PhocalPoint Data'!D:D = D409,
                  'Raw PhocalPoint Data'!E:E = E409,
                  'Raw PhocalPoint Data'!F:F = F409
                ) - 1
              ) / 5
            )
          )
        )
      )
    "&amp;") *
    INDEX('Raw GDP data'!$I$2:$M$100,
      MATCH(D409, 'Raw GDP data'!$H$2:$H$100, 0),
      MATCH(A409, 'Raw GDP data'!$I$1:$M$1, 0)
    )
  )),
  """"
)
"),1536782878.84025)</f>
        <v>1536782878.84025</v>
      </c>
      <c r="H409" s="86"/>
      <c r="I409" s="87">
        <f ca="1">IFERROR(__xludf.DUMMYFUNCTION("""COMPUTED_VALUE"""),2015)</f>
        <v>2015</v>
      </c>
      <c r="J409" s="88" t="str">
        <f ca="1">IFERROR(__xludf.DUMMYFUNCTION("""COMPUTED_VALUE"""),"Malaysia")</f>
        <v>Malaysia</v>
      </c>
      <c r="K409" s="89">
        <f ca="1">IFERROR(
  SUMIFS(
    'New Backfilled Data'!G:G,
    'New Backfilled Data'!A:A, I409,
    'New Backfilled Data'!D:D, J409,
    'New Backfilled Data'!E:E, "Online"
  ) /
  SUMIFS(
    'New Backfilled Data'!G:G,
    'New Backfilled Data'!A:A, I409,
    'New Backfilled Data'!D:D, J409
  ),
  ""
)</f>
        <v>0.35937144488551226</v>
      </c>
      <c r="L409" s="90"/>
      <c r="M409" s="90"/>
    </row>
    <row r="410" spans="1:13" ht="17" x14ac:dyDescent="0.2">
      <c r="A410" s="37">
        <v>2008</v>
      </c>
      <c r="B410" s="38" t="s">
        <v>66</v>
      </c>
      <c r="C410" s="38" t="s">
        <v>17</v>
      </c>
      <c r="D410" s="38" t="s">
        <v>20</v>
      </c>
      <c r="E410" s="38" t="s">
        <v>67</v>
      </c>
      <c r="F410" s="38" t="s">
        <v>67</v>
      </c>
      <c r="G410" s="79">
        <f ca="1">IFERROR(__xludf.DUMMYFUNCTION("IFERROR(
  IF(A410 = 2008,
    IF(E410 = ""Online"",
      FILTER('Raw PhocalPoint Data'!G:G,
        'Raw PhocalPoint Data'!A:A = 2009,
        'Raw PhocalPoint Data'!D:D = D410,
        'Raw PhocalPoint Data'!E:E = E410,
        'Raw PhocalPoint Data'!F"&amp;":F = F410
      ) /
      (
        FILTER('Raw PhocalPoint Data'!G:G,
          'Raw PhocalPoint Data'!A:A = 2012,
          'Raw PhocalPoint Data'!D:D = D410,
          'Raw PhocalPoint Data'!E:E = E410,
          'Raw PhocalPoint Data'!F:F = F410
     "&amp;"   ) /
        FILTER('Raw PhocalPoint Data'!G:G,
          'Raw PhocalPoint Data'!A:A = 2011,
          'Raw PhocalPoint Data'!D:D = D410,
          'Raw PhocalPoint Data'!E:E = E410,
          'Raw PhocalPoint Data'!F:F = F410
        )
      ),
      F"&amp;"ILTER('Raw PhocalPoint Data'!G:G,
        'Raw PhocalPoint Data'!A:A = 2009,
        'Raw PhocalPoint Data'!D:D = D410,
        'Raw PhocalPoint Data'!E:E = E410,
        'Raw PhocalPoint Data'!F:F = F410
      ) *
      (
        INDEX('Raw GDP data'!$I$"&amp;"2:$M$100,
          MATCH(D410, 'Raw GDP data'!$H$2:$H$100, 0),
          MATCH(2008, 'Raw GDP data'!$I$1:$M$1, 0)
        ) /
        INDEX('Raw GDP data'!$I$2:$M$100,
          MATCH(D410, 'Raw GDP data'!$H$2:$H$100, 0),
          MATCH(2009, 'Raw GDP d"&amp;"ata'!$I$1:$M$1, 0)
        )
      )
    ),
  IF(A410 &lt; 2008,
    (
      FILTER(G:G,
        A:A = 2008,
        D:D = D410,
        E:E = E410,
        F:F = F410
      ) /
      PRODUCT(
        ARRAYFORMULA(
          (
            (
              FIL"&amp;"TER('Raw PhocalPoint Data'!G:G,
                'Raw PhocalPoint Data'!A:A = 2012,
                'Raw PhocalPoint Data'!D:D = D410,
                'Raw PhocalPoint Data'!E:E = E410,
                'Raw PhocalPoint Data'!F:F = F410
              ) /
  "&amp;"            FILTER('Raw PhocalPoint Data'!G:G,
                'Raw PhocalPoint Data'!A:A = 2011,
                'Raw PhocalPoint Data'!D:D = D410,
                'Raw PhocalPoint Data'!E:E = E410,
                'Raw PhocalPoint Data'!F:F = F410
     "&amp;"         ) -
              ROW(INDIRECT(""1:"" &amp; (2008 - A410))) *
              (
                (
                  FILTER('Raw PhocalPoint Data'!G:G,
                    'Raw PhocalPoint Data'!A:A = 2012,
                    'Raw PhocalPoint Data'!D:D"&amp;" = D410,
                    'Raw PhocalPoint Data'!E:E = E410,
                    'Raw PhocalPoint Data'!F:F = F410
                  ) /
                  FILTER('Raw PhocalPoint Data'!G:G,
                    'Raw PhocalPoint Data'!A:A = 2011,
       "&amp;"             'Raw PhocalPoint Data'!D:D = D410,
                    'Raw PhocalPoint Data'!E:E = E410,
                    'Raw PhocalPoint Data'!F:F = F410
                  ) - 1
                ) / 5
              )
            )
          )
        )
"&amp;"      )
    ),
    (
      FILTER('Raw PhocalPoint Data'!G:G,
        'Raw PhocalPoint Data'!A:A = 2009,
        'Raw PhocalPoint Data'!D:D = D410,
        'Raw PhocalPoint Data'!E:E = E410,
        'Raw PhocalPoint Data'!F:F = F410
      ) /
      PRODUC"&amp;"T(
        ARRAYFORMULA(
          (
            FILTER('Raw PhocalPoint Data'!G:G,
              'Raw PhocalPoint Data'!A:A = 2012,
              'Raw PhocalPoint Data'!D:D = D410,
              'Raw PhocalPoint Data'!E:E = E410,
              'Raw Phoca"&amp;"lPoint Data'!F:F = F410
            ) /
            FILTER('Raw PhocalPoint Data'!G:G,
              'Raw PhocalPoint Data'!A:A = 2011,
              'Raw PhocalPoint Data'!D:D = D410,
              'Raw PhocalPoint Data'!E:E = E410,
              'Raw Ph"&amp;"ocalPoint Data'!F:F = F410
            ) -
            (ROW(INDIRECT(""1:"" &amp; (2010 - A410))) - 1) *
            (
              (
                FILTER('Raw PhocalPoint Data'!G:G,
                  'Raw PhocalPoint Data'!A:A = 2012,
                  'R"&amp;"aw PhocalPoint Data'!D:D = D410,
                  'Raw PhocalPoint Data'!E:E = E410,
                  'Raw PhocalPoint Data'!F:F = F410
                ) /
                FILTER('Raw PhocalPoint Data'!G:G,
                  'Raw PhocalPoint Data'!A:A ="&amp;" 2011,
                  'Raw PhocalPoint Data'!D:D = D410,
                  'Raw PhocalPoint Data'!E:E = E410,
                  'Raw PhocalPoint Data'!F:F = F410
                ) - 1
              ) / 5
            )
          )
        )
      )
    "&amp;") *
    INDEX('Raw GDP data'!$I$2:$M$100,
      MATCH(D410, 'Raw GDP data'!$H$2:$H$100, 0),
      MATCH(A410, 'Raw GDP data'!$I$1:$M$1, 0)
    )
  )),
  """"
)
"),2505994604.89988)</f>
        <v>2505994604.8998799</v>
      </c>
      <c r="H410" s="80"/>
      <c r="I410" s="81">
        <f ca="1">IFERROR(__xludf.DUMMYFUNCTION("""COMPUTED_VALUE"""),2015)</f>
        <v>2015</v>
      </c>
      <c r="J410" s="82" t="str">
        <f ca="1">IFERROR(__xludf.DUMMYFUNCTION("""COMPUTED_VALUE"""),"Singapore")</f>
        <v>Singapore</v>
      </c>
      <c r="K410" s="83">
        <f ca="1">IFERROR(
  SUMIFS(
    'New Backfilled Data'!G:G,
    'New Backfilled Data'!A:A, I410,
    'New Backfilled Data'!D:D, J410,
    'New Backfilled Data'!E:E, "Online"
  ) /
  SUMIFS(
    'New Backfilled Data'!G:G,
    'New Backfilled Data'!A:A, I410,
    'New Backfilled Data'!D:D, J410
  ),
  ""
)</f>
        <v>0.34432143990603031</v>
      </c>
      <c r="L410" s="84"/>
      <c r="M410" s="84"/>
    </row>
    <row r="411" spans="1:13" ht="17" x14ac:dyDescent="0.2">
      <c r="A411" s="44">
        <v>2008</v>
      </c>
      <c r="B411" s="45" t="s">
        <v>66</v>
      </c>
      <c r="C411" s="45" t="s">
        <v>17</v>
      </c>
      <c r="D411" s="45" t="s">
        <v>20</v>
      </c>
      <c r="E411" s="45" t="s">
        <v>69</v>
      </c>
      <c r="F411" s="45" t="s">
        <v>71</v>
      </c>
      <c r="G411" s="85">
        <f ca="1">IFERROR(__xludf.DUMMYFUNCTION("IFERROR(
  IF(A411 = 2008,
    IF(E411 = ""Online"",
      FILTER('Raw PhocalPoint Data'!G:G,
        'Raw PhocalPoint Data'!A:A = 2009,
        'Raw PhocalPoint Data'!D:D = D411,
        'Raw PhocalPoint Data'!E:E = E411,
        'Raw PhocalPoint Data'!F"&amp;":F = F411
      ) /
      (
        FILTER('Raw PhocalPoint Data'!G:G,
          'Raw PhocalPoint Data'!A:A = 2012,
          'Raw PhocalPoint Data'!D:D = D411,
          'Raw PhocalPoint Data'!E:E = E411,
          'Raw PhocalPoint Data'!F:F = F411
     "&amp;"   ) /
        FILTER('Raw PhocalPoint Data'!G:G,
          'Raw PhocalPoint Data'!A:A = 2011,
          'Raw PhocalPoint Data'!D:D = D411,
          'Raw PhocalPoint Data'!E:E = E411,
          'Raw PhocalPoint Data'!F:F = F411
        )
      ),
      F"&amp;"ILTER('Raw PhocalPoint Data'!G:G,
        'Raw PhocalPoint Data'!A:A = 2009,
        'Raw PhocalPoint Data'!D:D = D411,
        'Raw PhocalPoint Data'!E:E = E411,
        'Raw PhocalPoint Data'!F:F = F411
      ) *
      (
        INDEX('Raw GDP data'!$I$"&amp;"2:$M$100,
          MATCH(D411, 'Raw GDP data'!$H$2:$H$100, 0),
          MATCH(2008, 'Raw GDP data'!$I$1:$M$1, 0)
        ) /
        INDEX('Raw GDP data'!$I$2:$M$100,
          MATCH(D411, 'Raw GDP data'!$H$2:$H$100, 0),
          MATCH(2009, 'Raw GDP d"&amp;"ata'!$I$1:$M$1, 0)
        )
      )
    ),
  IF(A411 &lt; 2008,
    (
      FILTER(G:G,
        A:A = 2008,
        D:D = D411,
        E:E = E411,
        F:F = F411
      ) /
      PRODUCT(
        ARRAYFORMULA(
          (
            (
              FIL"&amp;"TER('Raw PhocalPoint Data'!G:G,
                'Raw PhocalPoint Data'!A:A = 2012,
                'Raw PhocalPoint Data'!D:D = D411,
                'Raw PhocalPoint Data'!E:E = E411,
                'Raw PhocalPoint Data'!F:F = F411
              ) /
  "&amp;"            FILTER('Raw PhocalPoint Data'!G:G,
                'Raw PhocalPoint Data'!A:A = 2011,
                'Raw PhocalPoint Data'!D:D = D411,
                'Raw PhocalPoint Data'!E:E = E411,
                'Raw PhocalPoint Data'!F:F = F411
     "&amp;"         ) -
              ROW(INDIRECT(""1:"" &amp; (2008 - A411))) *
              (
                (
                  FILTER('Raw PhocalPoint Data'!G:G,
                    'Raw PhocalPoint Data'!A:A = 2012,
                    'Raw PhocalPoint Data'!D:D"&amp;" = D411,
                    'Raw PhocalPoint Data'!E:E = E411,
                    'Raw PhocalPoint Data'!F:F = F411
                  ) /
                  FILTER('Raw PhocalPoint Data'!G:G,
                    'Raw PhocalPoint Data'!A:A = 2011,
       "&amp;"             'Raw PhocalPoint Data'!D:D = D411,
                    'Raw PhocalPoint Data'!E:E = E411,
                    'Raw PhocalPoint Data'!F:F = F411
                  ) - 1
                ) / 5
              )
            )
          )
        )
"&amp;"      )
    ),
    (
      FILTER('Raw PhocalPoint Data'!G:G,
        'Raw PhocalPoint Data'!A:A = 2009,
        'Raw PhocalPoint Data'!D:D = D411,
        'Raw PhocalPoint Data'!E:E = E411,
        'Raw PhocalPoint Data'!F:F = F411
      ) /
      PRODUC"&amp;"T(
        ARRAYFORMULA(
          (
            FILTER('Raw PhocalPoint Data'!G:G,
              'Raw PhocalPoint Data'!A:A = 2012,
              'Raw PhocalPoint Data'!D:D = D411,
              'Raw PhocalPoint Data'!E:E = E411,
              'Raw Phoca"&amp;"lPoint Data'!F:F = F411
            ) /
            FILTER('Raw PhocalPoint Data'!G:G,
              'Raw PhocalPoint Data'!A:A = 2011,
              'Raw PhocalPoint Data'!D:D = D411,
              'Raw PhocalPoint Data'!E:E = E411,
              'Raw Ph"&amp;"ocalPoint Data'!F:F = F411
            ) -
            (ROW(INDIRECT(""1:"" &amp; (2010 - A411))) - 1) *
            (
              (
                FILTER('Raw PhocalPoint Data'!G:G,
                  'Raw PhocalPoint Data'!A:A = 2012,
                  'R"&amp;"aw PhocalPoint Data'!D:D = D411,
                  'Raw PhocalPoint Data'!E:E = E411,
                  'Raw PhocalPoint Data'!F:F = F411
                ) /
                FILTER('Raw PhocalPoint Data'!G:G,
                  'Raw PhocalPoint Data'!A:A ="&amp;" 2011,
                  'Raw PhocalPoint Data'!D:D = D411,
                  'Raw PhocalPoint Data'!E:E = E411,
                  'Raw PhocalPoint Data'!F:F = F411
                ) - 1
              ) / 5
            )
          )
        )
      )
    "&amp;") *
    INDEX('Raw GDP data'!$I$2:$M$100,
      MATCH(D411, 'Raw GDP data'!$H$2:$H$100, 0),
      MATCH(A411, 'Raw GDP data'!$I$1:$M$1, 0)
    )
  )),
  """"
)
"),115456184.18135)</f>
        <v>115456184.18134999</v>
      </c>
      <c r="H411" s="86"/>
      <c r="I411" s="87">
        <f ca="1">IFERROR(__xludf.DUMMYFUNCTION("""COMPUTED_VALUE"""),2015)</f>
        <v>2015</v>
      </c>
      <c r="J411" s="88" t="str">
        <f ca="1">IFERROR(__xludf.DUMMYFUNCTION("""COMPUTED_VALUE"""),"South Korea")</f>
        <v>South Korea</v>
      </c>
      <c r="K411" s="89">
        <f ca="1">IFERROR(
  SUMIFS(
    'New Backfilled Data'!G:G,
    'New Backfilled Data'!A:A, I411,
    'New Backfilled Data'!D:D, J411,
    'New Backfilled Data'!E:E, "Online"
  ) /
  SUMIFS(
    'New Backfilled Data'!G:G,
    'New Backfilled Data'!A:A, I411,
    'New Backfilled Data'!D:D, J411
  ),
  ""
)</f>
        <v>0.30732482941504152</v>
      </c>
      <c r="L411" s="90"/>
      <c r="M411" s="90"/>
    </row>
    <row r="412" spans="1:13" ht="17" x14ac:dyDescent="0.2">
      <c r="A412" s="37">
        <v>2008</v>
      </c>
      <c r="B412" s="38" t="s">
        <v>66</v>
      </c>
      <c r="C412" s="38" t="s">
        <v>17</v>
      </c>
      <c r="D412" s="38" t="s">
        <v>20</v>
      </c>
      <c r="E412" s="38" t="s">
        <v>69</v>
      </c>
      <c r="F412" s="38" t="s">
        <v>70</v>
      </c>
      <c r="G412" s="79">
        <f ca="1">IFERROR(__xludf.DUMMYFUNCTION("IFERROR(
  IF(A412 = 2008,
    IF(E412 = ""Online"",
      FILTER('Raw PhocalPoint Data'!G:G,
        'Raw PhocalPoint Data'!A:A = 2009,
        'Raw PhocalPoint Data'!D:D = D412,
        'Raw PhocalPoint Data'!E:E = E412,
        'Raw PhocalPoint Data'!F"&amp;":F = F412
      ) /
      (
        FILTER('Raw PhocalPoint Data'!G:G,
          'Raw PhocalPoint Data'!A:A = 2012,
          'Raw PhocalPoint Data'!D:D = D412,
          'Raw PhocalPoint Data'!E:E = E412,
          'Raw PhocalPoint Data'!F:F = F412
     "&amp;"   ) /
        FILTER('Raw PhocalPoint Data'!G:G,
          'Raw PhocalPoint Data'!A:A = 2011,
          'Raw PhocalPoint Data'!D:D = D412,
          'Raw PhocalPoint Data'!E:E = E412,
          'Raw PhocalPoint Data'!F:F = F412
        )
      ),
      F"&amp;"ILTER('Raw PhocalPoint Data'!G:G,
        'Raw PhocalPoint Data'!A:A = 2009,
        'Raw PhocalPoint Data'!D:D = D412,
        'Raw PhocalPoint Data'!E:E = E412,
        'Raw PhocalPoint Data'!F:F = F412
      ) *
      (
        INDEX('Raw GDP data'!$I$"&amp;"2:$M$100,
          MATCH(D412, 'Raw GDP data'!$H$2:$H$100, 0),
          MATCH(2008, 'Raw GDP data'!$I$1:$M$1, 0)
        ) /
        INDEX('Raw GDP data'!$I$2:$M$100,
          MATCH(D412, 'Raw GDP data'!$H$2:$H$100, 0),
          MATCH(2009, 'Raw GDP d"&amp;"ata'!$I$1:$M$1, 0)
        )
      )
    ),
  IF(A412 &lt; 2008,
    (
      FILTER(G:G,
        A:A = 2008,
        D:D = D412,
        E:E = E412,
        F:F = F412
      ) /
      PRODUCT(
        ARRAYFORMULA(
          (
            (
              FIL"&amp;"TER('Raw PhocalPoint Data'!G:G,
                'Raw PhocalPoint Data'!A:A = 2012,
                'Raw PhocalPoint Data'!D:D = D412,
                'Raw PhocalPoint Data'!E:E = E412,
                'Raw PhocalPoint Data'!F:F = F412
              ) /
  "&amp;"            FILTER('Raw PhocalPoint Data'!G:G,
                'Raw PhocalPoint Data'!A:A = 2011,
                'Raw PhocalPoint Data'!D:D = D412,
                'Raw PhocalPoint Data'!E:E = E412,
                'Raw PhocalPoint Data'!F:F = F412
     "&amp;"         ) -
              ROW(INDIRECT(""1:"" &amp; (2008 - A412))) *
              (
                (
                  FILTER('Raw PhocalPoint Data'!G:G,
                    'Raw PhocalPoint Data'!A:A = 2012,
                    'Raw PhocalPoint Data'!D:D"&amp;" = D412,
                    'Raw PhocalPoint Data'!E:E = E412,
                    'Raw PhocalPoint Data'!F:F = F412
                  ) /
                  FILTER('Raw PhocalPoint Data'!G:G,
                    'Raw PhocalPoint Data'!A:A = 2011,
       "&amp;"             'Raw PhocalPoint Data'!D:D = D412,
                    'Raw PhocalPoint Data'!E:E = E412,
                    'Raw PhocalPoint Data'!F:F = F412
                  ) - 1
                ) / 5
              )
            )
          )
        )
"&amp;"      )
    ),
    (
      FILTER('Raw PhocalPoint Data'!G:G,
        'Raw PhocalPoint Data'!A:A = 2009,
        'Raw PhocalPoint Data'!D:D = D412,
        'Raw PhocalPoint Data'!E:E = E412,
        'Raw PhocalPoint Data'!F:F = F412
      ) /
      PRODUC"&amp;"T(
        ARRAYFORMULA(
          (
            FILTER('Raw PhocalPoint Data'!G:G,
              'Raw PhocalPoint Data'!A:A = 2012,
              'Raw PhocalPoint Data'!D:D = D412,
              'Raw PhocalPoint Data'!E:E = E412,
              'Raw Phoca"&amp;"lPoint Data'!F:F = F412
            ) /
            FILTER('Raw PhocalPoint Data'!G:G,
              'Raw PhocalPoint Data'!A:A = 2011,
              'Raw PhocalPoint Data'!D:D = D412,
              'Raw PhocalPoint Data'!E:E = E412,
              'Raw Ph"&amp;"ocalPoint Data'!F:F = F412
            ) -
            (ROW(INDIRECT(""1:"" &amp; (2010 - A412))) - 1) *
            (
              (
                FILTER('Raw PhocalPoint Data'!G:G,
                  'Raw PhocalPoint Data'!A:A = 2012,
                  'R"&amp;"aw PhocalPoint Data'!D:D = D412,
                  'Raw PhocalPoint Data'!E:E = E412,
                  'Raw PhocalPoint Data'!F:F = F412
                ) /
                FILTER('Raw PhocalPoint Data'!G:G,
                  'Raw PhocalPoint Data'!A:A ="&amp;" 2011,
                  'Raw PhocalPoint Data'!D:D = D412,
                  'Raw PhocalPoint Data'!E:E = E412,
                  'Raw PhocalPoint Data'!F:F = F412
                ) - 1
              ) / 5
            )
          )
        )
      )
    "&amp;") *
    INDEX('Raw GDP data'!$I$2:$M$100,
      MATCH(D412, 'Raw GDP data'!$H$2:$H$100, 0),
      MATCH(A412, 'Raw GDP data'!$I$1:$M$1, 0)
    )
  )),
  """"
)
"),349023262.241918)</f>
        <v>349023262.24191803</v>
      </c>
      <c r="H412" s="80"/>
      <c r="I412" s="81">
        <f ca="1">IFERROR(__xludf.DUMMYFUNCTION("""COMPUTED_VALUE"""),2015)</f>
        <v>2015</v>
      </c>
      <c r="J412" s="82" t="str">
        <f ca="1">IFERROR(__xludf.DUMMYFUNCTION("""COMPUTED_VALUE"""),"Taiwan")</f>
        <v>Taiwan</v>
      </c>
      <c r="K412" s="83">
        <f ca="1">IFERROR(
  SUMIFS(
    'New Backfilled Data'!G:G,
    'New Backfilled Data'!A:A, I412,
    'New Backfilled Data'!D:D, J412,
    'New Backfilled Data'!E:E, "Online"
  ) /
  SUMIFS(
    'New Backfilled Data'!G:G,
    'New Backfilled Data'!A:A, I412,
    'New Backfilled Data'!D:D, J412
  ),
  ""
)</f>
        <v>0.16198999190819258</v>
      </c>
      <c r="L412" s="84"/>
      <c r="M412" s="84"/>
    </row>
    <row r="413" spans="1:13" ht="17" x14ac:dyDescent="0.2">
      <c r="A413" s="44">
        <v>2008</v>
      </c>
      <c r="B413" s="45" t="s">
        <v>66</v>
      </c>
      <c r="C413" s="45" t="s">
        <v>17</v>
      </c>
      <c r="D413" s="45" t="s">
        <v>21</v>
      </c>
      <c r="E413" s="45" t="s">
        <v>67</v>
      </c>
      <c r="F413" s="45" t="s">
        <v>67</v>
      </c>
      <c r="G413" s="85">
        <f ca="1">IFERROR(__xludf.DUMMYFUNCTION("IFERROR(
  IF(A413 = 2008,
    IF(E413 = ""Online"",
      FILTER('Raw PhocalPoint Data'!G:G,
        'Raw PhocalPoint Data'!A:A = 2009,
        'Raw PhocalPoint Data'!D:D = D413,
        'Raw PhocalPoint Data'!E:E = E413,
        'Raw PhocalPoint Data'!F"&amp;":F = F413
      ) /
      (
        FILTER('Raw PhocalPoint Data'!G:G,
          'Raw PhocalPoint Data'!A:A = 2012,
          'Raw PhocalPoint Data'!D:D = D413,
          'Raw PhocalPoint Data'!E:E = E413,
          'Raw PhocalPoint Data'!F:F = F413
     "&amp;"   ) /
        FILTER('Raw PhocalPoint Data'!G:G,
          'Raw PhocalPoint Data'!A:A = 2011,
          'Raw PhocalPoint Data'!D:D = D413,
          'Raw PhocalPoint Data'!E:E = E413,
          'Raw PhocalPoint Data'!F:F = F413
        )
      ),
      F"&amp;"ILTER('Raw PhocalPoint Data'!G:G,
        'Raw PhocalPoint Data'!A:A = 2009,
        'Raw PhocalPoint Data'!D:D = D413,
        'Raw PhocalPoint Data'!E:E = E413,
        'Raw PhocalPoint Data'!F:F = F413
      ) *
      (
        INDEX('Raw GDP data'!$I$"&amp;"2:$M$100,
          MATCH(D413, 'Raw GDP data'!$H$2:$H$100, 0),
          MATCH(2008, 'Raw GDP data'!$I$1:$M$1, 0)
        ) /
        INDEX('Raw GDP data'!$I$2:$M$100,
          MATCH(D413, 'Raw GDP data'!$H$2:$H$100, 0),
          MATCH(2009, 'Raw GDP d"&amp;"ata'!$I$1:$M$1, 0)
        )
      )
    ),
  IF(A413 &lt; 2008,
    (
      FILTER(G:G,
        A:A = 2008,
        D:D = D413,
        E:E = E413,
        F:F = F413
      ) /
      PRODUCT(
        ARRAYFORMULA(
          (
            (
              FIL"&amp;"TER('Raw PhocalPoint Data'!G:G,
                'Raw PhocalPoint Data'!A:A = 2012,
                'Raw PhocalPoint Data'!D:D = D413,
                'Raw PhocalPoint Data'!E:E = E413,
                'Raw PhocalPoint Data'!F:F = F413
              ) /
  "&amp;"            FILTER('Raw PhocalPoint Data'!G:G,
                'Raw PhocalPoint Data'!A:A = 2011,
                'Raw PhocalPoint Data'!D:D = D413,
                'Raw PhocalPoint Data'!E:E = E413,
                'Raw PhocalPoint Data'!F:F = F413
     "&amp;"         ) -
              ROW(INDIRECT(""1:"" &amp; (2008 - A413))) *
              (
                (
                  FILTER('Raw PhocalPoint Data'!G:G,
                    'Raw PhocalPoint Data'!A:A = 2012,
                    'Raw PhocalPoint Data'!D:D"&amp;" = D413,
                    'Raw PhocalPoint Data'!E:E = E413,
                    'Raw PhocalPoint Data'!F:F = F413
                  ) /
                  FILTER('Raw PhocalPoint Data'!G:G,
                    'Raw PhocalPoint Data'!A:A = 2011,
       "&amp;"             'Raw PhocalPoint Data'!D:D = D413,
                    'Raw PhocalPoint Data'!E:E = E413,
                    'Raw PhocalPoint Data'!F:F = F413
                  ) - 1
                ) / 5
              )
            )
          )
        )
"&amp;"      )
    ),
    (
      FILTER('Raw PhocalPoint Data'!G:G,
        'Raw PhocalPoint Data'!A:A = 2009,
        'Raw PhocalPoint Data'!D:D = D413,
        'Raw PhocalPoint Data'!E:E = E413,
        'Raw PhocalPoint Data'!F:F = F413
      ) /
      PRODUC"&amp;"T(
        ARRAYFORMULA(
          (
            FILTER('Raw PhocalPoint Data'!G:G,
              'Raw PhocalPoint Data'!A:A = 2012,
              'Raw PhocalPoint Data'!D:D = D413,
              'Raw PhocalPoint Data'!E:E = E413,
              'Raw Phoca"&amp;"lPoint Data'!F:F = F413
            ) /
            FILTER('Raw PhocalPoint Data'!G:G,
              'Raw PhocalPoint Data'!A:A = 2011,
              'Raw PhocalPoint Data'!D:D = D413,
              'Raw PhocalPoint Data'!E:E = E413,
              'Raw Ph"&amp;"ocalPoint Data'!F:F = F413
            ) -
            (ROW(INDIRECT(""1:"" &amp; (2010 - A413))) - 1) *
            (
              (
                FILTER('Raw PhocalPoint Data'!G:G,
                  'Raw PhocalPoint Data'!A:A = 2012,
                  'R"&amp;"aw PhocalPoint Data'!D:D = D413,
                  'Raw PhocalPoint Data'!E:E = E413,
                  'Raw PhocalPoint Data'!F:F = F413
                ) /
                FILTER('Raw PhocalPoint Data'!G:G,
                  'Raw PhocalPoint Data'!A:A ="&amp;" 2011,
                  'Raw PhocalPoint Data'!D:D = D413,
                  'Raw PhocalPoint Data'!E:E = E413,
                  'Raw PhocalPoint Data'!F:F = F413
                ) - 1
              ) / 5
            )
          )
        )
      )
    "&amp;") *
    INDEX('Raw GDP data'!$I$2:$M$100,
      MATCH(D413, 'Raw GDP data'!$H$2:$H$100, 0),
      MATCH(A413, 'Raw GDP data'!$I$1:$M$1, 0)
    )
  )),
  """"
)
"),3911346969.06256)</f>
        <v>3911346969.0625601</v>
      </c>
      <c r="H413" s="86"/>
      <c r="I413" s="87">
        <f ca="1">IFERROR(__xludf.DUMMYFUNCTION("""COMPUTED_VALUE"""),2015)</f>
        <v>2015</v>
      </c>
      <c r="J413" s="88" t="str">
        <f ca="1">IFERROR(__xludf.DUMMYFUNCTION("""COMPUTED_VALUE"""),"Thailand")</f>
        <v>Thailand</v>
      </c>
      <c r="K413" s="89">
        <f ca="1">IFERROR(
  SUMIFS(
    'New Backfilled Data'!G:G,
    'New Backfilled Data'!A:A, I413,
    'New Backfilled Data'!D:D, J413,
    'New Backfilled Data'!E:E, "Online"
  ) /
  SUMIFS(
    'New Backfilled Data'!G:G,
    'New Backfilled Data'!A:A, I413,
    'New Backfilled Data'!D:D, J413
  ),
  ""
)</f>
        <v>0.29302289659535724</v>
      </c>
      <c r="L413" s="90"/>
      <c r="M413" s="90"/>
    </row>
    <row r="414" spans="1:13" ht="17" x14ac:dyDescent="0.2">
      <c r="A414" s="37">
        <v>2008</v>
      </c>
      <c r="B414" s="38" t="s">
        <v>66</v>
      </c>
      <c r="C414" s="38" t="s">
        <v>17</v>
      </c>
      <c r="D414" s="38" t="s">
        <v>21</v>
      </c>
      <c r="E414" s="38" t="s">
        <v>69</v>
      </c>
      <c r="F414" s="38" t="s">
        <v>71</v>
      </c>
      <c r="G414" s="79">
        <f ca="1">IFERROR(__xludf.DUMMYFUNCTION("IFERROR(
  IF(A414 = 2008,
    IF(E414 = ""Online"",
      FILTER('Raw PhocalPoint Data'!G:G,
        'Raw PhocalPoint Data'!A:A = 2009,
        'Raw PhocalPoint Data'!D:D = D414,
        'Raw PhocalPoint Data'!E:E = E414,
        'Raw PhocalPoint Data'!F"&amp;":F = F414
      ) /
      (
        FILTER('Raw PhocalPoint Data'!G:G,
          'Raw PhocalPoint Data'!A:A = 2012,
          'Raw PhocalPoint Data'!D:D = D414,
          'Raw PhocalPoint Data'!E:E = E414,
          'Raw PhocalPoint Data'!F:F = F414
     "&amp;"   ) /
        FILTER('Raw PhocalPoint Data'!G:G,
          'Raw PhocalPoint Data'!A:A = 2011,
          'Raw PhocalPoint Data'!D:D = D414,
          'Raw PhocalPoint Data'!E:E = E414,
          'Raw PhocalPoint Data'!F:F = F414
        )
      ),
      F"&amp;"ILTER('Raw PhocalPoint Data'!G:G,
        'Raw PhocalPoint Data'!A:A = 2009,
        'Raw PhocalPoint Data'!D:D = D414,
        'Raw PhocalPoint Data'!E:E = E414,
        'Raw PhocalPoint Data'!F:F = F414
      ) *
      (
        INDEX('Raw GDP data'!$I$"&amp;"2:$M$100,
          MATCH(D414, 'Raw GDP data'!$H$2:$H$100, 0),
          MATCH(2008, 'Raw GDP data'!$I$1:$M$1, 0)
        ) /
        INDEX('Raw GDP data'!$I$2:$M$100,
          MATCH(D414, 'Raw GDP data'!$H$2:$H$100, 0),
          MATCH(2009, 'Raw GDP d"&amp;"ata'!$I$1:$M$1, 0)
        )
      )
    ),
  IF(A414 &lt; 2008,
    (
      FILTER(G:G,
        A:A = 2008,
        D:D = D414,
        E:E = E414,
        F:F = F414
      ) /
      PRODUCT(
        ARRAYFORMULA(
          (
            (
              FIL"&amp;"TER('Raw PhocalPoint Data'!G:G,
                'Raw PhocalPoint Data'!A:A = 2012,
                'Raw PhocalPoint Data'!D:D = D414,
                'Raw PhocalPoint Data'!E:E = E414,
                'Raw PhocalPoint Data'!F:F = F414
              ) /
  "&amp;"            FILTER('Raw PhocalPoint Data'!G:G,
                'Raw PhocalPoint Data'!A:A = 2011,
                'Raw PhocalPoint Data'!D:D = D414,
                'Raw PhocalPoint Data'!E:E = E414,
                'Raw PhocalPoint Data'!F:F = F414
     "&amp;"         ) -
              ROW(INDIRECT(""1:"" &amp; (2008 - A414))) *
              (
                (
                  FILTER('Raw PhocalPoint Data'!G:G,
                    'Raw PhocalPoint Data'!A:A = 2012,
                    'Raw PhocalPoint Data'!D:D"&amp;" = D414,
                    'Raw PhocalPoint Data'!E:E = E414,
                    'Raw PhocalPoint Data'!F:F = F414
                  ) /
                  FILTER('Raw PhocalPoint Data'!G:G,
                    'Raw PhocalPoint Data'!A:A = 2011,
       "&amp;"             'Raw PhocalPoint Data'!D:D = D414,
                    'Raw PhocalPoint Data'!E:E = E414,
                    'Raw PhocalPoint Data'!F:F = F414
                  ) - 1
                ) / 5
              )
            )
          )
        )
"&amp;"      )
    ),
    (
      FILTER('Raw PhocalPoint Data'!G:G,
        'Raw PhocalPoint Data'!A:A = 2009,
        'Raw PhocalPoint Data'!D:D = D414,
        'Raw PhocalPoint Data'!E:E = E414,
        'Raw PhocalPoint Data'!F:F = F414
      ) /
      PRODUC"&amp;"T(
        ARRAYFORMULA(
          (
            FILTER('Raw PhocalPoint Data'!G:G,
              'Raw PhocalPoint Data'!A:A = 2012,
              'Raw PhocalPoint Data'!D:D = D414,
              'Raw PhocalPoint Data'!E:E = E414,
              'Raw Phoca"&amp;"lPoint Data'!F:F = F414
            ) /
            FILTER('Raw PhocalPoint Data'!G:G,
              'Raw PhocalPoint Data'!A:A = 2011,
              'Raw PhocalPoint Data'!D:D = D414,
              'Raw PhocalPoint Data'!E:E = E414,
              'Raw Ph"&amp;"ocalPoint Data'!F:F = F414
            ) -
            (ROW(INDIRECT(""1:"" &amp; (2010 - A414))) - 1) *
            (
              (
                FILTER('Raw PhocalPoint Data'!G:G,
                  'Raw PhocalPoint Data'!A:A = 2012,
                  'R"&amp;"aw PhocalPoint Data'!D:D = D414,
                  'Raw PhocalPoint Data'!E:E = E414,
                  'Raw PhocalPoint Data'!F:F = F414
                ) /
                FILTER('Raw PhocalPoint Data'!G:G,
                  'Raw PhocalPoint Data'!A:A ="&amp;" 2011,
                  'Raw PhocalPoint Data'!D:D = D414,
                  'Raw PhocalPoint Data'!E:E = E414,
                  'Raw PhocalPoint Data'!F:F = F414
                ) - 1
              ) / 5
            )
          )
        )
      )
    "&amp;") *
    INDEX('Raw GDP data'!$I$2:$M$100,
      MATCH(D414, 'Raw GDP data'!$H$2:$H$100, 0),
      MATCH(A414, 'Raw GDP data'!$I$1:$M$1, 0)
    )
  )),
  """"
)
"),177487587.093034)</f>
        <v>177487587.093034</v>
      </c>
      <c r="H414" s="80"/>
      <c r="I414" s="81">
        <f ca="1">IFERROR(__xludf.DUMMYFUNCTION("""COMPUTED_VALUE"""),2015)</f>
        <v>2015</v>
      </c>
      <c r="J414" s="82" t="str">
        <f ca="1">IFERROR(__xludf.DUMMYFUNCTION("""COMPUTED_VALUE"""),"Bulgaria")</f>
        <v>Bulgaria</v>
      </c>
      <c r="K414" s="83">
        <f ca="1">IFERROR(
  SUMIFS(
    'New Backfilled Data'!G:G,
    'New Backfilled Data'!A:A, I414,
    'New Backfilled Data'!D:D, J414,
    'New Backfilled Data'!E:E, "Online"
  ) /
  SUMIFS(
    'New Backfilled Data'!G:G,
    'New Backfilled Data'!A:A, I414,
    'New Backfilled Data'!D:D, J414
  ),
  ""
)</f>
        <v>0.2588438483473286</v>
      </c>
      <c r="L414" s="84"/>
      <c r="M414" s="84"/>
    </row>
    <row r="415" spans="1:13" ht="17" x14ac:dyDescent="0.2">
      <c r="A415" s="44">
        <v>2008</v>
      </c>
      <c r="B415" s="45" t="s">
        <v>66</v>
      </c>
      <c r="C415" s="45" t="s">
        <v>17</v>
      </c>
      <c r="D415" s="45" t="s">
        <v>21</v>
      </c>
      <c r="E415" s="45" t="s">
        <v>69</v>
      </c>
      <c r="F415" s="45" t="s">
        <v>70</v>
      </c>
      <c r="G415" s="85">
        <f ca="1">IFERROR(__xludf.DUMMYFUNCTION("IFERROR(
  IF(A415 = 2008,
    IF(E415 = ""Online"",
      FILTER('Raw PhocalPoint Data'!G:G,
        'Raw PhocalPoint Data'!A:A = 2009,
        'Raw PhocalPoint Data'!D:D = D415,
        'Raw PhocalPoint Data'!E:E = E415,
        'Raw PhocalPoint Data'!F"&amp;":F = F415
      ) /
      (
        FILTER('Raw PhocalPoint Data'!G:G,
          'Raw PhocalPoint Data'!A:A = 2012,
          'Raw PhocalPoint Data'!D:D = D415,
          'Raw PhocalPoint Data'!E:E = E415,
          'Raw PhocalPoint Data'!F:F = F415
     "&amp;"   ) /
        FILTER('Raw PhocalPoint Data'!G:G,
          'Raw PhocalPoint Data'!A:A = 2011,
          'Raw PhocalPoint Data'!D:D = D415,
          'Raw PhocalPoint Data'!E:E = E415,
          'Raw PhocalPoint Data'!F:F = F415
        )
      ),
      F"&amp;"ILTER('Raw PhocalPoint Data'!G:G,
        'Raw PhocalPoint Data'!A:A = 2009,
        'Raw PhocalPoint Data'!D:D = D415,
        'Raw PhocalPoint Data'!E:E = E415,
        'Raw PhocalPoint Data'!F:F = F415
      ) *
      (
        INDEX('Raw GDP data'!$I$"&amp;"2:$M$100,
          MATCH(D415, 'Raw GDP data'!$H$2:$H$100, 0),
          MATCH(2008, 'Raw GDP data'!$I$1:$M$1, 0)
        ) /
        INDEX('Raw GDP data'!$I$2:$M$100,
          MATCH(D415, 'Raw GDP data'!$H$2:$H$100, 0),
          MATCH(2009, 'Raw GDP d"&amp;"ata'!$I$1:$M$1, 0)
        )
      )
    ),
  IF(A415 &lt; 2008,
    (
      FILTER(G:G,
        A:A = 2008,
        D:D = D415,
        E:E = E415,
        F:F = F415
      ) /
      PRODUCT(
        ARRAYFORMULA(
          (
            (
              FIL"&amp;"TER('Raw PhocalPoint Data'!G:G,
                'Raw PhocalPoint Data'!A:A = 2012,
                'Raw PhocalPoint Data'!D:D = D415,
                'Raw PhocalPoint Data'!E:E = E415,
                'Raw PhocalPoint Data'!F:F = F415
              ) /
  "&amp;"            FILTER('Raw PhocalPoint Data'!G:G,
                'Raw PhocalPoint Data'!A:A = 2011,
                'Raw PhocalPoint Data'!D:D = D415,
                'Raw PhocalPoint Data'!E:E = E415,
                'Raw PhocalPoint Data'!F:F = F415
     "&amp;"         ) -
              ROW(INDIRECT(""1:"" &amp; (2008 - A415))) *
              (
                (
                  FILTER('Raw PhocalPoint Data'!G:G,
                    'Raw PhocalPoint Data'!A:A = 2012,
                    'Raw PhocalPoint Data'!D:D"&amp;" = D415,
                    'Raw PhocalPoint Data'!E:E = E415,
                    'Raw PhocalPoint Data'!F:F = F415
                  ) /
                  FILTER('Raw PhocalPoint Data'!G:G,
                    'Raw PhocalPoint Data'!A:A = 2011,
       "&amp;"             'Raw PhocalPoint Data'!D:D = D415,
                    'Raw PhocalPoint Data'!E:E = E415,
                    'Raw PhocalPoint Data'!F:F = F415
                  ) - 1
                ) / 5
              )
            )
          )
        )
"&amp;"      )
    ),
    (
      FILTER('Raw PhocalPoint Data'!G:G,
        'Raw PhocalPoint Data'!A:A = 2009,
        'Raw PhocalPoint Data'!D:D = D415,
        'Raw PhocalPoint Data'!E:E = E415,
        'Raw PhocalPoint Data'!F:F = F415
      ) /
      PRODUC"&amp;"T(
        ARRAYFORMULA(
          (
            FILTER('Raw PhocalPoint Data'!G:G,
              'Raw PhocalPoint Data'!A:A = 2012,
              'Raw PhocalPoint Data'!D:D = D415,
              'Raw PhocalPoint Data'!E:E = E415,
              'Raw Phoca"&amp;"lPoint Data'!F:F = F415
            ) /
            FILTER('Raw PhocalPoint Data'!G:G,
              'Raw PhocalPoint Data'!A:A = 2011,
              'Raw PhocalPoint Data'!D:D = D415,
              'Raw PhocalPoint Data'!E:E = E415,
              'Raw Ph"&amp;"ocalPoint Data'!F:F = F415
            ) -
            (ROW(INDIRECT(""1:"" &amp; (2010 - A415))) - 1) *
            (
              (
                FILTER('Raw PhocalPoint Data'!G:G,
                  'Raw PhocalPoint Data'!A:A = 2012,
                  'R"&amp;"aw PhocalPoint Data'!D:D = D415,
                  'Raw PhocalPoint Data'!E:E = E415,
                  'Raw PhocalPoint Data'!F:F = F415
                ) /
                FILTER('Raw PhocalPoint Data'!G:G,
                  'Raw PhocalPoint Data'!A:A ="&amp;" 2011,
                  'Raw PhocalPoint Data'!D:D = D415,
                  'Raw PhocalPoint Data'!E:E = E415,
                  'Raw PhocalPoint Data'!F:F = F415
                ) - 1
              ) / 5
            )
          )
        )
      )
    "&amp;") *
    INDEX('Raw GDP data'!$I$2:$M$100,
      MATCH(D415, 'Raw GDP data'!$H$2:$H$100, 0),
      MATCH(A415, 'Raw GDP data'!$I$1:$M$1, 0)
    )
  )),
  """"
)
"),344159631.447986)</f>
        <v>344159631.44798601</v>
      </c>
      <c r="H415" s="86"/>
      <c r="I415" s="87">
        <f ca="1">IFERROR(__xludf.DUMMYFUNCTION("""COMPUTED_VALUE"""),2015)</f>
        <v>2015</v>
      </c>
      <c r="J415" s="88" t="str">
        <f ca="1">IFERROR(__xludf.DUMMYFUNCTION("""COMPUTED_VALUE"""),"Czech Republic")</f>
        <v>Czech Republic</v>
      </c>
      <c r="K415" s="89">
        <f ca="1">IFERROR(
  SUMIFS(
    'New Backfilled Data'!G:G,
    'New Backfilled Data'!A:A, I415,
    'New Backfilled Data'!D:D, J415,
    'New Backfilled Data'!E:E, "Online"
  ) /
  SUMIFS(
    'New Backfilled Data'!G:G,
    'New Backfilled Data'!A:A, I415,
    'New Backfilled Data'!D:D, J415
  ),
  ""
)</f>
        <v>0.30612270136441944</v>
      </c>
      <c r="L415" s="90"/>
      <c r="M415" s="90"/>
    </row>
    <row r="416" spans="1:13" ht="17" x14ac:dyDescent="0.2">
      <c r="A416" s="37">
        <v>2008</v>
      </c>
      <c r="B416" s="38" t="s">
        <v>66</v>
      </c>
      <c r="C416" s="38" t="s">
        <v>17</v>
      </c>
      <c r="D416" s="38" t="s">
        <v>22</v>
      </c>
      <c r="E416" s="38" t="s">
        <v>67</v>
      </c>
      <c r="F416" s="38" t="s">
        <v>67</v>
      </c>
      <c r="G416" s="79">
        <f ca="1">IFERROR(__xludf.DUMMYFUNCTION("IFERROR(
  IF(A416 = 2008,
    IF(E416 = ""Online"",
      FILTER('Raw PhocalPoint Data'!G:G,
        'Raw PhocalPoint Data'!A:A = 2009,
        'Raw PhocalPoint Data'!D:D = D416,
        'Raw PhocalPoint Data'!E:E = E416,
        'Raw PhocalPoint Data'!F"&amp;":F = F416
      ) /
      (
        FILTER('Raw PhocalPoint Data'!G:G,
          'Raw PhocalPoint Data'!A:A = 2012,
          'Raw PhocalPoint Data'!D:D = D416,
          'Raw PhocalPoint Data'!E:E = E416,
          'Raw PhocalPoint Data'!F:F = F416
     "&amp;"   ) /
        FILTER('Raw PhocalPoint Data'!G:G,
          'Raw PhocalPoint Data'!A:A = 2011,
          'Raw PhocalPoint Data'!D:D = D416,
          'Raw PhocalPoint Data'!E:E = E416,
          'Raw PhocalPoint Data'!F:F = F416
        )
      ),
      F"&amp;"ILTER('Raw PhocalPoint Data'!G:G,
        'Raw PhocalPoint Data'!A:A = 2009,
        'Raw PhocalPoint Data'!D:D = D416,
        'Raw PhocalPoint Data'!E:E = E416,
        'Raw PhocalPoint Data'!F:F = F416
      ) *
      (
        INDEX('Raw GDP data'!$I$"&amp;"2:$M$100,
          MATCH(D416, 'Raw GDP data'!$H$2:$H$100, 0),
          MATCH(2008, 'Raw GDP data'!$I$1:$M$1, 0)
        ) /
        INDEX('Raw GDP data'!$I$2:$M$100,
          MATCH(D416, 'Raw GDP data'!$H$2:$H$100, 0),
          MATCH(2009, 'Raw GDP d"&amp;"ata'!$I$1:$M$1, 0)
        )
      )
    ),
  IF(A416 &lt; 2008,
    (
      FILTER(G:G,
        A:A = 2008,
        D:D = D416,
        E:E = E416,
        F:F = F416
      ) /
      PRODUCT(
        ARRAYFORMULA(
          (
            (
              FIL"&amp;"TER('Raw PhocalPoint Data'!G:G,
                'Raw PhocalPoint Data'!A:A = 2012,
                'Raw PhocalPoint Data'!D:D = D416,
                'Raw PhocalPoint Data'!E:E = E416,
                'Raw PhocalPoint Data'!F:F = F416
              ) /
  "&amp;"            FILTER('Raw PhocalPoint Data'!G:G,
                'Raw PhocalPoint Data'!A:A = 2011,
                'Raw PhocalPoint Data'!D:D = D416,
                'Raw PhocalPoint Data'!E:E = E416,
                'Raw PhocalPoint Data'!F:F = F416
     "&amp;"         ) -
              ROW(INDIRECT(""1:"" &amp; (2008 - A416))) *
              (
                (
                  FILTER('Raw PhocalPoint Data'!G:G,
                    'Raw PhocalPoint Data'!A:A = 2012,
                    'Raw PhocalPoint Data'!D:D"&amp;" = D416,
                    'Raw PhocalPoint Data'!E:E = E416,
                    'Raw PhocalPoint Data'!F:F = F416
                  ) /
                  FILTER('Raw PhocalPoint Data'!G:G,
                    'Raw PhocalPoint Data'!A:A = 2011,
       "&amp;"             'Raw PhocalPoint Data'!D:D = D416,
                    'Raw PhocalPoint Data'!E:E = E416,
                    'Raw PhocalPoint Data'!F:F = F416
                  ) - 1
                ) / 5
              )
            )
          )
        )
"&amp;"      )
    ),
    (
      FILTER('Raw PhocalPoint Data'!G:G,
        'Raw PhocalPoint Data'!A:A = 2009,
        'Raw PhocalPoint Data'!D:D = D416,
        'Raw PhocalPoint Data'!E:E = E416,
        'Raw PhocalPoint Data'!F:F = F416
      ) /
      PRODUC"&amp;"T(
        ARRAYFORMULA(
          (
            FILTER('Raw PhocalPoint Data'!G:G,
              'Raw PhocalPoint Data'!A:A = 2012,
              'Raw PhocalPoint Data'!D:D = D416,
              'Raw PhocalPoint Data'!E:E = E416,
              'Raw Phoca"&amp;"lPoint Data'!F:F = F416
            ) /
            FILTER('Raw PhocalPoint Data'!G:G,
              'Raw PhocalPoint Data'!A:A = 2011,
              'Raw PhocalPoint Data'!D:D = D416,
              'Raw PhocalPoint Data'!E:E = E416,
              'Raw Ph"&amp;"ocalPoint Data'!F:F = F416
            ) -
            (ROW(INDIRECT(""1:"" &amp; (2010 - A416))) - 1) *
            (
              (
                FILTER('Raw PhocalPoint Data'!G:G,
                  'Raw PhocalPoint Data'!A:A = 2012,
                  'R"&amp;"aw PhocalPoint Data'!D:D = D416,
                  'Raw PhocalPoint Data'!E:E = E416,
                  'Raw PhocalPoint Data'!F:F = F416
                ) /
                FILTER('Raw PhocalPoint Data'!G:G,
                  'Raw PhocalPoint Data'!A:A ="&amp;" 2011,
                  'Raw PhocalPoint Data'!D:D = D416,
                  'Raw PhocalPoint Data'!E:E = E416,
                  'Raw PhocalPoint Data'!F:F = F416
                ) - 1
              ) / 5
            )
          )
        )
      )
    "&amp;") *
    INDEX('Raw GDP data'!$I$2:$M$100,
      MATCH(D416, 'Raw GDP data'!$H$2:$H$100, 0),
      MATCH(A416, 'Raw GDP data'!$I$1:$M$1, 0)
    )
  )),
  """"
)
"),3123476119.46617)</f>
        <v>3123476119.4661698</v>
      </c>
      <c r="H416" s="80"/>
      <c r="I416" s="81">
        <f ca="1">IFERROR(__xludf.DUMMYFUNCTION("""COMPUTED_VALUE"""),2015)</f>
        <v>2015</v>
      </c>
      <c r="J416" s="82" t="str">
        <f ca="1">IFERROR(__xludf.DUMMYFUNCTION("""COMPUTED_VALUE"""),"Greece")</f>
        <v>Greece</v>
      </c>
      <c r="K416" s="83">
        <f ca="1">IFERROR(
  SUMIFS(
    'New Backfilled Data'!G:G,
    'New Backfilled Data'!A:A, I416,
    'New Backfilled Data'!D:D, J416,
    'New Backfilled Data'!E:E, "Online"
  ) /
  SUMIFS(
    'New Backfilled Data'!G:G,
    'New Backfilled Data'!A:A, I416,
    'New Backfilled Data'!D:D, J416
  ),
  ""
)</f>
        <v>0.20082230984374647</v>
      </c>
      <c r="L416" s="84"/>
      <c r="M416" s="84"/>
    </row>
    <row r="417" spans="1:13" ht="17" x14ac:dyDescent="0.2">
      <c r="A417" s="44">
        <v>2008</v>
      </c>
      <c r="B417" s="45" t="s">
        <v>66</v>
      </c>
      <c r="C417" s="45" t="s">
        <v>17</v>
      </c>
      <c r="D417" s="45" t="s">
        <v>22</v>
      </c>
      <c r="E417" s="45" t="s">
        <v>69</v>
      </c>
      <c r="F417" s="45" t="s">
        <v>71</v>
      </c>
      <c r="G417" s="85">
        <f ca="1">IFERROR(__xludf.DUMMYFUNCTION("IFERROR(
  IF(A417 = 2008,
    IF(E417 = ""Online"",
      FILTER('Raw PhocalPoint Data'!G:G,
        'Raw PhocalPoint Data'!A:A = 2009,
        'Raw PhocalPoint Data'!D:D = D417,
        'Raw PhocalPoint Data'!E:E = E417,
        'Raw PhocalPoint Data'!F"&amp;":F = F417
      ) /
      (
        FILTER('Raw PhocalPoint Data'!G:G,
          'Raw PhocalPoint Data'!A:A = 2012,
          'Raw PhocalPoint Data'!D:D = D417,
          'Raw PhocalPoint Data'!E:E = E417,
          'Raw PhocalPoint Data'!F:F = F417
     "&amp;"   ) /
        FILTER('Raw PhocalPoint Data'!G:G,
          'Raw PhocalPoint Data'!A:A = 2011,
          'Raw PhocalPoint Data'!D:D = D417,
          'Raw PhocalPoint Data'!E:E = E417,
          'Raw PhocalPoint Data'!F:F = F417
        )
      ),
      F"&amp;"ILTER('Raw PhocalPoint Data'!G:G,
        'Raw PhocalPoint Data'!A:A = 2009,
        'Raw PhocalPoint Data'!D:D = D417,
        'Raw PhocalPoint Data'!E:E = E417,
        'Raw PhocalPoint Data'!F:F = F417
      ) *
      (
        INDEX('Raw GDP data'!$I$"&amp;"2:$M$100,
          MATCH(D417, 'Raw GDP data'!$H$2:$H$100, 0),
          MATCH(2008, 'Raw GDP data'!$I$1:$M$1, 0)
        ) /
        INDEX('Raw GDP data'!$I$2:$M$100,
          MATCH(D417, 'Raw GDP data'!$H$2:$H$100, 0),
          MATCH(2009, 'Raw GDP d"&amp;"ata'!$I$1:$M$1, 0)
        )
      )
    ),
  IF(A417 &lt; 2008,
    (
      FILTER(G:G,
        A:A = 2008,
        D:D = D417,
        E:E = E417,
        F:F = F417
      ) /
      PRODUCT(
        ARRAYFORMULA(
          (
            (
              FIL"&amp;"TER('Raw PhocalPoint Data'!G:G,
                'Raw PhocalPoint Data'!A:A = 2012,
                'Raw PhocalPoint Data'!D:D = D417,
                'Raw PhocalPoint Data'!E:E = E417,
                'Raw PhocalPoint Data'!F:F = F417
              ) /
  "&amp;"            FILTER('Raw PhocalPoint Data'!G:G,
                'Raw PhocalPoint Data'!A:A = 2011,
                'Raw PhocalPoint Data'!D:D = D417,
                'Raw PhocalPoint Data'!E:E = E417,
                'Raw PhocalPoint Data'!F:F = F417
     "&amp;"         ) -
              ROW(INDIRECT(""1:"" &amp; (2008 - A417))) *
              (
                (
                  FILTER('Raw PhocalPoint Data'!G:G,
                    'Raw PhocalPoint Data'!A:A = 2012,
                    'Raw PhocalPoint Data'!D:D"&amp;" = D417,
                    'Raw PhocalPoint Data'!E:E = E417,
                    'Raw PhocalPoint Data'!F:F = F417
                  ) /
                  FILTER('Raw PhocalPoint Data'!G:G,
                    'Raw PhocalPoint Data'!A:A = 2011,
       "&amp;"             'Raw PhocalPoint Data'!D:D = D417,
                    'Raw PhocalPoint Data'!E:E = E417,
                    'Raw PhocalPoint Data'!F:F = F417
                  ) - 1
                ) / 5
              )
            )
          )
        )
"&amp;"      )
    ),
    (
      FILTER('Raw PhocalPoint Data'!G:G,
        'Raw PhocalPoint Data'!A:A = 2009,
        'Raw PhocalPoint Data'!D:D = D417,
        'Raw PhocalPoint Data'!E:E = E417,
        'Raw PhocalPoint Data'!F:F = F417
      ) /
      PRODUC"&amp;"T(
        ARRAYFORMULA(
          (
            FILTER('Raw PhocalPoint Data'!G:G,
              'Raw PhocalPoint Data'!A:A = 2012,
              'Raw PhocalPoint Data'!D:D = D417,
              'Raw PhocalPoint Data'!E:E = E417,
              'Raw Phoca"&amp;"lPoint Data'!F:F = F417
            ) /
            FILTER('Raw PhocalPoint Data'!G:G,
              'Raw PhocalPoint Data'!A:A = 2011,
              'Raw PhocalPoint Data'!D:D = D417,
              'Raw PhocalPoint Data'!E:E = E417,
              'Raw Ph"&amp;"ocalPoint Data'!F:F = F417
            ) -
            (ROW(INDIRECT(""1:"" &amp; (2010 - A417))) - 1) *
            (
              (
                FILTER('Raw PhocalPoint Data'!G:G,
                  'Raw PhocalPoint Data'!A:A = 2012,
                  'R"&amp;"aw PhocalPoint Data'!D:D = D417,
                  'Raw PhocalPoint Data'!E:E = E417,
                  'Raw PhocalPoint Data'!F:F = F417
                ) /
                FILTER('Raw PhocalPoint Data'!G:G,
                  'Raw PhocalPoint Data'!A:A ="&amp;" 2011,
                  'Raw PhocalPoint Data'!D:D = D417,
                  'Raw PhocalPoint Data'!E:E = E417,
                  'Raw PhocalPoint Data'!F:F = F417
                ) - 1
              ) / 5
            )
          )
        )
      )
    "&amp;") *
    INDEX('Raw GDP data'!$I$2:$M$100,
      MATCH(D417, 'Raw GDP data'!$H$2:$H$100, 0),
      MATCH(A417, 'Raw GDP data'!$I$1:$M$1, 0)
    )
  )),
  """"
)
"),229597843.097647)</f>
        <v>229597843.09764701</v>
      </c>
      <c r="H417" s="86"/>
      <c r="I417" s="87">
        <f ca="1">IFERROR(__xludf.DUMMYFUNCTION("""COMPUTED_VALUE"""),2015)</f>
        <v>2015</v>
      </c>
      <c r="J417" s="88" t="str">
        <f ca="1">IFERROR(__xludf.DUMMYFUNCTION("""COMPUTED_VALUE"""),"Hungary")</f>
        <v>Hungary</v>
      </c>
      <c r="K417" s="89">
        <f ca="1">IFERROR(
  SUMIFS(
    'New Backfilled Data'!G:G,
    'New Backfilled Data'!A:A, I417,
    'New Backfilled Data'!D:D, J417,
    'New Backfilled Data'!E:E, "Online"
  ) /
  SUMIFS(
    'New Backfilled Data'!G:G,
    'New Backfilled Data'!A:A, I417,
    'New Backfilled Data'!D:D, J417
  ),
  ""
)</f>
        <v>0.38936076601325575</v>
      </c>
      <c r="L417" s="90"/>
      <c r="M417" s="90"/>
    </row>
    <row r="418" spans="1:13" ht="17" x14ac:dyDescent="0.2">
      <c r="A418" s="37">
        <v>2008</v>
      </c>
      <c r="B418" s="38" t="s">
        <v>66</v>
      </c>
      <c r="C418" s="38" t="s">
        <v>17</v>
      </c>
      <c r="D418" s="38" t="s">
        <v>22</v>
      </c>
      <c r="E418" s="38" t="s">
        <v>69</v>
      </c>
      <c r="F418" s="38" t="s">
        <v>70</v>
      </c>
      <c r="G418" s="79">
        <f ca="1">IFERROR(__xludf.DUMMYFUNCTION("IFERROR(
  IF(A418 = 2008,
    IF(E418 = ""Online"",
      FILTER('Raw PhocalPoint Data'!G:G,
        'Raw PhocalPoint Data'!A:A = 2009,
        'Raw PhocalPoint Data'!D:D = D418,
        'Raw PhocalPoint Data'!E:E = E418,
        'Raw PhocalPoint Data'!F"&amp;":F = F418
      ) /
      (
        FILTER('Raw PhocalPoint Data'!G:G,
          'Raw PhocalPoint Data'!A:A = 2012,
          'Raw PhocalPoint Data'!D:D = D418,
          'Raw PhocalPoint Data'!E:E = E418,
          'Raw PhocalPoint Data'!F:F = F418
     "&amp;"   ) /
        FILTER('Raw PhocalPoint Data'!G:G,
          'Raw PhocalPoint Data'!A:A = 2011,
          'Raw PhocalPoint Data'!D:D = D418,
          'Raw PhocalPoint Data'!E:E = E418,
          'Raw PhocalPoint Data'!F:F = F418
        )
      ),
      F"&amp;"ILTER('Raw PhocalPoint Data'!G:G,
        'Raw PhocalPoint Data'!A:A = 2009,
        'Raw PhocalPoint Data'!D:D = D418,
        'Raw PhocalPoint Data'!E:E = E418,
        'Raw PhocalPoint Data'!F:F = F418
      ) *
      (
        INDEX('Raw GDP data'!$I$"&amp;"2:$M$100,
          MATCH(D418, 'Raw GDP data'!$H$2:$H$100, 0),
          MATCH(2008, 'Raw GDP data'!$I$1:$M$1, 0)
        ) /
        INDEX('Raw GDP data'!$I$2:$M$100,
          MATCH(D418, 'Raw GDP data'!$H$2:$H$100, 0),
          MATCH(2009, 'Raw GDP d"&amp;"ata'!$I$1:$M$1, 0)
        )
      )
    ),
  IF(A418 &lt; 2008,
    (
      FILTER(G:G,
        A:A = 2008,
        D:D = D418,
        E:E = E418,
        F:F = F418
      ) /
      PRODUCT(
        ARRAYFORMULA(
          (
            (
              FIL"&amp;"TER('Raw PhocalPoint Data'!G:G,
                'Raw PhocalPoint Data'!A:A = 2012,
                'Raw PhocalPoint Data'!D:D = D418,
                'Raw PhocalPoint Data'!E:E = E418,
                'Raw PhocalPoint Data'!F:F = F418
              ) /
  "&amp;"            FILTER('Raw PhocalPoint Data'!G:G,
                'Raw PhocalPoint Data'!A:A = 2011,
                'Raw PhocalPoint Data'!D:D = D418,
                'Raw PhocalPoint Data'!E:E = E418,
                'Raw PhocalPoint Data'!F:F = F418
     "&amp;"         ) -
              ROW(INDIRECT(""1:"" &amp; (2008 - A418))) *
              (
                (
                  FILTER('Raw PhocalPoint Data'!G:G,
                    'Raw PhocalPoint Data'!A:A = 2012,
                    'Raw PhocalPoint Data'!D:D"&amp;" = D418,
                    'Raw PhocalPoint Data'!E:E = E418,
                    'Raw PhocalPoint Data'!F:F = F418
                  ) /
                  FILTER('Raw PhocalPoint Data'!G:G,
                    'Raw PhocalPoint Data'!A:A = 2011,
       "&amp;"             'Raw PhocalPoint Data'!D:D = D418,
                    'Raw PhocalPoint Data'!E:E = E418,
                    'Raw PhocalPoint Data'!F:F = F418
                  ) - 1
                ) / 5
              )
            )
          )
        )
"&amp;"      )
    ),
    (
      FILTER('Raw PhocalPoint Data'!G:G,
        'Raw PhocalPoint Data'!A:A = 2009,
        'Raw PhocalPoint Data'!D:D = D418,
        'Raw PhocalPoint Data'!E:E = E418,
        'Raw PhocalPoint Data'!F:F = F418
      ) /
      PRODUC"&amp;"T(
        ARRAYFORMULA(
          (
            FILTER('Raw PhocalPoint Data'!G:G,
              'Raw PhocalPoint Data'!A:A = 2012,
              'Raw PhocalPoint Data'!D:D = D418,
              'Raw PhocalPoint Data'!E:E = E418,
              'Raw Phoca"&amp;"lPoint Data'!F:F = F418
            ) /
            FILTER('Raw PhocalPoint Data'!G:G,
              'Raw PhocalPoint Data'!A:A = 2011,
              'Raw PhocalPoint Data'!D:D = D418,
              'Raw PhocalPoint Data'!E:E = E418,
              'Raw Ph"&amp;"ocalPoint Data'!F:F = F418
            ) -
            (ROW(INDIRECT(""1:"" &amp; (2010 - A418))) - 1) *
            (
              (
                FILTER('Raw PhocalPoint Data'!G:G,
                  'Raw PhocalPoint Data'!A:A = 2012,
                  'R"&amp;"aw PhocalPoint Data'!D:D = D418,
                  'Raw PhocalPoint Data'!E:E = E418,
                  'Raw PhocalPoint Data'!F:F = F418
                ) /
                FILTER('Raw PhocalPoint Data'!G:G,
                  'Raw PhocalPoint Data'!A:A ="&amp;" 2011,
                  'Raw PhocalPoint Data'!D:D = D418,
                  'Raw PhocalPoint Data'!E:E = E418,
                  'Raw PhocalPoint Data'!F:F = F418
                ) - 1
              ) / 5
            )
          )
        )
      )
    "&amp;") *
    INDEX('Raw GDP data'!$I$2:$M$100,
      MATCH(D418, 'Raw GDP data'!$H$2:$H$100, 0),
      MATCH(A418, 'Raw GDP data'!$I$1:$M$1, 0)
    )
  )),
  """"
)
"),223852314.806807)</f>
        <v>223852314.80680701</v>
      </c>
      <c r="H418" s="80"/>
      <c r="I418" s="81">
        <f ca="1">IFERROR(__xludf.DUMMYFUNCTION("""COMPUTED_VALUE"""),2015)</f>
        <v>2015</v>
      </c>
      <c r="J418" s="82" t="str">
        <f ca="1">IFERROR(__xludf.DUMMYFUNCTION("""COMPUTED_VALUE"""),"Poland")</f>
        <v>Poland</v>
      </c>
      <c r="K418" s="83">
        <f ca="1">IFERROR(
  SUMIFS(
    'New Backfilled Data'!G:G,
    'New Backfilled Data'!A:A, I418,
    'New Backfilled Data'!D:D, J418,
    'New Backfilled Data'!E:E, "Online"
  ) /
  SUMIFS(
    'New Backfilled Data'!G:G,
    'New Backfilled Data'!A:A, I418,
    'New Backfilled Data'!D:D, J418
  ),
  ""
)</f>
        <v>0.33700338448970668</v>
      </c>
      <c r="L418" s="84"/>
      <c r="M418" s="84"/>
    </row>
    <row r="419" spans="1:13" ht="34" x14ac:dyDescent="0.2">
      <c r="A419" s="44">
        <v>2008</v>
      </c>
      <c r="B419" s="45" t="s">
        <v>66</v>
      </c>
      <c r="C419" s="45" t="s">
        <v>17</v>
      </c>
      <c r="D419" s="45" t="s">
        <v>23</v>
      </c>
      <c r="E419" s="45" t="s">
        <v>67</v>
      </c>
      <c r="F419" s="45" t="s">
        <v>67</v>
      </c>
      <c r="G419" s="85">
        <f ca="1">IFERROR(__xludf.DUMMYFUNCTION("IFERROR(
  IF(A419 = 2008,
    IF(E419 = ""Online"",
      FILTER('Raw PhocalPoint Data'!G:G,
        'Raw PhocalPoint Data'!A:A = 2009,
        'Raw PhocalPoint Data'!D:D = D419,
        'Raw PhocalPoint Data'!E:E = E419,
        'Raw PhocalPoint Data'!F"&amp;":F = F419
      ) /
      (
        FILTER('Raw PhocalPoint Data'!G:G,
          'Raw PhocalPoint Data'!A:A = 2012,
          'Raw PhocalPoint Data'!D:D = D419,
          'Raw PhocalPoint Data'!E:E = E419,
          'Raw PhocalPoint Data'!F:F = F419
     "&amp;"   ) /
        FILTER('Raw PhocalPoint Data'!G:G,
          'Raw PhocalPoint Data'!A:A = 2011,
          'Raw PhocalPoint Data'!D:D = D419,
          'Raw PhocalPoint Data'!E:E = E419,
          'Raw PhocalPoint Data'!F:F = F419
        )
      ),
      F"&amp;"ILTER('Raw PhocalPoint Data'!G:G,
        'Raw PhocalPoint Data'!A:A = 2009,
        'Raw PhocalPoint Data'!D:D = D419,
        'Raw PhocalPoint Data'!E:E = E419,
        'Raw PhocalPoint Data'!F:F = F419
      ) *
      (
        INDEX('Raw GDP data'!$I$"&amp;"2:$M$100,
          MATCH(D419, 'Raw GDP data'!$H$2:$H$100, 0),
          MATCH(2008, 'Raw GDP data'!$I$1:$M$1, 0)
        ) /
        INDEX('Raw GDP data'!$I$2:$M$100,
          MATCH(D419, 'Raw GDP data'!$H$2:$H$100, 0),
          MATCH(2009, 'Raw GDP d"&amp;"ata'!$I$1:$M$1, 0)
        )
      )
    ),
  IF(A419 &lt; 2008,
    (
      FILTER(G:G,
        A:A = 2008,
        D:D = D419,
        E:E = E419,
        F:F = F419
      ) /
      PRODUCT(
        ARRAYFORMULA(
          (
            (
              FIL"&amp;"TER('Raw PhocalPoint Data'!G:G,
                'Raw PhocalPoint Data'!A:A = 2012,
                'Raw PhocalPoint Data'!D:D = D419,
                'Raw PhocalPoint Data'!E:E = E419,
                'Raw PhocalPoint Data'!F:F = F419
              ) /
  "&amp;"            FILTER('Raw PhocalPoint Data'!G:G,
                'Raw PhocalPoint Data'!A:A = 2011,
                'Raw PhocalPoint Data'!D:D = D419,
                'Raw PhocalPoint Data'!E:E = E419,
                'Raw PhocalPoint Data'!F:F = F419
     "&amp;"         ) -
              ROW(INDIRECT(""1:"" &amp; (2008 - A419))) *
              (
                (
                  FILTER('Raw PhocalPoint Data'!G:G,
                    'Raw PhocalPoint Data'!A:A = 2012,
                    'Raw PhocalPoint Data'!D:D"&amp;" = D419,
                    'Raw PhocalPoint Data'!E:E = E419,
                    'Raw PhocalPoint Data'!F:F = F419
                  ) /
                  FILTER('Raw PhocalPoint Data'!G:G,
                    'Raw PhocalPoint Data'!A:A = 2011,
       "&amp;"             'Raw PhocalPoint Data'!D:D = D419,
                    'Raw PhocalPoint Data'!E:E = E419,
                    'Raw PhocalPoint Data'!F:F = F419
                  ) - 1
                ) / 5
              )
            )
          )
        )
"&amp;"      )
    ),
    (
      FILTER('Raw PhocalPoint Data'!G:G,
        'Raw PhocalPoint Data'!A:A = 2009,
        'Raw PhocalPoint Data'!D:D = D419,
        'Raw PhocalPoint Data'!E:E = E419,
        'Raw PhocalPoint Data'!F:F = F419
      ) /
      PRODUC"&amp;"T(
        ARRAYFORMULA(
          (
            FILTER('Raw PhocalPoint Data'!G:G,
              'Raw PhocalPoint Data'!A:A = 2012,
              'Raw PhocalPoint Data'!D:D = D419,
              'Raw PhocalPoint Data'!E:E = E419,
              'Raw Phoca"&amp;"lPoint Data'!F:F = F419
            ) /
            FILTER('Raw PhocalPoint Data'!G:G,
              'Raw PhocalPoint Data'!A:A = 2011,
              'Raw PhocalPoint Data'!D:D = D419,
              'Raw PhocalPoint Data'!E:E = E419,
              'Raw Ph"&amp;"ocalPoint Data'!F:F = F419
            ) -
            (ROW(INDIRECT(""1:"" &amp; (2010 - A419))) - 1) *
            (
              (
                FILTER('Raw PhocalPoint Data'!G:G,
                  'Raw PhocalPoint Data'!A:A = 2012,
                  'R"&amp;"aw PhocalPoint Data'!D:D = D419,
                  'Raw PhocalPoint Data'!E:E = E419,
                  'Raw PhocalPoint Data'!F:F = F419
                ) /
                FILTER('Raw PhocalPoint Data'!G:G,
                  'Raw PhocalPoint Data'!A:A ="&amp;" 2011,
                  'Raw PhocalPoint Data'!D:D = D419,
                  'Raw PhocalPoint Data'!E:E = E419,
                  'Raw PhocalPoint Data'!F:F = F419
                ) - 1
              ) / 5
            )
          )
        )
      )
    "&amp;") *
    INDEX('Raw GDP data'!$I$2:$M$100,
      MATCH(D419, 'Raw GDP data'!$H$2:$H$100, 0),
      MATCH(A419, 'Raw GDP data'!$I$1:$M$1, 0)
    )
  )),
  """"
)
"),3560317409.82536)</f>
        <v>3560317409.8253598</v>
      </c>
      <c r="H419" s="86"/>
      <c r="I419" s="87">
        <f ca="1">IFERROR(__xludf.DUMMYFUNCTION("""COMPUTED_VALUE"""),2015)</f>
        <v>2015</v>
      </c>
      <c r="J419" s="88" t="str">
        <f ca="1">IFERROR(__xludf.DUMMYFUNCTION("""COMPUTED_VALUE"""),"Rest of Eastern Europe")</f>
        <v>Rest of Eastern Europe</v>
      </c>
      <c r="K419" s="89">
        <f ca="1">IFERROR(
  SUMIFS(
    'New Backfilled Data'!G:G,
    'New Backfilled Data'!A:A, I419,
    'New Backfilled Data'!D:D, J419,
    'New Backfilled Data'!E:E, "Online"
  ) /
  SUMIFS(
    'New Backfilled Data'!G:G,
    'New Backfilled Data'!A:A, I419,
    'New Backfilled Data'!D:D, J419
  ),
  ""
)</f>
        <v>0.3521180638174512</v>
      </c>
      <c r="L419" s="90"/>
      <c r="M419" s="90"/>
    </row>
    <row r="420" spans="1:13" ht="17" x14ac:dyDescent="0.2">
      <c r="A420" s="37">
        <v>2008</v>
      </c>
      <c r="B420" s="38" t="s">
        <v>66</v>
      </c>
      <c r="C420" s="38" t="s">
        <v>17</v>
      </c>
      <c r="D420" s="38" t="s">
        <v>23</v>
      </c>
      <c r="E420" s="38" t="s">
        <v>69</v>
      </c>
      <c r="F420" s="38" t="s">
        <v>71</v>
      </c>
      <c r="G420" s="79">
        <f ca="1">IFERROR(__xludf.DUMMYFUNCTION("IFERROR(
  IF(A420 = 2008,
    IF(E420 = ""Online"",
      FILTER('Raw PhocalPoint Data'!G:G,
        'Raw PhocalPoint Data'!A:A = 2009,
        'Raw PhocalPoint Data'!D:D = D420,
        'Raw PhocalPoint Data'!E:E = E420,
        'Raw PhocalPoint Data'!F"&amp;":F = F420
      ) /
      (
        FILTER('Raw PhocalPoint Data'!G:G,
          'Raw PhocalPoint Data'!A:A = 2012,
          'Raw PhocalPoint Data'!D:D = D420,
          'Raw PhocalPoint Data'!E:E = E420,
          'Raw PhocalPoint Data'!F:F = F420
     "&amp;"   ) /
        FILTER('Raw PhocalPoint Data'!G:G,
          'Raw PhocalPoint Data'!A:A = 2011,
          'Raw PhocalPoint Data'!D:D = D420,
          'Raw PhocalPoint Data'!E:E = E420,
          'Raw PhocalPoint Data'!F:F = F420
        )
      ),
      F"&amp;"ILTER('Raw PhocalPoint Data'!G:G,
        'Raw PhocalPoint Data'!A:A = 2009,
        'Raw PhocalPoint Data'!D:D = D420,
        'Raw PhocalPoint Data'!E:E = E420,
        'Raw PhocalPoint Data'!F:F = F420
      ) *
      (
        INDEX('Raw GDP data'!$I$"&amp;"2:$M$100,
          MATCH(D420, 'Raw GDP data'!$H$2:$H$100, 0),
          MATCH(2008, 'Raw GDP data'!$I$1:$M$1, 0)
        ) /
        INDEX('Raw GDP data'!$I$2:$M$100,
          MATCH(D420, 'Raw GDP data'!$H$2:$H$100, 0),
          MATCH(2009, 'Raw GDP d"&amp;"ata'!$I$1:$M$1, 0)
        )
      )
    ),
  IF(A420 &lt; 2008,
    (
      FILTER(G:G,
        A:A = 2008,
        D:D = D420,
        E:E = E420,
        F:F = F420
      ) /
      PRODUCT(
        ARRAYFORMULA(
          (
            (
              FIL"&amp;"TER('Raw PhocalPoint Data'!G:G,
                'Raw PhocalPoint Data'!A:A = 2012,
                'Raw PhocalPoint Data'!D:D = D420,
                'Raw PhocalPoint Data'!E:E = E420,
                'Raw PhocalPoint Data'!F:F = F420
              ) /
  "&amp;"            FILTER('Raw PhocalPoint Data'!G:G,
                'Raw PhocalPoint Data'!A:A = 2011,
                'Raw PhocalPoint Data'!D:D = D420,
                'Raw PhocalPoint Data'!E:E = E420,
                'Raw PhocalPoint Data'!F:F = F420
     "&amp;"         ) -
              ROW(INDIRECT(""1:"" &amp; (2008 - A420))) *
              (
                (
                  FILTER('Raw PhocalPoint Data'!G:G,
                    'Raw PhocalPoint Data'!A:A = 2012,
                    'Raw PhocalPoint Data'!D:D"&amp;" = D420,
                    'Raw PhocalPoint Data'!E:E = E420,
                    'Raw PhocalPoint Data'!F:F = F420
                  ) /
                  FILTER('Raw PhocalPoint Data'!G:G,
                    'Raw PhocalPoint Data'!A:A = 2011,
       "&amp;"             'Raw PhocalPoint Data'!D:D = D420,
                    'Raw PhocalPoint Data'!E:E = E420,
                    'Raw PhocalPoint Data'!F:F = F420
                  ) - 1
                ) / 5
              )
            )
          )
        )
"&amp;"      )
    ),
    (
      FILTER('Raw PhocalPoint Data'!G:G,
        'Raw PhocalPoint Data'!A:A = 2009,
        'Raw PhocalPoint Data'!D:D = D420,
        'Raw PhocalPoint Data'!E:E = E420,
        'Raw PhocalPoint Data'!F:F = F420
      ) /
      PRODUC"&amp;"T(
        ARRAYFORMULA(
          (
            FILTER('Raw PhocalPoint Data'!G:G,
              'Raw PhocalPoint Data'!A:A = 2012,
              'Raw PhocalPoint Data'!D:D = D420,
              'Raw PhocalPoint Data'!E:E = E420,
              'Raw Phoca"&amp;"lPoint Data'!F:F = F420
            ) /
            FILTER('Raw PhocalPoint Data'!G:G,
              'Raw PhocalPoint Data'!A:A = 2011,
              'Raw PhocalPoint Data'!D:D = D420,
              'Raw PhocalPoint Data'!E:E = E420,
              'Raw Ph"&amp;"ocalPoint Data'!F:F = F420
            ) -
            (ROW(INDIRECT(""1:"" &amp; (2010 - A420))) - 1) *
            (
              (
                FILTER('Raw PhocalPoint Data'!G:G,
                  'Raw PhocalPoint Data'!A:A = 2012,
                  'R"&amp;"aw PhocalPoint Data'!D:D = D420,
                  'Raw PhocalPoint Data'!E:E = E420,
                  'Raw PhocalPoint Data'!F:F = F420
                ) /
                FILTER('Raw PhocalPoint Data'!G:G,
                  'Raw PhocalPoint Data'!A:A ="&amp;" 2011,
                  'Raw PhocalPoint Data'!D:D = D420,
                  'Raw PhocalPoint Data'!E:E = E420,
                  'Raw PhocalPoint Data'!F:F = F420
                ) - 1
              ) / 5
            )
          )
        )
      )
    "&amp;") *
    INDEX('Raw GDP data'!$I$2:$M$100,
      MATCH(D420, 'Raw GDP data'!$H$2:$H$100, 0),
      MATCH(A420, 'Raw GDP data'!$I$1:$M$1, 0)
    )
  )),
  """"
)
"),95246595.4563292)</f>
        <v>95246595.456329197</v>
      </c>
      <c r="H420" s="80"/>
      <c r="I420" s="81">
        <f ca="1">IFERROR(__xludf.DUMMYFUNCTION("""COMPUTED_VALUE"""),2015)</f>
        <v>2015</v>
      </c>
      <c r="J420" s="82" t="str">
        <f ca="1">IFERROR(__xludf.DUMMYFUNCTION("""COMPUTED_VALUE"""),"Romania")</f>
        <v>Romania</v>
      </c>
      <c r="K420" s="83">
        <f ca="1">IFERROR(
  SUMIFS(
    'New Backfilled Data'!G:G,
    'New Backfilled Data'!A:A, I420,
    'New Backfilled Data'!D:D, J420,
    'New Backfilled Data'!E:E, "Online"
  ) /
  SUMIFS(
    'New Backfilled Data'!G:G,
    'New Backfilled Data'!A:A, I420,
    'New Backfilled Data'!D:D, J420
  ),
  ""
)</f>
        <v>0.31665524970413111</v>
      </c>
      <c r="L420" s="84"/>
      <c r="M420" s="84"/>
    </row>
    <row r="421" spans="1:13" ht="17" x14ac:dyDescent="0.2">
      <c r="A421" s="44">
        <v>2008</v>
      </c>
      <c r="B421" s="45" t="s">
        <v>66</v>
      </c>
      <c r="C421" s="45" t="s">
        <v>17</v>
      </c>
      <c r="D421" s="45" t="s">
        <v>23</v>
      </c>
      <c r="E421" s="45" t="s">
        <v>69</v>
      </c>
      <c r="F421" s="45" t="s">
        <v>70</v>
      </c>
      <c r="G421" s="85">
        <f ca="1">IFERROR(__xludf.DUMMYFUNCTION("IFERROR(
  IF(A421 = 2008,
    IF(E421 = ""Online"",
      FILTER('Raw PhocalPoint Data'!G:G,
        'Raw PhocalPoint Data'!A:A = 2009,
        'Raw PhocalPoint Data'!D:D = D421,
        'Raw PhocalPoint Data'!E:E = E421,
        'Raw PhocalPoint Data'!F"&amp;":F = F421
      ) /
      (
        FILTER('Raw PhocalPoint Data'!G:G,
          'Raw PhocalPoint Data'!A:A = 2012,
          'Raw PhocalPoint Data'!D:D = D421,
          'Raw PhocalPoint Data'!E:E = E421,
          'Raw PhocalPoint Data'!F:F = F421
     "&amp;"   ) /
        FILTER('Raw PhocalPoint Data'!G:G,
          'Raw PhocalPoint Data'!A:A = 2011,
          'Raw PhocalPoint Data'!D:D = D421,
          'Raw PhocalPoint Data'!E:E = E421,
          'Raw PhocalPoint Data'!F:F = F421
        )
      ),
      F"&amp;"ILTER('Raw PhocalPoint Data'!G:G,
        'Raw PhocalPoint Data'!A:A = 2009,
        'Raw PhocalPoint Data'!D:D = D421,
        'Raw PhocalPoint Data'!E:E = E421,
        'Raw PhocalPoint Data'!F:F = F421
      ) *
      (
        INDEX('Raw GDP data'!$I$"&amp;"2:$M$100,
          MATCH(D421, 'Raw GDP data'!$H$2:$H$100, 0),
          MATCH(2008, 'Raw GDP data'!$I$1:$M$1, 0)
        ) /
        INDEX('Raw GDP data'!$I$2:$M$100,
          MATCH(D421, 'Raw GDP data'!$H$2:$H$100, 0),
          MATCH(2009, 'Raw GDP d"&amp;"ata'!$I$1:$M$1, 0)
        )
      )
    ),
  IF(A421 &lt; 2008,
    (
      FILTER(G:G,
        A:A = 2008,
        D:D = D421,
        E:E = E421,
        F:F = F421
      ) /
      PRODUCT(
        ARRAYFORMULA(
          (
            (
              FIL"&amp;"TER('Raw PhocalPoint Data'!G:G,
                'Raw PhocalPoint Data'!A:A = 2012,
                'Raw PhocalPoint Data'!D:D = D421,
                'Raw PhocalPoint Data'!E:E = E421,
                'Raw PhocalPoint Data'!F:F = F421
              ) /
  "&amp;"            FILTER('Raw PhocalPoint Data'!G:G,
                'Raw PhocalPoint Data'!A:A = 2011,
                'Raw PhocalPoint Data'!D:D = D421,
                'Raw PhocalPoint Data'!E:E = E421,
                'Raw PhocalPoint Data'!F:F = F421
     "&amp;"         ) -
              ROW(INDIRECT(""1:"" &amp; (2008 - A421))) *
              (
                (
                  FILTER('Raw PhocalPoint Data'!G:G,
                    'Raw PhocalPoint Data'!A:A = 2012,
                    'Raw PhocalPoint Data'!D:D"&amp;" = D421,
                    'Raw PhocalPoint Data'!E:E = E421,
                    'Raw PhocalPoint Data'!F:F = F421
                  ) /
                  FILTER('Raw PhocalPoint Data'!G:G,
                    'Raw PhocalPoint Data'!A:A = 2011,
       "&amp;"             'Raw PhocalPoint Data'!D:D = D421,
                    'Raw PhocalPoint Data'!E:E = E421,
                    'Raw PhocalPoint Data'!F:F = F421
                  ) - 1
                ) / 5
              )
            )
          )
        )
"&amp;"      )
    ),
    (
      FILTER('Raw PhocalPoint Data'!G:G,
        'Raw PhocalPoint Data'!A:A = 2009,
        'Raw PhocalPoint Data'!D:D = D421,
        'Raw PhocalPoint Data'!E:E = E421,
        'Raw PhocalPoint Data'!F:F = F421
      ) /
      PRODUC"&amp;"T(
        ARRAYFORMULA(
          (
            FILTER('Raw PhocalPoint Data'!G:G,
              'Raw PhocalPoint Data'!A:A = 2012,
              'Raw PhocalPoint Data'!D:D = D421,
              'Raw PhocalPoint Data'!E:E = E421,
              'Raw Phoca"&amp;"lPoint Data'!F:F = F421
            ) /
            FILTER('Raw PhocalPoint Data'!G:G,
              'Raw PhocalPoint Data'!A:A = 2011,
              'Raw PhocalPoint Data'!D:D = D421,
              'Raw PhocalPoint Data'!E:E = E421,
              'Raw Ph"&amp;"ocalPoint Data'!F:F = F421
            ) -
            (ROW(INDIRECT(""1:"" &amp; (2010 - A421))) - 1) *
            (
              (
                FILTER('Raw PhocalPoint Data'!G:G,
                  'Raw PhocalPoint Data'!A:A = 2012,
                  'R"&amp;"aw PhocalPoint Data'!D:D = D421,
                  'Raw PhocalPoint Data'!E:E = E421,
                  'Raw PhocalPoint Data'!F:F = F421
                ) /
                FILTER('Raw PhocalPoint Data'!G:G,
                  'Raw PhocalPoint Data'!A:A ="&amp;" 2011,
                  'Raw PhocalPoint Data'!D:D = D421,
                  'Raw PhocalPoint Data'!E:E = E421,
                  'Raw PhocalPoint Data'!F:F = F421
                ) - 1
              ) / 5
            )
          )
        )
      )
    "&amp;") *
    INDEX('Raw GDP data'!$I$2:$M$100,
      MATCH(D421, 'Raw GDP data'!$H$2:$H$100, 0),
      MATCH(A421, 'Raw GDP data'!$I$1:$M$1, 0)
    )
  )),
  """"
)
"),224012306.196424)</f>
        <v>224012306.19642401</v>
      </c>
      <c r="H421" s="86"/>
      <c r="I421" s="87">
        <f ca="1">IFERROR(__xludf.DUMMYFUNCTION("""COMPUTED_VALUE"""),2015)</f>
        <v>2015</v>
      </c>
      <c r="J421" s="88" t="str">
        <f ca="1">IFERROR(__xludf.DUMMYFUNCTION("""COMPUTED_VALUE"""),"Russia")</f>
        <v>Russia</v>
      </c>
      <c r="K421" s="89">
        <f ca="1">IFERROR(
  SUMIFS(
    'New Backfilled Data'!G:G,
    'New Backfilled Data'!A:A, I421,
    'New Backfilled Data'!D:D, J421,
    'New Backfilled Data'!E:E, "Online"
  ) /
  SUMIFS(
    'New Backfilled Data'!G:G,
    'New Backfilled Data'!A:A, I421,
    'New Backfilled Data'!D:D, J421
  ),
  ""
)</f>
        <v>0.29030831311428429</v>
      </c>
      <c r="L421" s="90"/>
      <c r="M421" s="90"/>
    </row>
    <row r="422" spans="1:13" ht="17" x14ac:dyDescent="0.2">
      <c r="A422" s="37">
        <v>2008</v>
      </c>
      <c r="B422" s="38" t="s">
        <v>66</v>
      </c>
      <c r="C422" s="38" t="s">
        <v>17</v>
      </c>
      <c r="D422" s="38" t="s">
        <v>24</v>
      </c>
      <c r="E422" s="38" t="s">
        <v>67</v>
      </c>
      <c r="F422" s="38" t="s">
        <v>67</v>
      </c>
      <c r="G422" s="79">
        <f ca="1">IFERROR(__xludf.DUMMYFUNCTION("IFERROR(
  IF(A422 = 2008,
    IF(E422 = ""Online"",
      FILTER('Raw PhocalPoint Data'!G:G,
        'Raw PhocalPoint Data'!A:A = 2009,
        'Raw PhocalPoint Data'!D:D = D422,
        'Raw PhocalPoint Data'!E:E = E422,
        'Raw PhocalPoint Data'!F"&amp;":F = F422
      ) /
      (
        FILTER('Raw PhocalPoint Data'!G:G,
          'Raw PhocalPoint Data'!A:A = 2012,
          'Raw PhocalPoint Data'!D:D = D422,
          'Raw PhocalPoint Data'!E:E = E422,
          'Raw PhocalPoint Data'!F:F = F422
     "&amp;"   ) /
        FILTER('Raw PhocalPoint Data'!G:G,
          'Raw PhocalPoint Data'!A:A = 2011,
          'Raw PhocalPoint Data'!D:D = D422,
          'Raw PhocalPoint Data'!E:E = E422,
          'Raw PhocalPoint Data'!F:F = F422
        )
      ),
      F"&amp;"ILTER('Raw PhocalPoint Data'!G:G,
        'Raw PhocalPoint Data'!A:A = 2009,
        'Raw PhocalPoint Data'!D:D = D422,
        'Raw PhocalPoint Data'!E:E = E422,
        'Raw PhocalPoint Data'!F:F = F422
      ) *
      (
        INDEX('Raw GDP data'!$I$"&amp;"2:$M$100,
          MATCH(D422, 'Raw GDP data'!$H$2:$H$100, 0),
          MATCH(2008, 'Raw GDP data'!$I$1:$M$1, 0)
        ) /
        INDEX('Raw GDP data'!$I$2:$M$100,
          MATCH(D422, 'Raw GDP data'!$H$2:$H$100, 0),
          MATCH(2009, 'Raw GDP d"&amp;"ata'!$I$1:$M$1, 0)
        )
      )
    ),
  IF(A422 &lt; 2008,
    (
      FILTER(G:G,
        A:A = 2008,
        D:D = D422,
        E:E = E422,
        F:F = F422
      ) /
      PRODUCT(
        ARRAYFORMULA(
          (
            (
              FIL"&amp;"TER('Raw PhocalPoint Data'!G:G,
                'Raw PhocalPoint Data'!A:A = 2012,
                'Raw PhocalPoint Data'!D:D = D422,
                'Raw PhocalPoint Data'!E:E = E422,
                'Raw PhocalPoint Data'!F:F = F422
              ) /
  "&amp;"            FILTER('Raw PhocalPoint Data'!G:G,
                'Raw PhocalPoint Data'!A:A = 2011,
                'Raw PhocalPoint Data'!D:D = D422,
                'Raw PhocalPoint Data'!E:E = E422,
                'Raw PhocalPoint Data'!F:F = F422
     "&amp;"         ) -
              ROW(INDIRECT(""1:"" &amp; (2008 - A422))) *
              (
                (
                  FILTER('Raw PhocalPoint Data'!G:G,
                    'Raw PhocalPoint Data'!A:A = 2012,
                    'Raw PhocalPoint Data'!D:D"&amp;" = D422,
                    'Raw PhocalPoint Data'!E:E = E422,
                    'Raw PhocalPoint Data'!F:F = F422
                  ) /
                  FILTER('Raw PhocalPoint Data'!G:G,
                    'Raw PhocalPoint Data'!A:A = 2011,
       "&amp;"             'Raw PhocalPoint Data'!D:D = D422,
                    'Raw PhocalPoint Data'!E:E = E422,
                    'Raw PhocalPoint Data'!F:F = F422
                  ) - 1
                ) / 5
              )
            )
          )
        )
"&amp;"      )
    ),
    (
      FILTER('Raw PhocalPoint Data'!G:G,
        'Raw PhocalPoint Data'!A:A = 2009,
        'Raw PhocalPoint Data'!D:D = D422,
        'Raw PhocalPoint Data'!E:E = E422,
        'Raw PhocalPoint Data'!F:F = F422
      ) /
      PRODUC"&amp;"T(
        ARRAYFORMULA(
          (
            FILTER('Raw PhocalPoint Data'!G:G,
              'Raw PhocalPoint Data'!A:A = 2012,
              'Raw PhocalPoint Data'!D:D = D422,
              'Raw PhocalPoint Data'!E:E = E422,
              'Raw Phoca"&amp;"lPoint Data'!F:F = F422
            ) /
            FILTER('Raw PhocalPoint Data'!G:G,
              'Raw PhocalPoint Data'!A:A = 2011,
              'Raw PhocalPoint Data'!D:D = D422,
              'Raw PhocalPoint Data'!E:E = E422,
              'Raw Ph"&amp;"ocalPoint Data'!F:F = F422
            ) -
            (ROW(INDIRECT(""1:"" &amp; (2010 - A422))) - 1) *
            (
              (
                FILTER('Raw PhocalPoint Data'!G:G,
                  'Raw PhocalPoint Data'!A:A = 2012,
                  'R"&amp;"aw PhocalPoint Data'!D:D = D422,
                  'Raw PhocalPoint Data'!E:E = E422,
                  'Raw PhocalPoint Data'!F:F = F422
                ) /
                FILTER('Raw PhocalPoint Data'!G:G,
                  'Raw PhocalPoint Data'!A:A ="&amp;" 2011,
                  'Raw PhocalPoint Data'!D:D = D422,
                  'Raw PhocalPoint Data'!E:E = E422,
                  'Raw PhocalPoint Data'!F:F = F422
                ) - 1
              ) / 5
            )
          )
        )
      )
    "&amp;") *
    INDEX('Raw GDP data'!$I$2:$M$100,
      MATCH(D422, 'Raw GDP data'!$H$2:$H$100, 0),
      MATCH(A422, 'Raw GDP data'!$I$1:$M$1, 0)
    )
  )),
  """"
)
"),44911179101.6123)</f>
        <v>44911179101.612297</v>
      </c>
      <c r="H422" s="80"/>
      <c r="I422" s="81">
        <f ca="1">IFERROR(__xludf.DUMMYFUNCTION("""COMPUTED_VALUE"""),2015)</f>
        <v>2015</v>
      </c>
      <c r="J422" s="82" t="str">
        <f ca="1">IFERROR(__xludf.DUMMYFUNCTION("""COMPUTED_VALUE"""),"Ukraine")</f>
        <v>Ukraine</v>
      </c>
      <c r="K422" s="83">
        <f ca="1">IFERROR(
  SUMIFS(
    'New Backfilled Data'!G:G,
    'New Backfilled Data'!A:A, I422,
    'New Backfilled Data'!D:D, J422,
    'New Backfilled Data'!E:E, "Online"
  ) /
  SUMIFS(
    'New Backfilled Data'!G:G,
    'New Backfilled Data'!A:A, I422,
    'New Backfilled Data'!D:D, J422
  ),
  ""
)</f>
        <v>0.20751475725829219</v>
      </c>
      <c r="L422" s="84"/>
      <c r="M422" s="84"/>
    </row>
    <row r="423" spans="1:13" ht="17" x14ac:dyDescent="0.2">
      <c r="A423" s="44">
        <v>2008</v>
      </c>
      <c r="B423" s="45" t="s">
        <v>66</v>
      </c>
      <c r="C423" s="45" t="s">
        <v>17</v>
      </c>
      <c r="D423" s="45" t="s">
        <v>24</v>
      </c>
      <c r="E423" s="45" t="s">
        <v>69</v>
      </c>
      <c r="F423" s="45" t="s">
        <v>71</v>
      </c>
      <c r="G423" s="85">
        <f ca="1">IFERROR(__xludf.DUMMYFUNCTION("IFERROR(
  IF(A423 = 2008,
    IF(E423 = ""Online"",
      FILTER('Raw PhocalPoint Data'!G:G,
        'Raw PhocalPoint Data'!A:A = 2009,
        'Raw PhocalPoint Data'!D:D = D423,
        'Raw PhocalPoint Data'!E:E = E423,
        'Raw PhocalPoint Data'!F"&amp;":F = F423
      ) /
      (
        FILTER('Raw PhocalPoint Data'!G:G,
          'Raw PhocalPoint Data'!A:A = 2012,
          'Raw PhocalPoint Data'!D:D = D423,
          'Raw PhocalPoint Data'!E:E = E423,
          'Raw PhocalPoint Data'!F:F = F423
     "&amp;"   ) /
        FILTER('Raw PhocalPoint Data'!G:G,
          'Raw PhocalPoint Data'!A:A = 2011,
          'Raw PhocalPoint Data'!D:D = D423,
          'Raw PhocalPoint Data'!E:E = E423,
          'Raw PhocalPoint Data'!F:F = F423
        )
      ),
      F"&amp;"ILTER('Raw PhocalPoint Data'!G:G,
        'Raw PhocalPoint Data'!A:A = 2009,
        'Raw PhocalPoint Data'!D:D = D423,
        'Raw PhocalPoint Data'!E:E = E423,
        'Raw PhocalPoint Data'!F:F = F423
      ) *
      (
        INDEX('Raw GDP data'!$I$"&amp;"2:$M$100,
          MATCH(D423, 'Raw GDP data'!$H$2:$H$100, 0),
          MATCH(2008, 'Raw GDP data'!$I$1:$M$1, 0)
        ) /
        INDEX('Raw GDP data'!$I$2:$M$100,
          MATCH(D423, 'Raw GDP data'!$H$2:$H$100, 0),
          MATCH(2009, 'Raw GDP d"&amp;"ata'!$I$1:$M$1, 0)
        )
      )
    ),
  IF(A423 &lt; 2008,
    (
      FILTER(G:G,
        A:A = 2008,
        D:D = D423,
        E:E = E423,
        F:F = F423
      ) /
      PRODUCT(
        ARRAYFORMULA(
          (
            (
              FIL"&amp;"TER('Raw PhocalPoint Data'!G:G,
                'Raw PhocalPoint Data'!A:A = 2012,
                'Raw PhocalPoint Data'!D:D = D423,
                'Raw PhocalPoint Data'!E:E = E423,
                'Raw PhocalPoint Data'!F:F = F423
              ) /
  "&amp;"            FILTER('Raw PhocalPoint Data'!G:G,
                'Raw PhocalPoint Data'!A:A = 2011,
                'Raw PhocalPoint Data'!D:D = D423,
                'Raw PhocalPoint Data'!E:E = E423,
                'Raw PhocalPoint Data'!F:F = F423
     "&amp;"         ) -
              ROW(INDIRECT(""1:"" &amp; (2008 - A423))) *
              (
                (
                  FILTER('Raw PhocalPoint Data'!G:G,
                    'Raw PhocalPoint Data'!A:A = 2012,
                    'Raw PhocalPoint Data'!D:D"&amp;" = D423,
                    'Raw PhocalPoint Data'!E:E = E423,
                    'Raw PhocalPoint Data'!F:F = F423
                  ) /
                  FILTER('Raw PhocalPoint Data'!G:G,
                    'Raw PhocalPoint Data'!A:A = 2011,
       "&amp;"             'Raw PhocalPoint Data'!D:D = D423,
                    'Raw PhocalPoint Data'!E:E = E423,
                    'Raw PhocalPoint Data'!F:F = F423
                  ) - 1
                ) / 5
              )
            )
          )
        )
"&amp;"      )
    ),
    (
      FILTER('Raw PhocalPoint Data'!G:G,
        'Raw PhocalPoint Data'!A:A = 2009,
        'Raw PhocalPoint Data'!D:D = D423,
        'Raw PhocalPoint Data'!E:E = E423,
        'Raw PhocalPoint Data'!F:F = F423
      ) /
      PRODUC"&amp;"T(
        ARRAYFORMULA(
          (
            FILTER('Raw PhocalPoint Data'!G:G,
              'Raw PhocalPoint Data'!A:A = 2012,
              'Raw PhocalPoint Data'!D:D = D423,
              'Raw PhocalPoint Data'!E:E = E423,
              'Raw Phoca"&amp;"lPoint Data'!F:F = F423
            ) /
            FILTER('Raw PhocalPoint Data'!G:G,
              'Raw PhocalPoint Data'!A:A = 2011,
              'Raw PhocalPoint Data'!D:D = D423,
              'Raw PhocalPoint Data'!E:E = E423,
              'Raw Ph"&amp;"ocalPoint Data'!F:F = F423
            ) -
            (ROW(INDIRECT(""1:"" &amp; (2010 - A423))) - 1) *
            (
              (
                FILTER('Raw PhocalPoint Data'!G:G,
                  'Raw PhocalPoint Data'!A:A = 2012,
                  'R"&amp;"aw PhocalPoint Data'!D:D = D423,
                  'Raw PhocalPoint Data'!E:E = E423,
                  'Raw PhocalPoint Data'!F:F = F423
                ) /
                FILTER('Raw PhocalPoint Data'!G:G,
                  'Raw PhocalPoint Data'!A:A ="&amp;" 2011,
                  'Raw PhocalPoint Data'!D:D = D423,
                  'Raw PhocalPoint Data'!E:E = E423,
                  'Raw PhocalPoint Data'!F:F = F423
                ) - 1
              ) / 5
            )
          )
        )
      )
    "&amp;") *
    INDEX('Raw GDP data'!$I$2:$M$100,
      MATCH(D423, 'Raw GDP data'!$H$2:$H$100, 0),
      MATCH(A423, 'Raw GDP data'!$I$1:$M$1, 0)
    )
  )),
  """"
)
"),642938568.401632)</f>
        <v>642938568.40163195</v>
      </c>
      <c r="H423" s="86"/>
      <c r="I423" s="87">
        <f ca="1">IFERROR(__xludf.DUMMYFUNCTION("""COMPUTED_VALUE"""),2015)</f>
        <v>2015</v>
      </c>
      <c r="J423" s="88" t="str">
        <f ca="1">IFERROR(__xludf.DUMMYFUNCTION("""COMPUTED_VALUE"""),"France")</f>
        <v>France</v>
      </c>
      <c r="K423" s="89">
        <f ca="1">IFERROR(
  SUMIFS(
    'New Backfilled Data'!G:G,
    'New Backfilled Data'!A:A, I423,
    'New Backfilled Data'!D:D, J423,
    'New Backfilled Data'!E:E, "Online"
  ) /
  SUMIFS(
    'New Backfilled Data'!G:G,
    'New Backfilled Data'!A:A, I423,
    'New Backfilled Data'!D:D, J423
  ),
  ""
)</f>
        <v>0.39007690650623572</v>
      </c>
      <c r="L423" s="90"/>
      <c r="M423" s="90"/>
    </row>
    <row r="424" spans="1:13" ht="17" x14ac:dyDescent="0.2">
      <c r="A424" s="37">
        <v>2008</v>
      </c>
      <c r="B424" s="38" t="s">
        <v>66</v>
      </c>
      <c r="C424" s="38" t="s">
        <v>17</v>
      </c>
      <c r="D424" s="38" t="s">
        <v>24</v>
      </c>
      <c r="E424" s="38" t="s">
        <v>69</v>
      </c>
      <c r="F424" s="38" t="s">
        <v>70</v>
      </c>
      <c r="G424" s="79">
        <f ca="1">IFERROR(__xludf.DUMMYFUNCTION("IFERROR(
  IF(A424 = 2008,
    IF(E424 = ""Online"",
      FILTER('Raw PhocalPoint Data'!G:G,
        'Raw PhocalPoint Data'!A:A = 2009,
        'Raw PhocalPoint Data'!D:D = D424,
        'Raw PhocalPoint Data'!E:E = E424,
        'Raw PhocalPoint Data'!F"&amp;":F = F424
      ) /
      (
        FILTER('Raw PhocalPoint Data'!G:G,
          'Raw PhocalPoint Data'!A:A = 2012,
          'Raw PhocalPoint Data'!D:D = D424,
          'Raw PhocalPoint Data'!E:E = E424,
          'Raw PhocalPoint Data'!F:F = F424
     "&amp;"   ) /
        FILTER('Raw PhocalPoint Data'!G:G,
          'Raw PhocalPoint Data'!A:A = 2011,
          'Raw PhocalPoint Data'!D:D = D424,
          'Raw PhocalPoint Data'!E:E = E424,
          'Raw PhocalPoint Data'!F:F = F424
        )
      ),
      F"&amp;"ILTER('Raw PhocalPoint Data'!G:G,
        'Raw PhocalPoint Data'!A:A = 2009,
        'Raw PhocalPoint Data'!D:D = D424,
        'Raw PhocalPoint Data'!E:E = E424,
        'Raw PhocalPoint Data'!F:F = F424
      ) *
      (
        INDEX('Raw GDP data'!$I$"&amp;"2:$M$100,
          MATCH(D424, 'Raw GDP data'!$H$2:$H$100, 0),
          MATCH(2008, 'Raw GDP data'!$I$1:$M$1, 0)
        ) /
        INDEX('Raw GDP data'!$I$2:$M$100,
          MATCH(D424, 'Raw GDP data'!$H$2:$H$100, 0),
          MATCH(2009, 'Raw GDP d"&amp;"ata'!$I$1:$M$1, 0)
        )
      )
    ),
  IF(A424 &lt; 2008,
    (
      FILTER(G:G,
        A:A = 2008,
        D:D = D424,
        E:E = E424,
        F:F = F424
      ) /
      PRODUCT(
        ARRAYFORMULA(
          (
            (
              FIL"&amp;"TER('Raw PhocalPoint Data'!G:G,
                'Raw PhocalPoint Data'!A:A = 2012,
                'Raw PhocalPoint Data'!D:D = D424,
                'Raw PhocalPoint Data'!E:E = E424,
                'Raw PhocalPoint Data'!F:F = F424
              ) /
  "&amp;"            FILTER('Raw PhocalPoint Data'!G:G,
                'Raw PhocalPoint Data'!A:A = 2011,
                'Raw PhocalPoint Data'!D:D = D424,
                'Raw PhocalPoint Data'!E:E = E424,
                'Raw PhocalPoint Data'!F:F = F424
     "&amp;"         ) -
              ROW(INDIRECT(""1:"" &amp; (2008 - A424))) *
              (
                (
                  FILTER('Raw PhocalPoint Data'!G:G,
                    'Raw PhocalPoint Data'!A:A = 2012,
                    'Raw PhocalPoint Data'!D:D"&amp;" = D424,
                    'Raw PhocalPoint Data'!E:E = E424,
                    'Raw PhocalPoint Data'!F:F = F424
                  ) /
                  FILTER('Raw PhocalPoint Data'!G:G,
                    'Raw PhocalPoint Data'!A:A = 2011,
       "&amp;"             'Raw PhocalPoint Data'!D:D = D424,
                    'Raw PhocalPoint Data'!E:E = E424,
                    'Raw PhocalPoint Data'!F:F = F424
                  ) - 1
                ) / 5
              )
            )
          )
        )
"&amp;"      )
    ),
    (
      FILTER('Raw PhocalPoint Data'!G:G,
        'Raw PhocalPoint Data'!A:A = 2009,
        'Raw PhocalPoint Data'!D:D = D424,
        'Raw PhocalPoint Data'!E:E = E424,
        'Raw PhocalPoint Data'!F:F = F424
      ) /
      PRODUC"&amp;"T(
        ARRAYFORMULA(
          (
            FILTER('Raw PhocalPoint Data'!G:G,
              'Raw PhocalPoint Data'!A:A = 2012,
              'Raw PhocalPoint Data'!D:D = D424,
              'Raw PhocalPoint Data'!E:E = E424,
              'Raw Phoca"&amp;"lPoint Data'!F:F = F424
            ) /
            FILTER('Raw PhocalPoint Data'!G:G,
              'Raw PhocalPoint Data'!A:A = 2011,
              'Raw PhocalPoint Data'!D:D = D424,
              'Raw PhocalPoint Data'!E:E = E424,
              'Raw Ph"&amp;"ocalPoint Data'!F:F = F424
            ) -
            (ROW(INDIRECT(""1:"" &amp; (2010 - A424))) - 1) *
            (
              (
                FILTER('Raw PhocalPoint Data'!G:G,
                  'Raw PhocalPoint Data'!A:A = 2012,
                  'R"&amp;"aw PhocalPoint Data'!D:D = D424,
                  'Raw PhocalPoint Data'!E:E = E424,
                  'Raw PhocalPoint Data'!F:F = F424
                ) /
                FILTER('Raw PhocalPoint Data'!G:G,
                  'Raw PhocalPoint Data'!A:A ="&amp;" 2011,
                  'Raw PhocalPoint Data'!D:D = D424,
                  'Raw PhocalPoint Data'!E:E = E424,
                  'Raw PhocalPoint Data'!F:F = F424
                ) - 1
              ) / 5
            )
          )
        )
      )
    "&amp;") *
    INDEX('Raw GDP data'!$I$2:$M$100,
      MATCH(D424, 'Raw GDP data'!$H$2:$H$100, 0),
      MATCH(A424, 'Raw GDP data'!$I$1:$M$1, 0)
    )
  )),
  """"
)
"),729248871.0249)</f>
        <v>729248871.02489996</v>
      </c>
      <c r="H424" s="80"/>
      <c r="I424" s="81">
        <f ca="1">IFERROR(__xludf.DUMMYFUNCTION("""COMPUTED_VALUE"""),2015)</f>
        <v>2015</v>
      </c>
      <c r="J424" s="82" t="str">
        <f ca="1">IFERROR(__xludf.DUMMYFUNCTION("""COMPUTED_VALUE"""),"Germany")</f>
        <v>Germany</v>
      </c>
      <c r="K424" s="83">
        <f ca="1">IFERROR(
  SUMIFS(
    'New Backfilled Data'!G:G,
    'New Backfilled Data'!A:A, I424,
    'New Backfilled Data'!D:D, J424,
    'New Backfilled Data'!E:E, "Online"
  ) /
  SUMIFS(
    'New Backfilled Data'!G:G,
    'New Backfilled Data'!A:A, I424,
    'New Backfilled Data'!D:D, J424
  ),
  ""
)</f>
        <v>0.38543021430912328</v>
      </c>
      <c r="L424" s="84"/>
      <c r="M424" s="84"/>
    </row>
    <row r="425" spans="1:13" ht="17" x14ac:dyDescent="0.2">
      <c r="A425" s="44">
        <v>2008</v>
      </c>
      <c r="B425" s="45" t="s">
        <v>66</v>
      </c>
      <c r="C425" s="45" t="s">
        <v>17</v>
      </c>
      <c r="D425" s="45" t="s">
        <v>25</v>
      </c>
      <c r="E425" s="45" t="s">
        <v>67</v>
      </c>
      <c r="F425" s="45" t="s">
        <v>67</v>
      </c>
      <c r="G425" s="85">
        <f ca="1">IFERROR(__xludf.DUMMYFUNCTION("IFERROR(
  IF(A425 = 2008,
    IF(E425 = ""Online"",
      FILTER('Raw PhocalPoint Data'!G:G,
        'Raw PhocalPoint Data'!A:A = 2009,
        'Raw PhocalPoint Data'!D:D = D425,
        'Raw PhocalPoint Data'!E:E = E425,
        'Raw PhocalPoint Data'!F"&amp;":F = F425
      ) /
      (
        FILTER('Raw PhocalPoint Data'!G:G,
          'Raw PhocalPoint Data'!A:A = 2012,
          'Raw PhocalPoint Data'!D:D = D425,
          'Raw PhocalPoint Data'!E:E = E425,
          'Raw PhocalPoint Data'!F:F = F425
     "&amp;"   ) /
        FILTER('Raw PhocalPoint Data'!G:G,
          'Raw PhocalPoint Data'!A:A = 2011,
          'Raw PhocalPoint Data'!D:D = D425,
          'Raw PhocalPoint Data'!E:E = E425,
          'Raw PhocalPoint Data'!F:F = F425
        )
      ),
      F"&amp;"ILTER('Raw PhocalPoint Data'!G:G,
        'Raw PhocalPoint Data'!A:A = 2009,
        'Raw PhocalPoint Data'!D:D = D425,
        'Raw PhocalPoint Data'!E:E = E425,
        'Raw PhocalPoint Data'!F:F = F425
      ) *
      (
        INDEX('Raw GDP data'!$I$"&amp;"2:$M$100,
          MATCH(D425, 'Raw GDP data'!$H$2:$H$100, 0),
          MATCH(2008, 'Raw GDP data'!$I$1:$M$1, 0)
        ) /
        INDEX('Raw GDP data'!$I$2:$M$100,
          MATCH(D425, 'Raw GDP data'!$H$2:$H$100, 0),
          MATCH(2009, 'Raw GDP d"&amp;"ata'!$I$1:$M$1, 0)
        )
      )
    ),
  IF(A425 &lt; 2008,
    (
      FILTER(G:G,
        A:A = 2008,
        D:D = D425,
        E:E = E425,
        F:F = F425
      ) /
      PRODUCT(
        ARRAYFORMULA(
          (
            (
              FIL"&amp;"TER('Raw PhocalPoint Data'!G:G,
                'Raw PhocalPoint Data'!A:A = 2012,
                'Raw PhocalPoint Data'!D:D = D425,
                'Raw PhocalPoint Data'!E:E = E425,
                'Raw PhocalPoint Data'!F:F = F425
              ) /
  "&amp;"            FILTER('Raw PhocalPoint Data'!G:G,
                'Raw PhocalPoint Data'!A:A = 2011,
                'Raw PhocalPoint Data'!D:D = D425,
                'Raw PhocalPoint Data'!E:E = E425,
                'Raw PhocalPoint Data'!F:F = F425
     "&amp;"         ) -
              ROW(INDIRECT(""1:"" &amp; (2008 - A425))) *
              (
                (
                  FILTER('Raw PhocalPoint Data'!G:G,
                    'Raw PhocalPoint Data'!A:A = 2012,
                    'Raw PhocalPoint Data'!D:D"&amp;" = D425,
                    'Raw PhocalPoint Data'!E:E = E425,
                    'Raw PhocalPoint Data'!F:F = F425
                  ) /
                  FILTER('Raw PhocalPoint Data'!G:G,
                    'Raw PhocalPoint Data'!A:A = 2011,
       "&amp;"             'Raw PhocalPoint Data'!D:D = D425,
                    'Raw PhocalPoint Data'!E:E = E425,
                    'Raw PhocalPoint Data'!F:F = F425
                  ) - 1
                ) / 5
              )
            )
          )
        )
"&amp;"      )
    ),
    (
      FILTER('Raw PhocalPoint Data'!G:G,
        'Raw PhocalPoint Data'!A:A = 2009,
        'Raw PhocalPoint Data'!D:D = D425,
        'Raw PhocalPoint Data'!E:E = E425,
        'Raw PhocalPoint Data'!F:F = F425
      ) /
      PRODUC"&amp;"T(
        ARRAYFORMULA(
          (
            FILTER('Raw PhocalPoint Data'!G:G,
              'Raw PhocalPoint Data'!A:A = 2012,
              'Raw PhocalPoint Data'!D:D = D425,
              'Raw PhocalPoint Data'!E:E = E425,
              'Raw Phoca"&amp;"lPoint Data'!F:F = F425
            ) /
            FILTER('Raw PhocalPoint Data'!G:G,
              'Raw PhocalPoint Data'!A:A = 2011,
              'Raw PhocalPoint Data'!D:D = D425,
              'Raw PhocalPoint Data'!E:E = E425,
              'Raw Ph"&amp;"ocalPoint Data'!F:F = F425
            ) -
            (ROW(INDIRECT(""1:"" &amp; (2010 - A425))) - 1) *
            (
              (
                FILTER('Raw PhocalPoint Data'!G:G,
                  'Raw PhocalPoint Data'!A:A = 2012,
                  'R"&amp;"aw PhocalPoint Data'!D:D = D425,
                  'Raw PhocalPoint Data'!E:E = E425,
                  'Raw PhocalPoint Data'!F:F = F425
                ) /
                FILTER('Raw PhocalPoint Data'!G:G,
                  'Raw PhocalPoint Data'!A:A ="&amp;" 2011,
                  'Raw PhocalPoint Data'!D:D = D425,
                  'Raw PhocalPoint Data'!E:E = E425,
                  'Raw PhocalPoint Data'!F:F = F425
                ) - 1
              ) / 5
            )
          )
        )
      )
    "&amp;") *
    INDEX('Raw GDP data'!$I$2:$M$100,
      MATCH(D425, 'Raw GDP data'!$H$2:$H$100, 0),
      MATCH(A425, 'Raw GDP data'!$I$1:$M$1, 0)
    )
  )),
  """"
)
"),4693704687.17566)</f>
        <v>4693704687.1756601</v>
      </c>
      <c r="H425" s="86"/>
      <c r="I425" s="87">
        <f ca="1">IFERROR(__xludf.DUMMYFUNCTION("""COMPUTED_VALUE"""),2015)</f>
        <v>2015</v>
      </c>
      <c r="J425" s="88" t="str">
        <f ca="1">IFERROR(__xludf.DUMMYFUNCTION("""COMPUTED_VALUE"""),"Italy")</f>
        <v>Italy</v>
      </c>
      <c r="K425" s="89">
        <f ca="1">IFERROR(
  SUMIFS(
    'New Backfilled Data'!G:G,
    'New Backfilled Data'!A:A, I425,
    'New Backfilled Data'!D:D, J425,
    'New Backfilled Data'!E:E, "Online"
  ) /
  SUMIFS(
    'New Backfilled Data'!G:G,
    'New Backfilled Data'!A:A, I425,
    'New Backfilled Data'!D:D, J425
  ),
  ""
)</f>
        <v>0.3401909953729047</v>
      </c>
      <c r="L425" s="90"/>
      <c r="M425" s="90"/>
    </row>
    <row r="426" spans="1:13" ht="17" x14ac:dyDescent="0.2">
      <c r="A426" s="37">
        <v>2008</v>
      </c>
      <c r="B426" s="38" t="s">
        <v>66</v>
      </c>
      <c r="C426" s="38" t="s">
        <v>17</v>
      </c>
      <c r="D426" s="38" t="s">
        <v>25</v>
      </c>
      <c r="E426" s="38" t="s">
        <v>69</v>
      </c>
      <c r="F426" s="38" t="s">
        <v>71</v>
      </c>
      <c r="G426" s="79">
        <f ca="1">IFERROR(__xludf.DUMMYFUNCTION("IFERROR(
  IF(A426 = 2008,
    IF(E426 = ""Online"",
      FILTER('Raw PhocalPoint Data'!G:G,
        'Raw PhocalPoint Data'!A:A = 2009,
        'Raw PhocalPoint Data'!D:D = D426,
        'Raw PhocalPoint Data'!E:E = E426,
        'Raw PhocalPoint Data'!F"&amp;":F = F426
      ) /
      (
        FILTER('Raw PhocalPoint Data'!G:G,
          'Raw PhocalPoint Data'!A:A = 2012,
          'Raw PhocalPoint Data'!D:D = D426,
          'Raw PhocalPoint Data'!E:E = E426,
          'Raw PhocalPoint Data'!F:F = F426
     "&amp;"   ) /
        FILTER('Raw PhocalPoint Data'!G:G,
          'Raw PhocalPoint Data'!A:A = 2011,
          'Raw PhocalPoint Data'!D:D = D426,
          'Raw PhocalPoint Data'!E:E = E426,
          'Raw PhocalPoint Data'!F:F = F426
        )
      ),
      F"&amp;"ILTER('Raw PhocalPoint Data'!G:G,
        'Raw PhocalPoint Data'!A:A = 2009,
        'Raw PhocalPoint Data'!D:D = D426,
        'Raw PhocalPoint Data'!E:E = E426,
        'Raw PhocalPoint Data'!F:F = F426
      ) *
      (
        INDEX('Raw GDP data'!$I$"&amp;"2:$M$100,
          MATCH(D426, 'Raw GDP data'!$H$2:$H$100, 0),
          MATCH(2008, 'Raw GDP data'!$I$1:$M$1, 0)
        ) /
        INDEX('Raw GDP data'!$I$2:$M$100,
          MATCH(D426, 'Raw GDP data'!$H$2:$H$100, 0),
          MATCH(2009, 'Raw GDP d"&amp;"ata'!$I$1:$M$1, 0)
        )
      )
    ),
  IF(A426 &lt; 2008,
    (
      FILTER(G:G,
        A:A = 2008,
        D:D = D426,
        E:E = E426,
        F:F = F426
      ) /
      PRODUCT(
        ARRAYFORMULA(
          (
            (
              FIL"&amp;"TER('Raw PhocalPoint Data'!G:G,
                'Raw PhocalPoint Data'!A:A = 2012,
                'Raw PhocalPoint Data'!D:D = D426,
                'Raw PhocalPoint Data'!E:E = E426,
                'Raw PhocalPoint Data'!F:F = F426
              ) /
  "&amp;"            FILTER('Raw PhocalPoint Data'!G:G,
                'Raw PhocalPoint Data'!A:A = 2011,
                'Raw PhocalPoint Data'!D:D = D426,
                'Raw PhocalPoint Data'!E:E = E426,
                'Raw PhocalPoint Data'!F:F = F426
     "&amp;"         ) -
              ROW(INDIRECT(""1:"" &amp; (2008 - A426))) *
              (
                (
                  FILTER('Raw PhocalPoint Data'!G:G,
                    'Raw PhocalPoint Data'!A:A = 2012,
                    'Raw PhocalPoint Data'!D:D"&amp;" = D426,
                    'Raw PhocalPoint Data'!E:E = E426,
                    'Raw PhocalPoint Data'!F:F = F426
                  ) /
                  FILTER('Raw PhocalPoint Data'!G:G,
                    'Raw PhocalPoint Data'!A:A = 2011,
       "&amp;"             'Raw PhocalPoint Data'!D:D = D426,
                    'Raw PhocalPoint Data'!E:E = E426,
                    'Raw PhocalPoint Data'!F:F = F426
                  ) - 1
                ) / 5
              )
            )
          )
        )
"&amp;"      )
    ),
    (
      FILTER('Raw PhocalPoint Data'!G:G,
        'Raw PhocalPoint Data'!A:A = 2009,
        'Raw PhocalPoint Data'!D:D = D426,
        'Raw PhocalPoint Data'!E:E = E426,
        'Raw PhocalPoint Data'!F:F = F426
      ) /
      PRODUC"&amp;"T(
        ARRAYFORMULA(
          (
            FILTER('Raw PhocalPoint Data'!G:G,
              'Raw PhocalPoint Data'!A:A = 2012,
              'Raw PhocalPoint Data'!D:D = D426,
              'Raw PhocalPoint Data'!E:E = E426,
              'Raw Phoca"&amp;"lPoint Data'!F:F = F426
            ) /
            FILTER('Raw PhocalPoint Data'!G:G,
              'Raw PhocalPoint Data'!A:A = 2011,
              'Raw PhocalPoint Data'!D:D = D426,
              'Raw PhocalPoint Data'!E:E = E426,
              'Raw Ph"&amp;"ocalPoint Data'!F:F = F426
            ) -
            (ROW(INDIRECT(""1:"" &amp; (2010 - A426))) - 1) *
            (
              (
                FILTER('Raw PhocalPoint Data'!G:G,
                  'Raw PhocalPoint Data'!A:A = 2012,
                  'R"&amp;"aw PhocalPoint Data'!D:D = D426,
                  'Raw PhocalPoint Data'!E:E = E426,
                  'Raw PhocalPoint Data'!F:F = F426
                ) /
                FILTER('Raw PhocalPoint Data'!G:G,
                  'Raw PhocalPoint Data'!A:A ="&amp;" 2011,
                  'Raw PhocalPoint Data'!D:D = D426,
                  'Raw PhocalPoint Data'!E:E = E426,
                  'Raw PhocalPoint Data'!F:F = F426
                ) - 1
              ) / 5
            )
          )
        )
      )
    "&amp;") *
    INDEX('Raw GDP data'!$I$2:$M$100,
      MATCH(D426, 'Raw GDP data'!$H$2:$H$100, 0),
      MATCH(A426, 'Raw GDP data'!$I$1:$M$1, 0)
    )
  )),
  """"
)
"),147493879.060316)</f>
        <v>147493879.060316</v>
      </c>
      <c r="H426" s="80"/>
      <c r="I426" s="81">
        <f ca="1">IFERROR(__xludf.DUMMYFUNCTION("""COMPUTED_VALUE"""),2015)</f>
        <v>2015</v>
      </c>
      <c r="J426" s="82" t="str">
        <f ca="1">IFERROR(__xludf.DUMMYFUNCTION("""COMPUTED_VALUE"""),"Rest of Europe")</f>
        <v>Rest of Europe</v>
      </c>
      <c r="K426" s="83">
        <f ca="1">IFERROR(
  SUMIFS(
    'New Backfilled Data'!G:G,
    'New Backfilled Data'!A:A, I426,
    'New Backfilled Data'!D:D, J426,
    'New Backfilled Data'!E:E, "Online"
  ) /
  SUMIFS(
    'New Backfilled Data'!G:G,
    'New Backfilled Data'!A:A, I426,
    'New Backfilled Data'!D:D, J426
  ),
  ""
)</f>
        <v>0.39252199464660653</v>
      </c>
      <c r="L426" s="84"/>
      <c r="M426" s="84"/>
    </row>
    <row r="427" spans="1:13" ht="17" x14ac:dyDescent="0.2">
      <c r="A427" s="44">
        <v>2008</v>
      </c>
      <c r="B427" s="45" t="s">
        <v>66</v>
      </c>
      <c r="C427" s="45" t="s">
        <v>17</v>
      </c>
      <c r="D427" s="45" t="s">
        <v>25</v>
      </c>
      <c r="E427" s="45" t="s">
        <v>69</v>
      </c>
      <c r="F427" s="45" t="s">
        <v>70</v>
      </c>
      <c r="G427" s="85">
        <f ca="1">IFERROR(__xludf.DUMMYFUNCTION("IFERROR(
  IF(A427 = 2008,
    IF(E427 = ""Online"",
      FILTER('Raw PhocalPoint Data'!G:G,
        'Raw PhocalPoint Data'!A:A = 2009,
        'Raw PhocalPoint Data'!D:D = D427,
        'Raw PhocalPoint Data'!E:E = E427,
        'Raw PhocalPoint Data'!F"&amp;":F = F427
      ) /
      (
        FILTER('Raw PhocalPoint Data'!G:G,
          'Raw PhocalPoint Data'!A:A = 2012,
          'Raw PhocalPoint Data'!D:D = D427,
          'Raw PhocalPoint Data'!E:E = E427,
          'Raw PhocalPoint Data'!F:F = F427
     "&amp;"   ) /
        FILTER('Raw PhocalPoint Data'!G:G,
          'Raw PhocalPoint Data'!A:A = 2011,
          'Raw PhocalPoint Data'!D:D = D427,
          'Raw PhocalPoint Data'!E:E = E427,
          'Raw PhocalPoint Data'!F:F = F427
        )
      ),
      F"&amp;"ILTER('Raw PhocalPoint Data'!G:G,
        'Raw PhocalPoint Data'!A:A = 2009,
        'Raw PhocalPoint Data'!D:D = D427,
        'Raw PhocalPoint Data'!E:E = E427,
        'Raw PhocalPoint Data'!F:F = F427
      ) *
      (
        INDEX('Raw GDP data'!$I$"&amp;"2:$M$100,
          MATCH(D427, 'Raw GDP data'!$H$2:$H$100, 0),
          MATCH(2008, 'Raw GDP data'!$I$1:$M$1, 0)
        ) /
        INDEX('Raw GDP data'!$I$2:$M$100,
          MATCH(D427, 'Raw GDP data'!$H$2:$H$100, 0),
          MATCH(2009, 'Raw GDP d"&amp;"ata'!$I$1:$M$1, 0)
        )
      )
    ),
  IF(A427 &lt; 2008,
    (
      FILTER(G:G,
        A:A = 2008,
        D:D = D427,
        E:E = E427,
        F:F = F427
      ) /
      PRODUCT(
        ARRAYFORMULA(
          (
            (
              FIL"&amp;"TER('Raw PhocalPoint Data'!G:G,
                'Raw PhocalPoint Data'!A:A = 2012,
                'Raw PhocalPoint Data'!D:D = D427,
                'Raw PhocalPoint Data'!E:E = E427,
                'Raw PhocalPoint Data'!F:F = F427
              ) /
  "&amp;"            FILTER('Raw PhocalPoint Data'!G:G,
                'Raw PhocalPoint Data'!A:A = 2011,
                'Raw PhocalPoint Data'!D:D = D427,
                'Raw PhocalPoint Data'!E:E = E427,
                'Raw PhocalPoint Data'!F:F = F427
     "&amp;"         ) -
              ROW(INDIRECT(""1:"" &amp; (2008 - A427))) *
              (
                (
                  FILTER('Raw PhocalPoint Data'!G:G,
                    'Raw PhocalPoint Data'!A:A = 2012,
                    'Raw PhocalPoint Data'!D:D"&amp;" = D427,
                    'Raw PhocalPoint Data'!E:E = E427,
                    'Raw PhocalPoint Data'!F:F = F427
                  ) /
                  FILTER('Raw PhocalPoint Data'!G:G,
                    'Raw PhocalPoint Data'!A:A = 2011,
       "&amp;"             'Raw PhocalPoint Data'!D:D = D427,
                    'Raw PhocalPoint Data'!E:E = E427,
                    'Raw PhocalPoint Data'!F:F = F427
                  ) - 1
                ) / 5
              )
            )
          )
        )
"&amp;"      )
    ),
    (
      FILTER('Raw PhocalPoint Data'!G:G,
        'Raw PhocalPoint Data'!A:A = 2009,
        'Raw PhocalPoint Data'!D:D = D427,
        'Raw PhocalPoint Data'!E:E = E427,
        'Raw PhocalPoint Data'!F:F = F427
      ) /
      PRODUC"&amp;"T(
        ARRAYFORMULA(
          (
            FILTER('Raw PhocalPoint Data'!G:G,
              'Raw PhocalPoint Data'!A:A = 2012,
              'Raw PhocalPoint Data'!D:D = D427,
              'Raw PhocalPoint Data'!E:E = E427,
              'Raw Phoca"&amp;"lPoint Data'!F:F = F427
            ) /
            FILTER('Raw PhocalPoint Data'!G:G,
              'Raw PhocalPoint Data'!A:A = 2011,
              'Raw PhocalPoint Data'!D:D = D427,
              'Raw PhocalPoint Data'!E:E = E427,
              'Raw Ph"&amp;"ocalPoint Data'!F:F = F427
            ) -
            (ROW(INDIRECT(""1:"" &amp; (2010 - A427))) - 1) *
            (
              (
                FILTER('Raw PhocalPoint Data'!G:G,
                  'Raw PhocalPoint Data'!A:A = 2012,
                  'R"&amp;"aw PhocalPoint Data'!D:D = D427,
                  'Raw PhocalPoint Data'!E:E = E427,
                  'Raw PhocalPoint Data'!F:F = F427
                ) /
                FILTER('Raw PhocalPoint Data'!G:G,
                  'Raw PhocalPoint Data'!A:A ="&amp;" 2011,
                  'Raw PhocalPoint Data'!D:D = D427,
                  'Raw PhocalPoint Data'!E:E = E427,
                  'Raw PhocalPoint Data'!F:F = F427
                ) - 1
              ) / 5
            )
          )
        )
      )
    "&amp;") *
    INDEX('Raw GDP data'!$I$2:$M$100,
      MATCH(D427, 'Raw GDP data'!$H$2:$H$100, 0),
      MATCH(A427, 'Raw GDP data'!$I$1:$M$1, 0)
    )
  )),
  """"
)
"),232304925.164486)</f>
        <v>232304925.16448599</v>
      </c>
      <c r="H427" s="86"/>
      <c r="I427" s="87">
        <f ca="1">IFERROR(__xludf.DUMMYFUNCTION("""COMPUTED_VALUE"""),2015)</f>
        <v>2015</v>
      </c>
      <c r="J427" s="88" t="str">
        <f ca="1">IFERROR(__xludf.DUMMYFUNCTION("""COMPUTED_VALUE"""),"Scandinavia")</f>
        <v>Scandinavia</v>
      </c>
      <c r="K427" s="89">
        <f ca="1">IFERROR(
  SUMIFS(
    'New Backfilled Data'!G:G,
    'New Backfilled Data'!A:A, I427,
    'New Backfilled Data'!D:D, J427,
    'New Backfilled Data'!E:E, "Online"
  ) /
  SUMIFS(
    'New Backfilled Data'!G:G,
    'New Backfilled Data'!A:A, I427,
    'New Backfilled Data'!D:D, J427
  ),
  ""
)</f>
        <v>0.56831532814705432</v>
      </c>
      <c r="L427" s="90"/>
      <c r="M427" s="90"/>
    </row>
    <row r="428" spans="1:13" ht="17" x14ac:dyDescent="0.2">
      <c r="A428" s="37">
        <v>2008</v>
      </c>
      <c r="B428" s="38" t="s">
        <v>66</v>
      </c>
      <c r="C428" s="38" t="s">
        <v>27</v>
      </c>
      <c r="D428" s="38" t="s">
        <v>26</v>
      </c>
      <c r="E428" s="38" t="s">
        <v>67</v>
      </c>
      <c r="F428" s="38" t="s">
        <v>67</v>
      </c>
      <c r="G428" s="79">
        <f ca="1">IFERROR(__xludf.DUMMYFUNCTION("IFERROR(
  IF(A428 = 2008,
    IF(E428 = ""Online"",
      FILTER('Raw PhocalPoint Data'!G:G,
        'Raw PhocalPoint Data'!A:A = 2009,
        'Raw PhocalPoint Data'!D:D = D428,
        'Raw PhocalPoint Data'!E:E = E428,
        'Raw PhocalPoint Data'!F"&amp;":F = F428
      ) /
      (
        FILTER('Raw PhocalPoint Data'!G:G,
          'Raw PhocalPoint Data'!A:A = 2012,
          'Raw PhocalPoint Data'!D:D = D428,
          'Raw PhocalPoint Data'!E:E = E428,
          'Raw PhocalPoint Data'!F:F = F428
     "&amp;"   ) /
        FILTER('Raw PhocalPoint Data'!G:G,
          'Raw PhocalPoint Data'!A:A = 2011,
          'Raw PhocalPoint Data'!D:D = D428,
          'Raw PhocalPoint Data'!E:E = E428,
          'Raw PhocalPoint Data'!F:F = F428
        )
      ),
      F"&amp;"ILTER('Raw PhocalPoint Data'!G:G,
        'Raw PhocalPoint Data'!A:A = 2009,
        'Raw PhocalPoint Data'!D:D = D428,
        'Raw PhocalPoint Data'!E:E = E428,
        'Raw PhocalPoint Data'!F:F = F428
      ) *
      (
        INDEX('Raw GDP data'!$I$"&amp;"2:$M$100,
          MATCH(D428, 'Raw GDP data'!$H$2:$H$100, 0),
          MATCH(2008, 'Raw GDP data'!$I$1:$M$1, 0)
        ) /
        INDEX('Raw GDP data'!$I$2:$M$100,
          MATCH(D428, 'Raw GDP data'!$H$2:$H$100, 0),
          MATCH(2009, 'Raw GDP d"&amp;"ata'!$I$1:$M$1, 0)
        )
      )
    ),
  IF(A428 &lt; 2008,
    (
      FILTER(G:G,
        A:A = 2008,
        D:D = D428,
        E:E = E428,
        F:F = F428
      ) /
      PRODUCT(
        ARRAYFORMULA(
          (
            (
              FIL"&amp;"TER('Raw PhocalPoint Data'!G:G,
                'Raw PhocalPoint Data'!A:A = 2012,
                'Raw PhocalPoint Data'!D:D = D428,
                'Raw PhocalPoint Data'!E:E = E428,
                'Raw PhocalPoint Data'!F:F = F428
              ) /
  "&amp;"            FILTER('Raw PhocalPoint Data'!G:G,
                'Raw PhocalPoint Data'!A:A = 2011,
                'Raw PhocalPoint Data'!D:D = D428,
                'Raw PhocalPoint Data'!E:E = E428,
                'Raw PhocalPoint Data'!F:F = F428
     "&amp;"         ) -
              ROW(INDIRECT(""1:"" &amp; (2008 - A428))) *
              (
                (
                  FILTER('Raw PhocalPoint Data'!G:G,
                    'Raw PhocalPoint Data'!A:A = 2012,
                    'Raw PhocalPoint Data'!D:D"&amp;" = D428,
                    'Raw PhocalPoint Data'!E:E = E428,
                    'Raw PhocalPoint Data'!F:F = F428
                  ) /
                  FILTER('Raw PhocalPoint Data'!G:G,
                    'Raw PhocalPoint Data'!A:A = 2011,
       "&amp;"             'Raw PhocalPoint Data'!D:D = D428,
                    'Raw PhocalPoint Data'!E:E = E428,
                    'Raw PhocalPoint Data'!F:F = F428
                  ) - 1
                ) / 5
              )
            )
          )
        )
"&amp;"      )
    ),
    (
      FILTER('Raw PhocalPoint Data'!G:G,
        'Raw PhocalPoint Data'!A:A = 2009,
        'Raw PhocalPoint Data'!D:D = D428,
        'Raw PhocalPoint Data'!E:E = E428,
        'Raw PhocalPoint Data'!F:F = F428
      ) /
      PRODUC"&amp;"T(
        ARRAYFORMULA(
          (
            FILTER('Raw PhocalPoint Data'!G:G,
              'Raw PhocalPoint Data'!A:A = 2012,
              'Raw PhocalPoint Data'!D:D = D428,
              'Raw PhocalPoint Data'!E:E = E428,
              'Raw Phoca"&amp;"lPoint Data'!F:F = F428
            ) /
            FILTER('Raw PhocalPoint Data'!G:G,
              'Raw PhocalPoint Data'!A:A = 2011,
              'Raw PhocalPoint Data'!D:D = D428,
              'Raw PhocalPoint Data'!E:E = E428,
              'Raw Ph"&amp;"ocalPoint Data'!F:F = F428
            ) -
            (ROW(INDIRECT(""1:"" &amp; (2010 - A428))) - 1) *
            (
              (
                FILTER('Raw PhocalPoint Data'!G:G,
                  'Raw PhocalPoint Data'!A:A = 2012,
                  'R"&amp;"aw PhocalPoint Data'!D:D = D428,
                  'Raw PhocalPoint Data'!E:E = E428,
                  'Raw PhocalPoint Data'!F:F = F428
                ) /
                FILTER('Raw PhocalPoint Data'!G:G,
                  'Raw PhocalPoint Data'!A:A ="&amp;" 2011,
                  'Raw PhocalPoint Data'!D:D = D428,
                  'Raw PhocalPoint Data'!E:E = E428,
                  'Raw PhocalPoint Data'!F:F = F428
                ) - 1
              ) / 5
            )
          )
        )
      )
    "&amp;") *
    INDEX('Raw GDP data'!$I$2:$M$100,
      MATCH(D428, 'Raw GDP data'!$H$2:$H$100, 0),
      MATCH(A428, 'Raw GDP data'!$I$1:$M$1, 0)
    )
  )),
  """"
)
"),40158350544.3276)</f>
        <v>40158350544.327599</v>
      </c>
      <c r="H428" s="80"/>
      <c r="I428" s="81">
        <f ca="1">IFERROR(__xludf.DUMMYFUNCTION("""COMPUTED_VALUE"""),2015)</f>
        <v>2015</v>
      </c>
      <c r="J428" s="82" t="str">
        <f ca="1">IFERROR(__xludf.DUMMYFUNCTION("""COMPUTED_VALUE"""),"Spain")</f>
        <v>Spain</v>
      </c>
      <c r="K428" s="83">
        <f ca="1">IFERROR(
  SUMIFS(
    'New Backfilled Data'!G:G,
    'New Backfilled Data'!A:A, I428,
    'New Backfilled Data'!D:D, J428,
    'New Backfilled Data'!E:E, "Online"
  ) /
  SUMIFS(
    'New Backfilled Data'!G:G,
    'New Backfilled Data'!A:A, I428,
    'New Backfilled Data'!D:D, J428
  ),
  ""
)</f>
        <v>0.41718112202546387</v>
      </c>
      <c r="L428" s="84"/>
      <c r="M428" s="84"/>
    </row>
    <row r="429" spans="1:13" ht="17" x14ac:dyDescent="0.2">
      <c r="A429" s="44">
        <v>2008</v>
      </c>
      <c r="B429" s="45" t="s">
        <v>66</v>
      </c>
      <c r="C429" s="45" t="s">
        <v>27</v>
      </c>
      <c r="D429" s="45" t="s">
        <v>26</v>
      </c>
      <c r="E429" s="45" t="s">
        <v>69</v>
      </c>
      <c r="F429" s="45" t="s">
        <v>71</v>
      </c>
      <c r="G429" s="85">
        <f ca="1">IFERROR(__xludf.DUMMYFUNCTION("IFERROR(
  IF(A429 = 2008,
    IF(E429 = ""Online"",
      FILTER('Raw PhocalPoint Data'!G:G,
        'Raw PhocalPoint Data'!A:A = 2009,
        'Raw PhocalPoint Data'!D:D = D429,
        'Raw PhocalPoint Data'!E:E = E429,
        'Raw PhocalPoint Data'!F"&amp;":F = F429
      ) /
      (
        FILTER('Raw PhocalPoint Data'!G:G,
          'Raw PhocalPoint Data'!A:A = 2012,
          'Raw PhocalPoint Data'!D:D = D429,
          'Raw PhocalPoint Data'!E:E = E429,
          'Raw PhocalPoint Data'!F:F = F429
     "&amp;"   ) /
        FILTER('Raw PhocalPoint Data'!G:G,
          'Raw PhocalPoint Data'!A:A = 2011,
          'Raw PhocalPoint Data'!D:D = D429,
          'Raw PhocalPoint Data'!E:E = E429,
          'Raw PhocalPoint Data'!F:F = F429
        )
      ),
      F"&amp;"ILTER('Raw PhocalPoint Data'!G:G,
        'Raw PhocalPoint Data'!A:A = 2009,
        'Raw PhocalPoint Data'!D:D = D429,
        'Raw PhocalPoint Data'!E:E = E429,
        'Raw PhocalPoint Data'!F:F = F429
      ) *
      (
        INDEX('Raw GDP data'!$I$"&amp;"2:$M$100,
          MATCH(D429, 'Raw GDP data'!$H$2:$H$100, 0),
          MATCH(2008, 'Raw GDP data'!$I$1:$M$1, 0)
        ) /
        INDEX('Raw GDP data'!$I$2:$M$100,
          MATCH(D429, 'Raw GDP data'!$H$2:$H$100, 0),
          MATCH(2009, 'Raw GDP d"&amp;"ata'!$I$1:$M$1, 0)
        )
      )
    ),
  IF(A429 &lt; 2008,
    (
      FILTER(G:G,
        A:A = 2008,
        D:D = D429,
        E:E = E429,
        F:F = F429
      ) /
      PRODUCT(
        ARRAYFORMULA(
          (
            (
              FIL"&amp;"TER('Raw PhocalPoint Data'!G:G,
                'Raw PhocalPoint Data'!A:A = 2012,
                'Raw PhocalPoint Data'!D:D = D429,
                'Raw PhocalPoint Data'!E:E = E429,
                'Raw PhocalPoint Data'!F:F = F429
              ) /
  "&amp;"            FILTER('Raw PhocalPoint Data'!G:G,
                'Raw PhocalPoint Data'!A:A = 2011,
                'Raw PhocalPoint Data'!D:D = D429,
                'Raw PhocalPoint Data'!E:E = E429,
                'Raw PhocalPoint Data'!F:F = F429
     "&amp;"         ) -
              ROW(INDIRECT(""1:"" &amp; (2008 - A429))) *
              (
                (
                  FILTER('Raw PhocalPoint Data'!G:G,
                    'Raw PhocalPoint Data'!A:A = 2012,
                    'Raw PhocalPoint Data'!D:D"&amp;" = D429,
                    'Raw PhocalPoint Data'!E:E = E429,
                    'Raw PhocalPoint Data'!F:F = F429
                  ) /
                  FILTER('Raw PhocalPoint Data'!G:G,
                    'Raw PhocalPoint Data'!A:A = 2011,
       "&amp;"             'Raw PhocalPoint Data'!D:D = D429,
                    'Raw PhocalPoint Data'!E:E = E429,
                    'Raw PhocalPoint Data'!F:F = F429
                  ) - 1
                ) / 5
              )
            )
          )
        )
"&amp;"      )
    ),
    (
      FILTER('Raw PhocalPoint Data'!G:G,
        'Raw PhocalPoint Data'!A:A = 2009,
        'Raw PhocalPoint Data'!D:D = D429,
        'Raw PhocalPoint Data'!E:E = E429,
        'Raw PhocalPoint Data'!F:F = F429
      ) /
      PRODUC"&amp;"T(
        ARRAYFORMULA(
          (
            FILTER('Raw PhocalPoint Data'!G:G,
              'Raw PhocalPoint Data'!A:A = 2012,
              'Raw PhocalPoint Data'!D:D = D429,
              'Raw PhocalPoint Data'!E:E = E429,
              'Raw Phoca"&amp;"lPoint Data'!F:F = F429
            ) /
            FILTER('Raw PhocalPoint Data'!G:G,
              'Raw PhocalPoint Data'!A:A = 2011,
              'Raw PhocalPoint Data'!D:D = D429,
              'Raw PhocalPoint Data'!E:E = E429,
              'Raw Ph"&amp;"ocalPoint Data'!F:F = F429
            ) -
            (ROW(INDIRECT(""1:"" &amp; (2010 - A429))) - 1) *
            (
              (
                FILTER('Raw PhocalPoint Data'!G:G,
                  'Raw PhocalPoint Data'!A:A = 2012,
                  'R"&amp;"aw PhocalPoint Data'!D:D = D429,
                  'Raw PhocalPoint Data'!E:E = E429,
                  'Raw PhocalPoint Data'!F:F = F429
                ) /
                FILTER('Raw PhocalPoint Data'!G:G,
                  'Raw PhocalPoint Data'!A:A ="&amp;" 2011,
                  'Raw PhocalPoint Data'!D:D = D429,
                  'Raw PhocalPoint Data'!E:E = E429,
                  'Raw PhocalPoint Data'!F:F = F429
                ) - 1
              ) / 5
            )
          )
        )
      )
    "&amp;") *
    INDEX('Raw GDP data'!$I$2:$M$100,
      MATCH(D429, 'Raw GDP data'!$H$2:$H$100, 0),
      MATCH(A429, 'Raw GDP data'!$I$1:$M$1, 0)
    )
  )),
  """"
)
"),5780922638.2612)</f>
        <v>5780922638.2612</v>
      </c>
      <c r="H429" s="86"/>
      <c r="I429" s="87">
        <f ca="1">IFERROR(__xludf.DUMMYFUNCTION("""COMPUTED_VALUE"""),2015)</f>
        <v>2015</v>
      </c>
      <c r="J429" s="88" t="str">
        <f ca="1">IFERROR(__xludf.DUMMYFUNCTION("""COMPUTED_VALUE"""),"U.K.")</f>
        <v>U.K.</v>
      </c>
      <c r="K429" s="89">
        <f ca="1">IFERROR(
  SUMIFS(
    'New Backfilled Data'!G:G,
    'New Backfilled Data'!A:A, I429,
    'New Backfilled Data'!D:D, J429,
    'New Backfilled Data'!E:E, "Online"
  ) /
  SUMIFS(
    'New Backfilled Data'!G:G,
    'New Backfilled Data'!A:A, I429,
    'New Backfilled Data'!D:D, J429
  ),
  ""
)</f>
        <v>0.56343013149635457</v>
      </c>
      <c r="L429" s="90"/>
      <c r="M429" s="90"/>
    </row>
    <row r="430" spans="1:13" ht="17" x14ac:dyDescent="0.2">
      <c r="A430" s="37">
        <v>2008</v>
      </c>
      <c r="B430" s="38" t="s">
        <v>66</v>
      </c>
      <c r="C430" s="38" t="s">
        <v>27</v>
      </c>
      <c r="D430" s="38" t="s">
        <v>26</v>
      </c>
      <c r="E430" s="38" t="s">
        <v>69</v>
      </c>
      <c r="F430" s="38" t="s">
        <v>70</v>
      </c>
      <c r="G430" s="79">
        <f ca="1">IFERROR(__xludf.DUMMYFUNCTION("IFERROR(
  IF(A430 = 2008,
    IF(E430 = ""Online"",
      FILTER('Raw PhocalPoint Data'!G:G,
        'Raw PhocalPoint Data'!A:A = 2009,
        'Raw PhocalPoint Data'!D:D = D430,
        'Raw PhocalPoint Data'!E:E = E430,
        'Raw PhocalPoint Data'!F"&amp;":F = F430
      ) /
      (
        FILTER('Raw PhocalPoint Data'!G:G,
          'Raw PhocalPoint Data'!A:A = 2012,
          'Raw PhocalPoint Data'!D:D = D430,
          'Raw PhocalPoint Data'!E:E = E430,
          'Raw PhocalPoint Data'!F:F = F430
     "&amp;"   ) /
        FILTER('Raw PhocalPoint Data'!G:G,
          'Raw PhocalPoint Data'!A:A = 2011,
          'Raw PhocalPoint Data'!D:D = D430,
          'Raw PhocalPoint Data'!E:E = E430,
          'Raw PhocalPoint Data'!F:F = F430
        )
      ),
      F"&amp;"ILTER('Raw PhocalPoint Data'!G:G,
        'Raw PhocalPoint Data'!A:A = 2009,
        'Raw PhocalPoint Data'!D:D = D430,
        'Raw PhocalPoint Data'!E:E = E430,
        'Raw PhocalPoint Data'!F:F = F430
      ) *
      (
        INDEX('Raw GDP data'!$I$"&amp;"2:$M$100,
          MATCH(D430, 'Raw GDP data'!$H$2:$H$100, 0),
          MATCH(2008, 'Raw GDP data'!$I$1:$M$1, 0)
        ) /
        INDEX('Raw GDP data'!$I$2:$M$100,
          MATCH(D430, 'Raw GDP data'!$H$2:$H$100, 0),
          MATCH(2009, 'Raw GDP d"&amp;"ata'!$I$1:$M$1, 0)
        )
      )
    ),
  IF(A430 &lt; 2008,
    (
      FILTER(G:G,
        A:A = 2008,
        D:D = D430,
        E:E = E430,
        F:F = F430
      ) /
      PRODUCT(
        ARRAYFORMULA(
          (
            (
              FIL"&amp;"TER('Raw PhocalPoint Data'!G:G,
                'Raw PhocalPoint Data'!A:A = 2012,
                'Raw PhocalPoint Data'!D:D = D430,
                'Raw PhocalPoint Data'!E:E = E430,
                'Raw PhocalPoint Data'!F:F = F430
              ) /
  "&amp;"            FILTER('Raw PhocalPoint Data'!G:G,
                'Raw PhocalPoint Data'!A:A = 2011,
                'Raw PhocalPoint Data'!D:D = D430,
                'Raw PhocalPoint Data'!E:E = E430,
                'Raw PhocalPoint Data'!F:F = F430
     "&amp;"         ) -
              ROW(INDIRECT(""1:"" &amp; (2008 - A430))) *
              (
                (
                  FILTER('Raw PhocalPoint Data'!G:G,
                    'Raw PhocalPoint Data'!A:A = 2012,
                    'Raw PhocalPoint Data'!D:D"&amp;" = D430,
                    'Raw PhocalPoint Data'!E:E = E430,
                    'Raw PhocalPoint Data'!F:F = F430
                  ) /
                  FILTER('Raw PhocalPoint Data'!G:G,
                    'Raw PhocalPoint Data'!A:A = 2011,
       "&amp;"             'Raw PhocalPoint Data'!D:D = D430,
                    'Raw PhocalPoint Data'!E:E = E430,
                    'Raw PhocalPoint Data'!F:F = F430
                  ) - 1
                ) / 5
              )
            )
          )
        )
"&amp;"      )
    ),
    (
      FILTER('Raw PhocalPoint Data'!G:G,
        'Raw PhocalPoint Data'!A:A = 2009,
        'Raw PhocalPoint Data'!D:D = D430,
        'Raw PhocalPoint Data'!E:E = E430,
        'Raw PhocalPoint Data'!F:F = F430
      ) /
      PRODUC"&amp;"T(
        ARRAYFORMULA(
          (
            FILTER('Raw PhocalPoint Data'!G:G,
              'Raw PhocalPoint Data'!A:A = 2012,
              'Raw PhocalPoint Data'!D:D = D430,
              'Raw PhocalPoint Data'!E:E = E430,
              'Raw Phoca"&amp;"lPoint Data'!F:F = F430
            ) /
            FILTER('Raw PhocalPoint Data'!G:G,
              'Raw PhocalPoint Data'!A:A = 2011,
              'Raw PhocalPoint Data'!D:D = D430,
              'Raw PhocalPoint Data'!E:E = E430,
              'Raw Ph"&amp;"ocalPoint Data'!F:F = F430
            ) -
            (ROW(INDIRECT(""1:"" &amp; (2010 - A430))) - 1) *
            (
              (
                FILTER('Raw PhocalPoint Data'!G:G,
                  'Raw PhocalPoint Data'!A:A = 2012,
                  'R"&amp;"aw PhocalPoint Data'!D:D = D430,
                  'Raw PhocalPoint Data'!E:E = E430,
                  'Raw PhocalPoint Data'!F:F = F430
                ) /
                FILTER('Raw PhocalPoint Data'!G:G,
                  'Raw PhocalPoint Data'!A:A ="&amp;" 2011,
                  'Raw PhocalPoint Data'!D:D = D430,
                  'Raw PhocalPoint Data'!E:E = E430,
                  'Raw PhocalPoint Data'!F:F = F430
                ) - 1
              ) / 5
            )
          )
        )
      )
    "&amp;") *
    INDEX('Raw GDP data'!$I$2:$M$100,
      MATCH(D430, 'Raw GDP data'!$H$2:$H$100, 0),
      MATCH(A430, 'Raw GDP data'!$I$1:$M$1, 0)
    )
  )),
  """"
)
"),8957717693.46739)</f>
        <v>8957717693.4673901</v>
      </c>
      <c r="H430" s="80"/>
      <c r="I430" s="81">
        <f ca="1">IFERROR(__xludf.DUMMYFUNCTION("""COMPUTED_VALUE"""),2015)</f>
        <v>2015</v>
      </c>
      <c r="J430" s="82" t="str">
        <f ca="1">IFERROR(__xludf.DUMMYFUNCTION("""COMPUTED_VALUE"""),"Argentina")</f>
        <v>Argentina</v>
      </c>
      <c r="K430" s="83">
        <f ca="1">IFERROR(
  SUMIFS(
    'New Backfilled Data'!G:G,
    'New Backfilled Data'!A:A, I430,
    'New Backfilled Data'!D:D, J430,
    'New Backfilled Data'!E:E, "Online"
  ) /
  SUMIFS(
    'New Backfilled Data'!G:G,
    'New Backfilled Data'!A:A, I430,
    'New Backfilled Data'!D:D, J430
  ),
  ""
)</f>
        <v>0.21318015052374734</v>
      </c>
      <c r="L430" s="84"/>
      <c r="M430" s="84"/>
    </row>
    <row r="431" spans="1:13" ht="17" x14ac:dyDescent="0.2">
      <c r="A431" s="44">
        <v>2008</v>
      </c>
      <c r="B431" s="45" t="s">
        <v>66</v>
      </c>
      <c r="C431" s="45" t="s">
        <v>27</v>
      </c>
      <c r="D431" s="45" t="s">
        <v>28</v>
      </c>
      <c r="E431" s="45" t="s">
        <v>67</v>
      </c>
      <c r="F431" s="45" t="s">
        <v>67</v>
      </c>
      <c r="G431" s="85">
        <f ca="1">IFERROR(__xludf.DUMMYFUNCTION("IFERROR(
  IF(A431 = 2008,
    IF(E431 = ""Online"",
      FILTER('Raw PhocalPoint Data'!G:G,
        'Raw PhocalPoint Data'!A:A = 2009,
        'Raw PhocalPoint Data'!D:D = D431,
        'Raw PhocalPoint Data'!E:E = E431,
        'Raw PhocalPoint Data'!F"&amp;":F = F431
      ) /
      (
        FILTER('Raw PhocalPoint Data'!G:G,
          'Raw PhocalPoint Data'!A:A = 2012,
          'Raw PhocalPoint Data'!D:D = D431,
          'Raw PhocalPoint Data'!E:E = E431,
          'Raw PhocalPoint Data'!F:F = F431
     "&amp;"   ) /
        FILTER('Raw PhocalPoint Data'!G:G,
          'Raw PhocalPoint Data'!A:A = 2011,
          'Raw PhocalPoint Data'!D:D = D431,
          'Raw PhocalPoint Data'!E:E = E431,
          'Raw PhocalPoint Data'!F:F = F431
        )
      ),
      F"&amp;"ILTER('Raw PhocalPoint Data'!G:G,
        'Raw PhocalPoint Data'!A:A = 2009,
        'Raw PhocalPoint Data'!D:D = D431,
        'Raw PhocalPoint Data'!E:E = E431,
        'Raw PhocalPoint Data'!F:F = F431
      ) *
      (
        INDEX('Raw GDP data'!$I$"&amp;"2:$M$100,
          MATCH(D431, 'Raw GDP data'!$H$2:$H$100, 0),
          MATCH(2008, 'Raw GDP data'!$I$1:$M$1, 0)
        ) /
        INDEX('Raw GDP data'!$I$2:$M$100,
          MATCH(D431, 'Raw GDP data'!$H$2:$H$100, 0),
          MATCH(2009, 'Raw GDP d"&amp;"ata'!$I$1:$M$1, 0)
        )
      )
    ),
  IF(A431 &lt; 2008,
    (
      FILTER(G:G,
        A:A = 2008,
        D:D = D431,
        E:E = E431,
        F:F = F431
      ) /
      PRODUCT(
        ARRAYFORMULA(
          (
            (
              FIL"&amp;"TER('Raw PhocalPoint Data'!G:G,
                'Raw PhocalPoint Data'!A:A = 2012,
                'Raw PhocalPoint Data'!D:D = D431,
                'Raw PhocalPoint Data'!E:E = E431,
                'Raw PhocalPoint Data'!F:F = F431
              ) /
  "&amp;"            FILTER('Raw PhocalPoint Data'!G:G,
                'Raw PhocalPoint Data'!A:A = 2011,
                'Raw PhocalPoint Data'!D:D = D431,
                'Raw PhocalPoint Data'!E:E = E431,
                'Raw PhocalPoint Data'!F:F = F431
     "&amp;"         ) -
              ROW(INDIRECT(""1:"" &amp; (2008 - A431))) *
              (
                (
                  FILTER('Raw PhocalPoint Data'!G:G,
                    'Raw PhocalPoint Data'!A:A = 2012,
                    'Raw PhocalPoint Data'!D:D"&amp;" = D431,
                    'Raw PhocalPoint Data'!E:E = E431,
                    'Raw PhocalPoint Data'!F:F = F431
                  ) /
                  FILTER('Raw PhocalPoint Data'!G:G,
                    'Raw PhocalPoint Data'!A:A = 2011,
       "&amp;"             'Raw PhocalPoint Data'!D:D = D431,
                    'Raw PhocalPoint Data'!E:E = E431,
                    'Raw PhocalPoint Data'!F:F = F431
                  ) - 1
                ) / 5
              )
            )
          )
        )
"&amp;"      )
    ),
    (
      FILTER('Raw PhocalPoint Data'!G:G,
        'Raw PhocalPoint Data'!A:A = 2009,
        'Raw PhocalPoint Data'!D:D = D431,
        'Raw PhocalPoint Data'!E:E = E431,
        'Raw PhocalPoint Data'!F:F = F431
      ) /
      PRODUC"&amp;"T(
        ARRAYFORMULA(
          (
            FILTER('Raw PhocalPoint Data'!G:G,
              'Raw PhocalPoint Data'!A:A = 2012,
              'Raw PhocalPoint Data'!D:D = D431,
              'Raw PhocalPoint Data'!E:E = E431,
              'Raw Phoca"&amp;"lPoint Data'!F:F = F431
            ) /
            FILTER('Raw PhocalPoint Data'!G:G,
              'Raw PhocalPoint Data'!A:A = 2011,
              'Raw PhocalPoint Data'!D:D = D431,
              'Raw PhocalPoint Data'!E:E = E431,
              'Raw Ph"&amp;"ocalPoint Data'!F:F = F431
            ) -
            (ROW(INDIRECT(""1:"" &amp; (2010 - A431))) - 1) *
            (
              (
                FILTER('Raw PhocalPoint Data'!G:G,
                  'Raw PhocalPoint Data'!A:A = 2012,
                  'R"&amp;"aw PhocalPoint Data'!D:D = D431,
                  'Raw PhocalPoint Data'!E:E = E431,
                  'Raw PhocalPoint Data'!F:F = F431
                ) /
                FILTER('Raw PhocalPoint Data'!G:G,
                  'Raw PhocalPoint Data'!A:A ="&amp;" 2011,
                  'Raw PhocalPoint Data'!D:D = D431,
                  'Raw PhocalPoint Data'!E:E = E431,
                  'Raw PhocalPoint Data'!F:F = F431
                ) - 1
              ) / 5
            )
          )
        )
      )
    "&amp;") *
    INDEX('Raw GDP data'!$I$2:$M$100,
      MATCH(D431, 'Raw GDP data'!$H$2:$H$100, 0),
      MATCH(A431, 'Raw GDP data'!$I$1:$M$1, 0)
    )
  )),
  """"
)
"),51807299217.9285)</f>
        <v>51807299217.928497</v>
      </c>
      <c r="H431" s="86"/>
      <c r="I431" s="87">
        <f ca="1">IFERROR(__xludf.DUMMYFUNCTION("""COMPUTED_VALUE"""),2015)</f>
        <v>2015</v>
      </c>
      <c r="J431" s="88" t="str">
        <f ca="1">IFERROR(__xludf.DUMMYFUNCTION("""COMPUTED_VALUE"""),"Brazil")</f>
        <v>Brazil</v>
      </c>
      <c r="K431" s="89">
        <f ca="1">IFERROR(
  SUMIFS(
    'New Backfilled Data'!G:G,
    'New Backfilled Data'!A:A, I431,
    'New Backfilled Data'!D:D, J431,
    'New Backfilled Data'!E:E, "Online"
  ) /
  SUMIFS(
    'New Backfilled Data'!G:G,
    'New Backfilled Data'!A:A, I431,
    'New Backfilled Data'!D:D, J431
  ),
  ""
)</f>
        <v>0.3055650850795178</v>
      </c>
      <c r="L431" s="90"/>
      <c r="M431" s="90"/>
    </row>
    <row r="432" spans="1:13" ht="17" x14ac:dyDescent="0.2">
      <c r="A432" s="37">
        <v>2008</v>
      </c>
      <c r="B432" s="38" t="s">
        <v>66</v>
      </c>
      <c r="C432" s="38" t="s">
        <v>27</v>
      </c>
      <c r="D432" s="38" t="s">
        <v>28</v>
      </c>
      <c r="E432" s="38" t="s">
        <v>69</v>
      </c>
      <c r="F432" s="38" t="s">
        <v>71</v>
      </c>
      <c r="G432" s="79">
        <f ca="1">IFERROR(__xludf.DUMMYFUNCTION("IFERROR(
  IF(A432 = 2008,
    IF(E432 = ""Online"",
      FILTER('Raw PhocalPoint Data'!G:G,
        'Raw PhocalPoint Data'!A:A = 2009,
        'Raw PhocalPoint Data'!D:D = D432,
        'Raw PhocalPoint Data'!E:E = E432,
        'Raw PhocalPoint Data'!F"&amp;":F = F432
      ) /
      (
        FILTER('Raw PhocalPoint Data'!G:G,
          'Raw PhocalPoint Data'!A:A = 2012,
          'Raw PhocalPoint Data'!D:D = D432,
          'Raw PhocalPoint Data'!E:E = E432,
          'Raw PhocalPoint Data'!F:F = F432
     "&amp;"   ) /
        FILTER('Raw PhocalPoint Data'!G:G,
          'Raw PhocalPoint Data'!A:A = 2011,
          'Raw PhocalPoint Data'!D:D = D432,
          'Raw PhocalPoint Data'!E:E = E432,
          'Raw PhocalPoint Data'!F:F = F432
        )
      ),
      F"&amp;"ILTER('Raw PhocalPoint Data'!G:G,
        'Raw PhocalPoint Data'!A:A = 2009,
        'Raw PhocalPoint Data'!D:D = D432,
        'Raw PhocalPoint Data'!E:E = E432,
        'Raw PhocalPoint Data'!F:F = F432
      ) *
      (
        INDEX('Raw GDP data'!$I$"&amp;"2:$M$100,
          MATCH(D432, 'Raw GDP data'!$H$2:$H$100, 0),
          MATCH(2008, 'Raw GDP data'!$I$1:$M$1, 0)
        ) /
        INDEX('Raw GDP data'!$I$2:$M$100,
          MATCH(D432, 'Raw GDP data'!$H$2:$H$100, 0),
          MATCH(2009, 'Raw GDP d"&amp;"ata'!$I$1:$M$1, 0)
        )
      )
    ),
  IF(A432 &lt; 2008,
    (
      FILTER(G:G,
        A:A = 2008,
        D:D = D432,
        E:E = E432,
        F:F = F432
      ) /
      PRODUCT(
        ARRAYFORMULA(
          (
            (
              FIL"&amp;"TER('Raw PhocalPoint Data'!G:G,
                'Raw PhocalPoint Data'!A:A = 2012,
                'Raw PhocalPoint Data'!D:D = D432,
                'Raw PhocalPoint Data'!E:E = E432,
                'Raw PhocalPoint Data'!F:F = F432
              ) /
  "&amp;"            FILTER('Raw PhocalPoint Data'!G:G,
                'Raw PhocalPoint Data'!A:A = 2011,
                'Raw PhocalPoint Data'!D:D = D432,
                'Raw PhocalPoint Data'!E:E = E432,
                'Raw PhocalPoint Data'!F:F = F432
     "&amp;"         ) -
              ROW(INDIRECT(""1:"" &amp; (2008 - A432))) *
              (
                (
                  FILTER('Raw PhocalPoint Data'!G:G,
                    'Raw PhocalPoint Data'!A:A = 2012,
                    'Raw PhocalPoint Data'!D:D"&amp;" = D432,
                    'Raw PhocalPoint Data'!E:E = E432,
                    'Raw PhocalPoint Data'!F:F = F432
                  ) /
                  FILTER('Raw PhocalPoint Data'!G:G,
                    'Raw PhocalPoint Data'!A:A = 2011,
       "&amp;"             'Raw PhocalPoint Data'!D:D = D432,
                    'Raw PhocalPoint Data'!E:E = E432,
                    'Raw PhocalPoint Data'!F:F = F432
                  ) - 1
                ) / 5
              )
            )
          )
        )
"&amp;"      )
    ),
    (
      FILTER('Raw PhocalPoint Data'!G:G,
        'Raw PhocalPoint Data'!A:A = 2009,
        'Raw PhocalPoint Data'!D:D = D432,
        'Raw PhocalPoint Data'!E:E = E432,
        'Raw PhocalPoint Data'!F:F = F432
      ) /
      PRODUC"&amp;"T(
        ARRAYFORMULA(
          (
            FILTER('Raw PhocalPoint Data'!G:G,
              'Raw PhocalPoint Data'!A:A = 2012,
              'Raw PhocalPoint Data'!D:D = D432,
              'Raw PhocalPoint Data'!E:E = E432,
              'Raw Phoca"&amp;"lPoint Data'!F:F = F432
            ) /
            FILTER('Raw PhocalPoint Data'!G:G,
              'Raw PhocalPoint Data'!A:A = 2011,
              'Raw PhocalPoint Data'!D:D = D432,
              'Raw PhocalPoint Data'!E:E = E432,
              'Raw Ph"&amp;"ocalPoint Data'!F:F = F432
            ) -
            (ROW(INDIRECT(""1:"" &amp; (2010 - A432))) - 1) *
            (
              (
                FILTER('Raw PhocalPoint Data'!G:G,
                  'Raw PhocalPoint Data'!A:A = 2012,
                  'R"&amp;"aw PhocalPoint Data'!D:D = D432,
                  'Raw PhocalPoint Data'!E:E = E432,
                  'Raw PhocalPoint Data'!F:F = F432
                ) /
                FILTER('Raw PhocalPoint Data'!G:G,
                  'Raw PhocalPoint Data'!A:A ="&amp;" 2011,
                  'Raw PhocalPoint Data'!D:D = D432,
                  'Raw PhocalPoint Data'!E:E = E432,
                  'Raw PhocalPoint Data'!F:F = F432
                ) - 1
              ) / 5
            )
          )
        )
      )
    "&amp;") *
    INDEX('Raw GDP data'!$I$2:$M$100,
      MATCH(D432, 'Raw GDP data'!$H$2:$H$100, 0),
      MATCH(A432, 'Raw GDP data'!$I$1:$M$1, 0)
    )
  )),
  """"
)
"),8691662917.34988)</f>
        <v>8691662917.3498802</v>
      </c>
      <c r="H432" s="80"/>
      <c r="I432" s="81">
        <f ca="1">IFERROR(__xludf.DUMMYFUNCTION("""COMPUTED_VALUE"""),2015)</f>
        <v>2015</v>
      </c>
      <c r="J432" s="82" t="str">
        <f ca="1">IFERROR(__xludf.DUMMYFUNCTION("""COMPUTED_VALUE"""),"Chile")</f>
        <v>Chile</v>
      </c>
      <c r="K432" s="83">
        <f ca="1">IFERROR(
  SUMIFS(
    'New Backfilled Data'!G:G,
    'New Backfilled Data'!A:A, I432,
    'New Backfilled Data'!D:D, J432,
    'New Backfilled Data'!E:E, "Online"
  ) /
  SUMIFS(
    'New Backfilled Data'!G:G,
    'New Backfilled Data'!A:A, I432,
    'New Backfilled Data'!D:D, J432
  ),
  ""
)</f>
        <v>0.3102924340597582</v>
      </c>
      <c r="L432" s="84"/>
      <c r="M432" s="84"/>
    </row>
    <row r="433" spans="1:13" ht="17" x14ac:dyDescent="0.2">
      <c r="A433" s="44">
        <v>2008</v>
      </c>
      <c r="B433" s="45" t="s">
        <v>66</v>
      </c>
      <c r="C433" s="45" t="s">
        <v>27</v>
      </c>
      <c r="D433" s="45" t="s">
        <v>28</v>
      </c>
      <c r="E433" s="45" t="s">
        <v>69</v>
      </c>
      <c r="F433" s="45" t="s">
        <v>70</v>
      </c>
      <c r="G433" s="85">
        <f ca="1">IFERROR(__xludf.DUMMYFUNCTION("IFERROR(
  IF(A433 = 2008,
    IF(E433 = ""Online"",
      FILTER('Raw PhocalPoint Data'!G:G,
        'Raw PhocalPoint Data'!A:A = 2009,
        'Raw PhocalPoint Data'!D:D = D433,
        'Raw PhocalPoint Data'!E:E = E433,
        'Raw PhocalPoint Data'!F"&amp;":F = F433
      ) /
      (
        FILTER('Raw PhocalPoint Data'!G:G,
          'Raw PhocalPoint Data'!A:A = 2012,
          'Raw PhocalPoint Data'!D:D = D433,
          'Raw PhocalPoint Data'!E:E = E433,
          'Raw PhocalPoint Data'!F:F = F433
     "&amp;"   ) /
        FILTER('Raw PhocalPoint Data'!G:G,
          'Raw PhocalPoint Data'!A:A = 2011,
          'Raw PhocalPoint Data'!D:D = D433,
          'Raw PhocalPoint Data'!E:E = E433,
          'Raw PhocalPoint Data'!F:F = F433
        )
      ),
      F"&amp;"ILTER('Raw PhocalPoint Data'!G:G,
        'Raw PhocalPoint Data'!A:A = 2009,
        'Raw PhocalPoint Data'!D:D = D433,
        'Raw PhocalPoint Data'!E:E = E433,
        'Raw PhocalPoint Data'!F:F = F433
      ) *
      (
        INDEX('Raw GDP data'!$I$"&amp;"2:$M$100,
          MATCH(D433, 'Raw GDP data'!$H$2:$H$100, 0),
          MATCH(2008, 'Raw GDP data'!$I$1:$M$1, 0)
        ) /
        INDEX('Raw GDP data'!$I$2:$M$100,
          MATCH(D433, 'Raw GDP data'!$H$2:$H$100, 0),
          MATCH(2009, 'Raw GDP d"&amp;"ata'!$I$1:$M$1, 0)
        )
      )
    ),
  IF(A433 &lt; 2008,
    (
      FILTER(G:G,
        A:A = 2008,
        D:D = D433,
        E:E = E433,
        F:F = F433
      ) /
      PRODUCT(
        ARRAYFORMULA(
          (
            (
              FIL"&amp;"TER('Raw PhocalPoint Data'!G:G,
                'Raw PhocalPoint Data'!A:A = 2012,
                'Raw PhocalPoint Data'!D:D = D433,
                'Raw PhocalPoint Data'!E:E = E433,
                'Raw PhocalPoint Data'!F:F = F433
              ) /
  "&amp;"            FILTER('Raw PhocalPoint Data'!G:G,
                'Raw PhocalPoint Data'!A:A = 2011,
                'Raw PhocalPoint Data'!D:D = D433,
                'Raw PhocalPoint Data'!E:E = E433,
                'Raw PhocalPoint Data'!F:F = F433
     "&amp;"         ) -
              ROW(INDIRECT(""1:"" &amp; (2008 - A433))) *
              (
                (
                  FILTER('Raw PhocalPoint Data'!G:G,
                    'Raw PhocalPoint Data'!A:A = 2012,
                    'Raw PhocalPoint Data'!D:D"&amp;" = D433,
                    'Raw PhocalPoint Data'!E:E = E433,
                    'Raw PhocalPoint Data'!F:F = F433
                  ) /
                  FILTER('Raw PhocalPoint Data'!G:G,
                    'Raw PhocalPoint Data'!A:A = 2011,
       "&amp;"             'Raw PhocalPoint Data'!D:D = D433,
                    'Raw PhocalPoint Data'!E:E = E433,
                    'Raw PhocalPoint Data'!F:F = F433
                  ) - 1
                ) / 5
              )
            )
          )
        )
"&amp;"      )
    ),
    (
      FILTER('Raw PhocalPoint Data'!G:G,
        'Raw PhocalPoint Data'!A:A = 2009,
        'Raw PhocalPoint Data'!D:D = D433,
        'Raw PhocalPoint Data'!E:E = E433,
        'Raw PhocalPoint Data'!F:F = F433
      ) /
      PRODUC"&amp;"T(
        ARRAYFORMULA(
          (
            FILTER('Raw PhocalPoint Data'!G:G,
              'Raw PhocalPoint Data'!A:A = 2012,
              'Raw PhocalPoint Data'!D:D = D433,
              'Raw PhocalPoint Data'!E:E = E433,
              'Raw Phoca"&amp;"lPoint Data'!F:F = F433
            ) /
            FILTER('Raw PhocalPoint Data'!G:G,
              'Raw PhocalPoint Data'!A:A = 2011,
              'Raw PhocalPoint Data'!D:D = D433,
              'Raw PhocalPoint Data'!E:E = E433,
              'Raw Ph"&amp;"ocalPoint Data'!F:F = F433
            ) -
            (ROW(INDIRECT(""1:"" &amp; (2010 - A433))) - 1) *
            (
              (
                FILTER('Raw PhocalPoint Data'!G:G,
                  'Raw PhocalPoint Data'!A:A = 2012,
                  'R"&amp;"aw PhocalPoint Data'!D:D = D433,
                  'Raw PhocalPoint Data'!E:E = E433,
                  'Raw PhocalPoint Data'!F:F = F433
                ) /
                FILTER('Raw PhocalPoint Data'!G:G,
                  'Raw PhocalPoint Data'!A:A ="&amp;" 2011,
                  'Raw PhocalPoint Data'!D:D = D433,
                  'Raw PhocalPoint Data'!E:E = E433,
                  'Raw PhocalPoint Data'!F:F = F433
                ) - 1
              ) / 5
            )
          )
        )
      )
    "&amp;") *
    INDEX('Raw GDP data'!$I$2:$M$100,
      MATCH(D433, 'Raw GDP data'!$H$2:$H$100, 0),
      MATCH(A433, 'Raw GDP data'!$I$1:$M$1, 0)
    )
  )),
  """"
)
"),9826408402.80576)</f>
        <v>9826408402.8057594</v>
      </c>
      <c r="H433" s="86"/>
      <c r="I433" s="87">
        <f ca="1">IFERROR(__xludf.DUMMYFUNCTION("""COMPUTED_VALUE"""),2015)</f>
        <v>2015</v>
      </c>
      <c r="J433" s="88" t="str">
        <f ca="1">IFERROR(__xludf.DUMMYFUNCTION("""COMPUTED_VALUE"""),"Colombia")</f>
        <v>Colombia</v>
      </c>
      <c r="K433" s="89">
        <f ca="1">IFERROR(
  SUMIFS(
    'New Backfilled Data'!G:G,
    'New Backfilled Data'!A:A, I433,
    'New Backfilled Data'!D:D, J433,
    'New Backfilled Data'!E:E, "Online"
  ) /
  SUMIFS(
    'New Backfilled Data'!G:G,
    'New Backfilled Data'!A:A, I433,
    'New Backfilled Data'!D:D, J433
  ),
  ""
)</f>
        <v>0.27907761862665881</v>
      </c>
      <c r="L433" s="90"/>
      <c r="M433" s="90"/>
    </row>
    <row r="434" spans="1:13" ht="17" x14ac:dyDescent="0.2">
      <c r="A434" s="37">
        <v>2008</v>
      </c>
      <c r="B434" s="38" t="s">
        <v>66</v>
      </c>
      <c r="C434" s="38" t="s">
        <v>27</v>
      </c>
      <c r="D434" s="38" t="s">
        <v>29</v>
      </c>
      <c r="E434" s="38" t="s">
        <v>67</v>
      </c>
      <c r="F434" s="38" t="s">
        <v>67</v>
      </c>
      <c r="G434" s="79">
        <f ca="1">IFERROR(__xludf.DUMMYFUNCTION("IFERROR(
  IF(A434 = 2008,
    IF(E434 = ""Online"",
      FILTER('Raw PhocalPoint Data'!G:G,
        'Raw PhocalPoint Data'!A:A = 2009,
        'Raw PhocalPoint Data'!D:D = D434,
        'Raw PhocalPoint Data'!E:E = E434,
        'Raw PhocalPoint Data'!F"&amp;":F = F434
      ) /
      (
        FILTER('Raw PhocalPoint Data'!G:G,
          'Raw PhocalPoint Data'!A:A = 2012,
          'Raw PhocalPoint Data'!D:D = D434,
          'Raw PhocalPoint Data'!E:E = E434,
          'Raw PhocalPoint Data'!F:F = F434
     "&amp;"   ) /
        FILTER('Raw PhocalPoint Data'!G:G,
          'Raw PhocalPoint Data'!A:A = 2011,
          'Raw PhocalPoint Data'!D:D = D434,
          'Raw PhocalPoint Data'!E:E = E434,
          'Raw PhocalPoint Data'!F:F = F434
        )
      ),
      F"&amp;"ILTER('Raw PhocalPoint Data'!G:G,
        'Raw PhocalPoint Data'!A:A = 2009,
        'Raw PhocalPoint Data'!D:D = D434,
        'Raw PhocalPoint Data'!E:E = E434,
        'Raw PhocalPoint Data'!F:F = F434
      ) *
      (
        INDEX('Raw GDP data'!$I$"&amp;"2:$M$100,
          MATCH(D434, 'Raw GDP data'!$H$2:$H$100, 0),
          MATCH(2008, 'Raw GDP data'!$I$1:$M$1, 0)
        ) /
        INDEX('Raw GDP data'!$I$2:$M$100,
          MATCH(D434, 'Raw GDP data'!$H$2:$H$100, 0),
          MATCH(2009, 'Raw GDP d"&amp;"ata'!$I$1:$M$1, 0)
        )
      )
    ),
  IF(A434 &lt; 2008,
    (
      FILTER(G:G,
        A:A = 2008,
        D:D = D434,
        E:E = E434,
        F:F = F434
      ) /
      PRODUCT(
        ARRAYFORMULA(
          (
            (
              FIL"&amp;"TER('Raw PhocalPoint Data'!G:G,
                'Raw PhocalPoint Data'!A:A = 2012,
                'Raw PhocalPoint Data'!D:D = D434,
                'Raw PhocalPoint Data'!E:E = E434,
                'Raw PhocalPoint Data'!F:F = F434
              ) /
  "&amp;"            FILTER('Raw PhocalPoint Data'!G:G,
                'Raw PhocalPoint Data'!A:A = 2011,
                'Raw PhocalPoint Data'!D:D = D434,
                'Raw PhocalPoint Data'!E:E = E434,
                'Raw PhocalPoint Data'!F:F = F434
     "&amp;"         ) -
              ROW(INDIRECT(""1:"" &amp; (2008 - A434))) *
              (
                (
                  FILTER('Raw PhocalPoint Data'!G:G,
                    'Raw PhocalPoint Data'!A:A = 2012,
                    'Raw PhocalPoint Data'!D:D"&amp;" = D434,
                    'Raw PhocalPoint Data'!E:E = E434,
                    'Raw PhocalPoint Data'!F:F = F434
                  ) /
                  FILTER('Raw PhocalPoint Data'!G:G,
                    'Raw PhocalPoint Data'!A:A = 2011,
       "&amp;"             'Raw PhocalPoint Data'!D:D = D434,
                    'Raw PhocalPoint Data'!E:E = E434,
                    'Raw PhocalPoint Data'!F:F = F434
                  ) - 1
                ) / 5
              )
            )
          )
        )
"&amp;"      )
    ),
    (
      FILTER('Raw PhocalPoint Data'!G:G,
        'Raw PhocalPoint Data'!A:A = 2009,
        'Raw PhocalPoint Data'!D:D = D434,
        'Raw PhocalPoint Data'!E:E = E434,
        'Raw PhocalPoint Data'!F:F = F434
      ) /
      PRODUC"&amp;"T(
        ARRAYFORMULA(
          (
            FILTER('Raw PhocalPoint Data'!G:G,
              'Raw PhocalPoint Data'!A:A = 2012,
              'Raw PhocalPoint Data'!D:D = D434,
              'Raw PhocalPoint Data'!E:E = E434,
              'Raw Phoca"&amp;"lPoint Data'!F:F = F434
            ) /
            FILTER('Raw PhocalPoint Data'!G:G,
              'Raw PhocalPoint Data'!A:A = 2011,
              'Raw PhocalPoint Data'!D:D = D434,
              'Raw PhocalPoint Data'!E:E = E434,
              'Raw Ph"&amp;"ocalPoint Data'!F:F = F434
            ) -
            (ROW(INDIRECT(""1:"" &amp; (2010 - A434))) - 1) *
            (
              (
                FILTER('Raw PhocalPoint Data'!G:G,
                  'Raw PhocalPoint Data'!A:A = 2012,
                  'R"&amp;"aw PhocalPoint Data'!D:D = D434,
                  'Raw PhocalPoint Data'!E:E = E434,
                  'Raw PhocalPoint Data'!F:F = F434
                ) /
                FILTER('Raw PhocalPoint Data'!G:G,
                  'Raw PhocalPoint Data'!A:A ="&amp;" 2011,
                  'Raw PhocalPoint Data'!D:D = D434,
                  'Raw PhocalPoint Data'!E:E = E434,
                  'Raw PhocalPoint Data'!F:F = F434
                ) - 1
              ) / 5
            )
          )
        )
      )
    "&amp;") *
    INDEX('Raw GDP data'!$I$2:$M$100,
      MATCH(D434, 'Raw GDP data'!$H$2:$H$100, 0),
      MATCH(A434, 'Raw GDP data'!$I$1:$M$1, 0)
    )
  )),
  """"
)
"),22250987615.4828)</f>
        <v>22250987615.4828</v>
      </c>
      <c r="H434" s="80"/>
      <c r="I434" s="81">
        <f ca="1">IFERROR(__xludf.DUMMYFUNCTION("""COMPUTED_VALUE"""),2015)</f>
        <v>2015</v>
      </c>
      <c r="J434" s="82" t="str">
        <f ca="1">IFERROR(__xludf.DUMMYFUNCTION("""COMPUTED_VALUE"""),"Mexico")</f>
        <v>Mexico</v>
      </c>
      <c r="K434" s="83">
        <f ca="1">IFERROR(
  SUMIFS(
    'New Backfilled Data'!G:G,
    'New Backfilled Data'!A:A, I434,
    'New Backfilled Data'!D:D, J434,
    'New Backfilled Data'!E:E, "Online"
  ) /
  SUMIFS(
    'New Backfilled Data'!G:G,
    'New Backfilled Data'!A:A, I434,
    'New Backfilled Data'!D:D, J434
  ),
  ""
)</f>
        <v>0.29357108613232102</v>
      </c>
      <c r="L434" s="84"/>
      <c r="M434" s="84"/>
    </row>
    <row r="435" spans="1:13" ht="17" x14ac:dyDescent="0.2">
      <c r="A435" s="44">
        <v>2008</v>
      </c>
      <c r="B435" s="45" t="s">
        <v>66</v>
      </c>
      <c r="C435" s="45" t="s">
        <v>27</v>
      </c>
      <c r="D435" s="45" t="s">
        <v>29</v>
      </c>
      <c r="E435" s="45" t="s">
        <v>69</v>
      </c>
      <c r="F435" s="45" t="s">
        <v>71</v>
      </c>
      <c r="G435" s="85">
        <f ca="1">IFERROR(__xludf.DUMMYFUNCTION("IFERROR(
  IF(A435 = 2008,
    IF(E435 = ""Online"",
      FILTER('Raw PhocalPoint Data'!G:G,
        'Raw PhocalPoint Data'!A:A = 2009,
        'Raw PhocalPoint Data'!D:D = D435,
        'Raw PhocalPoint Data'!E:E = E435,
        'Raw PhocalPoint Data'!F"&amp;":F = F435
      ) /
      (
        FILTER('Raw PhocalPoint Data'!G:G,
          'Raw PhocalPoint Data'!A:A = 2012,
          'Raw PhocalPoint Data'!D:D = D435,
          'Raw PhocalPoint Data'!E:E = E435,
          'Raw PhocalPoint Data'!F:F = F435
     "&amp;"   ) /
        FILTER('Raw PhocalPoint Data'!G:G,
          'Raw PhocalPoint Data'!A:A = 2011,
          'Raw PhocalPoint Data'!D:D = D435,
          'Raw PhocalPoint Data'!E:E = E435,
          'Raw PhocalPoint Data'!F:F = F435
        )
      ),
      F"&amp;"ILTER('Raw PhocalPoint Data'!G:G,
        'Raw PhocalPoint Data'!A:A = 2009,
        'Raw PhocalPoint Data'!D:D = D435,
        'Raw PhocalPoint Data'!E:E = E435,
        'Raw PhocalPoint Data'!F:F = F435
      ) *
      (
        INDEX('Raw GDP data'!$I$"&amp;"2:$M$100,
          MATCH(D435, 'Raw GDP data'!$H$2:$H$100, 0),
          MATCH(2008, 'Raw GDP data'!$I$1:$M$1, 0)
        ) /
        INDEX('Raw GDP data'!$I$2:$M$100,
          MATCH(D435, 'Raw GDP data'!$H$2:$H$100, 0),
          MATCH(2009, 'Raw GDP d"&amp;"ata'!$I$1:$M$1, 0)
        )
      )
    ),
  IF(A435 &lt; 2008,
    (
      FILTER(G:G,
        A:A = 2008,
        D:D = D435,
        E:E = E435,
        F:F = F435
      ) /
      PRODUCT(
        ARRAYFORMULA(
          (
            (
              FIL"&amp;"TER('Raw PhocalPoint Data'!G:G,
                'Raw PhocalPoint Data'!A:A = 2012,
                'Raw PhocalPoint Data'!D:D = D435,
                'Raw PhocalPoint Data'!E:E = E435,
                'Raw PhocalPoint Data'!F:F = F435
              ) /
  "&amp;"            FILTER('Raw PhocalPoint Data'!G:G,
                'Raw PhocalPoint Data'!A:A = 2011,
                'Raw PhocalPoint Data'!D:D = D435,
                'Raw PhocalPoint Data'!E:E = E435,
                'Raw PhocalPoint Data'!F:F = F435
     "&amp;"         ) -
              ROW(INDIRECT(""1:"" &amp; (2008 - A435))) *
              (
                (
                  FILTER('Raw PhocalPoint Data'!G:G,
                    'Raw PhocalPoint Data'!A:A = 2012,
                    'Raw PhocalPoint Data'!D:D"&amp;" = D435,
                    'Raw PhocalPoint Data'!E:E = E435,
                    'Raw PhocalPoint Data'!F:F = F435
                  ) /
                  FILTER('Raw PhocalPoint Data'!G:G,
                    'Raw PhocalPoint Data'!A:A = 2011,
       "&amp;"             'Raw PhocalPoint Data'!D:D = D435,
                    'Raw PhocalPoint Data'!E:E = E435,
                    'Raw PhocalPoint Data'!F:F = F435
                  ) - 1
                ) / 5
              )
            )
          )
        )
"&amp;"      )
    ),
    (
      FILTER('Raw PhocalPoint Data'!G:G,
        'Raw PhocalPoint Data'!A:A = 2009,
        'Raw PhocalPoint Data'!D:D = D435,
        'Raw PhocalPoint Data'!E:E = E435,
        'Raw PhocalPoint Data'!F:F = F435
      ) /
      PRODUC"&amp;"T(
        ARRAYFORMULA(
          (
            FILTER('Raw PhocalPoint Data'!G:G,
              'Raw PhocalPoint Data'!A:A = 2012,
              'Raw PhocalPoint Data'!D:D = D435,
              'Raw PhocalPoint Data'!E:E = E435,
              'Raw Phoca"&amp;"lPoint Data'!F:F = F435
            ) /
            FILTER('Raw PhocalPoint Data'!G:G,
              'Raw PhocalPoint Data'!A:A = 2011,
              'Raw PhocalPoint Data'!D:D = D435,
              'Raw PhocalPoint Data'!E:E = E435,
              'Raw Ph"&amp;"ocalPoint Data'!F:F = F435
            ) -
            (ROW(INDIRECT(""1:"" &amp; (2010 - A435))) - 1) *
            (
              (
                FILTER('Raw PhocalPoint Data'!G:G,
                  'Raw PhocalPoint Data'!A:A = 2012,
                  'R"&amp;"aw PhocalPoint Data'!D:D = D435,
                  'Raw PhocalPoint Data'!E:E = E435,
                  'Raw PhocalPoint Data'!F:F = F435
                ) /
                FILTER('Raw PhocalPoint Data'!G:G,
                  'Raw PhocalPoint Data'!A:A ="&amp;" 2011,
                  'Raw PhocalPoint Data'!D:D = D435,
                  'Raw PhocalPoint Data'!E:E = E435,
                  'Raw PhocalPoint Data'!F:F = F435
                ) - 1
              ) / 5
            )
          )
        )
      )
    "&amp;") *
    INDEX('Raw GDP data'!$I$2:$M$100,
      MATCH(D435, 'Raw GDP data'!$H$2:$H$100, 0),
      MATCH(A435, 'Raw GDP data'!$I$1:$M$1, 0)
    )
  )),
  """"
)
"),2703834287.03107)</f>
        <v>2703834287.0310702</v>
      </c>
      <c r="H435" s="86"/>
      <c r="I435" s="87">
        <f ca="1">IFERROR(__xludf.DUMMYFUNCTION("""COMPUTED_VALUE"""),2015)</f>
        <v>2015</v>
      </c>
      <c r="J435" s="88" t="str">
        <f ca="1">IFERROR(__xludf.DUMMYFUNCTION("""COMPUTED_VALUE"""),"Egypt")</f>
        <v>Egypt</v>
      </c>
      <c r="K435" s="89">
        <f ca="1">IFERROR(
  SUMIFS(
    'New Backfilled Data'!G:G,
    'New Backfilled Data'!A:A, I435,
    'New Backfilled Data'!D:D, J435,
    'New Backfilled Data'!E:E, "Online"
  ) /
  SUMIFS(
    'New Backfilled Data'!G:G,
    'New Backfilled Data'!A:A, I435,
    'New Backfilled Data'!D:D, J435
  ),
  ""
)</f>
        <v>0.11733589214780599</v>
      </c>
      <c r="L435" s="90"/>
      <c r="M435" s="90"/>
    </row>
    <row r="436" spans="1:13" ht="17" x14ac:dyDescent="0.2">
      <c r="A436" s="37">
        <v>2008</v>
      </c>
      <c r="B436" s="38" t="s">
        <v>66</v>
      </c>
      <c r="C436" s="38" t="s">
        <v>27</v>
      </c>
      <c r="D436" s="38" t="s">
        <v>29</v>
      </c>
      <c r="E436" s="38" t="s">
        <v>69</v>
      </c>
      <c r="F436" s="38" t="s">
        <v>70</v>
      </c>
      <c r="G436" s="79">
        <f ca="1">IFERROR(__xludf.DUMMYFUNCTION("IFERROR(
  IF(A436 = 2008,
    IF(E436 = ""Online"",
      FILTER('Raw PhocalPoint Data'!G:G,
        'Raw PhocalPoint Data'!A:A = 2009,
        'Raw PhocalPoint Data'!D:D = D436,
        'Raw PhocalPoint Data'!E:E = E436,
        'Raw PhocalPoint Data'!F"&amp;":F = F436
      ) /
      (
        FILTER('Raw PhocalPoint Data'!G:G,
          'Raw PhocalPoint Data'!A:A = 2012,
          'Raw PhocalPoint Data'!D:D = D436,
          'Raw PhocalPoint Data'!E:E = E436,
          'Raw PhocalPoint Data'!F:F = F436
     "&amp;"   ) /
        FILTER('Raw PhocalPoint Data'!G:G,
          'Raw PhocalPoint Data'!A:A = 2011,
          'Raw PhocalPoint Data'!D:D = D436,
          'Raw PhocalPoint Data'!E:E = E436,
          'Raw PhocalPoint Data'!F:F = F436
        )
      ),
      F"&amp;"ILTER('Raw PhocalPoint Data'!G:G,
        'Raw PhocalPoint Data'!A:A = 2009,
        'Raw PhocalPoint Data'!D:D = D436,
        'Raw PhocalPoint Data'!E:E = E436,
        'Raw PhocalPoint Data'!F:F = F436
      ) *
      (
        INDEX('Raw GDP data'!$I$"&amp;"2:$M$100,
          MATCH(D436, 'Raw GDP data'!$H$2:$H$100, 0),
          MATCH(2008, 'Raw GDP data'!$I$1:$M$1, 0)
        ) /
        INDEX('Raw GDP data'!$I$2:$M$100,
          MATCH(D436, 'Raw GDP data'!$H$2:$H$100, 0),
          MATCH(2009, 'Raw GDP d"&amp;"ata'!$I$1:$M$1, 0)
        )
      )
    ),
  IF(A436 &lt; 2008,
    (
      FILTER(G:G,
        A:A = 2008,
        D:D = D436,
        E:E = E436,
        F:F = F436
      ) /
      PRODUCT(
        ARRAYFORMULA(
          (
            (
              FIL"&amp;"TER('Raw PhocalPoint Data'!G:G,
                'Raw PhocalPoint Data'!A:A = 2012,
                'Raw PhocalPoint Data'!D:D = D436,
                'Raw PhocalPoint Data'!E:E = E436,
                'Raw PhocalPoint Data'!F:F = F436
              ) /
  "&amp;"            FILTER('Raw PhocalPoint Data'!G:G,
                'Raw PhocalPoint Data'!A:A = 2011,
                'Raw PhocalPoint Data'!D:D = D436,
                'Raw PhocalPoint Data'!E:E = E436,
                'Raw PhocalPoint Data'!F:F = F436
     "&amp;"         ) -
              ROW(INDIRECT(""1:"" &amp; (2008 - A436))) *
              (
                (
                  FILTER('Raw PhocalPoint Data'!G:G,
                    'Raw PhocalPoint Data'!A:A = 2012,
                    'Raw PhocalPoint Data'!D:D"&amp;" = D436,
                    'Raw PhocalPoint Data'!E:E = E436,
                    'Raw PhocalPoint Data'!F:F = F436
                  ) /
                  FILTER('Raw PhocalPoint Data'!G:G,
                    'Raw PhocalPoint Data'!A:A = 2011,
       "&amp;"             'Raw PhocalPoint Data'!D:D = D436,
                    'Raw PhocalPoint Data'!E:E = E436,
                    'Raw PhocalPoint Data'!F:F = F436
                  ) - 1
                ) / 5
              )
            )
          )
        )
"&amp;"      )
    ),
    (
      FILTER('Raw PhocalPoint Data'!G:G,
        'Raw PhocalPoint Data'!A:A = 2009,
        'Raw PhocalPoint Data'!D:D = D436,
        'Raw PhocalPoint Data'!E:E = E436,
        'Raw PhocalPoint Data'!F:F = F436
      ) /
      PRODUC"&amp;"T(
        ARRAYFORMULA(
          (
            FILTER('Raw PhocalPoint Data'!G:G,
              'Raw PhocalPoint Data'!A:A = 2012,
              'Raw PhocalPoint Data'!D:D = D436,
              'Raw PhocalPoint Data'!E:E = E436,
              'Raw Phoca"&amp;"lPoint Data'!F:F = F436
            ) /
            FILTER('Raw PhocalPoint Data'!G:G,
              'Raw PhocalPoint Data'!A:A = 2011,
              'Raw PhocalPoint Data'!D:D = D436,
              'Raw PhocalPoint Data'!E:E = E436,
              'Raw Ph"&amp;"ocalPoint Data'!F:F = F436
            ) -
            (ROW(INDIRECT(""1:"" &amp; (2010 - A436))) - 1) *
            (
              (
                FILTER('Raw PhocalPoint Data'!G:G,
                  'Raw PhocalPoint Data'!A:A = 2012,
                  'R"&amp;"aw PhocalPoint Data'!D:D = D436,
                  'Raw PhocalPoint Data'!E:E = E436,
                  'Raw PhocalPoint Data'!F:F = F436
                ) /
                FILTER('Raw PhocalPoint Data'!G:G,
                  'Raw PhocalPoint Data'!A:A ="&amp;" 2011,
                  'Raw PhocalPoint Data'!D:D = D436,
                  'Raw PhocalPoint Data'!E:E = E436,
                  'Raw PhocalPoint Data'!F:F = F436
                ) - 1
              ) / 5
            )
          )
        )
      )
    "&amp;") *
    INDEX('Raw GDP data'!$I$2:$M$100,
      MATCH(D436, 'Raw GDP data'!$H$2:$H$100, 0),
      MATCH(A436, 'Raw GDP data'!$I$1:$M$1, 0)
    )
  )),
  """"
)
"),2531846931.07835)</f>
        <v>2531846931.0783501</v>
      </c>
      <c r="H436" s="80"/>
      <c r="I436" s="81">
        <f ca="1">IFERROR(__xludf.DUMMYFUNCTION("""COMPUTED_VALUE"""),2015)</f>
        <v>2015</v>
      </c>
      <c r="J436" s="82" t="str">
        <f ca="1">IFERROR(__xludf.DUMMYFUNCTION("""COMPUTED_VALUE"""),"Qatar")</f>
        <v>Qatar</v>
      </c>
      <c r="K436" s="83">
        <f ca="1">IFERROR(
  SUMIFS(
    'New Backfilled Data'!G:G,
    'New Backfilled Data'!A:A, I436,
    'New Backfilled Data'!D:D, J436,
    'New Backfilled Data'!E:E, "Online"
  ) /
  SUMIFS(
    'New Backfilled Data'!G:G,
    'New Backfilled Data'!A:A, I436,
    'New Backfilled Data'!D:D, J436
  ),
  ""
)</f>
        <v>0.23115104193160685</v>
      </c>
      <c r="L436" s="84"/>
      <c r="M436" s="84"/>
    </row>
    <row r="437" spans="1:13" ht="34" x14ac:dyDescent="0.2">
      <c r="A437" s="44">
        <v>2008</v>
      </c>
      <c r="B437" s="45" t="s">
        <v>66</v>
      </c>
      <c r="C437" s="45" t="s">
        <v>27</v>
      </c>
      <c r="D437" s="45" t="s">
        <v>30</v>
      </c>
      <c r="E437" s="45" t="s">
        <v>67</v>
      </c>
      <c r="F437" s="45" t="s">
        <v>67</v>
      </c>
      <c r="G437" s="85">
        <f ca="1">IFERROR(__xludf.DUMMYFUNCTION("IFERROR(
  IF(A437 = 2008,
    IF(E437 = ""Online"",
      FILTER('Raw PhocalPoint Data'!G:G,
        'Raw PhocalPoint Data'!A:A = 2009,
        'Raw PhocalPoint Data'!D:D = D437,
        'Raw PhocalPoint Data'!E:E = E437,
        'Raw PhocalPoint Data'!F"&amp;":F = F437
      ) /
      (
        FILTER('Raw PhocalPoint Data'!G:G,
          'Raw PhocalPoint Data'!A:A = 2012,
          'Raw PhocalPoint Data'!D:D = D437,
          'Raw PhocalPoint Data'!E:E = E437,
          'Raw PhocalPoint Data'!F:F = F437
     "&amp;"   ) /
        FILTER('Raw PhocalPoint Data'!G:G,
          'Raw PhocalPoint Data'!A:A = 2011,
          'Raw PhocalPoint Data'!D:D = D437,
          'Raw PhocalPoint Data'!E:E = E437,
          'Raw PhocalPoint Data'!F:F = F437
        )
      ),
      F"&amp;"ILTER('Raw PhocalPoint Data'!G:G,
        'Raw PhocalPoint Data'!A:A = 2009,
        'Raw PhocalPoint Data'!D:D = D437,
        'Raw PhocalPoint Data'!E:E = E437,
        'Raw PhocalPoint Data'!F:F = F437
      ) *
      (
        INDEX('Raw GDP data'!$I$"&amp;"2:$M$100,
          MATCH(D437, 'Raw GDP data'!$H$2:$H$100, 0),
          MATCH(2008, 'Raw GDP data'!$I$1:$M$1, 0)
        ) /
        INDEX('Raw GDP data'!$I$2:$M$100,
          MATCH(D437, 'Raw GDP data'!$H$2:$H$100, 0),
          MATCH(2009, 'Raw GDP d"&amp;"ata'!$I$1:$M$1, 0)
        )
      )
    ),
  IF(A437 &lt; 2008,
    (
      FILTER(G:G,
        A:A = 2008,
        D:D = D437,
        E:E = E437,
        F:F = F437
      ) /
      PRODUCT(
        ARRAYFORMULA(
          (
            (
              FIL"&amp;"TER('Raw PhocalPoint Data'!G:G,
                'Raw PhocalPoint Data'!A:A = 2012,
                'Raw PhocalPoint Data'!D:D = D437,
                'Raw PhocalPoint Data'!E:E = E437,
                'Raw PhocalPoint Data'!F:F = F437
              ) /
  "&amp;"            FILTER('Raw PhocalPoint Data'!G:G,
                'Raw PhocalPoint Data'!A:A = 2011,
                'Raw PhocalPoint Data'!D:D = D437,
                'Raw PhocalPoint Data'!E:E = E437,
                'Raw PhocalPoint Data'!F:F = F437
     "&amp;"         ) -
              ROW(INDIRECT(""1:"" &amp; (2008 - A437))) *
              (
                (
                  FILTER('Raw PhocalPoint Data'!G:G,
                    'Raw PhocalPoint Data'!A:A = 2012,
                    'Raw PhocalPoint Data'!D:D"&amp;" = D437,
                    'Raw PhocalPoint Data'!E:E = E437,
                    'Raw PhocalPoint Data'!F:F = F437
                  ) /
                  FILTER('Raw PhocalPoint Data'!G:G,
                    'Raw PhocalPoint Data'!A:A = 2011,
       "&amp;"             'Raw PhocalPoint Data'!D:D = D437,
                    'Raw PhocalPoint Data'!E:E = E437,
                    'Raw PhocalPoint Data'!F:F = F437
                  ) - 1
                ) / 5
              )
            )
          )
        )
"&amp;"      )
    ),
    (
      FILTER('Raw PhocalPoint Data'!G:G,
        'Raw PhocalPoint Data'!A:A = 2009,
        'Raw PhocalPoint Data'!D:D = D437,
        'Raw PhocalPoint Data'!E:E = E437,
        'Raw PhocalPoint Data'!F:F = F437
      ) /
      PRODUC"&amp;"T(
        ARRAYFORMULA(
          (
            FILTER('Raw PhocalPoint Data'!G:G,
              'Raw PhocalPoint Data'!A:A = 2012,
              'Raw PhocalPoint Data'!D:D = D437,
              'Raw PhocalPoint Data'!E:E = E437,
              'Raw Phoca"&amp;"lPoint Data'!F:F = F437
            ) /
            FILTER('Raw PhocalPoint Data'!G:G,
              'Raw PhocalPoint Data'!A:A = 2011,
              'Raw PhocalPoint Data'!D:D = D437,
              'Raw PhocalPoint Data'!E:E = E437,
              'Raw Ph"&amp;"ocalPoint Data'!F:F = F437
            ) -
            (ROW(INDIRECT(""1:"" &amp; (2010 - A437))) - 1) *
            (
              (
                FILTER('Raw PhocalPoint Data'!G:G,
                  'Raw PhocalPoint Data'!A:A = 2012,
                  'R"&amp;"aw PhocalPoint Data'!D:D = D437,
                  'Raw PhocalPoint Data'!E:E = E437,
                  'Raw PhocalPoint Data'!F:F = F437
                ) /
                FILTER('Raw PhocalPoint Data'!G:G,
                  'Raw PhocalPoint Data'!A:A ="&amp;" 2011,
                  'Raw PhocalPoint Data'!D:D = D437,
                  'Raw PhocalPoint Data'!E:E = E437,
                  'Raw PhocalPoint Data'!F:F = F437
                ) - 1
              ) / 5
            )
          )
        )
      )
    "&amp;") *
    INDEX('Raw GDP data'!$I$2:$M$100,
      MATCH(D437, 'Raw GDP data'!$H$2:$H$100, 0),
      MATCH(A437, 'Raw GDP data'!$I$1:$M$1, 0)
    )
  )),
  """"
)
"),47723108000.24)</f>
        <v>47723108000.239998</v>
      </c>
      <c r="H437" s="86"/>
      <c r="I437" s="87">
        <f ca="1">IFERROR(__xludf.DUMMYFUNCTION("""COMPUTED_VALUE"""),2015)</f>
        <v>2015</v>
      </c>
      <c r="J437" s="88" t="str">
        <f ca="1">IFERROR(__xludf.DUMMYFUNCTION("""COMPUTED_VALUE"""),"Rest of Middle East")</f>
        <v>Rest of Middle East</v>
      </c>
      <c r="K437" s="89">
        <f ca="1">IFERROR(
  SUMIFS(
    'New Backfilled Data'!G:G,
    'New Backfilled Data'!A:A, I437,
    'New Backfilled Data'!D:D, J437,
    'New Backfilled Data'!E:E, "Online"
  ) /
  SUMIFS(
    'New Backfilled Data'!G:G,
    'New Backfilled Data'!A:A, I437,
    'New Backfilled Data'!D:D, J437
  ),
  ""
)</f>
        <v>0.22113578762484795</v>
      </c>
      <c r="L437" s="90"/>
      <c r="M437" s="90"/>
    </row>
    <row r="438" spans="1:13" ht="17" x14ac:dyDescent="0.2">
      <c r="A438" s="37">
        <v>2008</v>
      </c>
      <c r="B438" s="38" t="s">
        <v>66</v>
      </c>
      <c r="C438" s="38" t="s">
        <v>27</v>
      </c>
      <c r="D438" s="38" t="s">
        <v>30</v>
      </c>
      <c r="E438" s="38" t="s">
        <v>69</v>
      </c>
      <c r="F438" s="38" t="s">
        <v>71</v>
      </c>
      <c r="G438" s="79">
        <f ca="1">IFERROR(__xludf.DUMMYFUNCTION("IFERROR(
  IF(A438 = 2008,
    IF(E438 = ""Online"",
      FILTER('Raw PhocalPoint Data'!G:G,
        'Raw PhocalPoint Data'!A:A = 2009,
        'Raw PhocalPoint Data'!D:D = D438,
        'Raw PhocalPoint Data'!E:E = E438,
        'Raw PhocalPoint Data'!F"&amp;":F = F438
      ) /
      (
        FILTER('Raw PhocalPoint Data'!G:G,
          'Raw PhocalPoint Data'!A:A = 2012,
          'Raw PhocalPoint Data'!D:D = D438,
          'Raw PhocalPoint Data'!E:E = E438,
          'Raw PhocalPoint Data'!F:F = F438
     "&amp;"   ) /
        FILTER('Raw PhocalPoint Data'!G:G,
          'Raw PhocalPoint Data'!A:A = 2011,
          'Raw PhocalPoint Data'!D:D = D438,
          'Raw PhocalPoint Data'!E:E = E438,
          'Raw PhocalPoint Data'!F:F = F438
        )
      ),
      F"&amp;"ILTER('Raw PhocalPoint Data'!G:G,
        'Raw PhocalPoint Data'!A:A = 2009,
        'Raw PhocalPoint Data'!D:D = D438,
        'Raw PhocalPoint Data'!E:E = E438,
        'Raw PhocalPoint Data'!F:F = F438
      ) *
      (
        INDEX('Raw GDP data'!$I$"&amp;"2:$M$100,
          MATCH(D438, 'Raw GDP data'!$H$2:$H$100, 0),
          MATCH(2008, 'Raw GDP data'!$I$1:$M$1, 0)
        ) /
        INDEX('Raw GDP data'!$I$2:$M$100,
          MATCH(D438, 'Raw GDP data'!$H$2:$H$100, 0),
          MATCH(2009, 'Raw GDP d"&amp;"ata'!$I$1:$M$1, 0)
        )
      )
    ),
  IF(A438 &lt; 2008,
    (
      FILTER(G:G,
        A:A = 2008,
        D:D = D438,
        E:E = E438,
        F:F = F438
      ) /
      PRODUCT(
        ARRAYFORMULA(
          (
            (
              FIL"&amp;"TER('Raw PhocalPoint Data'!G:G,
                'Raw PhocalPoint Data'!A:A = 2012,
                'Raw PhocalPoint Data'!D:D = D438,
                'Raw PhocalPoint Data'!E:E = E438,
                'Raw PhocalPoint Data'!F:F = F438
              ) /
  "&amp;"            FILTER('Raw PhocalPoint Data'!G:G,
                'Raw PhocalPoint Data'!A:A = 2011,
                'Raw PhocalPoint Data'!D:D = D438,
                'Raw PhocalPoint Data'!E:E = E438,
                'Raw PhocalPoint Data'!F:F = F438
     "&amp;"         ) -
              ROW(INDIRECT(""1:"" &amp; (2008 - A438))) *
              (
                (
                  FILTER('Raw PhocalPoint Data'!G:G,
                    'Raw PhocalPoint Data'!A:A = 2012,
                    'Raw PhocalPoint Data'!D:D"&amp;" = D438,
                    'Raw PhocalPoint Data'!E:E = E438,
                    'Raw PhocalPoint Data'!F:F = F438
                  ) /
                  FILTER('Raw PhocalPoint Data'!G:G,
                    'Raw PhocalPoint Data'!A:A = 2011,
       "&amp;"             'Raw PhocalPoint Data'!D:D = D438,
                    'Raw PhocalPoint Data'!E:E = E438,
                    'Raw PhocalPoint Data'!F:F = F438
                  ) - 1
                ) / 5
              )
            )
          )
        )
"&amp;"      )
    ),
    (
      FILTER('Raw PhocalPoint Data'!G:G,
        'Raw PhocalPoint Data'!A:A = 2009,
        'Raw PhocalPoint Data'!D:D = D438,
        'Raw PhocalPoint Data'!E:E = E438,
        'Raw PhocalPoint Data'!F:F = F438
      ) /
      PRODUC"&amp;"T(
        ARRAYFORMULA(
          (
            FILTER('Raw PhocalPoint Data'!G:G,
              'Raw PhocalPoint Data'!A:A = 2012,
              'Raw PhocalPoint Data'!D:D = D438,
              'Raw PhocalPoint Data'!E:E = E438,
              'Raw Phoca"&amp;"lPoint Data'!F:F = F438
            ) /
            FILTER('Raw PhocalPoint Data'!G:G,
              'Raw PhocalPoint Data'!A:A = 2011,
              'Raw PhocalPoint Data'!D:D = D438,
              'Raw PhocalPoint Data'!E:E = E438,
              'Raw Ph"&amp;"ocalPoint Data'!F:F = F438
            ) -
            (ROW(INDIRECT(""1:"" &amp; (2010 - A438))) - 1) *
            (
              (
                FILTER('Raw PhocalPoint Data'!G:G,
                  'Raw PhocalPoint Data'!A:A = 2012,
                  'R"&amp;"aw PhocalPoint Data'!D:D = D438,
                  'Raw PhocalPoint Data'!E:E = E438,
                  'Raw PhocalPoint Data'!F:F = F438
                ) /
                FILTER('Raw PhocalPoint Data'!G:G,
                  'Raw PhocalPoint Data'!A:A ="&amp;" 2011,
                  'Raw PhocalPoint Data'!D:D = D438,
                  'Raw PhocalPoint Data'!E:E = E438,
                  'Raw PhocalPoint Data'!F:F = F438
                ) - 1
              ) / 5
            )
          )
        )
      )
    "&amp;") *
    INDEX('Raw GDP data'!$I$2:$M$100,
      MATCH(D438, 'Raw GDP data'!$H$2:$H$100, 0),
      MATCH(A438, 'Raw GDP data'!$I$1:$M$1, 0)
    )
  )),
  """"
)
"),4468942524.95086)</f>
        <v>4468942524.95086</v>
      </c>
      <c r="H438" s="80"/>
      <c r="I438" s="81">
        <f ca="1">IFERROR(__xludf.DUMMYFUNCTION("""COMPUTED_VALUE"""),2015)</f>
        <v>2015</v>
      </c>
      <c r="J438" s="82" t="str">
        <f ca="1">IFERROR(__xludf.DUMMYFUNCTION("""COMPUTED_VALUE"""),"Saudi Arabia")</f>
        <v>Saudi Arabia</v>
      </c>
      <c r="K438" s="83">
        <f ca="1">IFERROR(
  SUMIFS(
    'New Backfilled Data'!G:G,
    'New Backfilled Data'!A:A, I438,
    'New Backfilled Data'!D:D, J438,
    'New Backfilled Data'!E:E, "Online"
  ) /
  SUMIFS(
    'New Backfilled Data'!G:G,
    'New Backfilled Data'!A:A, I438,
    'New Backfilled Data'!D:D, J438
  ),
  ""
)</f>
        <v>0.23349188576164825</v>
      </c>
      <c r="L438" s="84"/>
      <c r="M438" s="84"/>
    </row>
    <row r="439" spans="1:13" ht="17" x14ac:dyDescent="0.2">
      <c r="A439" s="44">
        <v>2008</v>
      </c>
      <c r="B439" s="45" t="s">
        <v>66</v>
      </c>
      <c r="C439" s="45" t="s">
        <v>27</v>
      </c>
      <c r="D439" s="45" t="s">
        <v>30</v>
      </c>
      <c r="E439" s="45" t="s">
        <v>69</v>
      </c>
      <c r="F439" s="45" t="s">
        <v>70</v>
      </c>
      <c r="G439" s="85">
        <f ca="1">IFERROR(__xludf.DUMMYFUNCTION("IFERROR(
  IF(A439 = 2008,
    IF(E439 = ""Online"",
      FILTER('Raw PhocalPoint Data'!G:G,
        'Raw PhocalPoint Data'!A:A = 2009,
        'Raw PhocalPoint Data'!D:D = D439,
        'Raw PhocalPoint Data'!E:E = E439,
        'Raw PhocalPoint Data'!F"&amp;":F = F439
      ) /
      (
        FILTER('Raw PhocalPoint Data'!G:G,
          'Raw PhocalPoint Data'!A:A = 2012,
          'Raw PhocalPoint Data'!D:D = D439,
          'Raw PhocalPoint Data'!E:E = E439,
          'Raw PhocalPoint Data'!F:F = F439
     "&amp;"   ) /
        FILTER('Raw PhocalPoint Data'!G:G,
          'Raw PhocalPoint Data'!A:A = 2011,
          'Raw PhocalPoint Data'!D:D = D439,
          'Raw PhocalPoint Data'!E:E = E439,
          'Raw PhocalPoint Data'!F:F = F439
        )
      ),
      F"&amp;"ILTER('Raw PhocalPoint Data'!G:G,
        'Raw PhocalPoint Data'!A:A = 2009,
        'Raw PhocalPoint Data'!D:D = D439,
        'Raw PhocalPoint Data'!E:E = E439,
        'Raw PhocalPoint Data'!F:F = F439
      ) *
      (
        INDEX('Raw GDP data'!$I$"&amp;"2:$M$100,
          MATCH(D439, 'Raw GDP data'!$H$2:$H$100, 0),
          MATCH(2008, 'Raw GDP data'!$I$1:$M$1, 0)
        ) /
        INDEX('Raw GDP data'!$I$2:$M$100,
          MATCH(D439, 'Raw GDP data'!$H$2:$H$100, 0),
          MATCH(2009, 'Raw GDP d"&amp;"ata'!$I$1:$M$1, 0)
        )
      )
    ),
  IF(A439 &lt; 2008,
    (
      FILTER(G:G,
        A:A = 2008,
        D:D = D439,
        E:E = E439,
        F:F = F439
      ) /
      PRODUCT(
        ARRAYFORMULA(
          (
            (
              FIL"&amp;"TER('Raw PhocalPoint Data'!G:G,
                'Raw PhocalPoint Data'!A:A = 2012,
                'Raw PhocalPoint Data'!D:D = D439,
                'Raw PhocalPoint Data'!E:E = E439,
                'Raw PhocalPoint Data'!F:F = F439
              ) /
  "&amp;"            FILTER('Raw PhocalPoint Data'!G:G,
                'Raw PhocalPoint Data'!A:A = 2011,
                'Raw PhocalPoint Data'!D:D = D439,
                'Raw PhocalPoint Data'!E:E = E439,
                'Raw PhocalPoint Data'!F:F = F439
     "&amp;"         ) -
              ROW(INDIRECT(""1:"" &amp; (2008 - A439))) *
              (
                (
                  FILTER('Raw PhocalPoint Data'!G:G,
                    'Raw PhocalPoint Data'!A:A = 2012,
                    'Raw PhocalPoint Data'!D:D"&amp;" = D439,
                    'Raw PhocalPoint Data'!E:E = E439,
                    'Raw PhocalPoint Data'!F:F = F439
                  ) /
                  FILTER('Raw PhocalPoint Data'!G:G,
                    'Raw PhocalPoint Data'!A:A = 2011,
       "&amp;"             'Raw PhocalPoint Data'!D:D = D439,
                    'Raw PhocalPoint Data'!E:E = E439,
                    'Raw PhocalPoint Data'!F:F = F439
                  ) - 1
                ) / 5
              )
            )
          )
        )
"&amp;"      )
    ),
    (
      FILTER('Raw PhocalPoint Data'!G:G,
        'Raw PhocalPoint Data'!A:A = 2009,
        'Raw PhocalPoint Data'!D:D = D439,
        'Raw PhocalPoint Data'!E:E = E439,
        'Raw PhocalPoint Data'!F:F = F439
      ) /
      PRODUC"&amp;"T(
        ARRAYFORMULA(
          (
            FILTER('Raw PhocalPoint Data'!G:G,
              'Raw PhocalPoint Data'!A:A = 2012,
              'Raw PhocalPoint Data'!D:D = D439,
              'Raw PhocalPoint Data'!E:E = E439,
              'Raw Phoca"&amp;"lPoint Data'!F:F = F439
            ) /
            FILTER('Raw PhocalPoint Data'!G:G,
              'Raw PhocalPoint Data'!A:A = 2011,
              'Raw PhocalPoint Data'!D:D = D439,
              'Raw PhocalPoint Data'!E:E = E439,
              'Raw Ph"&amp;"ocalPoint Data'!F:F = F439
            ) -
            (ROW(INDIRECT(""1:"" &amp; (2010 - A439))) - 1) *
            (
              (
                FILTER('Raw PhocalPoint Data'!G:G,
                  'Raw PhocalPoint Data'!A:A = 2012,
                  'R"&amp;"aw PhocalPoint Data'!D:D = D439,
                  'Raw PhocalPoint Data'!E:E = E439,
                  'Raw PhocalPoint Data'!F:F = F439
                ) /
                FILTER('Raw PhocalPoint Data'!G:G,
                  'Raw PhocalPoint Data'!A:A ="&amp;" 2011,
                  'Raw PhocalPoint Data'!D:D = D439,
                  'Raw PhocalPoint Data'!E:E = E439,
                  'Raw PhocalPoint Data'!F:F = F439
                ) - 1
              ) / 5
            )
          )
        )
      )
    "&amp;") *
    INDEX('Raw GDP data'!$I$2:$M$100,
      MATCH(D439, 'Raw GDP data'!$H$2:$H$100, 0),
      MATCH(A439, 'Raw GDP data'!$I$1:$M$1, 0)
    )
  )),
  """"
)
"),8444671011.24145)</f>
        <v>8444671011.2414503</v>
      </c>
      <c r="H439" s="86"/>
      <c r="I439" s="87">
        <f ca="1">IFERROR(__xludf.DUMMYFUNCTION("""COMPUTED_VALUE"""),2015)</f>
        <v>2015</v>
      </c>
      <c r="J439" s="88" t="str">
        <f ca="1">IFERROR(__xludf.DUMMYFUNCTION("""COMPUTED_VALUE"""),"U.A.E.")</f>
        <v>U.A.E.</v>
      </c>
      <c r="K439" s="89">
        <f ca="1">IFERROR(
  SUMIFS(
    'New Backfilled Data'!G:G,
    'New Backfilled Data'!A:A, I439,
    'New Backfilled Data'!D:D, J439,
    'New Backfilled Data'!E:E, "Online"
  ) /
  SUMIFS(
    'New Backfilled Data'!G:G,
    'New Backfilled Data'!A:A, I439,
    'New Backfilled Data'!D:D, J439
  ),
  ""
)</f>
        <v>0.29719408386084889</v>
      </c>
      <c r="L439" s="90"/>
      <c r="M439" s="90"/>
    </row>
    <row r="440" spans="1:13" ht="17" x14ac:dyDescent="0.2">
      <c r="A440" s="37">
        <v>2008</v>
      </c>
      <c r="B440" s="38" t="s">
        <v>66</v>
      </c>
      <c r="C440" s="38" t="s">
        <v>27</v>
      </c>
      <c r="D440" s="38" t="s">
        <v>31</v>
      </c>
      <c r="E440" s="38" t="s">
        <v>67</v>
      </c>
      <c r="F440" s="38" t="s">
        <v>67</v>
      </c>
      <c r="G440" s="79">
        <f ca="1">IFERROR(__xludf.DUMMYFUNCTION("IFERROR(
  IF(A440 = 2008,
    IF(E440 = ""Online"",
      FILTER('Raw PhocalPoint Data'!G:G,
        'Raw PhocalPoint Data'!A:A = 2009,
        'Raw PhocalPoint Data'!D:D = D440,
        'Raw PhocalPoint Data'!E:E = E440,
        'Raw PhocalPoint Data'!F"&amp;":F = F440
      ) /
      (
        FILTER('Raw PhocalPoint Data'!G:G,
          'Raw PhocalPoint Data'!A:A = 2012,
          'Raw PhocalPoint Data'!D:D = D440,
          'Raw PhocalPoint Data'!E:E = E440,
          'Raw PhocalPoint Data'!F:F = F440
     "&amp;"   ) /
        FILTER('Raw PhocalPoint Data'!G:G,
          'Raw PhocalPoint Data'!A:A = 2011,
          'Raw PhocalPoint Data'!D:D = D440,
          'Raw PhocalPoint Data'!E:E = E440,
          'Raw PhocalPoint Data'!F:F = F440
        )
      ),
      F"&amp;"ILTER('Raw PhocalPoint Data'!G:G,
        'Raw PhocalPoint Data'!A:A = 2009,
        'Raw PhocalPoint Data'!D:D = D440,
        'Raw PhocalPoint Data'!E:E = E440,
        'Raw PhocalPoint Data'!F:F = F440
      ) *
      (
        INDEX('Raw GDP data'!$I$"&amp;"2:$M$100,
          MATCH(D440, 'Raw GDP data'!$H$2:$H$100, 0),
          MATCH(2008, 'Raw GDP data'!$I$1:$M$1, 0)
        ) /
        INDEX('Raw GDP data'!$I$2:$M$100,
          MATCH(D440, 'Raw GDP data'!$H$2:$H$100, 0),
          MATCH(2009, 'Raw GDP d"&amp;"ata'!$I$1:$M$1, 0)
        )
      )
    ),
  IF(A440 &lt; 2008,
    (
      FILTER(G:G,
        A:A = 2008,
        D:D = D440,
        E:E = E440,
        F:F = F440
      ) /
      PRODUCT(
        ARRAYFORMULA(
          (
            (
              FIL"&amp;"TER('Raw PhocalPoint Data'!G:G,
                'Raw PhocalPoint Data'!A:A = 2012,
                'Raw PhocalPoint Data'!D:D = D440,
                'Raw PhocalPoint Data'!E:E = E440,
                'Raw PhocalPoint Data'!F:F = F440
              ) /
  "&amp;"            FILTER('Raw PhocalPoint Data'!G:G,
                'Raw PhocalPoint Data'!A:A = 2011,
                'Raw PhocalPoint Data'!D:D = D440,
                'Raw PhocalPoint Data'!E:E = E440,
                'Raw PhocalPoint Data'!F:F = F440
     "&amp;"         ) -
              ROW(INDIRECT(""1:"" &amp; (2008 - A440))) *
              (
                (
                  FILTER('Raw PhocalPoint Data'!G:G,
                    'Raw PhocalPoint Data'!A:A = 2012,
                    'Raw PhocalPoint Data'!D:D"&amp;" = D440,
                    'Raw PhocalPoint Data'!E:E = E440,
                    'Raw PhocalPoint Data'!F:F = F440
                  ) /
                  FILTER('Raw PhocalPoint Data'!G:G,
                    'Raw PhocalPoint Data'!A:A = 2011,
       "&amp;"             'Raw PhocalPoint Data'!D:D = D440,
                    'Raw PhocalPoint Data'!E:E = E440,
                    'Raw PhocalPoint Data'!F:F = F440
                  ) - 1
                ) / 5
              )
            )
          )
        )
"&amp;"      )
    ),
    (
      FILTER('Raw PhocalPoint Data'!G:G,
        'Raw PhocalPoint Data'!A:A = 2009,
        'Raw PhocalPoint Data'!D:D = D440,
        'Raw PhocalPoint Data'!E:E = E440,
        'Raw PhocalPoint Data'!F:F = F440
      ) /
      PRODUC"&amp;"T(
        ARRAYFORMULA(
          (
            FILTER('Raw PhocalPoint Data'!G:G,
              'Raw PhocalPoint Data'!A:A = 2012,
              'Raw PhocalPoint Data'!D:D = D440,
              'Raw PhocalPoint Data'!E:E = E440,
              'Raw Phoca"&amp;"lPoint Data'!F:F = F440
            ) /
            FILTER('Raw PhocalPoint Data'!G:G,
              'Raw PhocalPoint Data'!A:A = 2011,
              'Raw PhocalPoint Data'!D:D = D440,
              'Raw PhocalPoint Data'!E:E = E440,
              'Raw Ph"&amp;"ocalPoint Data'!F:F = F440
            ) -
            (ROW(INDIRECT(""1:"" &amp; (2010 - A440))) - 1) *
            (
              (
                FILTER('Raw PhocalPoint Data'!G:G,
                  'Raw PhocalPoint Data'!A:A = 2012,
                  'R"&amp;"aw PhocalPoint Data'!D:D = D440,
                  'Raw PhocalPoint Data'!E:E = E440,
                  'Raw PhocalPoint Data'!F:F = F440
                ) /
                FILTER('Raw PhocalPoint Data'!G:G,
                  'Raw PhocalPoint Data'!A:A ="&amp;" 2011,
                  'Raw PhocalPoint Data'!D:D = D440,
                  'Raw PhocalPoint Data'!E:E = E440,
                  'Raw PhocalPoint Data'!F:F = F440
                ) - 1
              ) / 5
            )
          )
        )
      )
    "&amp;") *
    INDEX('Raw GDP data'!$I$2:$M$100,
      MATCH(D440, 'Raw GDP data'!$H$2:$H$100, 0),
      MATCH(A440, 'Raw GDP data'!$I$1:$M$1, 0)
    )
  )),
  """"
)
"),13032412002.0672)</f>
        <v>13032412002.0672</v>
      </c>
      <c r="H440" s="80"/>
      <c r="I440" s="81">
        <f ca="1">IFERROR(__xludf.DUMMYFUNCTION("""COMPUTED_VALUE"""),2015)</f>
        <v>2015</v>
      </c>
      <c r="J440" s="82" t="str">
        <f ca="1">IFERROR(__xludf.DUMMYFUNCTION("""COMPUTED_VALUE"""),"Canada")</f>
        <v>Canada</v>
      </c>
      <c r="K440" s="83">
        <f ca="1">IFERROR(
  SUMIFS(
    'New Backfilled Data'!G:G,
    'New Backfilled Data'!A:A, I440,
    'New Backfilled Data'!D:D, J440,
    'New Backfilled Data'!E:E, "Online"
  ) /
  SUMIFS(
    'New Backfilled Data'!G:G,
    'New Backfilled Data'!A:A, I440,
    'New Backfilled Data'!D:D, J440
  ),
  ""
)</f>
        <v>0.3815659456340843</v>
      </c>
      <c r="L440" s="84"/>
      <c r="M440" s="84"/>
    </row>
    <row r="441" spans="1:13" ht="17" x14ac:dyDescent="0.2">
      <c r="A441" s="44">
        <v>2008</v>
      </c>
      <c r="B441" s="45" t="s">
        <v>66</v>
      </c>
      <c r="C441" s="45" t="s">
        <v>27</v>
      </c>
      <c r="D441" s="45" t="s">
        <v>31</v>
      </c>
      <c r="E441" s="45" t="s">
        <v>69</v>
      </c>
      <c r="F441" s="45" t="s">
        <v>71</v>
      </c>
      <c r="G441" s="85">
        <f ca="1">IFERROR(__xludf.DUMMYFUNCTION("IFERROR(
  IF(A441 = 2008,
    IF(E441 = ""Online"",
      FILTER('Raw PhocalPoint Data'!G:G,
        'Raw PhocalPoint Data'!A:A = 2009,
        'Raw PhocalPoint Data'!D:D = D441,
        'Raw PhocalPoint Data'!E:E = E441,
        'Raw PhocalPoint Data'!F"&amp;":F = F441
      ) /
      (
        FILTER('Raw PhocalPoint Data'!G:G,
          'Raw PhocalPoint Data'!A:A = 2012,
          'Raw PhocalPoint Data'!D:D = D441,
          'Raw PhocalPoint Data'!E:E = E441,
          'Raw PhocalPoint Data'!F:F = F441
     "&amp;"   ) /
        FILTER('Raw PhocalPoint Data'!G:G,
          'Raw PhocalPoint Data'!A:A = 2011,
          'Raw PhocalPoint Data'!D:D = D441,
          'Raw PhocalPoint Data'!E:E = E441,
          'Raw PhocalPoint Data'!F:F = F441
        )
      ),
      F"&amp;"ILTER('Raw PhocalPoint Data'!G:G,
        'Raw PhocalPoint Data'!A:A = 2009,
        'Raw PhocalPoint Data'!D:D = D441,
        'Raw PhocalPoint Data'!E:E = E441,
        'Raw PhocalPoint Data'!F:F = F441
      ) *
      (
        INDEX('Raw GDP data'!$I$"&amp;"2:$M$100,
          MATCH(D441, 'Raw GDP data'!$H$2:$H$100, 0),
          MATCH(2008, 'Raw GDP data'!$I$1:$M$1, 0)
        ) /
        INDEX('Raw GDP data'!$I$2:$M$100,
          MATCH(D441, 'Raw GDP data'!$H$2:$H$100, 0),
          MATCH(2009, 'Raw GDP d"&amp;"ata'!$I$1:$M$1, 0)
        )
      )
    ),
  IF(A441 &lt; 2008,
    (
      FILTER(G:G,
        A:A = 2008,
        D:D = D441,
        E:E = E441,
        F:F = F441
      ) /
      PRODUCT(
        ARRAYFORMULA(
          (
            (
              FIL"&amp;"TER('Raw PhocalPoint Data'!G:G,
                'Raw PhocalPoint Data'!A:A = 2012,
                'Raw PhocalPoint Data'!D:D = D441,
                'Raw PhocalPoint Data'!E:E = E441,
                'Raw PhocalPoint Data'!F:F = F441
              ) /
  "&amp;"            FILTER('Raw PhocalPoint Data'!G:G,
                'Raw PhocalPoint Data'!A:A = 2011,
                'Raw PhocalPoint Data'!D:D = D441,
                'Raw PhocalPoint Data'!E:E = E441,
                'Raw PhocalPoint Data'!F:F = F441
     "&amp;"         ) -
              ROW(INDIRECT(""1:"" &amp; (2008 - A441))) *
              (
                (
                  FILTER('Raw PhocalPoint Data'!G:G,
                    'Raw PhocalPoint Data'!A:A = 2012,
                    'Raw PhocalPoint Data'!D:D"&amp;" = D441,
                    'Raw PhocalPoint Data'!E:E = E441,
                    'Raw PhocalPoint Data'!F:F = F441
                  ) /
                  FILTER('Raw PhocalPoint Data'!G:G,
                    'Raw PhocalPoint Data'!A:A = 2011,
       "&amp;"             'Raw PhocalPoint Data'!D:D = D441,
                    'Raw PhocalPoint Data'!E:E = E441,
                    'Raw PhocalPoint Data'!F:F = F441
                  ) - 1
                ) / 5
              )
            )
          )
        )
"&amp;"      )
    ),
    (
      FILTER('Raw PhocalPoint Data'!G:G,
        'Raw PhocalPoint Data'!A:A = 2009,
        'Raw PhocalPoint Data'!D:D = D441,
        'Raw PhocalPoint Data'!E:E = E441,
        'Raw PhocalPoint Data'!F:F = F441
      ) /
      PRODUC"&amp;"T(
        ARRAYFORMULA(
          (
            FILTER('Raw PhocalPoint Data'!G:G,
              'Raw PhocalPoint Data'!A:A = 2012,
              'Raw PhocalPoint Data'!D:D = D441,
              'Raw PhocalPoint Data'!E:E = E441,
              'Raw Phoca"&amp;"lPoint Data'!F:F = F441
            ) /
            FILTER('Raw PhocalPoint Data'!G:G,
              'Raw PhocalPoint Data'!A:A = 2011,
              'Raw PhocalPoint Data'!D:D = D441,
              'Raw PhocalPoint Data'!E:E = E441,
              'Raw Ph"&amp;"ocalPoint Data'!F:F = F441
            ) -
            (ROW(INDIRECT(""1:"" &amp; (2010 - A441))) - 1) *
            (
              (
                FILTER('Raw PhocalPoint Data'!G:G,
                  'Raw PhocalPoint Data'!A:A = 2012,
                  'R"&amp;"aw PhocalPoint Data'!D:D = D441,
                  'Raw PhocalPoint Data'!E:E = E441,
                  'Raw PhocalPoint Data'!F:F = F441
                ) /
                FILTER('Raw PhocalPoint Data'!G:G,
                  'Raw PhocalPoint Data'!A:A ="&amp;" 2011,
                  'Raw PhocalPoint Data'!D:D = D441,
                  'Raw PhocalPoint Data'!E:E = E441,
                  'Raw PhocalPoint Data'!F:F = F441
                ) - 1
              ) / 5
            )
          )
        )
      )
    "&amp;") *
    INDEX('Raw GDP data'!$I$2:$M$100,
      MATCH(D441, 'Raw GDP data'!$H$2:$H$100, 0),
      MATCH(A441, 'Raw GDP data'!$I$1:$M$1, 0)
    )
  )),
  """"
)
"),1817550785.04686)</f>
        <v>1817550785.04686</v>
      </c>
      <c r="H441" s="86"/>
      <c r="I441" s="87">
        <f ca="1">IFERROR(__xludf.DUMMYFUNCTION("""COMPUTED_VALUE"""),2015)</f>
        <v>2015</v>
      </c>
      <c r="J441" s="88" t="str">
        <f ca="1">IFERROR(__xludf.DUMMYFUNCTION("""COMPUTED_VALUE"""),"U.S.")</f>
        <v>U.S.</v>
      </c>
      <c r="K441" s="89">
        <f ca="1">IFERROR(
  SUMIFS(
    'New Backfilled Data'!G:G,
    'New Backfilled Data'!A:A, I441,
    'New Backfilled Data'!D:D, J441,
    'New Backfilled Data'!E:E, "Online"
  ) /
  SUMIFS(
    'New Backfilled Data'!G:G,
    'New Backfilled Data'!A:A, I441,
    'New Backfilled Data'!D:D, J441
  ),
  ""
)</f>
        <v>0.44797121083797825</v>
      </c>
      <c r="L441" s="90"/>
      <c r="M441" s="90"/>
    </row>
    <row r="442" spans="1:13" ht="34" x14ac:dyDescent="0.2">
      <c r="A442" s="37">
        <v>2008</v>
      </c>
      <c r="B442" s="38" t="s">
        <v>66</v>
      </c>
      <c r="C442" s="38" t="s">
        <v>27</v>
      </c>
      <c r="D442" s="38" t="s">
        <v>31</v>
      </c>
      <c r="E442" s="38" t="s">
        <v>69</v>
      </c>
      <c r="F442" s="38" t="s">
        <v>70</v>
      </c>
      <c r="G442" s="79">
        <f ca="1">IFERROR(__xludf.DUMMYFUNCTION("IFERROR(
  IF(A442 = 2008,
    IF(E442 = ""Online"",
      FILTER('Raw PhocalPoint Data'!G:G,
        'Raw PhocalPoint Data'!A:A = 2009,
        'Raw PhocalPoint Data'!D:D = D442,
        'Raw PhocalPoint Data'!E:E = E442,
        'Raw PhocalPoint Data'!F"&amp;":F = F442
      ) /
      (
        FILTER('Raw PhocalPoint Data'!G:G,
          'Raw PhocalPoint Data'!A:A = 2012,
          'Raw PhocalPoint Data'!D:D = D442,
          'Raw PhocalPoint Data'!E:E = E442,
          'Raw PhocalPoint Data'!F:F = F442
     "&amp;"   ) /
        FILTER('Raw PhocalPoint Data'!G:G,
          'Raw PhocalPoint Data'!A:A = 2011,
          'Raw PhocalPoint Data'!D:D = D442,
          'Raw PhocalPoint Data'!E:E = E442,
          'Raw PhocalPoint Data'!F:F = F442
        )
      ),
      F"&amp;"ILTER('Raw PhocalPoint Data'!G:G,
        'Raw PhocalPoint Data'!A:A = 2009,
        'Raw PhocalPoint Data'!D:D = D442,
        'Raw PhocalPoint Data'!E:E = E442,
        'Raw PhocalPoint Data'!F:F = F442
      ) *
      (
        INDEX('Raw GDP data'!$I$"&amp;"2:$M$100,
          MATCH(D442, 'Raw GDP data'!$H$2:$H$100, 0),
          MATCH(2008, 'Raw GDP data'!$I$1:$M$1, 0)
        ) /
        INDEX('Raw GDP data'!$I$2:$M$100,
          MATCH(D442, 'Raw GDP data'!$H$2:$H$100, 0),
          MATCH(2009, 'Raw GDP d"&amp;"ata'!$I$1:$M$1, 0)
        )
      )
    ),
  IF(A442 &lt; 2008,
    (
      FILTER(G:G,
        A:A = 2008,
        D:D = D442,
        E:E = E442,
        F:F = F442
      ) /
      PRODUCT(
        ARRAYFORMULA(
          (
            (
              FIL"&amp;"TER('Raw PhocalPoint Data'!G:G,
                'Raw PhocalPoint Data'!A:A = 2012,
                'Raw PhocalPoint Data'!D:D = D442,
                'Raw PhocalPoint Data'!E:E = E442,
                'Raw PhocalPoint Data'!F:F = F442
              ) /
  "&amp;"            FILTER('Raw PhocalPoint Data'!G:G,
                'Raw PhocalPoint Data'!A:A = 2011,
                'Raw PhocalPoint Data'!D:D = D442,
                'Raw PhocalPoint Data'!E:E = E442,
                'Raw PhocalPoint Data'!F:F = F442
     "&amp;"         ) -
              ROW(INDIRECT(""1:"" &amp; (2008 - A442))) *
              (
                (
                  FILTER('Raw PhocalPoint Data'!G:G,
                    'Raw PhocalPoint Data'!A:A = 2012,
                    'Raw PhocalPoint Data'!D:D"&amp;" = D442,
                    'Raw PhocalPoint Data'!E:E = E442,
                    'Raw PhocalPoint Data'!F:F = F442
                  ) /
                  FILTER('Raw PhocalPoint Data'!G:G,
                    'Raw PhocalPoint Data'!A:A = 2011,
       "&amp;"             'Raw PhocalPoint Data'!D:D = D442,
                    'Raw PhocalPoint Data'!E:E = E442,
                    'Raw PhocalPoint Data'!F:F = F442
                  ) - 1
                ) / 5
              )
            )
          )
        )
"&amp;"      )
    ),
    (
      FILTER('Raw PhocalPoint Data'!G:G,
        'Raw PhocalPoint Data'!A:A = 2009,
        'Raw PhocalPoint Data'!D:D = D442,
        'Raw PhocalPoint Data'!E:E = E442,
        'Raw PhocalPoint Data'!F:F = F442
      ) /
      PRODUC"&amp;"T(
        ARRAYFORMULA(
          (
            FILTER('Raw PhocalPoint Data'!G:G,
              'Raw PhocalPoint Data'!A:A = 2012,
              'Raw PhocalPoint Data'!D:D = D442,
              'Raw PhocalPoint Data'!E:E = E442,
              'Raw Phoca"&amp;"lPoint Data'!F:F = F442
            ) /
            FILTER('Raw PhocalPoint Data'!G:G,
              'Raw PhocalPoint Data'!A:A = 2011,
              'Raw PhocalPoint Data'!D:D = D442,
              'Raw PhocalPoint Data'!E:E = E442,
              'Raw Ph"&amp;"ocalPoint Data'!F:F = F442
            ) -
            (ROW(INDIRECT(""1:"" &amp; (2010 - A442))) - 1) *
            (
              (
                FILTER('Raw PhocalPoint Data'!G:G,
                  'Raw PhocalPoint Data'!A:A = 2012,
                  'R"&amp;"aw PhocalPoint Data'!D:D = D442,
                  'Raw PhocalPoint Data'!E:E = E442,
                  'Raw PhocalPoint Data'!F:F = F442
                ) /
                FILTER('Raw PhocalPoint Data'!G:G,
                  'Raw PhocalPoint Data'!A:A ="&amp;" 2011,
                  'Raw PhocalPoint Data'!D:D = D442,
                  'Raw PhocalPoint Data'!E:E = E442,
                  'Raw PhocalPoint Data'!F:F = F442
                ) - 1
              ) / 5
            )
          )
        )
      )
    "&amp;") *
    INDEX('Raw GDP data'!$I$2:$M$100,
      MATCH(D442, 'Raw GDP data'!$H$2:$H$100, 0),
      MATCH(A442, 'Raw GDP data'!$I$1:$M$1, 0)
    )
  )),
  """"
)
"),4163050166.04268)</f>
        <v>4163050166.0426798</v>
      </c>
      <c r="H442" s="80"/>
      <c r="I442" s="81">
        <f ca="1">IFERROR(__xludf.DUMMYFUNCTION("""COMPUTED_VALUE"""),2016)</f>
        <v>2016</v>
      </c>
      <c r="J442" s="82" t="str">
        <f ca="1">IFERROR(__xludf.DUMMYFUNCTION("""COMPUTED_VALUE"""),"Australia-New Zealand")</f>
        <v>Australia-New Zealand</v>
      </c>
      <c r="K442" s="83">
        <f ca="1">IFERROR(
  SUMIFS(
    'New Backfilled Data'!G:G,
    'New Backfilled Data'!A:A, I442,
    'New Backfilled Data'!D:D, J442,
    'New Backfilled Data'!E:E, "Online"
  ) /
  SUMIFS(
    'New Backfilled Data'!G:G,
    'New Backfilled Data'!A:A, I442,
    'New Backfilled Data'!D:D, J442
  ),
  ""
)</f>
        <v>0.40606151252252176</v>
      </c>
      <c r="L442" s="84"/>
      <c r="M442" s="84"/>
    </row>
    <row r="443" spans="1:13" ht="17" x14ac:dyDescent="0.2">
      <c r="A443" s="44">
        <v>2008</v>
      </c>
      <c r="B443" s="45" t="s">
        <v>66</v>
      </c>
      <c r="C443" s="45" t="s">
        <v>27</v>
      </c>
      <c r="D443" s="45" t="s">
        <v>32</v>
      </c>
      <c r="E443" s="45" t="s">
        <v>67</v>
      </c>
      <c r="F443" s="45" t="s">
        <v>67</v>
      </c>
      <c r="G443" s="85">
        <f ca="1">IFERROR(__xludf.DUMMYFUNCTION("IFERROR(
  IF(A443 = 2008,
    IF(E443 = ""Online"",
      FILTER('Raw PhocalPoint Data'!G:G,
        'Raw PhocalPoint Data'!A:A = 2009,
        'Raw PhocalPoint Data'!D:D = D443,
        'Raw PhocalPoint Data'!E:E = E443,
        'Raw PhocalPoint Data'!F"&amp;":F = F443
      ) /
      (
        FILTER('Raw PhocalPoint Data'!G:G,
          'Raw PhocalPoint Data'!A:A = 2012,
          'Raw PhocalPoint Data'!D:D = D443,
          'Raw PhocalPoint Data'!E:E = E443,
          'Raw PhocalPoint Data'!F:F = F443
     "&amp;"   ) /
        FILTER('Raw PhocalPoint Data'!G:G,
          'Raw PhocalPoint Data'!A:A = 2011,
          'Raw PhocalPoint Data'!D:D = D443,
          'Raw PhocalPoint Data'!E:E = E443,
          'Raw PhocalPoint Data'!F:F = F443
        )
      ),
      F"&amp;"ILTER('Raw PhocalPoint Data'!G:G,
        'Raw PhocalPoint Data'!A:A = 2009,
        'Raw PhocalPoint Data'!D:D = D443,
        'Raw PhocalPoint Data'!E:E = E443,
        'Raw PhocalPoint Data'!F:F = F443
      ) *
      (
        INDEX('Raw GDP data'!$I$"&amp;"2:$M$100,
          MATCH(D443, 'Raw GDP data'!$H$2:$H$100, 0),
          MATCH(2008, 'Raw GDP data'!$I$1:$M$1, 0)
        ) /
        INDEX('Raw GDP data'!$I$2:$M$100,
          MATCH(D443, 'Raw GDP data'!$H$2:$H$100, 0),
          MATCH(2009, 'Raw GDP d"&amp;"ata'!$I$1:$M$1, 0)
        )
      )
    ),
  IF(A443 &lt; 2008,
    (
      FILTER(G:G,
        A:A = 2008,
        D:D = D443,
        E:E = E443,
        F:F = F443
      ) /
      PRODUCT(
        ARRAYFORMULA(
          (
            (
              FIL"&amp;"TER('Raw PhocalPoint Data'!G:G,
                'Raw PhocalPoint Data'!A:A = 2012,
                'Raw PhocalPoint Data'!D:D = D443,
                'Raw PhocalPoint Data'!E:E = E443,
                'Raw PhocalPoint Data'!F:F = F443
              ) /
  "&amp;"            FILTER('Raw PhocalPoint Data'!G:G,
                'Raw PhocalPoint Data'!A:A = 2011,
                'Raw PhocalPoint Data'!D:D = D443,
                'Raw PhocalPoint Data'!E:E = E443,
                'Raw PhocalPoint Data'!F:F = F443
     "&amp;"         ) -
              ROW(INDIRECT(""1:"" &amp; (2008 - A443))) *
              (
                (
                  FILTER('Raw PhocalPoint Data'!G:G,
                    'Raw PhocalPoint Data'!A:A = 2012,
                    'Raw PhocalPoint Data'!D:D"&amp;" = D443,
                    'Raw PhocalPoint Data'!E:E = E443,
                    'Raw PhocalPoint Data'!F:F = F443
                  ) /
                  FILTER('Raw PhocalPoint Data'!G:G,
                    'Raw PhocalPoint Data'!A:A = 2011,
       "&amp;"             'Raw PhocalPoint Data'!D:D = D443,
                    'Raw PhocalPoint Data'!E:E = E443,
                    'Raw PhocalPoint Data'!F:F = F443
                  ) - 1
                ) / 5
              )
            )
          )
        )
"&amp;"      )
    ),
    (
      FILTER('Raw PhocalPoint Data'!G:G,
        'Raw PhocalPoint Data'!A:A = 2009,
        'Raw PhocalPoint Data'!D:D = D443,
        'Raw PhocalPoint Data'!E:E = E443,
        'Raw PhocalPoint Data'!F:F = F443
      ) /
      PRODUC"&amp;"T(
        ARRAYFORMULA(
          (
            FILTER('Raw PhocalPoint Data'!G:G,
              'Raw PhocalPoint Data'!A:A = 2012,
              'Raw PhocalPoint Data'!D:D = D443,
              'Raw PhocalPoint Data'!E:E = E443,
              'Raw Phoca"&amp;"lPoint Data'!F:F = F443
            ) /
            FILTER('Raw PhocalPoint Data'!G:G,
              'Raw PhocalPoint Data'!A:A = 2011,
              'Raw PhocalPoint Data'!D:D = D443,
              'Raw PhocalPoint Data'!E:E = E443,
              'Raw Ph"&amp;"ocalPoint Data'!F:F = F443
            ) -
            (ROW(INDIRECT(""1:"" &amp; (2010 - A443))) - 1) *
            (
              (
                FILTER('Raw PhocalPoint Data'!G:G,
                  'Raw PhocalPoint Data'!A:A = 2012,
                  'R"&amp;"aw PhocalPoint Data'!D:D = D443,
                  'Raw PhocalPoint Data'!E:E = E443,
                  'Raw PhocalPoint Data'!F:F = F443
                ) /
                FILTER('Raw PhocalPoint Data'!G:G,
                  'Raw PhocalPoint Data'!A:A ="&amp;" 2011,
                  'Raw PhocalPoint Data'!D:D = D443,
                  'Raw PhocalPoint Data'!E:E = E443,
                  'Raw PhocalPoint Data'!F:F = F443
                ) - 1
              ) / 5
            )
          )
        )
      )
    "&amp;") *
    INDEX('Raw GDP data'!$I$2:$M$100,
      MATCH(D443, 'Raw GDP data'!$H$2:$H$100, 0),
      MATCH(A443, 'Raw GDP data'!$I$1:$M$1, 0)
    )
  )),
  """"
)
"),22920248424.5271)</f>
        <v>22920248424.5271</v>
      </c>
      <c r="H443" s="86"/>
      <c r="I443" s="87">
        <f ca="1">IFERROR(__xludf.DUMMYFUNCTION("""COMPUTED_VALUE"""),2016)</f>
        <v>2016</v>
      </c>
      <c r="J443" s="88" t="str">
        <f ca="1">IFERROR(__xludf.DUMMYFUNCTION("""COMPUTED_VALUE"""),"China")</f>
        <v>China</v>
      </c>
      <c r="K443" s="89">
        <f ca="1">IFERROR(
  SUMIFS(
    'New Backfilled Data'!G:G,
    'New Backfilled Data'!A:A, I443,
    'New Backfilled Data'!D:D, J443,
    'New Backfilled Data'!E:E, "Online"
  ) /
  SUMIFS(
    'New Backfilled Data'!G:G,
    'New Backfilled Data'!A:A, I443,
    'New Backfilled Data'!D:D, J443
  ),
  ""
)</f>
        <v>0.36999882226245245</v>
      </c>
      <c r="L443" s="90"/>
      <c r="M443" s="90"/>
    </row>
    <row r="444" spans="1:13" ht="17" x14ac:dyDescent="0.2">
      <c r="A444" s="37">
        <v>2008</v>
      </c>
      <c r="B444" s="38" t="s">
        <v>66</v>
      </c>
      <c r="C444" s="38" t="s">
        <v>27</v>
      </c>
      <c r="D444" s="38" t="s">
        <v>32</v>
      </c>
      <c r="E444" s="38" t="s">
        <v>69</v>
      </c>
      <c r="F444" s="38" t="s">
        <v>71</v>
      </c>
      <c r="G444" s="79">
        <f ca="1">IFERROR(__xludf.DUMMYFUNCTION("IFERROR(
  IF(A444 = 2008,
    IF(E444 = ""Online"",
      FILTER('Raw PhocalPoint Data'!G:G,
        'Raw PhocalPoint Data'!A:A = 2009,
        'Raw PhocalPoint Data'!D:D = D444,
        'Raw PhocalPoint Data'!E:E = E444,
        'Raw PhocalPoint Data'!F"&amp;":F = F444
      ) /
      (
        FILTER('Raw PhocalPoint Data'!G:G,
          'Raw PhocalPoint Data'!A:A = 2012,
          'Raw PhocalPoint Data'!D:D = D444,
          'Raw PhocalPoint Data'!E:E = E444,
          'Raw PhocalPoint Data'!F:F = F444
     "&amp;"   ) /
        FILTER('Raw PhocalPoint Data'!G:G,
          'Raw PhocalPoint Data'!A:A = 2011,
          'Raw PhocalPoint Data'!D:D = D444,
          'Raw PhocalPoint Data'!E:E = E444,
          'Raw PhocalPoint Data'!F:F = F444
        )
      ),
      F"&amp;"ILTER('Raw PhocalPoint Data'!G:G,
        'Raw PhocalPoint Data'!A:A = 2009,
        'Raw PhocalPoint Data'!D:D = D444,
        'Raw PhocalPoint Data'!E:E = E444,
        'Raw PhocalPoint Data'!F:F = F444
      ) *
      (
        INDEX('Raw GDP data'!$I$"&amp;"2:$M$100,
          MATCH(D444, 'Raw GDP data'!$H$2:$H$100, 0),
          MATCH(2008, 'Raw GDP data'!$I$1:$M$1, 0)
        ) /
        INDEX('Raw GDP data'!$I$2:$M$100,
          MATCH(D444, 'Raw GDP data'!$H$2:$H$100, 0),
          MATCH(2009, 'Raw GDP d"&amp;"ata'!$I$1:$M$1, 0)
        )
      )
    ),
  IF(A444 &lt; 2008,
    (
      FILTER(G:G,
        A:A = 2008,
        D:D = D444,
        E:E = E444,
        F:F = F444
      ) /
      PRODUCT(
        ARRAYFORMULA(
          (
            (
              FIL"&amp;"TER('Raw PhocalPoint Data'!G:G,
                'Raw PhocalPoint Data'!A:A = 2012,
                'Raw PhocalPoint Data'!D:D = D444,
                'Raw PhocalPoint Data'!E:E = E444,
                'Raw PhocalPoint Data'!F:F = F444
              ) /
  "&amp;"            FILTER('Raw PhocalPoint Data'!G:G,
                'Raw PhocalPoint Data'!A:A = 2011,
                'Raw PhocalPoint Data'!D:D = D444,
                'Raw PhocalPoint Data'!E:E = E444,
                'Raw PhocalPoint Data'!F:F = F444
     "&amp;"         ) -
              ROW(INDIRECT(""1:"" &amp; (2008 - A444))) *
              (
                (
                  FILTER('Raw PhocalPoint Data'!G:G,
                    'Raw PhocalPoint Data'!A:A = 2012,
                    'Raw PhocalPoint Data'!D:D"&amp;" = D444,
                    'Raw PhocalPoint Data'!E:E = E444,
                    'Raw PhocalPoint Data'!F:F = F444
                  ) /
                  FILTER('Raw PhocalPoint Data'!G:G,
                    'Raw PhocalPoint Data'!A:A = 2011,
       "&amp;"             'Raw PhocalPoint Data'!D:D = D444,
                    'Raw PhocalPoint Data'!E:E = E444,
                    'Raw PhocalPoint Data'!F:F = F444
                  ) - 1
                ) / 5
              )
            )
          )
        )
"&amp;"      )
    ),
    (
      FILTER('Raw PhocalPoint Data'!G:G,
        'Raw PhocalPoint Data'!A:A = 2009,
        'Raw PhocalPoint Data'!D:D = D444,
        'Raw PhocalPoint Data'!E:E = E444,
        'Raw PhocalPoint Data'!F:F = F444
      ) /
      PRODUC"&amp;"T(
        ARRAYFORMULA(
          (
            FILTER('Raw PhocalPoint Data'!G:G,
              'Raw PhocalPoint Data'!A:A = 2012,
              'Raw PhocalPoint Data'!D:D = D444,
              'Raw PhocalPoint Data'!E:E = E444,
              'Raw Phoca"&amp;"lPoint Data'!F:F = F444
            ) /
            FILTER('Raw PhocalPoint Data'!G:G,
              'Raw PhocalPoint Data'!A:A = 2011,
              'Raw PhocalPoint Data'!D:D = D444,
              'Raw PhocalPoint Data'!E:E = E444,
              'Raw Ph"&amp;"ocalPoint Data'!F:F = F444
            ) -
            (ROW(INDIRECT(""1:"" &amp; (2010 - A444))) - 1) *
            (
              (
                FILTER('Raw PhocalPoint Data'!G:G,
                  'Raw PhocalPoint Data'!A:A = 2012,
                  'R"&amp;"aw PhocalPoint Data'!D:D = D444,
                  'Raw PhocalPoint Data'!E:E = E444,
                  'Raw PhocalPoint Data'!F:F = F444
                ) /
                FILTER('Raw PhocalPoint Data'!G:G,
                  'Raw PhocalPoint Data'!A:A ="&amp;" 2011,
                  'Raw PhocalPoint Data'!D:D = D444,
                  'Raw PhocalPoint Data'!E:E = E444,
                  'Raw PhocalPoint Data'!F:F = F444
                ) - 1
              ) / 5
            )
          )
        )
      )
    "&amp;") *
    INDEX('Raw GDP data'!$I$2:$M$100,
      MATCH(D444, 'Raw GDP data'!$H$2:$H$100, 0),
      MATCH(A444, 'Raw GDP data'!$I$1:$M$1, 0)
    )
  )),
  """"
)
"),2827122377.36317)</f>
        <v>2827122377.3631701</v>
      </c>
      <c r="H444" s="80"/>
      <c r="I444" s="81">
        <f ca="1">IFERROR(__xludf.DUMMYFUNCTION("""COMPUTED_VALUE"""),2016)</f>
        <v>2016</v>
      </c>
      <c r="J444" s="82" t="str">
        <f ca="1">IFERROR(__xludf.DUMMYFUNCTION("""COMPUTED_VALUE"""),"Hong Kong")</f>
        <v>Hong Kong</v>
      </c>
      <c r="K444" s="83">
        <f ca="1">IFERROR(
  SUMIFS(
    'New Backfilled Data'!G:G,
    'New Backfilled Data'!A:A, I444,
    'New Backfilled Data'!D:D, J444,
    'New Backfilled Data'!E:E, "Online"
  ) /
  SUMIFS(
    'New Backfilled Data'!G:G,
    'New Backfilled Data'!A:A, I444,
    'New Backfilled Data'!D:D, J444
  ),
  ""
)</f>
        <v>0.14245264276154271</v>
      </c>
      <c r="L444" s="84"/>
      <c r="M444" s="84"/>
    </row>
    <row r="445" spans="1:13" ht="17" x14ac:dyDescent="0.2">
      <c r="A445" s="44">
        <v>2008</v>
      </c>
      <c r="B445" s="45" t="s">
        <v>66</v>
      </c>
      <c r="C445" s="45" t="s">
        <v>27</v>
      </c>
      <c r="D445" s="45" t="s">
        <v>32</v>
      </c>
      <c r="E445" s="45" t="s">
        <v>69</v>
      </c>
      <c r="F445" s="45" t="s">
        <v>70</v>
      </c>
      <c r="G445" s="85">
        <f ca="1">IFERROR(__xludf.DUMMYFUNCTION("IFERROR(
  IF(A445 = 2008,
    IF(E445 = ""Online"",
      FILTER('Raw PhocalPoint Data'!G:G,
        'Raw PhocalPoint Data'!A:A = 2009,
        'Raw PhocalPoint Data'!D:D = D445,
        'Raw PhocalPoint Data'!E:E = E445,
        'Raw PhocalPoint Data'!F"&amp;":F = F445
      ) /
      (
        FILTER('Raw PhocalPoint Data'!G:G,
          'Raw PhocalPoint Data'!A:A = 2012,
          'Raw PhocalPoint Data'!D:D = D445,
          'Raw PhocalPoint Data'!E:E = E445,
          'Raw PhocalPoint Data'!F:F = F445
     "&amp;"   ) /
        FILTER('Raw PhocalPoint Data'!G:G,
          'Raw PhocalPoint Data'!A:A = 2011,
          'Raw PhocalPoint Data'!D:D = D445,
          'Raw PhocalPoint Data'!E:E = E445,
          'Raw PhocalPoint Data'!F:F = F445
        )
      ),
      F"&amp;"ILTER('Raw PhocalPoint Data'!G:G,
        'Raw PhocalPoint Data'!A:A = 2009,
        'Raw PhocalPoint Data'!D:D = D445,
        'Raw PhocalPoint Data'!E:E = E445,
        'Raw PhocalPoint Data'!F:F = F445
      ) *
      (
        INDEX('Raw GDP data'!$I$"&amp;"2:$M$100,
          MATCH(D445, 'Raw GDP data'!$H$2:$H$100, 0),
          MATCH(2008, 'Raw GDP data'!$I$1:$M$1, 0)
        ) /
        INDEX('Raw GDP data'!$I$2:$M$100,
          MATCH(D445, 'Raw GDP data'!$H$2:$H$100, 0),
          MATCH(2009, 'Raw GDP d"&amp;"ata'!$I$1:$M$1, 0)
        )
      )
    ),
  IF(A445 &lt; 2008,
    (
      FILTER(G:G,
        A:A = 2008,
        D:D = D445,
        E:E = E445,
        F:F = F445
      ) /
      PRODUCT(
        ARRAYFORMULA(
          (
            (
              FIL"&amp;"TER('Raw PhocalPoint Data'!G:G,
                'Raw PhocalPoint Data'!A:A = 2012,
                'Raw PhocalPoint Data'!D:D = D445,
                'Raw PhocalPoint Data'!E:E = E445,
                'Raw PhocalPoint Data'!F:F = F445
              ) /
  "&amp;"            FILTER('Raw PhocalPoint Data'!G:G,
                'Raw PhocalPoint Data'!A:A = 2011,
                'Raw PhocalPoint Data'!D:D = D445,
                'Raw PhocalPoint Data'!E:E = E445,
                'Raw PhocalPoint Data'!F:F = F445
     "&amp;"         ) -
              ROW(INDIRECT(""1:"" &amp; (2008 - A445))) *
              (
                (
                  FILTER('Raw PhocalPoint Data'!G:G,
                    'Raw PhocalPoint Data'!A:A = 2012,
                    'Raw PhocalPoint Data'!D:D"&amp;" = D445,
                    'Raw PhocalPoint Data'!E:E = E445,
                    'Raw PhocalPoint Data'!F:F = F445
                  ) /
                  FILTER('Raw PhocalPoint Data'!G:G,
                    'Raw PhocalPoint Data'!A:A = 2011,
       "&amp;"             'Raw PhocalPoint Data'!D:D = D445,
                    'Raw PhocalPoint Data'!E:E = E445,
                    'Raw PhocalPoint Data'!F:F = F445
                  ) - 1
                ) / 5
              )
            )
          )
        )
"&amp;"      )
    ),
    (
      FILTER('Raw PhocalPoint Data'!G:G,
        'Raw PhocalPoint Data'!A:A = 2009,
        'Raw PhocalPoint Data'!D:D = D445,
        'Raw PhocalPoint Data'!E:E = E445,
        'Raw PhocalPoint Data'!F:F = F445
      ) /
      PRODUC"&amp;"T(
        ARRAYFORMULA(
          (
            FILTER('Raw PhocalPoint Data'!G:G,
              'Raw PhocalPoint Data'!A:A = 2012,
              'Raw PhocalPoint Data'!D:D = D445,
              'Raw PhocalPoint Data'!E:E = E445,
              'Raw Phoca"&amp;"lPoint Data'!F:F = F445
            ) /
            FILTER('Raw PhocalPoint Data'!G:G,
              'Raw PhocalPoint Data'!A:A = 2011,
              'Raw PhocalPoint Data'!D:D = D445,
              'Raw PhocalPoint Data'!E:E = E445,
              'Raw Ph"&amp;"ocalPoint Data'!F:F = F445
            ) -
            (ROW(INDIRECT(""1:"" &amp; (2010 - A445))) - 1) *
            (
              (
                FILTER('Raw PhocalPoint Data'!G:G,
                  'Raw PhocalPoint Data'!A:A = 2012,
                  'R"&amp;"aw PhocalPoint Data'!D:D = D445,
                  'Raw PhocalPoint Data'!E:E = E445,
                  'Raw PhocalPoint Data'!F:F = F445
                ) /
                FILTER('Raw PhocalPoint Data'!G:G,
                  'Raw PhocalPoint Data'!A:A ="&amp;" 2011,
                  'Raw PhocalPoint Data'!D:D = D445,
                  'Raw PhocalPoint Data'!E:E = E445,
                  'Raw PhocalPoint Data'!F:F = F445
                ) - 1
              ) / 5
            )
          )
        )
      )
    "&amp;") *
    INDEX('Raw GDP data'!$I$2:$M$100,
      MATCH(D445, 'Raw GDP data'!$H$2:$H$100, 0),
      MATCH(A445, 'Raw GDP data'!$I$1:$M$1, 0)
    )
  )),
  """"
)
"),2279340515.09886)</f>
        <v>2279340515.0988598</v>
      </c>
      <c r="H445" s="86"/>
      <c r="I445" s="87">
        <f ca="1">IFERROR(__xludf.DUMMYFUNCTION("""COMPUTED_VALUE"""),2016)</f>
        <v>2016</v>
      </c>
      <c r="J445" s="88" t="str">
        <f ca="1">IFERROR(__xludf.DUMMYFUNCTION("""COMPUTED_VALUE"""),"India")</f>
        <v>India</v>
      </c>
      <c r="K445" s="89">
        <f ca="1">IFERROR(
  SUMIFS(
    'New Backfilled Data'!G:G,
    'New Backfilled Data'!A:A, I445,
    'New Backfilled Data'!D:D, J445,
    'New Backfilled Data'!E:E, "Online"
  ) /
  SUMIFS(
    'New Backfilled Data'!G:G,
    'New Backfilled Data'!A:A, I445,
    'New Backfilled Data'!D:D, J445
  ),
  ""
)</f>
        <v>0.36677408951076051</v>
      </c>
      <c r="L445" s="90"/>
      <c r="M445" s="90"/>
    </row>
    <row r="446" spans="1:13" ht="17" x14ac:dyDescent="0.2">
      <c r="A446" s="37">
        <v>2008</v>
      </c>
      <c r="B446" s="38" t="s">
        <v>66</v>
      </c>
      <c r="C446" s="38" t="s">
        <v>27</v>
      </c>
      <c r="D446" s="38" t="s">
        <v>33</v>
      </c>
      <c r="E446" s="38" t="s">
        <v>67</v>
      </c>
      <c r="F446" s="38" t="s">
        <v>67</v>
      </c>
      <c r="G446" s="79">
        <f ca="1">IFERROR(__xludf.DUMMYFUNCTION("IFERROR(
  IF(A446 = 2008,
    IF(E446 = ""Online"",
      FILTER('Raw PhocalPoint Data'!G:G,
        'Raw PhocalPoint Data'!A:A = 2009,
        'Raw PhocalPoint Data'!D:D = D446,
        'Raw PhocalPoint Data'!E:E = E446,
        'Raw PhocalPoint Data'!F"&amp;":F = F446
      ) /
      (
        FILTER('Raw PhocalPoint Data'!G:G,
          'Raw PhocalPoint Data'!A:A = 2012,
          'Raw PhocalPoint Data'!D:D = D446,
          'Raw PhocalPoint Data'!E:E = E446,
          'Raw PhocalPoint Data'!F:F = F446
     "&amp;"   ) /
        FILTER('Raw PhocalPoint Data'!G:G,
          'Raw PhocalPoint Data'!A:A = 2011,
          'Raw PhocalPoint Data'!D:D = D446,
          'Raw PhocalPoint Data'!E:E = E446,
          'Raw PhocalPoint Data'!F:F = F446
        )
      ),
      F"&amp;"ILTER('Raw PhocalPoint Data'!G:G,
        'Raw PhocalPoint Data'!A:A = 2009,
        'Raw PhocalPoint Data'!D:D = D446,
        'Raw PhocalPoint Data'!E:E = E446,
        'Raw PhocalPoint Data'!F:F = F446
      ) *
      (
        INDEX('Raw GDP data'!$I$"&amp;"2:$M$100,
          MATCH(D446, 'Raw GDP data'!$H$2:$H$100, 0),
          MATCH(2008, 'Raw GDP data'!$I$1:$M$1, 0)
        ) /
        INDEX('Raw GDP data'!$I$2:$M$100,
          MATCH(D446, 'Raw GDP data'!$H$2:$H$100, 0),
          MATCH(2009, 'Raw GDP d"&amp;"ata'!$I$1:$M$1, 0)
        )
      )
    ),
  IF(A446 &lt; 2008,
    (
      FILTER(G:G,
        A:A = 2008,
        D:D = D446,
        E:E = E446,
        F:F = F446
      ) /
      PRODUCT(
        ARRAYFORMULA(
          (
            (
              FIL"&amp;"TER('Raw PhocalPoint Data'!G:G,
                'Raw PhocalPoint Data'!A:A = 2012,
                'Raw PhocalPoint Data'!D:D = D446,
                'Raw PhocalPoint Data'!E:E = E446,
                'Raw PhocalPoint Data'!F:F = F446
              ) /
  "&amp;"            FILTER('Raw PhocalPoint Data'!G:G,
                'Raw PhocalPoint Data'!A:A = 2011,
                'Raw PhocalPoint Data'!D:D = D446,
                'Raw PhocalPoint Data'!E:E = E446,
                'Raw PhocalPoint Data'!F:F = F446
     "&amp;"         ) -
              ROW(INDIRECT(""1:"" &amp; (2008 - A446))) *
              (
                (
                  FILTER('Raw PhocalPoint Data'!G:G,
                    'Raw PhocalPoint Data'!A:A = 2012,
                    'Raw PhocalPoint Data'!D:D"&amp;" = D446,
                    'Raw PhocalPoint Data'!E:E = E446,
                    'Raw PhocalPoint Data'!F:F = F446
                  ) /
                  FILTER('Raw PhocalPoint Data'!G:G,
                    'Raw PhocalPoint Data'!A:A = 2011,
       "&amp;"             'Raw PhocalPoint Data'!D:D = D446,
                    'Raw PhocalPoint Data'!E:E = E446,
                    'Raw PhocalPoint Data'!F:F = F446
                  ) - 1
                ) / 5
              )
            )
          )
        )
"&amp;"      )
    ),
    (
      FILTER('Raw PhocalPoint Data'!G:G,
        'Raw PhocalPoint Data'!A:A = 2009,
        'Raw PhocalPoint Data'!D:D = D446,
        'Raw PhocalPoint Data'!E:E = E446,
        'Raw PhocalPoint Data'!F:F = F446
      ) /
      PRODUC"&amp;"T(
        ARRAYFORMULA(
          (
            FILTER('Raw PhocalPoint Data'!G:G,
              'Raw PhocalPoint Data'!A:A = 2012,
              'Raw PhocalPoint Data'!D:D = D446,
              'Raw PhocalPoint Data'!E:E = E446,
              'Raw Phoca"&amp;"lPoint Data'!F:F = F446
            ) /
            FILTER('Raw PhocalPoint Data'!G:G,
              'Raw PhocalPoint Data'!A:A = 2011,
              'Raw PhocalPoint Data'!D:D = D446,
              'Raw PhocalPoint Data'!E:E = E446,
              'Raw Ph"&amp;"ocalPoint Data'!F:F = F446
            ) -
            (ROW(INDIRECT(""1:"" &amp; (2010 - A446))) - 1) *
            (
              (
                FILTER('Raw PhocalPoint Data'!G:G,
                  'Raw PhocalPoint Data'!A:A = 2012,
                  'R"&amp;"aw PhocalPoint Data'!D:D = D446,
                  'Raw PhocalPoint Data'!E:E = E446,
                  'Raw PhocalPoint Data'!F:F = F446
                ) /
                FILTER('Raw PhocalPoint Data'!G:G,
                  'Raw PhocalPoint Data'!A:A ="&amp;" 2011,
                  'Raw PhocalPoint Data'!D:D = D446,
                  'Raw PhocalPoint Data'!E:E = E446,
                  'Raw PhocalPoint Data'!F:F = F446
                ) - 1
              ) / 5
            )
          )
        )
      )
    "&amp;") *
    INDEX('Raw GDP data'!$I$2:$M$100,
      MATCH(D446, 'Raw GDP data'!$H$2:$H$100, 0),
      MATCH(A446, 'Raw GDP data'!$I$1:$M$1, 0)
    )
  )),
  """"
)
"),44106012215.2571)</f>
        <v>44106012215.257103</v>
      </c>
      <c r="H446" s="80"/>
      <c r="I446" s="81">
        <f ca="1">IFERROR(__xludf.DUMMYFUNCTION("""COMPUTED_VALUE"""),2016)</f>
        <v>2016</v>
      </c>
      <c r="J446" s="82" t="str">
        <f ca="1">IFERROR(__xludf.DUMMYFUNCTION("""COMPUTED_VALUE"""),"Indonesia")</f>
        <v>Indonesia</v>
      </c>
      <c r="K446" s="83">
        <f ca="1">IFERROR(
  SUMIFS(
    'New Backfilled Data'!G:G,
    'New Backfilled Data'!A:A, I446,
    'New Backfilled Data'!D:D, J446,
    'New Backfilled Data'!E:E, "Online"
  ) /
  SUMIFS(
    'New Backfilled Data'!G:G,
    'New Backfilled Data'!A:A, I446,
    'New Backfilled Data'!D:D, J446
  ),
  ""
)</f>
        <v>0.19742986716885633</v>
      </c>
      <c r="L446" s="84"/>
      <c r="M446" s="84"/>
    </row>
    <row r="447" spans="1:13" ht="17" x14ac:dyDescent="0.2">
      <c r="A447" s="44">
        <v>2008</v>
      </c>
      <c r="B447" s="45" t="s">
        <v>66</v>
      </c>
      <c r="C447" s="45" t="s">
        <v>27</v>
      </c>
      <c r="D447" s="45" t="s">
        <v>33</v>
      </c>
      <c r="E447" s="45" t="s">
        <v>69</v>
      </c>
      <c r="F447" s="45" t="s">
        <v>71</v>
      </c>
      <c r="G447" s="85">
        <f ca="1">IFERROR(__xludf.DUMMYFUNCTION("IFERROR(
  IF(A447 = 2008,
    IF(E447 = ""Online"",
      FILTER('Raw PhocalPoint Data'!G:G,
        'Raw PhocalPoint Data'!A:A = 2009,
        'Raw PhocalPoint Data'!D:D = D447,
        'Raw PhocalPoint Data'!E:E = E447,
        'Raw PhocalPoint Data'!F"&amp;":F = F447
      ) /
      (
        FILTER('Raw PhocalPoint Data'!G:G,
          'Raw PhocalPoint Data'!A:A = 2012,
          'Raw PhocalPoint Data'!D:D = D447,
          'Raw PhocalPoint Data'!E:E = E447,
          'Raw PhocalPoint Data'!F:F = F447
     "&amp;"   ) /
        FILTER('Raw PhocalPoint Data'!G:G,
          'Raw PhocalPoint Data'!A:A = 2011,
          'Raw PhocalPoint Data'!D:D = D447,
          'Raw PhocalPoint Data'!E:E = E447,
          'Raw PhocalPoint Data'!F:F = F447
        )
      ),
      F"&amp;"ILTER('Raw PhocalPoint Data'!G:G,
        'Raw PhocalPoint Data'!A:A = 2009,
        'Raw PhocalPoint Data'!D:D = D447,
        'Raw PhocalPoint Data'!E:E = E447,
        'Raw PhocalPoint Data'!F:F = F447
      ) *
      (
        INDEX('Raw GDP data'!$I$"&amp;"2:$M$100,
          MATCH(D447, 'Raw GDP data'!$H$2:$H$100, 0),
          MATCH(2008, 'Raw GDP data'!$I$1:$M$1, 0)
        ) /
        INDEX('Raw GDP data'!$I$2:$M$100,
          MATCH(D447, 'Raw GDP data'!$H$2:$H$100, 0),
          MATCH(2009, 'Raw GDP d"&amp;"ata'!$I$1:$M$1, 0)
        )
      )
    ),
  IF(A447 &lt; 2008,
    (
      FILTER(G:G,
        A:A = 2008,
        D:D = D447,
        E:E = E447,
        F:F = F447
      ) /
      PRODUCT(
        ARRAYFORMULA(
          (
            (
              FIL"&amp;"TER('Raw PhocalPoint Data'!G:G,
                'Raw PhocalPoint Data'!A:A = 2012,
                'Raw PhocalPoint Data'!D:D = D447,
                'Raw PhocalPoint Data'!E:E = E447,
                'Raw PhocalPoint Data'!F:F = F447
              ) /
  "&amp;"            FILTER('Raw PhocalPoint Data'!G:G,
                'Raw PhocalPoint Data'!A:A = 2011,
                'Raw PhocalPoint Data'!D:D = D447,
                'Raw PhocalPoint Data'!E:E = E447,
                'Raw PhocalPoint Data'!F:F = F447
     "&amp;"         ) -
              ROW(INDIRECT(""1:"" &amp; (2008 - A447))) *
              (
                (
                  FILTER('Raw PhocalPoint Data'!G:G,
                    'Raw PhocalPoint Data'!A:A = 2012,
                    'Raw PhocalPoint Data'!D:D"&amp;" = D447,
                    'Raw PhocalPoint Data'!E:E = E447,
                    'Raw PhocalPoint Data'!F:F = F447
                  ) /
                  FILTER('Raw PhocalPoint Data'!G:G,
                    'Raw PhocalPoint Data'!A:A = 2011,
       "&amp;"             'Raw PhocalPoint Data'!D:D = D447,
                    'Raw PhocalPoint Data'!E:E = E447,
                    'Raw PhocalPoint Data'!F:F = F447
                  ) - 1
                ) / 5
              )
            )
          )
        )
"&amp;"      )
    ),
    (
      FILTER('Raw PhocalPoint Data'!G:G,
        'Raw PhocalPoint Data'!A:A = 2009,
        'Raw PhocalPoint Data'!D:D = D447,
        'Raw PhocalPoint Data'!E:E = E447,
        'Raw PhocalPoint Data'!F:F = F447
      ) /
      PRODUC"&amp;"T(
        ARRAYFORMULA(
          (
            FILTER('Raw PhocalPoint Data'!G:G,
              'Raw PhocalPoint Data'!A:A = 2012,
              'Raw PhocalPoint Data'!D:D = D447,
              'Raw PhocalPoint Data'!E:E = E447,
              'Raw Phoca"&amp;"lPoint Data'!F:F = F447
            ) /
            FILTER('Raw PhocalPoint Data'!G:G,
              'Raw PhocalPoint Data'!A:A = 2011,
              'Raw PhocalPoint Data'!D:D = D447,
              'Raw PhocalPoint Data'!E:E = E447,
              'Raw Ph"&amp;"ocalPoint Data'!F:F = F447
            ) -
            (ROW(INDIRECT(""1:"" &amp; (2010 - A447))) - 1) *
            (
              (
                FILTER('Raw PhocalPoint Data'!G:G,
                  'Raw PhocalPoint Data'!A:A = 2012,
                  'R"&amp;"aw PhocalPoint Data'!D:D = D447,
                  'Raw PhocalPoint Data'!E:E = E447,
                  'Raw PhocalPoint Data'!F:F = F447
                ) /
                FILTER('Raw PhocalPoint Data'!G:G,
                  'Raw PhocalPoint Data'!A:A ="&amp;" 2011,
                  'Raw PhocalPoint Data'!D:D = D447,
                  'Raw PhocalPoint Data'!E:E = E447,
                  'Raw PhocalPoint Data'!F:F = F447
                ) - 1
              ) / 5
            )
          )
        )
      )
    "&amp;") *
    INDEX('Raw GDP data'!$I$2:$M$100,
      MATCH(D447, 'Raw GDP data'!$H$2:$H$100, 0),
      MATCH(A447, 'Raw GDP data'!$I$1:$M$1, 0)
    )
  )),
  """"
)
"),3976657227.16596)</f>
        <v>3976657227.1659598</v>
      </c>
      <c r="H447" s="86"/>
      <c r="I447" s="87">
        <f ca="1">IFERROR(__xludf.DUMMYFUNCTION("""COMPUTED_VALUE"""),2016)</f>
        <v>2016</v>
      </c>
      <c r="J447" s="88" t="str">
        <f ca="1">IFERROR(__xludf.DUMMYFUNCTION("""COMPUTED_VALUE"""),"Japan")</f>
        <v>Japan</v>
      </c>
      <c r="K447" s="89">
        <f ca="1">IFERROR(
  SUMIFS(
    'New Backfilled Data'!G:G,
    'New Backfilled Data'!A:A, I447,
    'New Backfilled Data'!D:D, J447,
    'New Backfilled Data'!E:E, "Online"
  ) /
  SUMIFS(
    'New Backfilled Data'!G:G,
    'New Backfilled Data'!A:A, I447,
    'New Backfilled Data'!D:D, J447
  ),
  ""
)</f>
        <v>0.38075943437942295</v>
      </c>
      <c r="L447" s="90"/>
      <c r="M447" s="90"/>
    </row>
    <row r="448" spans="1:13" ht="17" x14ac:dyDescent="0.2">
      <c r="A448" s="37">
        <v>2008</v>
      </c>
      <c r="B448" s="38" t="s">
        <v>66</v>
      </c>
      <c r="C448" s="38" t="s">
        <v>27</v>
      </c>
      <c r="D448" s="38" t="s">
        <v>33</v>
      </c>
      <c r="E448" s="38" t="s">
        <v>69</v>
      </c>
      <c r="F448" s="38" t="s">
        <v>70</v>
      </c>
      <c r="G448" s="79">
        <f ca="1">IFERROR(__xludf.DUMMYFUNCTION("IFERROR(
  IF(A448 = 2008,
    IF(E448 = ""Online"",
      FILTER('Raw PhocalPoint Data'!G:G,
        'Raw PhocalPoint Data'!A:A = 2009,
        'Raw PhocalPoint Data'!D:D = D448,
        'Raw PhocalPoint Data'!E:E = E448,
        'Raw PhocalPoint Data'!F"&amp;":F = F448
      ) /
      (
        FILTER('Raw PhocalPoint Data'!G:G,
          'Raw PhocalPoint Data'!A:A = 2012,
          'Raw PhocalPoint Data'!D:D = D448,
          'Raw PhocalPoint Data'!E:E = E448,
          'Raw PhocalPoint Data'!F:F = F448
     "&amp;"   ) /
        FILTER('Raw PhocalPoint Data'!G:G,
          'Raw PhocalPoint Data'!A:A = 2011,
          'Raw PhocalPoint Data'!D:D = D448,
          'Raw PhocalPoint Data'!E:E = E448,
          'Raw PhocalPoint Data'!F:F = F448
        )
      ),
      F"&amp;"ILTER('Raw PhocalPoint Data'!G:G,
        'Raw PhocalPoint Data'!A:A = 2009,
        'Raw PhocalPoint Data'!D:D = D448,
        'Raw PhocalPoint Data'!E:E = E448,
        'Raw PhocalPoint Data'!F:F = F448
      ) *
      (
        INDEX('Raw GDP data'!$I$"&amp;"2:$M$100,
          MATCH(D448, 'Raw GDP data'!$H$2:$H$100, 0),
          MATCH(2008, 'Raw GDP data'!$I$1:$M$1, 0)
        ) /
        INDEX('Raw GDP data'!$I$2:$M$100,
          MATCH(D448, 'Raw GDP data'!$H$2:$H$100, 0),
          MATCH(2009, 'Raw GDP d"&amp;"ata'!$I$1:$M$1, 0)
        )
      )
    ),
  IF(A448 &lt; 2008,
    (
      FILTER(G:G,
        A:A = 2008,
        D:D = D448,
        E:E = E448,
        F:F = F448
      ) /
      PRODUCT(
        ARRAYFORMULA(
          (
            (
              FIL"&amp;"TER('Raw PhocalPoint Data'!G:G,
                'Raw PhocalPoint Data'!A:A = 2012,
                'Raw PhocalPoint Data'!D:D = D448,
                'Raw PhocalPoint Data'!E:E = E448,
                'Raw PhocalPoint Data'!F:F = F448
              ) /
  "&amp;"            FILTER('Raw PhocalPoint Data'!G:G,
                'Raw PhocalPoint Data'!A:A = 2011,
                'Raw PhocalPoint Data'!D:D = D448,
                'Raw PhocalPoint Data'!E:E = E448,
                'Raw PhocalPoint Data'!F:F = F448
     "&amp;"         ) -
              ROW(INDIRECT(""1:"" &amp; (2008 - A448))) *
              (
                (
                  FILTER('Raw PhocalPoint Data'!G:G,
                    'Raw PhocalPoint Data'!A:A = 2012,
                    'Raw PhocalPoint Data'!D:D"&amp;" = D448,
                    'Raw PhocalPoint Data'!E:E = E448,
                    'Raw PhocalPoint Data'!F:F = F448
                  ) /
                  FILTER('Raw PhocalPoint Data'!G:G,
                    'Raw PhocalPoint Data'!A:A = 2011,
       "&amp;"             'Raw PhocalPoint Data'!D:D = D448,
                    'Raw PhocalPoint Data'!E:E = E448,
                    'Raw PhocalPoint Data'!F:F = F448
                  ) - 1
                ) / 5
              )
            )
          )
        )
"&amp;"      )
    ),
    (
      FILTER('Raw PhocalPoint Data'!G:G,
        'Raw PhocalPoint Data'!A:A = 2009,
        'Raw PhocalPoint Data'!D:D = D448,
        'Raw PhocalPoint Data'!E:E = E448,
        'Raw PhocalPoint Data'!F:F = F448
      ) /
      PRODUC"&amp;"T(
        ARRAYFORMULA(
          (
            FILTER('Raw PhocalPoint Data'!G:G,
              'Raw PhocalPoint Data'!A:A = 2012,
              'Raw PhocalPoint Data'!D:D = D448,
              'Raw PhocalPoint Data'!E:E = E448,
              'Raw Phoca"&amp;"lPoint Data'!F:F = F448
            ) /
            FILTER('Raw PhocalPoint Data'!G:G,
              'Raw PhocalPoint Data'!A:A = 2011,
              'Raw PhocalPoint Data'!D:D = D448,
              'Raw PhocalPoint Data'!E:E = E448,
              'Raw Ph"&amp;"ocalPoint Data'!F:F = F448
            ) -
            (ROW(INDIRECT(""1:"" &amp; (2010 - A448))) - 1) *
            (
              (
                FILTER('Raw PhocalPoint Data'!G:G,
                  'Raw PhocalPoint Data'!A:A = 2012,
                  'R"&amp;"aw PhocalPoint Data'!D:D = D448,
                  'Raw PhocalPoint Data'!E:E = E448,
                  'Raw PhocalPoint Data'!F:F = F448
                ) /
                FILTER('Raw PhocalPoint Data'!G:G,
                  'Raw PhocalPoint Data'!A:A ="&amp;" 2011,
                  'Raw PhocalPoint Data'!D:D = D448,
                  'Raw PhocalPoint Data'!E:E = E448,
                  'Raw PhocalPoint Data'!F:F = F448
                ) - 1
              ) / 5
            )
          )
        )
      )
    "&amp;") *
    INDEX('Raw GDP data'!$I$2:$M$100,
      MATCH(D448, 'Raw GDP data'!$H$2:$H$100, 0),
      MATCH(A448, 'Raw GDP data'!$I$1:$M$1, 0)
    )
  )),
  """"
)
"),12377625156.0233)</f>
        <v>12377625156.0233</v>
      </c>
      <c r="H448" s="80"/>
      <c r="I448" s="81">
        <f ca="1">IFERROR(__xludf.DUMMYFUNCTION("""COMPUTED_VALUE"""),2016)</f>
        <v>2016</v>
      </c>
      <c r="J448" s="82" t="str">
        <f ca="1">IFERROR(__xludf.DUMMYFUNCTION("""COMPUTED_VALUE"""),"Macau")</f>
        <v>Macau</v>
      </c>
      <c r="K448" s="83">
        <f ca="1">IFERROR(
  SUMIFS(
    'New Backfilled Data'!G:G,
    'New Backfilled Data'!A:A, I448,
    'New Backfilled Data'!D:D, J448,
    'New Backfilled Data'!E:E, "Online"
  ) /
  SUMIFS(
    'New Backfilled Data'!G:G,
    'New Backfilled Data'!A:A, I448,
    'New Backfilled Data'!D:D, J448
  ),
  ""
)</f>
        <v>0.14999999996953398</v>
      </c>
      <c r="L448" s="84"/>
      <c r="M448" s="84"/>
    </row>
    <row r="449" spans="1:13" ht="17" x14ac:dyDescent="0.2">
      <c r="A449" s="44">
        <v>2008</v>
      </c>
      <c r="B449" s="45" t="s">
        <v>66</v>
      </c>
      <c r="C449" s="45" t="s">
        <v>35</v>
      </c>
      <c r="D449" s="45" t="s">
        <v>34</v>
      </c>
      <c r="E449" s="45" t="s">
        <v>67</v>
      </c>
      <c r="F449" s="45" t="s">
        <v>67</v>
      </c>
      <c r="G449" s="85">
        <f ca="1">IFERROR(__xludf.DUMMYFUNCTION("IFERROR(
  IF(A449 = 2008,
    IF(E449 = ""Online"",
      FILTER('Raw PhocalPoint Data'!G:G,
        'Raw PhocalPoint Data'!A:A = 2009,
        'Raw PhocalPoint Data'!D:D = D449,
        'Raw PhocalPoint Data'!E:E = E449,
        'Raw PhocalPoint Data'!F"&amp;":F = F449
      ) /
      (
        FILTER('Raw PhocalPoint Data'!G:G,
          'Raw PhocalPoint Data'!A:A = 2012,
          'Raw PhocalPoint Data'!D:D = D449,
          'Raw PhocalPoint Data'!E:E = E449,
          'Raw PhocalPoint Data'!F:F = F449
     "&amp;"   ) /
        FILTER('Raw PhocalPoint Data'!G:G,
          'Raw PhocalPoint Data'!A:A = 2011,
          'Raw PhocalPoint Data'!D:D = D449,
          'Raw PhocalPoint Data'!E:E = E449,
          'Raw PhocalPoint Data'!F:F = F449
        )
      ),
      F"&amp;"ILTER('Raw PhocalPoint Data'!G:G,
        'Raw PhocalPoint Data'!A:A = 2009,
        'Raw PhocalPoint Data'!D:D = D449,
        'Raw PhocalPoint Data'!E:E = E449,
        'Raw PhocalPoint Data'!F:F = F449
      ) *
      (
        INDEX('Raw GDP data'!$I$"&amp;"2:$M$100,
          MATCH(D449, 'Raw GDP data'!$H$2:$H$100, 0),
          MATCH(2008, 'Raw GDP data'!$I$1:$M$1, 0)
        ) /
        INDEX('Raw GDP data'!$I$2:$M$100,
          MATCH(D449, 'Raw GDP data'!$H$2:$H$100, 0),
          MATCH(2009, 'Raw GDP d"&amp;"ata'!$I$1:$M$1, 0)
        )
      )
    ),
  IF(A449 &lt; 2008,
    (
      FILTER(G:G,
        A:A = 2008,
        D:D = D449,
        E:E = E449,
        F:F = F449
      ) /
      PRODUCT(
        ARRAYFORMULA(
          (
            (
              FIL"&amp;"TER('Raw PhocalPoint Data'!G:G,
                'Raw PhocalPoint Data'!A:A = 2012,
                'Raw PhocalPoint Data'!D:D = D449,
                'Raw PhocalPoint Data'!E:E = E449,
                'Raw PhocalPoint Data'!F:F = F449
              ) /
  "&amp;"            FILTER('Raw PhocalPoint Data'!G:G,
                'Raw PhocalPoint Data'!A:A = 2011,
                'Raw PhocalPoint Data'!D:D = D449,
                'Raw PhocalPoint Data'!E:E = E449,
                'Raw PhocalPoint Data'!F:F = F449
     "&amp;"         ) -
              ROW(INDIRECT(""1:"" &amp; (2008 - A449))) *
              (
                (
                  FILTER('Raw PhocalPoint Data'!G:G,
                    'Raw PhocalPoint Data'!A:A = 2012,
                    'Raw PhocalPoint Data'!D:D"&amp;" = D449,
                    'Raw PhocalPoint Data'!E:E = E449,
                    'Raw PhocalPoint Data'!F:F = F449
                  ) /
                  FILTER('Raw PhocalPoint Data'!G:G,
                    'Raw PhocalPoint Data'!A:A = 2011,
       "&amp;"             'Raw PhocalPoint Data'!D:D = D449,
                    'Raw PhocalPoint Data'!E:E = E449,
                    'Raw PhocalPoint Data'!F:F = F449
                  ) - 1
                ) / 5
              )
            )
          )
        )
"&amp;"      )
    ),
    (
      FILTER('Raw PhocalPoint Data'!G:G,
        'Raw PhocalPoint Data'!A:A = 2009,
        'Raw PhocalPoint Data'!D:D = D449,
        'Raw PhocalPoint Data'!E:E = E449,
        'Raw PhocalPoint Data'!F:F = F449
      ) /
      PRODUC"&amp;"T(
        ARRAYFORMULA(
          (
            FILTER('Raw PhocalPoint Data'!G:G,
              'Raw PhocalPoint Data'!A:A = 2012,
              'Raw PhocalPoint Data'!D:D = D449,
              'Raw PhocalPoint Data'!E:E = E449,
              'Raw Phoca"&amp;"lPoint Data'!F:F = F449
            ) /
            FILTER('Raw PhocalPoint Data'!G:G,
              'Raw PhocalPoint Data'!A:A = 2011,
              'Raw PhocalPoint Data'!D:D = D449,
              'Raw PhocalPoint Data'!E:E = E449,
              'Raw Ph"&amp;"ocalPoint Data'!F:F = F449
            ) -
            (ROW(INDIRECT(""1:"" &amp; (2010 - A449))) - 1) *
            (
              (
                FILTER('Raw PhocalPoint Data'!G:G,
                  'Raw PhocalPoint Data'!A:A = 2012,
                  'R"&amp;"aw PhocalPoint Data'!D:D = D449,
                  'Raw PhocalPoint Data'!E:E = E449,
                  'Raw PhocalPoint Data'!F:F = F449
                ) /
                FILTER('Raw PhocalPoint Data'!G:G,
                  'Raw PhocalPoint Data'!A:A ="&amp;" 2011,
                  'Raw PhocalPoint Data'!D:D = D449,
                  'Raw PhocalPoint Data'!E:E = E449,
                  'Raw PhocalPoint Data'!F:F = F449
                ) - 1
              ) / 5
            )
          )
        )
      )
    "&amp;") *
    INDEX('Raw GDP data'!$I$2:$M$100,
      MATCH(D449, 'Raw GDP data'!$H$2:$H$100, 0),
      MATCH(A449, 'Raw GDP data'!$I$1:$M$1, 0)
    )
  )),
  """"
)
"),9471540120.25147)</f>
        <v>9471540120.2514706</v>
      </c>
      <c r="H449" s="86"/>
      <c r="I449" s="87">
        <f ca="1">IFERROR(__xludf.DUMMYFUNCTION("""COMPUTED_VALUE"""),2016)</f>
        <v>2016</v>
      </c>
      <c r="J449" s="88" t="str">
        <f ca="1">IFERROR(__xludf.DUMMYFUNCTION("""COMPUTED_VALUE"""),"Malaysia")</f>
        <v>Malaysia</v>
      </c>
      <c r="K449" s="89">
        <f ca="1">IFERROR(
  SUMIFS(
    'New Backfilled Data'!G:G,
    'New Backfilled Data'!A:A, I449,
    'New Backfilled Data'!D:D, J449,
    'New Backfilled Data'!E:E, "Online"
  ) /
  SUMIFS(
    'New Backfilled Data'!G:G,
    'New Backfilled Data'!A:A, I449,
    'New Backfilled Data'!D:D, J449
  ),
  ""
)</f>
        <v>0.40062979897148482</v>
      </c>
      <c r="L449" s="90"/>
      <c r="M449" s="90"/>
    </row>
    <row r="450" spans="1:13" ht="17" x14ac:dyDescent="0.2">
      <c r="A450" s="37">
        <v>2008</v>
      </c>
      <c r="B450" s="38" t="s">
        <v>66</v>
      </c>
      <c r="C450" s="38" t="s">
        <v>35</v>
      </c>
      <c r="D450" s="38" t="s">
        <v>34</v>
      </c>
      <c r="E450" s="38" t="s">
        <v>69</v>
      </c>
      <c r="F450" s="38" t="s">
        <v>71</v>
      </c>
      <c r="G450" s="79">
        <f ca="1">IFERROR(__xludf.DUMMYFUNCTION("IFERROR(
  IF(A450 = 2008,
    IF(E450 = ""Online"",
      FILTER('Raw PhocalPoint Data'!G:G,
        'Raw PhocalPoint Data'!A:A = 2009,
        'Raw PhocalPoint Data'!D:D = D450,
        'Raw PhocalPoint Data'!E:E = E450,
        'Raw PhocalPoint Data'!F"&amp;":F = F450
      ) /
      (
        FILTER('Raw PhocalPoint Data'!G:G,
          'Raw PhocalPoint Data'!A:A = 2012,
          'Raw PhocalPoint Data'!D:D = D450,
          'Raw PhocalPoint Data'!E:E = E450,
          'Raw PhocalPoint Data'!F:F = F450
     "&amp;"   ) /
        FILTER('Raw PhocalPoint Data'!G:G,
          'Raw PhocalPoint Data'!A:A = 2011,
          'Raw PhocalPoint Data'!D:D = D450,
          'Raw PhocalPoint Data'!E:E = E450,
          'Raw PhocalPoint Data'!F:F = F450
        )
      ),
      F"&amp;"ILTER('Raw PhocalPoint Data'!G:G,
        'Raw PhocalPoint Data'!A:A = 2009,
        'Raw PhocalPoint Data'!D:D = D450,
        'Raw PhocalPoint Data'!E:E = E450,
        'Raw PhocalPoint Data'!F:F = F450
      ) *
      (
        INDEX('Raw GDP data'!$I$"&amp;"2:$M$100,
          MATCH(D450, 'Raw GDP data'!$H$2:$H$100, 0),
          MATCH(2008, 'Raw GDP data'!$I$1:$M$1, 0)
        ) /
        INDEX('Raw GDP data'!$I$2:$M$100,
          MATCH(D450, 'Raw GDP data'!$H$2:$H$100, 0),
          MATCH(2009, 'Raw GDP d"&amp;"ata'!$I$1:$M$1, 0)
        )
      )
    ),
  IF(A450 &lt; 2008,
    (
      FILTER(G:G,
        A:A = 2008,
        D:D = D450,
        E:E = E450,
        F:F = F450
      ) /
      PRODUCT(
        ARRAYFORMULA(
          (
            (
              FIL"&amp;"TER('Raw PhocalPoint Data'!G:G,
                'Raw PhocalPoint Data'!A:A = 2012,
                'Raw PhocalPoint Data'!D:D = D450,
                'Raw PhocalPoint Data'!E:E = E450,
                'Raw PhocalPoint Data'!F:F = F450
              ) /
  "&amp;"            FILTER('Raw PhocalPoint Data'!G:G,
                'Raw PhocalPoint Data'!A:A = 2011,
                'Raw PhocalPoint Data'!D:D = D450,
                'Raw PhocalPoint Data'!E:E = E450,
                'Raw PhocalPoint Data'!F:F = F450
     "&amp;"         ) -
              ROW(INDIRECT(""1:"" &amp; (2008 - A450))) *
              (
                (
                  FILTER('Raw PhocalPoint Data'!G:G,
                    'Raw PhocalPoint Data'!A:A = 2012,
                    'Raw PhocalPoint Data'!D:D"&amp;" = D450,
                    'Raw PhocalPoint Data'!E:E = E450,
                    'Raw PhocalPoint Data'!F:F = F450
                  ) /
                  FILTER('Raw PhocalPoint Data'!G:G,
                    'Raw PhocalPoint Data'!A:A = 2011,
       "&amp;"             'Raw PhocalPoint Data'!D:D = D450,
                    'Raw PhocalPoint Data'!E:E = E450,
                    'Raw PhocalPoint Data'!F:F = F450
                  ) - 1
                ) / 5
              )
            )
          )
        )
"&amp;"      )
    ),
    (
      FILTER('Raw PhocalPoint Data'!G:G,
        'Raw PhocalPoint Data'!A:A = 2009,
        'Raw PhocalPoint Data'!D:D = D450,
        'Raw PhocalPoint Data'!E:E = E450,
        'Raw PhocalPoint Data'!F:F = F450
      ) /
      PRODUC"&amp;"T(
        ARRAYFORMULA(
          (
            FILTER('Raw PhocalPoint Data'!G:G,
              'Raw PhocalPoint Data'!A:A = 2012,
              'Raw PhocalPoint Data'!D:D = D450,
              'Raw PhocalPoint Data'!E:E = E450,
              'Raw Phoca"&amp;"lPoint Data'!F:F = F450
            ) /
            FILTER('Raw PhocalPoint Data'!G:G,
              'Raw PhocalPoint Data'!A:A = 2011,
              'Raw PhocalPoint Data'!D:D = D450,
              'Raw PhocalPoint Data'!E:E = E450,
              'Raw Ph"&amp;"ocalPoint Data'!F:F = F450
            ) -
            (ROW(INDIRECT(""1:"" &amp; (2010 - A450))) - 1) *
            (
              (
                FILTER('Raw PhocalPoint Data'!G:G,
                  'Raw PhocalPoint Data'!A:A = 2012,
                  'R"&amp;"aw PhocalPoint Data'!D:D = D450,
                  'Raw PhocalPoint Data'!E:E = E450,
                  'Raw PhocalPoint Data'!F:F = F450
                ) /
                FILTER('Raw PhocalPoint Data'!G:G,
                  'Raw PhocalPoint Data'!A:A ="&amp;" 2011,
                  'Raw PhocalPoint Data'!D:D = D450,
                  'Raw PhocalPoint Data'!E:E = E450,
                  'Raw PhocalPoint Data'!F:F = F450
                ) - 1
              ) / 5
            )
          )
        )
      )
    "&amp;") *
    INDEX('Raw GDP data'!$I$2:$M$100,
      MATCH(D450, 'Raw GDP data'!$H$2:$H$100, 0),
      MATCH(A450, 'Raw GDP data'!$I$1:$M$1, 0)
    )
  )),
  """"
)
"),171599752.160713)</f>
        <v>171599752.16071299</v>
      </c>
      <c r="H450" s="80"/>
      <c r="I450" s="81">
        <f ca="1">IFERROR(__xludf.DUMMYFUNCTION("""COMPUTED_VALUE"""),2016)</f>
        <v>2016</v>
      </c>
      <c r="J450" s="82" t="str">
        <f ca="1">IFERROR(__xludf.DUMMYFUNCTION("""COMPUTED_VALUE"""),"Singapore")</f>
        <v>Singapore</v>
      </c>
      <c r="K450" s="83">
        <f ca="1">IFERROR(
  SUMIFS(
    'New Backfilled Data'!G:G,
    'New Backfilled Data'!A:A, I450,
    'New Backfilled Data'!D:D, J450,
    'New Backfilled Data'!E:E, "Online"
  ) /
  SUMIFS(
    'New Backfilled Data'!G:G,
    'New Backfilled Data'!A:A, I450,
    'New Backfilled Data'!D:D, J450
  ),
  ""
)</f>
        <v>0.3722958347112344</v>
      </c>
      <c r="L450" s="84"/>
      <c r="M450" s="84"/>
    </row>
    <row r="451" spans="1:13" ht="17" x14ac:dyDescent="0.2">
      <c r="A451" s="44">
        <v>2008</v>
      </c>
      <c r="B451" s="45" t="s">
        <v>66</v>
      </c>
      <c r="C451" s="45" t="s">
        <v>35</v>
      </c>
      <c r="D451" s="45" t="s">
        <v>34</v>
      </c>
      <c r="E451" s="45" t="s">
        <v>69</v>
      </c>
      <c r="F451" s="45" t="s">
        <v>70</v>
      </c>
      <c r="G451" s="85">
        <f ca="1">IFERROR(__xludf.DUMMYFUNCTION("IFERROR(
  IF(A451 = 2008,
    IF(E451 = ""Online"",
      FILTER('Raw PhocalPoint Data'!G:G,
        'Raw PhocalPoint Data'!A:A = 2009,
        'Raw PhocalPoint Data'!D:D = D451,
        'Raw PhocalPoint Data'!E:E = E451,
        'Raw PhocalPoint Data'!F"&amp;":F = F451
      ) /
      (
        FILTER('Raw PhocalPoint Data'!G:G,
          'Raw PhocalPoint Data'!A:A = 2012,
          'Raw PhocalPoint Data'!D:D = D451,
          'Raw PhocalPoint Data'!E:E = E451,
          'Raw PhocalPoint Data'!F:F = F451
     "&amp;"   ) /
        FILTER('Raw PhocalPoint Data'!G:G,
          'Raw PhocalPoint Data'!A:A = 2011,
          'Raw PhocalPoint Data'!D:D = D451,
          'Raw PhocalPoint Data'!E:E = E451,
          'Raw PhocalPoint Data'!F:F = F451
        )
      ),
      F"&amp;"ILTER('Raw PhocalPoint Data'!G:G,
        'Raw PhocalPoint Data'!A:A = 2009,
        'Raw PhocalPoint Data'!D:D = D451,
        'Raw PhocalPoint Data'!E:E = E451,
        'Raw PhocalPoint Data'!F:F = F451
      ) *
      (
        INDEX('Raw GDP data'!$I$"&amp;"2:$M$100,
          MATCH(D451, 'Raw GDP data'!$H$2:$H$100, 0),
          MATCH(2008, 'Raw GDP data'!$I$1:$M$1, 0)
        ) /
        INDEX('Raw GDP data'!$I$2:$M$100,
          MATCH(D451, 'Raw GDP data'!$H$2:$H$100, 0),
          MATCH(2009, 'Raw GDP d"&amp;"ata'!$I$1:$M$1, 0)
        )
      )
    ),
  IF(A451 &lt; 2008,
    (
      FILTER(G:G,
        A:A = 2008,
        D:D = D451,
        E:E = E451,
        F:F = F451
      ) /
      PRODUCT(
        ARRAYFORMULA(
          (
            (
              FIL"&amp;"TER('Raw PhocalPoint Data'!G:G,
                'Raw PhocalPoint Data'!A:A = 2012,
                'Raw PhocalPoint Data'!D:D = D451,
                'Raw PhocalPoint Data'!E:E = E451,
                'Raw PhocalPoint Data'!F:F = F451
              ) /
  "&amp;"            FILTER('Raw PhocalPoint Data'!G:G,
                'Raw PhocalPoint Data'!A:A = 2011,
                'Raw PhocalPoint Data'!D:D = D451,
                'Raw PhocalPoint Data'!E:E = E451,
                'Raw PhocalPoint Data'!F:F = F451
     "&amp;"         ) -
              ROW(INDIRECT(""1:"" &amp; (2008 - A451))) *
              (
                (
                  FILTER('Raw PhocalPoint Data'!G:G,
                    'Raw PhocalPoint Data'!A:A = 2012,
                    'Raw PhocalPoint Data'!D:D"&amp;" = D451,
                    'Raw PhocalPoint Data'!E:E = E451,
                    'Raw PhocalPoint Data'!F:F = F451
                  ) /
                  FILTER('Raw PhocalPoint Data'!G:G,
                    'Raw PhocalPoint Data'!A:A = 2011,
       "&amp;"             'Raw PhocalPoint Data'!D:D = D451,
                    'Raw PhocalPoint Data'!E:E = E451,
                    'Raw PhocalPoint Data'!F:F = F451
                  ) - 1
                ) / 5
              )
            )
          )
        )
"&amp;"      )
    ),
    (
      FILTER('Raw PhocalPoint Data'!G:G,
        'Raw PhocalPoint Data'!A:A = 2009,
        'Raw PhocalPoint Data'!D:D = D451,
        'Raw PhocalPoint Data'!E:E = E451,
        'Raw PhocalPoint Data'!F:F = F451
      ) /
      PRODUC"&amp;"T(
        ARRAYFORMULA(
          (
            FILTER('Raw PhocalPoint Data'!G:G,
              'Raw PhocalPoint Data'!A:A = 2012,
              'Raw PhocalPoint Data'!D:D = D451,
              'Raw PhocalPoint Data'!E:E = E451,
              'Raw Phoca"&amp;"lPoint Data'!F:F = F451
            ) /
            FILTER('Raw PhocalPoint Data'!G:G,
              'Raw PhocalPoint Data'!A:A = 2011,
              'Raw PhocalPoint Data'!D:D = D451,
              'Raw PhocalPoint Data'!E:E = E451,
              'Raw Ph"&amp;"ocalPoint Data'!F:F = F451
            ) -
            (ROW(INDIRECT(""1:"" &amp; (2010 - A451))) - 1) *
            (
              (
                FILTER('Raw PhocalPoint Data'!G:G,
                  'Raw PhocalPoint Data'!A:A = 2012,
                  'R"&amp;"aw PhocalPoint Data'!D:D = D451,
                  'Raw PhocalPoint Data'!E:E = E451,
                  'Raw PhocalPoint Data'!F:F = F451
                ) /
                FILTER('Raw PhocalPoint Data'!G:G,
                  'Raw PhocalPoint Data'!A:A ="&amp;" 2011,
                  'Raw PhocalPoint Data'!D:D = D451,
                  'Raw PhocalPoint Data'!E:E = E451,
                  'Raw PhocalPoint Data'!F:F = F451
                ) - 1
              ) / 5
            )
          )
        )
      )
    "&amp;") *
    INDEX('Raw GDP data'!$I$2:$M$100,
      MATCH(D451, 'Raw GDP data'!$H$2:$H$100, 0),
      MATCH(A451, 'Raw GDP data'!$I$1:$M$1, 0)
    )
  )),
  """"
)
"),149941652.391758)</f>
        <v>149941652.39175799</v>
      </c>
      <c r="H451" s="86"/>
      <c r="I451" s="87">
        <f ca="1">IFERROR(__xludf.DUMMYFUNCTION("""COMPUTED_VALUE"""),2016)</f>
        <v>2016</v>
      </c>
      <c r="J451" s="88" t="str">
        <f ca="1">IFERROR(__xludf.DUMMYFUNCTION("""COMPUTED_VALUE"""),"South Korea")</f>
        <v>South Korea</v>
      </c>
      <c r="K451" s="89">
        <f ca="1">IFERROR(
  SUMIFS(
    'New Backfilled Data'!G:G,
    'New Backfilled Data'!A:A, I451,
    'New Backfilled Data'!D:D, J451,
    'New Backfilled Data'!E:E, "Online"
  ) /
  SUMIFS(
    'New Backfilled Data'!G:G,
    'New Backfilled Data'!A:A, I451,
    'New Backfilled Data'!D:D, J451
  ),
  ""
)</f>
        <v>0.34013298158715166</v>
      </c>
      <c r="L451" s="90"/>
      <c r="M451" s="90"/>
    </row>
    <row r="452" spans="1:13" ht="17" x14ac:dyDescent="0.2">
      <c r="A452" s="37">
        <v>2008</v>
      </c>
      <c r="B452" s="38" t="s">
        <v>66</v>
      </c>
      <c r="C452" s="38" t="s">
        <v>35</v>
      </c>
      <c r="D452" s="38" t="s">
        <v>36</v>
      </c>
      <c r="E452" s="38" t="s">
        <v>67</v>
      </c>
      <c r="F452" s="38" t="s">
        <v>67</v>
      </c>
      <c r="G452" s="79">
        <f ca="1">IFERROR(__xludf.DUMMYFUNCTION("IFERROR(
  IF(A452 = 2008,
    IF(E452 = ""Online"",
      FILTER('Raw PhocalPoint Data'!G:G,
        'Raw PhocalPoint Data'!A:A = 2009,
        'Raw PhocalPoint Data'!D:D = D452,
        'Raw PhocalPoint Data'!E:E = E452,
        'Raw PhocalPoint Data'!F"&amp;":F = F452
      ) /
      (
        FILTER('Raw PhocalPoint Data'!G:G,
          'Raw PhocalPoint Data'!A:A = 2012,
          'Raw PhocalPoint Data'!D:D = D452,
          'Raw PhocalPoint Data'!E:E = E452,
          'Raw PhocalPoint Data'!F:F = F452
     "&amp;"   ) /
        FILTER('Raw PhocalPoint Data'!G:G,
          'Raw PhocalPoint Data'!A:A = 2011,
          'Raw PhocalPoint Data'!D:D = D452,
          'Raw PhocalPoint Data'!E:E = E452,
          'Raw PhocalPoint Data'!F:F = F452
        )
      ),
      F"&amp;"ILTER('Raw PhocalPoint Data'!G:G,
        'Raw PhocalPoint Data'!A:A = 2009,
        'Raw PhocalPoint Data'!D:D = D452,
        'Raw PhocalPoint Data'!E:E = E452,
        'Raw PhocalPoint Data'!F:F = F452
      ) *
      (
        INDEX('Raw GDP data'!$I$"&amp;"2:$M$100,
          MATCH(D452, 'Raw GDP data'!$H$2:$H$100, 0),
          MATCH(2008, 'Raw GDP data'!$I$1:$M$1, 0)
        ) /
        INDEX('Raw GDP data'!$I$2:$M$100,
          MATCH(D452, 'Raw GDP data'!$H$2:$H$100, 0),
          MATCH(2009, 'Raw GDP d"&amp;"ata'!$I$1:$M$1, 0)
        )
      )
    ),
  IF(A452 &lt; 2008,
    (
      FILTER(G:G,
        A:A = 2008,
        D:D = D452,
        E:E = E452,
        F:F = F452
      ) /
      PRODUCT(
        ARRAYFORMULA(
          (
            (
              FIL"&amp;"TER('Raw PhocalPoint Data'!G:G,
                'Raw PhocalPoint Data'!A:A = 2012,
                'Raw PhocalPoint Data'!D:D = D452,
                'Raw PhocalPoint Data'!E:E = E452,
                'Raw PhocalPoint Data'!F:F = F452
              ) /
  "&amp;"            FILTER('Raw PhocalPoint Data'!G:G,
                'Raw PhocalPoint Data'!A:A = 2011,
                'Raw PhocalPoint Data'!D:D = D452,
                'Raw PhocalPoint Data'!E:E = E452,
                'Raw PhocalPoint Data'!F:F = F452
     "&amp;"         ) -
              ROW(INDIRECT(""1:"" &amp; (2008 - A452))) *
              (
                (
                  FILTER('Raw PhocalPoint Data'!G:G,
                    'Raw PhocalPoint Data'!A:A = 2012,
                    'Raw PhocalPoint Data'!D:D"&amp;" = D452,
                    'Raw PhocalPoint Data'!E:E = E452,
                    'Raw PhocalPoint Data'!F:F = F452
                  ) /
                  FILTER('Raw PhocalPoint Data'!G:G,
                    'Raw PhocalPoint Data'!A:A = 2011,
       "&amp;"             'Raw PhocalPoint Data'!D:D = D452,
                    'Raw PhocalPoint Data'!E:E = E452,
                    'Raw PhocalPoint Data'!F:F = F452
                  ) - 1
                ) / 5
              )
            )
          )
        )
"&amp;"      )
    ),
    (
      FILTER('Raw PhocalPoint Data'!G:G,
        'Raw PhocalPoint Data'!A:A = 2009,
        'Raw PhocalPoint Data'!D:D = D452,
        'Raw PhocalPoint Data'!E:E = E452,
        'Raw PhocalPoint Data'!F:F = F452
      ) /
      PRODUC"&amp;"T(
        ARRAYFORMULA(
          (
            FILTER('Raw PhocalPoint Data'!G:G,
              'Raw PhocalPoint Data'!A:A = 2012,
              'Raw PhocalPoint Data'!D:D = D452,
              'Raw PhocalPoint Data'!E:E = E452,
              'Raw Phoca"&amp;"lPoint Data'!F:F = F452
            ) /
            FILTER('Raw PhocalPoint Data'!G:G,
              'Raw PhocalPoint Data'!A:A = 2011,
              'Raw PhocalPoint Data'!D:D = D452,
              'Raw PhocalPoint Data'!E:E = E452,
              'Raw Ph"&amp;"ocalPoint Data'!F:F = F452
            ) -
            (ROW(INDIRECT(""1:"" &amp; (2010 - A452))) - 1) *
            (
              (
                FILTER('Raw PhocalPoint Data'!G:G,
                  'Raw PhocalPoint Data'!A:A = 2012,
                  'R"&amp;"aw PhocalPoint Data'!D:D = D452,
                  'Raw PhocalPoint Data'!E:E = E452,
                  'Raw PhocalPoint Data'!F:F = F452
                ) /
                FILTER('Raw PhocalPoint Data'!G:G,
                  'Raw PhocalPoint Data'!A:A ="&amp;" 2011,
                  'Raw PhocalPoint Data'!D:D = D452,
                  'Raw PhocalPoint Data'!E:E = E452,
                  'Raw PhocalPoint Data'!F:F = F452
                ) - 1
              ) / 5
            )
          )
        )
      )
    "&amp;") *
    INDEX('Raw GDP data'!$I$2:$M$100,
      MATCH(D452, 'Raw GDP data'!$H$2:$H$100, 0),
      MATCH(A452, 'Raw GDP data'!$I$1:$M$1, 0)
    )
  )),
  """"
)
"),37000010407.4274)</f>
        <v>37000010407.427399</v>
      </c>
      <c r="H452" s="80"/>
      <c r="I452" s="81">
        <f ca="1">IFERROR(__xludf.DUMMYFUNCTION("""COMPUTED_VALUE"""),2016)</f>
        <v>2016</v>
      </c>
      <c r="J452" s="82" t="str">
        <f ca="1">IFERROR(__xludf.DUMMYFUNCTION("""COMPUTED_VALUE"""),"Taiwan")</f>
        <v>Taiwan</v>
      </c>
      <c r="K452" s="83">
        <f ca="1">IFERROR(
  SUMIFS(
    'New Backfilled Data'!G:G,
    'New Backfilled Data'!A:A, I452,
    'New Backfilled Data'!D:D, J452,
    'New Backfilled Data'!E:E, "Online"
  ) /
  SUMIFS(
    'New Backfilled Data'!G:G,
    'New Backfilled Data'!A:A, I452,
    'New Backfilled Data'!D:D, J452
  ),
  ""
)</f>
        <v>0.18553801315445226</v>
      </c>
      <c r="L452" s="84"/>
      <c r="M452" s="84"/>
    </row>
    <row r="453" spans="1:13" ht="17" x14ac:dyDescent="0.2">
      <c r="A453" s="44">
        <v>2008</v>
      </c>
      <c r="B453" s="45" t="s">
        <v>66</v>
      </c>
      <c r="C453" s="45" t="s">
        <v>35</v>
      </c>
      <c r="D453" s="45" t="s">
        <v>36</v>
      </c>
      <c r="E453" s="45" t="s">
        <v>69</v>
      </c>
      <c r="F453" s="45" t="s">
        <v>71</v>
      </c>
      <c r="G453" s="85">
        <f ca="1">IFERROR(__xludf.DUMMYFUNCTION("IFERROR(
  IF(A453 = 2008,
    IF(E453 = ""Online"",
      FILTER('Raw PhocalPoint Data'!G:G,
        'Raw PhocalPoint Data'!A:A = 2009,
        'Raw PhocalPoint Data'!D:D = D453,
        'Raw PhocalPoint Data'!E:E = E453,
        'Raw PhocalPoint Data'!F"&amp;":F = F453
      ) /
      (
        FILTER('Raw PhocalPoint Data'!G:G,
          'Raw PhocalPoint Data'!A:A = 2012,
          'Raw PhocalPoint Data'!D:D = D453,
          'Raw PhocalPoint Data'!E:E = E453,
          'Raw PhocalPoint Data'!F:F = F453
     "&amp;"   ) /
        FILTER('Raw PhocalPoint Data'!G:G,
          'Raw PhocalPoint Data'!A:A = 2011,
          'Raw PhocalPoint Data'!D:D = D453,
          'Raw PhocalPoint Data'!E:E = E453,
          'Raw PhocalPoint Data'!F:F = F453
        )
      ),
      F"&amp;"ILTER('Raw PhocalPoint Data'!G:G,
        'Raw PhocalPoint Data'!A:A = 2009,
        'Raw PhocalPoint Data'!D:D = D453,
        'Raw PhocalPoint Data'!E:E = E453,
        'Raw PhocalPoint Data'!F:F = F453
      ) *
      (
        INDEX('Raw GDP data'!$I$"&amp;"2:$M$100,
          MATCH(D453, 'Raw GDP data'!$H$2:$H$100, 0),
          MATCH(2008, 'Raw GDP data'!$I$1:$M$1, 0)
        ) /
        INDEX('Raw GDP data'!$I$2:$M$100,
          MATCH(D453, 'Raw GDP data'!$H$2:$H$100, 0),
          MATCH(2009, 'Raw GDP d"&amp;"ata'!$I$1:$M$1, 0)
        )
      )
    ),
  IF(A453 &lt; 2008,
    (
      FILTER(G:G,
        A:A = 2008,
        D:D = D453,
        E:E = E453,
        F:F = F453
      ) /
      PRODUCT(
        ARRAYFORMULA(
          (
            (
              FIL"&amp;"TER('Raw PhocalPoint Data'!G:G,
                'Raw PhocalPoint Data'!A:A = 2012,
                'Raw PhocalPoint Data'!D:D = D453,
                'Raw PhocalPoint Data'!E:E = E453,
                'Raw PhocalPoint Data'!F:F = F453
              ) /
  "&amp;"            FILTER('Raw PhocalPoint Data'!G:G,
                'Raw PhocalPoint Data'!A:A = 2011,
                'Raw PhocalPoint Data'!D:D = D453,
                'Raw PhocalPoint Data'!E:E = E453,
                'Raw PhocalPoint Data'!F:F = F453
     "&amp;"         ) -
              ROW(INDIRECT(""1:"" &amp; (2008 - A453))) *
              (
                (
                  FILTER('Raw PhocalPoint Data'!G:G,
                    'Raw PhocalPoint Data'!A:A = 2012,
                    'Raw PhocalPoint Data'!D:D"&amp;" = D453,
                    'Raw PhocalPoint Data'!E:E = E453,
                    'Raw PhocalPoint Data'!F:F = F453
                  ) /
                  FILTER('Raw PhocalPoint Data'!G:G,
                    'Raw PhocalPoint Data'!A:A = 2011,
       "&amp;"             'Raw PhocalPoint Data'!D:D = D453,
                    'Raw PhocalPoint Data'!E:E = E453,
                    'Raw PhocalPoint Data'!F:F = F453
                  ) - 1
                ) / 5
              )
            )
          )
        )
"&amp;"      )
    ),
    (
      FILTER('Raw PhocalPoint Data'!G:G,
        'Raw PhocalPoint Data'!A:A = 2009,
        'Raw PhocalPoint Data'!D:D = D453,
        'Raw PhocalPoint Data'!E:E = E453,
        'Raw PhocalPoint Data'!F:F = F453
      ) /
      PRODUC"&amp;"T(
        ARRAYFORMULA(
          (
            FILTER('Raw PhocalPoint Data'!G:G,
              'Raw PhocalPoint Data'!A:A = 2012,
              'Raw PhocalPoint Data'!D:D = D453,
              'Raw PhocalPoint Data'!E:E = E453,
              'Raw Phoca"&amp;"lPoint Data'!F:F = F453
            ) /
            FILTER('Raw PhocalPoint Data'!G:G,
              'Raw PhocalPoint Data'!A:A = 2011,
              'Raw PhocalPoint Data'!D:D = D453,
              'Raw PhocalPoint Data'!E:E = E453,
              'Raw Ph"&amp;"ocalPoint Data'!F:F = F453
            ) -
            (ROW(INDIRECT(""1:"" &amp; (2010 - A453))) - 1) *
            (
              (
                FILTER('Raw PhocalPoint Data'!G:G,
                  'Raw PhocalPoint Data'!A:A = 2012,
                  'R"&amp;"aw PhocalPoint Data'!D:D = D453,
                  'Raw PhocalPoint Data'!E:E = E453,
                  'Raw PhocalPoint Data'!F:F = F453
                ) /
                FILTER('Raw PhocalPoint Data'!G:G,
                  'Raw PhocalPoint Data'!A:A ="&amp;" 2011,
                  'Raw PhocalPoint Data'!D:D = D453,
                  'Raw PhocalPoint Data'!E:E = E453,
                  'Raw PhocalPoint Data'!F:F = F453
                ) - 1
              ) / 5
            )
          )
        )
      )
    "&amp;") *
    INDEX('Raw GDP data'!$I$2:$M$100,
      MATCH(D453, 'Raw GDP data'!$H$2:$H$100, 0),
      MATCH(A453, 'Raw GDP data'!$I$1:$M$1, 0)
    )
  )),
  """"
)
"),2170330126.44075)</f>
        <v>2170330126.4407501</v>
      </c>
      <c r="H453" s="86"/>
      <c r="I453" s="87">
        <f ca="1">IFERROR(__xludf.DUMMYFUNCTION("""COMPUTED_VALUE"""),2016)</f>
        <v>2016</v>
      </c>
      <c r="J453" s="88" t="str">
        <f ca="1">IFERROR(__xludf.DUMMYFUNCTION("""COMPUTED_VALUE"""),"Thailand")</f>
        <v>Thailand</v>
      </c>
      <c r="K453" s="89">
        <f ca="1">IFERROR(
  SUMIFS(
    'New Backfilled Data'!G:G,
    'New Backfilled Data'!A:A, I453,
    'New Backfilled Data'!D:D, J453,
    'New Backfilled Data'!E:E, "Online"
  ) /
  SUMIFS(
    'New Backfilled Data'!G:G,
    'New Backfilled Data'!A:A, I453,
    'New Backfilled Data'!D:D, J453
  ),
  ""
)</f>
        <v>0.31654558670068023</v>
      </c>
      <c r="L453" s="90"/>
      <c r="M453" s="90"/>
    </row>
    <row r="454" spans="1:13" ht="17" x14ac:dyDescent="0.2">
      <c r="A454" s="37">
        <v>2008</v>
      </c>
      <c r="B454" s="38" t="s">
        <v>66</v>
      </c>
      <c r="C454" s="38" t="s">
        <v>35</v>
      </c>
      <c r="D454" s="38" t="s">
        <v>36</v>
      </c>
      <c r="E454" s="38" t="s">
        <v>69</v>
      </c>
      <c r="F454" s="38" t="s">
        <v>70</v>
      </c>
      <c r="G454" s="79">
        <f ca="1">IFERROR(__xludf.DUMMYFUNCTION("IFERROR(
  IF(A454 = 2008,
    IF(E454 = ""Online"",
      FILTER('Raw PhocalPoint Data'!G:G,
        'Raw PhocalPoint Data'!A:A = 2009,
        'Raw PhocalPoint Data'!D:D = D454,
        'Raw PhocalPoint Data'!E:E = E454,
        'Raw PhocalPoint Data'!F"&amp;":F = F454
      ) /
      (
        FILTER('Raw PhocalPoint Data'!G:G,
          'Raw PhocalPoint Data'!A:A = 2012,
          'Raw PhocalPoint Data'!D:D = D454,
          'Raw PhocalPoint Data'!E:E = E454,
          'Raw PhocalPoint Data'!F:F = F454
     "&amp;"   ) /
        FILTER('Raw PhocalPoint Data'!G:G,
          'Raw PhocalPoint Data'!A:A = 2011,
          'Raw PhocalPoint Data'!D:D = D454,
          'Raw PhocalPoint Data'!E:E = E454,
          'Raw PhocalPoint Data'!F:F = F454
        )
      ),
      F"&amp;"ILTER('Raw PhocalPoint Data'!G:G,
        'Raw PhocalPoint Data'!A:A = 2009,
        'Raw PhocalPoint Data'!D:D = D454,
        'Raw PhocalPoint Data'!E:E = E454,
        'Raw PhocalPoint Data'!F:F = F454
      ) *
      (
        INDEX('Raw GDP data'!$I$"&amp;"2:$M$100,
          MATCH(D454, 'Raw GDP data'!$H$2:$H$100, 0),
          MATCH(2008, 'Raw GDP data'!$I$1:$M$1, 0)
        ) /
        INDEX('Raw GDP data'!$I$2:$M$100,
          MATCH(D454, 'Raw GDP data'!$H$2:$H$100, 0),
          MATCH(2009, 'Raw GDP d"&amp;"ata'!$I$1:$M$1, 0)
        )
      )
    ),
  IF(A454 &lt; 2008,
    (
      FILTER(G:G,
        A:A = 2008,
        D:D = D454,
        E:E = E454,
        F:F = F454
      ) /
      PRODUCT(
        ARRAYFORMULA(
          (
            (
              FIL"&amp;"TER('Raw PhocalPoint Data'!G:G,
                'Raw PhocalPoint Data'!A:A = 2012,
                'Raw PhocalPoint Data'!D:D = D454,
                'Raw PhocalPoint Data'!E:E = E454,
                'Raw PhocalPoint Data'!F:F = F454
              ) /
  "&amp;"            FILTER('Raw PhocalPoint Data'!G:G,
                'Raw PhocalPoint Data'!A:A = 2011,
                'Raw PhocalPoint Data'!D:D = D454,
                'Raw PhocalPoint Data'!E:E = E454,
                'Raw PhocalPoint Data'!F:F = F454
     "&amp;"         ) -
              ROW(INDIRECT(""1:"" &amp; (2008 - A454))) *
              (
                (
                  FILTER('Raw PhocalPoint Data'!G:G,
                    'Raw PhocalPoint Data'!A:A = 2012,
                    'Raw PhocalPoint Data'!D:D"&amp;" = D454,
                    'Raw PhocalPoint Data'!E:E = E454,
                    'Raw PhocalPoint Data'!F:F = F454
                  ) /
                  FILTER('Raw PhocalPoint Data'!G:G,
                    'Raw PhocalPoint Data'!A:A = 2011,
       "&amp;"             'Raw PhocalPoint Data'!D:D = D454,
                    'Raw PhocalPoint Data'!E:E = E454,
                    'Raw PhocalPoint Data'!F:F = F454
                  ) - 1
                ) / 5
              )
            )
          )
        )
"&amp;"      )
    ),
    (
      FILTER('Raw PhocalPoint Data'!G:G,
        'Raw PhocalPoint Data'!A:A = 2009,
        'Raw PhocalPoint Data'!D:D = D454,
        'Raw PhocalPoint Data'!E:E = E454,
        'Raw PhocalPoint Data'!F:F = F454
      ) /
      PRODUC"&amp;"T(
        ARRAYFORMULA(
          (
            FILTER('Raw PhocalPoint Data'!G:G,
              'Raw PhocalPoint Data'!A:A = 2012,
              'Raw PhocalPoint Data'!D:D = D454,
              'Raw PhocalPoint Data'!E:E = E454,
              'Raw Phoca"&amp;"lPoint Data'!F:F = F454
            ) /
            FILTER('Raw PhocalPoint Data'!G:G,
              'Raw PhocalPoint Data'!A:A = 2011,
              'Raw PhocalPoint Data'!D:D = D454,
              'Raw PhocalPoint Data'!E:E = E454,
              'Raw Ph"&amp;"ocalPoint Data'!F:F = F454
            ) -
            (ROW(INDIRECT(""1:"" &amp; (2010 - A454))) - 1) *
            (
              (
                FILTER('Raw PhocalPoint Data'!G:G,
                  'Raw PhocalPoint Data'!A:A = 2012,
                  'R"&amp;"aw PhocalPoint Data'!D:D = D454,
                  'Raw PhocalPoint Data'!E:E = E454,
                  'Raw PhocalPoint Data'!F:F = F454
                ) /
                FILTER('Raw PhocalPoint Data'!G:G,
                  'Raw PhocalPoint Data'!A:A ="&amp;" 2011,
                  'Raw PhocalPoint Data'!D:D = D454,
                  'Raw PhocalPoint Data'!E:E = E454,
                  'Raw PhocalPoint Data'!F:F = F454
                ) - 1
              ) / 5
            )
          )
        )
      )
    "&amp;") *
    INDEX('Raw GDP data'!$I$2:$M$100,
      MATCH(D454, 'Raw GDP data'!$H$2:$H$100, 0),
      MATCH(A454, 'Raw GDP data'!$I$1:$M$1, 0)
    )
  )),
  """"
)
"),1215456121.79787)</f>
        <v>1215456121.7978699</v>
      </c>
      <c r="H454" s="80"/>
      <c r="I454" s="81">
        <f ca="1">IFERROR(__xludf.DUMMYFUNCTION("""COMPUTED_VALUE"""),2016)</f>
        <v>2016</v>
      </c>
      <c r="J454" s="82" t="str">
        <f ca="1">IFERROR(__xludf.DUMMYFUNCTION("""COMPUTED_VALUE"""),"Bulgaria")</f>
        <v>Bulgaria</v>
      </c>
      <c r="K454" s="83">
        <f ca="1">IFERROR(
  SUMIFS(
    'New Backfilled Data'!G:G,
    'New Backfilled Data'!A:A, I454,
    'New Backfilled Data'!D:D, J454,
    'New Backfilled Data'!E:E, "Online"
  ) /
  SUMIFS(
    'New Backfilled Data'!G:G,
    'New Backfilled Data'!A:A, I454,
    'New Backfilled Data'!D:D, J454
  ),
  ""
)</f>
        <v>0.27956198019344758</v>
      </c>
      <c r="L454" s="84"/>
      <c r="M454" s="84"/>
    </row>
    <row r="455" spans="1:13" ht="17" x14ac:dyDescent="0.2">
      <c r="A455" s="44">
        <v>2008</v>
      </c>
      <c r="B455" s="45" t="s">
        <v>66</v>
      </c>
      <c r="C455" s="45" t="s">
        <v>35</v>
      </c>
      <c r="D455" s="45" t="s">
        <v>37</v>
      </c>
      <c r="E455" s="45" t="s">
        <v>67</v>
      </c>
      <c r="F455" s="45" t="s">
        <v>67</v>
      </c>
      <c r="G455" s="85">
        <f ca="1">IFERROR(__xludf.DUMMYFUNCTION("IFERROR(
  IF(A455 = 2008,
    IF(E455 = ""Online"",
      FILTER('Raw PhocalPoint Data'!G:G,
        'Raw PhocalPoint Data'!A:A = 2009,
        'Raw PhocalPoint Data'!D:D = D455,
        'Raw PhocalPoint Data'!E:E = E455,
        'Raw PhocalPoint Data'!F"&amp;":F = F455
      ) /
      (
        FILTER('Raw PhocalPoint Data'!G:G,
          'Raw PhocalPoint Data'!A:A = 2012,
          'Raw PhocalPoint Data'!D:D = D455,
          'Raw PhocalPoint Data'!E:E = E455,
          'Raw PhocalPoint Data'!F:F = F455
     "&amp;"   ) /
        FILTER('Raw PhocalPoint Data'!G:G,
          'Raw PhocalPoint Data'!A:A = 2011,
          'Raw PhocalPoint Data'!D:D = D455,
          'Raw PhocalPoint Data'!E:E = E455,
          'Raw PhocalPoint Data'!F:F = F455
        )
      ),
      F"&amp;"ILTER('Raw PhocalPoint Data'!G:G,
        'Raw PhocalPoint Data'!A:A = 2009,
        'Raw PhocalPoint Data'!D:D = D455,
        'Raw PhocalPoint Data'!E:E = E455,
        'Raw PhocalPoint Data'!F:F = F455
      ) *
      (
        INDEX('Raw GDP data'!$I$"&amp;"2:$M$100,
          MATCH(D455, 'Raw GDP data'!$H$2:$H$100, 0),
          MATCH(2008, 'Raw GDP data'!$I$1:$M$1, 0)
        ) /
        INDEX('Raw GDP data'!$I$2:$M$100,
          MATCH(D455, 'Raw GDP data'!$H$2:$H$100, 0),
          MATCH(2009, 'Raw GDP d"&amp;"ata'!$I$1:$M$1, 0)
        )
      )
    ),
  IF(A455 &lt; 2008,
    (
      FILTER(G:G,
        A:A = 2008,
        D:D = D455,
        E:E = E455,
        F:F = F455
      ) /
      PRODUCT(
        ARRAYFORMULA(
          (
            (
              FIL"&amp;"TER('Raw PhocalPoint Data'!G:G,
                'Raw PhocalPoint Data'!A:A = 2012,
                'Raw PhocalPoint Data'!D:D = D455,
                'Raw PhocalPoint Data'!E:E = E455,
                'Raw PhocalPoint Data'!F:F = F455
              ) /
  "&amp;"            FILTER('Raw PhocalPoint Data'!G:G,
                'Raw PhocalPoint Data'!A:A = 2011,
                'Raw PhocalPoint Data'!D:D = D455,
                'Raw PhocalPoint Data'!E:E = E455,
                'Raw PhocalPoint Data'!F:F = F455
     "&amp;"         ) -
              ROW(INDIRECT(""1:"" &amp; (2008 - A455))) *
              (
                (
                  FILTER('Raw PhocalPoint Data'!G:G,
                    'Raw PhocalPoint Data'!A:A = 2012,
                    'Raw PhocalPoint Data'!D:D"&amp;" = D455,
                    'Raw PhocalPoint Data'!E:E = E455,
                    'Raw PhocalPoint Data'!F:F = F455
                  ) /
                  FILTER('Raw PhocalPoint Data'!G:G,
                    'Raw PhocalPoint Data'!A:A = 2011,
       "&amp;"             'Raw PhocalPoint Data'!D:D = D455,
                    'Raw PhocalPoint Data'!E:E = E455,
                    'Raw PhocalPoint Data'!F:F = F455
                  ) - 1
                ) / 5
              )
            )
          )
        )
"&amp;"      )
    ),
    (
      FILTER('Raw PhocalPoint Data'!G:G,
        'Raw PhocalPoint Data'!A:A = 2009,
        'Raw PhocalPoint Data'!D:D = D455,
        'Raw PhocalPoint Data'!E:E = E455,
        'Raw PhocalPoint Data'!F:F = F455
      ) /
      PRODUC"&amp;"T(
        ARRAYFORMULA(
          (
            FILTER('Raw PhocalPoint Data'!G:G,
              'Raw PhocalPoint Data'!A:A = 2012,
              'Raw PhocalPoint Data'!D:D = D455,
              'Raw PhocalPoint Data'!E:E = E455,
              'Raw Phoca"&amp;"lPoint Data'!F:F = F455
            ) /
            FILTER('Raw PhocalPoint Data'!G:G,
              'Raw PhocalPoint Data'!A:A = 2011,
              'Raw PhocalPoint Data'!D:D = D455,
              'Raw PhocalPoint Data'!E:E = E455,
              'Raw Ph"&amp;"ocalPoint Data'!F:F = F455
            ) -
            (ROW(INDIRECT(""1:"" &amp; (2010 - A455))) - 1) *
            (
              (
                FILTER('Raw PhocalPoint Data'!G:G,
                  'Raw PhocalPoint Data'!A:A = 2012,
                  'R"&amp;"aw PhocalPoint Data'!D:D = D455,
                  'Raw PhocalPoint Data'!E:E = E455,
                  'Raw PhocalPoint Data'!F:F = F455
                ) /
                FILTER('Raw PhocalPoint Data'!G:G,
                  'Raw PhocalPoint Data'!A:A ="&amp;" 2011,
                  'Raw PhocalPoint Data'!D:D = D455,
                  'Raw PhocalPoint Data'!E:E = E455,
                  'Raw PhocalPoint Data'!F:F = F455
                ) - 1
              ) / 5
            )
          )
        )
      )
    "&amp;") *
    INDEX('Raw GDP data'!$I$2:$M$100,
      MATCH(D455, 'Raw GDP data'!$H$2:$H$100, 0),
      MATCH(A455, 'Raw GDP data'!$I$1:$M$1, 0)
    )
  )),
  """"
)
"),3979148024.41648)</f>
        <v>3979148024.4164801</v>
      </c>
      <c r="H455" s="86"/>
      <c r="I455" s="87">
        <f ca="1">IFERROR(__xludf.DUMMYFUNCTION("""COMPUTED_VALUE"""),2016)</f>
        <v>2016</v>
      </c>
      <c r="J455" s="88" t="str">
        <f ca="1">IFERROR(__xludf.DUMMYFUNCTION("""COMPUTED_VALUE"""),"Czech Republic")</f>
        <v>Czech Republic</v>
      </c>
      <c r="K455" s="89">
        <f ca="1">IFERROR(
  SUMIFS(
    'New Backfilled Data'!G:G,
    'New Backfilled Data'!A:A, I455,
    'New Backfilled Data'!D:D, J455,
    'New Backfilled Data'!E:E, "Online"
  ) /
  SUMIFS(
    'New Backfilled Data'!G:G,
    'New Backfilled Data'!A:A, I455,
    'New Backfilled Data'!D:D, J455
  ),
  ""
)</f>
        <v>0.33903663887549229</v>
      </c>
      <c r="L455" s="90"/>
      <c r="M455" s="90"/>
    </row>
    <row r="456" spans="1:13" ht="17" x14ac:dyDescent="0.2">
      <c r="A456" s="37">
        <v>2008</v>
      </c>
      <c r="B456" s="38" t="s">
        <v>66</v>
      </c>
      <c r="C456" s="38" t="s">
        <v>35</v>
      </c>
      <c r="D456" s="38" t="s">
        <v>37</v>
      </c>
      <c r="E456" s="38" t="s">
        <v>69</v>
      </c>
      <c r="F456" s="38" t="s">
        <v>71</v>
      </c>
      <c r="G456" s="79">
        <f ca="1">IFERROR(__xludf.DUMMYFUNCTION("IFERROR(
  IF(A456 = 2008,
    IF(E456 = ""Online"",
      FILTER('Raw PhocalPoint Data'!G:G,
        'Raw PhocalPoint Data'!A:A = 2009,
        'Raw PhocalPoint Data'!D:D = D456,
        'Raw PhocalPoint Data'!E:E = E456,
        'Raw PhocalPoint Data'!F"&amp;":F = F456
      ) /
      (
        FILTER('Raw PhocalPoint Data'!G:G,
          'Raw PhocalPoint Data'!A:A = 2012,
          'Raw PhocalPoint Data'!D:D = D456,
          'Raw PhocalPoint Data'!E:E = E456,
          'Raw PhocalPoint Data'!F:F = F456
     "&amp;"   ) /
        FILTER('Raw PhocalPoint Data'!G:G,
          'Raw PhocalPoint Data'!A:A = 2011,
          'Raw PhocalPoint Data'!D:D = D456,
          'Raw PhocalPoint Data'!E:E = E456,
          'Raw PhocalPoint Data'!F:F = F456
        )
      ),
      F"&amp;"ILTER('Raw PhocalPoint Data'!G:G,
        'Raw PhocalPoint Data'!A:A = 2009,
        'Raw PhocalPoint Data'!D:D = D456,
        'Raw PhocalPoint Data'!E:E = E456,
        'Raw PhocalPoint Data'!F:F = F456
      ) *
      (
        INDEX('Raw GDP data'!$I$"&amp;"2:$M$100,
          MATCH(D456, 'Raw GDP data'!$H$2:$H$100, 0),
          MATCH(2008, 'Raw GDP data'!$I$1:$M$1, 0)
        ) /
        INDEX('Raw GDP data'!$I$2:$M$100,
          MATCH(D456, 'Raw GDP data'!$H$2:$H$100, 0),
          MATCH(2009, 'Raw GDP d"&amp;"ata'!$I$1:$M$1, 0)
        )
      )
    ),
  IF(A456 &lt; 2008,
    (
      FILTER(G:G,
        A:A = 2008,
        D:D = D456,
        E:E = E456,
        F:F = F456
      ) /
      PRODUCT(
        ARRAYFORMULA(
          (
            (
              FIL"&amp;"TER('Raw PhocalPoint Data'!G:G,
                'Raw PhocalPoint Data'!A:A = 2012,
                'Raw PhocalPoint Data'!D:D = D456,
                'Raw PhocalPoint Data'!E:E = E456,
                'Raw PhocalPoint Data'!F:F = F456
              ) /
  "&amp;"            FILTER('Raw PhocalPoint Data'!G:G,
                'Raw PhocalPoint Data'!A:A = 2011,
                'Raw PhocalPoint Data'!D:D = D456,
                'Raw PhocalPoint Data'!E:E = E456,
                'Raw PhocalPoint Data'!F:F = F456
     "&amp;"         ) -
              ROW(INDIRECT(""1:"" &amp; (2008 - A456))) *
              (
                (
                  FILTER('Raw PhocalPoint Data'!G:G,
                    'Raw PhocalPoint Data'!A:A = 2012,
                    'Raw PhocalPoint Data'!D:D"&amp;" = D456,
                    'Raw PhocalPoint Data'!E:E = E456,
                    'Raw PhocalPoint Data'!F:F = F456
                  ) /
                  FILTER('Raw PhocalPoint Data'!G:G,
                    'Raw PhocalPoint Data'!A:A = 2011,
       "&amp;"             'Raw PhocalPoint Data'!D:D = D456,
                    'Raw PhocalPoint Data'!E:E = E456,
                    'Raw PhocalPoint Data'!F:F = F456
                  ) - 1
                ) / 5
              )
            )
          )
        )
"&amp;"      )
    ),
    (
      FILTER('Raw PhocalPoint Data'!G:G,
        'Raw PhocalPoint Data'!A:A = 2009,
        'Raw PhocalPoint Data'!D:D = D456,
        'Raw PhocalPoint Data'!E:E = E456,
        'Raw PhocalPoint Data'!F:F = F456
      ) /
      PRODUC"&amp;"T(
        ARRAYFORMULA(
          (
            FILTER('Raw PhocalPoint Data'!G:G,
              'Raw PhocalPoint Data'!A:A = 2012,
              'Raw PhocalPoint Data'!D:D = D456,
              'Raw PhocalPoint Data'!E:E = E456,
              'Raw Phoca"&amp;"lPoint Data'!F:F = F456
            ) /
            FILTER('Raw PhocalPoint Data'!G:G,
              'Raw PhocalPoint Data'!A:A = 2011,
              'Raw PhocalPoint Data'!D:D = D456,
              'Raw PhocalPoint Data'!E:E = E456,
              'Raw Ph"&amp;"ocalPoint Data'!F:F = F456
            ) -
            (ROW(INDIRECT(""1:"" &amp; (2010 - A456))) - 1) *
            (
              (
                FILTER('Raw PhocalPoint Data'!G:G,
                  'Raw PhocalPoint Data'!A:A = 2012,
                  'R"&amp;"aw PhocalPoint Data'!D:D = D456,
                  'Raw PhocalPoint Data'!E:E = E456,
                  'Raw PhocalPoint Data'!F:F = F456
                ) /
                FILTER('Raw PhocalPoint Data'!G:G,
                  'Raw PhocalPoint Data'!A:A ="&amp;" 2011,
                  'Raw PhocalPoint Data'!D:D = D456,
                  'Raw PhocalPoint Data'!E:E = E456,
                  'Raw PhocalPoint Data'!F:F = F456
                ) - 1
              ) / 5
            )
          )
        )
      )
    "&amp;") *
    INDEX('Raw GDP data'!$I$2:$M$100,
      MATCH(D456, 'Raw GDP data'!$H$2:$H$100, 0),
      MATCH(A456, 'Raw GDP data'!$I$1:$M$1, 0)
    )
  )),
  """"
)
"),137113396.432762)</f>
        <v>137113396.432762</v>
      </c>
      <c r="H456" s="80"/>
      <c r="I456" s="81">
        <f ca="1">IFERROR(__xludf.DUMMYFUNCTION("""COMPUTED_VALUE"""),2016)</f>
        <v>2016</v>
      </c>
      <c r="J456" s="82" t="str">
        <f ca="1">IFERROR(__xludf.DUMMYFUNCTION("""COMPUTED_VALUE"""),"Greece")</f>
        <v>Greece</v>
      </c>
      <c r="K456" s="83">
        <f ca="1">IFERROR(
  SUMIFS(
    'New Backfilled Data'!G:G,
    'New Backfilled Data'!A:A, I456,
    'New Backfilled Data'!D:D, J456,
    'New Backfilled Data'!E:E, "Online"
  ) /
  SUMIFS(
    'New Backfilled Data'!G:G,
    'New Backfilled Data'!A:A, I456,
    'New Backfilled Data'!D:D, J456
  ),
  ""
)</f>
        <v>0.22029693430173319</v>
      </c>
      <c r="L456" s="84"/>
      <c r="M456" s="84"/>
    </row>
    <row r="457" spans="1:13" ht="17" x14ac:dyDescent="0.2">
      <c r="A457" s="44">
        <v>2008</v>
      </c>
      <c r="B457" s="45" t="s">
        <v>66</v>
      </c>
      <c r="C457" s="45" t="s">
        <v>35</v>
      </c>
      <c r="D457" s="45" t="s">
        <v>37</v>
      </c>
      <c r="E457" s="45" t="s">
        <v>69</v>
      </c>
      <c r="F457" s="45" t="s">
        <v>70</v>
      </c>
      <c r="G457" s="85">
        <f ca="1">IFERROR(__xludf.DUMMYFUNCTION("IFERROR(
  IF(A457 = 2008,
    IF(E457 = ""Online"",
      FILTER('Raw PhocalPoint Data'!G:G,
        'Raw PhocalPoint Data'!A:A = 2009,
        'Raw PhocalPoint Data'!D:D = D457,
        'Raw PhocalPoint Data'!E:E = E457,
        'Raw PhocalPoint Data'!F"&amp;":F = F457
      ) /
      (
        FILTER('Raw PhocalPoint Data'!G:G,
          'Raw PhocalPoint Data'!A:A = 2012,
          'Raw PhocalPoint Data'!D:D = D457,
          'Raw PhocalPoint Data'!E:E = E457,
          'Raw PhocalPoint Data'!F:F = F457
     "&amp;"   ) /
        FILTER('Raw PhocalPoint Data'!G:G,
          'Raw PhocalPoint Data'!A:A = 2011,
          'Raw PhocalPoint Data'!D:D = D457,
          'Raw PhocalPoint Data'!E:E = E457,
          'Raw PhocalPoint Data'!F:F = F457
        )
      ),
      F"&amp;"ILTER('Raw PhocalPoint Data'!G:G,
        'Raw PhocalPoint Data'!A:A = 2009,
        'Raw PhocalPoint Data'!D:D = D457,
        'Raw PhocalPoint Data'!E:E = E457,
        'Raw PhocalPoint Data'!F:F = F457
      ) *
      (
        INDEX('Raw GDP data'!$I$"&amp;"2:$M$100,
          MATCH(D457, 'Raw GDP data'!$H$2:$H$100, 0),
          MATCH(2008, 'Raw GDP data'!$I$1:$M$1, 0)
        ) /
        INDEX('Raw GDP data'!$I$2:$M$100,
          MATCH(D457, 'Raw GDP data'!$H$2:$H$100, 0),
          MATCH(2009, 'Raw GDP d"&amp;"ata'!$I$1:$M$1, 0)
        )
      )
    ),
  IF(A457 &lt; 2008,
    (
      FILTER(G:G,
        A:A = 2008,
        D:D = D457,
        E:E = E457,
        F:F = F457
      ) /
      PRODUCT(
        ARRAYFORMULA(
          (
            (
              FIL"&amp;"TER('Raw PhocalPoint Data'!G:G,
                'Raw PhocalPoint Data'!A:A = 2012,
                'Raw PhocalPoint Data'!D:D = D457,
                'Raw PhocalPoint Data'!E:E = E457,
                'Raw PhocalPoint Data'!F:F = F457
              ) /
  "&amp;"            FILTER('Raw PhocalPoint Data'!G:G,
                'Raw PhocalPoint Data'!A:A = 2011,
                'Raw PhocalPoint Data'!D:D = D457,
                'Raw PhocalPoint Data'!E:E = E457,
                'Raw PhocalPoint Data'!F:F = F457
     "&amp;"         ) -
              ROW(INDIRECT(""1:"" &amp; (2008 - A457))) *
              (
                (
                  FILTER('Raw PhocalPoint Data'!G:G,
                    'Raw PhocalPoint Data'!A:A = 2012,
                    'Raw PhocalPoint Data'!D:D"&amp;" = D457,
                    'Raw PhocalPoint Data'!E:E = E457,
                    'Raw PhocalPoint Data'!F:F = F457
                  ) /
                  FILTER('Raw PhocalPoint Data'!G:G,
                    'Raw PhocalPoint Data'!A:A = 2011,
       "&amp;"             'Raw PhocalPoint Data'!D:D = D457,
                    'Raw PhocalPoint Data'!E:E = E457,
                    'Raw PhocalPoint Data'!F:F = F457
                  ) - 1
                ) / 5
              )
            )
          )
        )
"&amp;"      )
    ),
    (
      FILTER('Raw PhocalPoint Data'!G:G,
        'Raw PhocalPoint Data'!A:A = 2009,
        'Raw PhocalPoint Data'!D:D = D457,
        'Raw PhocalPoint Data'!E:E = E457,
        'Raw PhocalPoint Data'!F:F = F457
      ) /
      PRODUC"&amp;"T(
        ARRAYFORMULA(
          (
            FILTER('Raw PhocalPoint Data'!G:G,
              'Raw PhocalPoint Data'!A:A = 2012,
              'Raw PhocalPoint Data'!D:D = D457,
              'Raw PhocalPoint Data'!E:E = E457,
              'Raw Phoca"&amp;"lPoint Data'!F:F = F457
            ) /
            FILTER('Raw PhocalPoint Data'!G:G,
              'Raw PhocalPoint Data'!A:A = 2011,
              'Raw PhocalPoint Data'!D:D = D457,
              'Raw PhocalPoint Data'!E:E = E457,
              'Raw Ph"&amp;"ocalPoint Data'!F:F = F457
            ) -
            (ROW(INDIRECT(""1:"" &amp; (2010 - A457))) - 1) *
            (
              (
                FILTER('Raw PhocalPoint Data'!G:G,
                  'Raw PhocalPoint Data'!A:A = 2012,
                  'R"&amp;"aw PhocalPoint Data'!D:D = D457,
                  'Raw PhocalPoint Data'!E:E = E457,
                  'Raw PhocalPoint Data'!F:F = F457
                ) /
                FILTER('Raw PhocalPoint Data'!G:G,
                  'Raw PhocalPoint Data'!A:A ="&amp;" 2011,
                  'Raw PhocalPoint Data'!D:D = D457,
                  'Raw PhocalPoint Data'!E:E = E457,
                  'Raw PhocalPoint Data'!F:F = F457
                ) - 1
              ) / 5
            )
          )
        )
      )
    "&amp;") *
    INDEX('Raw GDP data'!$I$2:$M$100,
      MATCH(D457, 'Raw GDP data'!$H$2:$H$100, 0),
      MATCH(A457, 'Raw GDP data'!$I$1:$M$1, 0)
    )
  )),
  """"
)
"),586953895.073857)</f>
        <v>586953895.07385695</v>
      </c>
      <c r="H457" s="86"/>
      <c r="I457" s="87">
        <f ca="1">IFERROR(__xludf.DUMMYFUNCTION("""COMPUTED_VALUE"""),2016)</f>
        <v>2016</v>
      </c>
      <c r="J457" s="88" t="str">
        <f ca="1">IFERROR(__xludf.DUMMYFUNCTION("""COMPUTED_VALUE"""),"Hungary")</f>
        <v>Hungary</v>
      </c>
      <c r="K457" s="89">
        <f ca="1">IFERROR(
  SUMIFS(
    'New Backfilled Data'!G:G,
    'New Backfilled Data'!A:A, I457,
    'New Backfilled Data'!D:D, J457,
    'New Backfilled Data'!E:E, "Online"
  ) /
  SUMIFS(
    'New Backfilled Data'!G:G,
    'New Backfilled Data'!A:A, I457,
    'New Backfilled Data'!D:D, J457
  ),
  ""
)</f>
        <v>0.43204310610013846</v>
      </c>
      <c r="L457" s="90"/>
      <c r="M457" s="90"/>
    </row>
    <row r="458" spans="1:13" ht="17" x14ac:dyDescent="0.2">
      <c r="A458" s="37">
        <v>2008</v>
      </c>
      <c r="B458" s="38" t="s">
        <v>66</v>
      </c>
      <c r="C458" s="38" t="s">
        <v>35</v>
      </c>
      <c r="D458" s="38" t="s">
        <v>38</v>
      </c>
      <c r="E458" s="38" t="s">
        <v>67</v>
      </c>
      <c r="F458" s="38" t="s">
        <v>67</v>
      </c>
      <c r="G458" s="79">
        <f ca="1">IFERROR(__xludf.DUMMYFUNCTION("IFERROR(
  IF(A458 = 2008,
    IF(E458 = ""Online"",
      FILTER('Raw PhocalPoint Data'!G:G,
        'Raw PhocalPoint Data'!A:A = 2009,
        'Raw PhocalPoint Data'!D:D = D458,
        'Raw PhocalPoint Data'!E:E = E458,
        'Raw PhocalPoint Data'!F"&amp;":F = F458
      ) /
      (
        FILTER('Raw PhocalPoint Data'!G:G,
          'Raw PhocalPoint Data'!A:A = 2012,
          'Raw PhocalPoint Data'!D:D = D458,
          'Raw PhocalPoint Data'!E:E = E458,
          'Raw PhocalPoint Data'!F:F = F458
     "&amp;"   ) /
        FILTER('Raw PhocalPoint Data'!G:G,
          'Raw PhocalPoint Data'!A:A = 2011,
          'Raw PhocalPoint Data'!D:D = D458,
          'Raw PhocalPoint Data'!E:E = E458,
          'Raw PhocalPoint Data'!F:F = F458
        )
      ),
      F"&amp;"ILTER('Raw PhocalPoint Data'!G:G,
        'Raw PhocalPoint Data'!A:A = 2009,
        'Raw PhocalPoint Data'!D:D = D458,
        'Raw PhocalPoint Data'!E:E = E458,
        'Raw PhocalPoint Data'!F:F = F458
      ) *
      (
        INDEX('Raw GDP data'!$I$"&amp;"2:$M$100,
          MATCH(D458, 'Raw GDP data'!$H$2:$H$100, 0),
          MATCH(2008, 'Raw GDP data'!$I$1:$M$1, 0)
        ) /
        INDEX('Raw GDP data'!$I$2:$M$100,
          MATCH(D458, 'Raw GDP data'!$H$2:$H$100, 0),
          MATCH(2009, 'Raw GDP d"&amp;"ata'!$I$1:$M$1, 0)
        )
      )
    ),
  IF(A458 &lt; 2008,
    (
      FILTER(G:G,
        A:A = 2008,
        D:D = D458,
        E:E = E458,
        F:F = F458
      ) /
      PRODUCT(
        ARRAYFORMULA(
          (
            (
              FIL"&amp;"TER('Raw PhocalPoint Data'!G:G,
                'Raw PhocalPoint Data'!A:A = 2012,
                'Raw PhocalPoint Data'!D:D = D458,
                'Raw PhocalPoint Data'!E:E = E458,
                'Raw PhocalPoint Data'!F:F = F458
              ) /
  "&amp;"            FILTER('Raw PhocalPoint Data'!G:G,
                'Raw PhocalPoint Data'!A:A = 2011,
                'Raw PhocalPoint Data'!D:D = D458,
                'Raw PhocalPoint Data'!E:E = E458,
                'Raw PhocalPoint Data'!F:F = F458
     "&amp;"         ) -
              ROW(INDIRECT(""1:"" &amp; (2008 - A458))) *
              (
                (
                  FILTER('Raw PhocalPoint Data'!G:G,
                    'Raw PhocalPoint Data'!A:A = 2012,
                    'Raw PhocalPoint Data'!D:D"&amp;" = D458,
                    'Raw PhocalPoint Data'!E:E = E458,
                    'Raw PhocalPoint Data'!F:F = F458
                  ) /
                  FILTER('Raw PhocalPoint Data'!G:G,
                    'Raw PhocalPoint Data'!A:A = 2011,
       "&amp;"             'Raw PhocalPoint Data'!D:D = D458,
                    'Raw PhocalPoint Data'!E:E = E458,
                    'Raw PhocalPoint Data'!F:F = F458
                  ) - 1
                ) / 5
              )
            )
          )
        )
"&amp;"      )
    ),
    (
      FILTER('Raw PhocalPoint Data'!G:G,
        'Raw PhocalPoint Data'!A:A = 2009,
        'Raw PhocalPoint Data'!D:D = D458,
        'Raw PhocalPoint Data'!E:E = E458,
        'Raw PhocalPoint Data'!F:F = F458
      ) /
      PRODUC"&amp;"T(
        ARRAYFORMULA(
          (
            FILTER('Raw PhocalPoint Data'!G:G,
              'Raw PhocalPoint Data'!A:A = 2012,
              'Raw PhocalPoint Data'!D:D = D458,
              'Raw PhocalPoint Data'!E:E = E458,
              'Raw Phoca"&amp;"lPoint Data'!F:F = F458
            ) /
            FILTER('Raw PhocalPoint Data'!G:G,
              'Raw PhocalPoint Data'!A:A = 2011,
              'Raw PhocalPoint Data'!D:D = D458,
              'Raw PhocalPoint Data'!E:E = E458,
              'Raw Ph"&amp;"ocalPoint Data'!F:F = F458
            ) -
            (ROW(INDIRECT(""1:"" &amp; (2010 - A458))) - 1) *
            (
              (
                FILTER('Raw PhocalPoint Data'!G:G,
                  'Raw PhocalPoint Data'!A:A = 2012,
                  'R"&amp;"aw PhocalPoint Data'!D:D = D458,
                  'Raw PhocalPoint Data'!E:E = E458,
                  'Raw PhocalPoint Data'!F:F = F458
                ) /
                FILTER('Raw PhocalPoint Data'!G:G,
                  'Raw PhocalPoint Data'!A:A ="&amp;" 2011,
                  'Raw PhocalPoint Data'!D:D = D458,
                  'Raw PhocalPoint Data'!E:E = E458,
                  'Raw PhocalPoint Data'!F:F = F458
                ) - 1
              ) / 5
            )
          )
        )
      )
    "&amp;") *
    INDEX('Raw GDP data'!$I$2:$M$100,
      MATCH(D458, 'Raw GDP data'!$H$2:$H$100, 0),
      MATCH(A458, 'Raw GDP data'!$I$1:$M$1, 0)
    )
  )),
  """"
)
"),8107216023.43808)</f>
        <v>8107216023.4380798</v>
      </c>
      <c r="H458" s="80"/>
      <c r="I458" s="81">
        <f ca="1">IFERROR(__xludf.DUMMYFUNCTION("""COMPUTED_VALUE"""),2016)</f>
        <v>2016</v>
      </c>
      <c r="J458" s="82" t="str">
        <f ca="1">IFERROR(__xludf.DUMMYFUNCTION("""COMPUTED_VALUE"""),"Poland")</f>
        <v>Poland</v>
      </c>
      <c r="K458" s="83">
        <f ca="1">IFERROR(
  SUMIFS(
    'New Backfilled Data'!G:G,
    'New Backfilled Data'!A:A, I458,
    'New Backfilled Data'!D:D, J458,
    'New Backfilled Data'!E:E, "Online"
  ) /
  SUMIFS(
    'New Backfilled Data'!G:G,
    'New Backfilled Data'!A:A, I458,
    'New Backfilled Data'!D:D, J458
  ),
  ""
)</f>
        <v>0.35426308018756247</v>
      </c>
      <c r="L458" s="84"/>
      <c r="M458" s="84"/>
    </row>
    <row r="459" spans="1:13" ht="34" x14ac:dyDescent="0.2">
      <c r="A459" s="44">
        <v>2008</v>
      </c>
      <c r="B459" s="45" t="s">
        <v>66</v>
      </c>
      <c r="C459" s="45" t="s">
        <v>35</v>
      </c>
      <c r="D459" s="45" t="s">
        <v>38</v>
      </c>
      <c r="E459" s="45" t="s">
        <v>69</v>
      </c>
      <c r="F459" s="45" t="s">
        <v>71</v>
      </c>
      <c r="G459" s="85">
        <f ca="1">IFERROR(__xludf.DUMMYFUNCTION("IFERROR(
  IF(A459 = 2008,
    IF(E459 = ""Online"",
      FILTER('Raw PhocalPoint Data'!G:G,
        'Raw PhocalPoint Data'!A:A = 2009,
        'Raw PhocalPoint Data'!D:D = D459,
        'Raw PhocalPoint Data'!E:E = E459,
        'Raw PhocalPoint Data'!F"&amp;":F = F459
      ) /
      (
        FILTER('Raw PhocalPoint Data'!G:G,
          'Raw PhocalPoint Data'!A:A = 2012,
          'Raw PhocalPoint Data'!D:D = D459,
          'Raw PhocalPoint Data'!E:E = E459,
          'Raw PhocalPoint Data'!F:F = F459
     "&amp;"   ) /
        FILTER('Raw PhocalPoint Data'!G:G,
          'Raw PhocalPoint Data'!A:A = 2011,
          'Raw PhocalPoint Data'!D:D = D459,
          'Raw PhocalPoint Data'!E:E = E459,
          'Raw PhocalPoint Data'!F:F = F459
        )
      ),
      F"&amp;"ILTER('Raw PhocalPoint Data'!G:G,
        'Raw PhocalPoint Data'!A:A = 2009,
        'Raw PhocalPoint Data'!D:D = D459,
        'Raw PhocalPoint Data'!E:E = E459,
        'Raw PhocalPoint Data'!F:F = F459
      ) *
      (
        INDEX('Raw GDP data'!$I$"&amp;"2:$M$100,
          MATCH(D459, 'Raw GDP data'!$H$2:$H$100, 0),
          MATCH(2008, 'Raw GDP data'!$I$1:$M$1, 0)
        ) /
        INDEX('Raw GDP data'!$I$2:$M$100,
          MATCH(D459, 'Raw GDP data'!$H$2:$H$100, 0),
          MATCH(2009, 'Raw GDP d"&amp;"ata'!$I$1:$M$1, 0)
        )
      )
    ),
  IF(A459 &lt; 2008,
    (
      FILTER(G:G,
        A:A = 2008,
        D:D = D459,
        E:E = E459,
        F:F = F459
      ) /
      PRODUCT(
        ARRAYFORMULA(
          (
            (
              FIL"&amp;"TER('Raw PhocalPoint Data'!G:G,
                'Raw PhocalPoint Data'!A:A = 2012,
                'Raw PhocalPoint Data'!D:D = D459,
                'Raw PhocalPoint Data'!E:E = E459,
                'Raw PhocalPoint Data'!F:F = F459
              ) /
  "&amp;"            FILTER('Raw PhocalPoint Data'!G:G,
                'Raw PhocalPoint Data'!A:A = 2011,
                'Raw PhocalPoint Data'!D:D = D459,
                'Raw PhocalPoint Data'!E:E = E459,
                'Raw PhocalPoint Data'!F:F = F459
     "&amp;"         ) -
              ROW(INDIRECT(""1:"" &amp; (2008 - A459))) *
              (
                (
                  FILTER('Raw PhocalPoint Data'!G:G,
                    'Raw PhocalPoint Data'!A:A = 2012,
                    'Raw PhocalPoint Data'!D:D"&amp;" = D459,
                    'Raw PhocalPoint Data'!E:E = E459,
                    'Raw PhocalPoint Data'!F:F = F459
                  ) /
                  FILTER('Raw PhocalPoint Data'!G:G,
                    'Raw PhocalPoint Data'!A:A = 2011,
       "&amp;"             'Raw PhocalPoint Data'!D:D = D459,
                    'Raw PhocalPoint Data'!E:E = E459,
                    'Raw PhocalPoint Data'!F:F = F459
                  ) - 1
                ) / 5
              )
            )
          )
        )
"&amp;"      )
    ),
    (
      FILTER('Raw PhocalPoint Data'!G:G,
        'Raw PhocalPoint Data'!A:A = 2009,
        'Raw PhocalPoint Data'!D:D = D459,
        'Raw PhocalPoint Data'!E:E = E459,
        'Raw PhocalPoint Data'!F:F = F459
      ) /
      PRODUC"&amp;"T(
        ARRAYFORMULA(
          (
            FILTER('Raw PhocalPoint Data'!G:G,
              'Raw PhocalPoint Data'!A:A = 2012,
              'Raw PhocalPoint Data'!D:D = D459,
              'Raw PhocalPoint Data'!E:E = E459,
              'Raw Phoca"&amp;"lPoint Data'!F:F = F459
            ) /
            FILTER('Raw PhocalPoint Data'!G:G,
              'Raw PhocalPoint Data'!A:A = 2011,
              'Raw PhocalPoint Data'!D:D = D459,
              'Raw PhocalPoint Data'!E:E = E459,
              'Raw Ph"&amp;"ocalPoint Data'!F:F = F459
            ) -
            (ROW(INDIRECT(""1:"" &amp; (2010 - A459))) - 1) *
            (
              (
                FILTER('Raw PhocalPoint Data'!G:G,
                  'Raw PhocalPoint Data'!A:A = 2012,
                  'R"&amp;"aw PhocalPoint Data'!D:D = D459,
                  'Raw PhocalPoint Data'!E:E = E459,
                  'Raw PhocalPoint Data'!F:F = F459
                ) /
                FILTER('Raw PhocalPoint Data'!G:G,
                  'Raw PhocalPoint Data'!A:A ="&amp;" 2011,
                  'Raw PhocalPoint Data'!D:D = D459,
                  'Raw PhocalPoint Data'!E:E = E459,
                  'Raw PhocalPoint Data'!F:F = F459
                ) - 1
              ) / 5
            )
          )
        )
      )
    "&amp;") *
    INDEX('Raw GDP data'!$I$2:$M$100,
      MATCH(D459, 'Raw GDP data'!$H$2:$H$100, 0),
      MATCH(A459, 'Raw GDP data'!$I$1:$M$1, 0)
    )
  )),
  """"
)
"),242810789.686013)</f>
        <v>242810789.68601301</v>
      </c>
      <c r="H459" s="86"/>
      <c r="I459" s="87">
        <f ca="1">IFERROR(__xludf.DUMMYFUNCTION("""COMPUTED_VALUE"""),2016)</f>
        <v>2016</v>
      </c>
      <c r="J459" s="88" t="str">
        <f ca="1">IFERROR(__xludf.DUMMYFUNCTION("""COMPUTED_VALUE"""),"Rest of Eastern Europe")</f>
        <v>Rest of Eastern Europe</v>
      </c>
      <c r="K459" s="89">
        <f ca="1">IFERROR(
  SUMIFS(
    'New Backfilled Data'!G:G,
    'New Backfilled Data'!A:A, I459,
    'New Backfilled Data'!D:D, J459,
    'New Backfilled Data'!E:E, "Online"
  ) /
  SUMIFS(
    'New Backfilled Data'!G:G,
    'New Backfilled Data'!A:A, I459,
    'New Backfilled Data'!D:D, J459
  ),
  ""
)</f>
        <v>0.39674145730488364</v>
      </c>
      <c r="L459" s="90"/>
      <c r="M459" s="90"/>
    </row>
    <row r="460" spans="1:13" ht="17" x14ac:dyDescent="0.2">
      <c r="A460" s="37">
        <v>2008</v>
      </c>
      <c r="B460" s="38" t="s">
        <v>66</v>
      </c>
      <c r="C460" s="38" t="s">
        <v>35</v>
      </c>
      <c r="D460" s="38" t="s">
        <v>38</v>
      </c>
      <c r="E460" s="38" t="s">
        <v>69</v>
      </c>
      <c r="F460" s="38" t="s">
        <v>70</v>
      </c>
      <c r="G460" s="79">
        <f ca="1">IFERROR(__xludf.DUMMYFUNCTION("IFERROR(
  IF(A460 = 2008,
    IF(E460 = ""Online"",
      FILTER('Raw PhocalPoint Data'!G:G,
        'Raw PhocalPoint Data'!A:A = 2009,
        'Raw PhocalPoint Data'!D:D = D460,
        'Raw PhocalPoint Data'!E:E = E460,
        'Raw PhocalPoint Data'!F"&amp;":F = F460
      ) /
      (
        FILTER('Raw PhocalPoint Data'!G:G,
          'Raw PhocalPoint Data'!A:A = 2012,
          'Raw PhocalPoint Data'!D:D = D460,
          'Raw PhocalPoint Data'!E:E = E460,
          'Raw PhocalPoint Data'!F:F = F460
     "&amp;"   ) /
        FILTER('Raw PhocalPoint Data'!G:G,
          'Raw PhocalPoint Data'!A:A = 2011,
          'Raw PhocalPoint Data'!D:D = D460,
          'Raw PhocalPoint Data'!E:E = E460,
          'Raw PhocalPoint Data'!F:F = F460
        )
      ),
      F"&amp;"ILTER('Raw PhocalPoint Data'!G:G,
        'Raw PhocalPoint Data'!A:A = 2009,
        'Raw PhocalPoint Data'!D:D = D460,
        'Raw PhocalPoint Data'!E:E = E460,
        'Raw PhocalPoint Data'!F:F = F460
      ) *
      (
        INDEX('Raw GDP data'!$I$"&amp;"2:$M$100,
          MATCH(D460, 'Raw GDP data'!$H$2:$H$100, 0),
          MATCH(2008, 'Raw GDP data'!$I$1:$M$1, 0)
        ) /
        INDEX('Raw GDP data'!$I$2:$M$100,
          MATCH(D460, 'Raw GDP data'!$H$2:$H$100, 0),
          MATCH(2009, 'Raw GDP d"&amp;"ata'!$I$1:$M$1, 0)
        )
      )
    ),
  IF(A460 &lt; 2008,
    (
      FILTER(G:G,
        A:A = 2008,
        D:D = D460,
        E:E = E460,
        F:F = F460
      ) /
      PRODUCT(
        ARRAYFORMULA(
          (
            (
              FIL"&amp;"TER('Raw PhocalPoint Data'!G:G,
                'Raw PhocalPoint Data'!A:A = 2012,
                'Raw PhocalPoint Data'!D:D = D460,
                'Raw PhocalPoint Data'!E:E = E460,
                'Raw PhocalPoint Data'!F:F = F460
              ) /
  "&amp;"            FILTER('Raw PhocalPoint Data'!G:G,
                'Raw PhocalPoint Data'!A:A = 2011,
                'Raw PhocalPoint Data'!D:D = D460,
                'Raw PhocalPoint Data'!E:E = E460,
                'Raw PhocalPoint Data'!F:F = F460
     "&amp;"         ) -
              ROW(INDIRECT(""1:"" &amp; (2008 - A460))) *
              (
                (
                  FILTER('Raw PhocalPoint Data'!G:G,
                    'Raw PhocalPoint Data'!A:A = 2012,
                    'Raw PhocalPoint Data'!D:D"&amp;" = D460,
                    'Raw PhocalPoint Data'!E:E = E460,
                    'Raw PhocalPoint Data'!F:F = F460
                  ) /
                  FILTER('Raw PhocalPoint Data'!G:G,
                    'Raw PhocalPoint Data'!A:A = 2011,
       "&amp;"             'Raw PhocalPoint Data'!D:D = D460,
                    'Raw PhocalPoint Data'!E:E = E460,
                    'Raw PhocalPoint Data'!F:F = F460
                  ) - 1
                ) / 5
              )
            )
          )
        )
"&amp;"      )
    ),
    (
      FILTER('Raw PhocalPoint Data'!G:G,
        'Raw PhocalPoint Data'!A:A = 2009,
        'Raw PhocalPoint Data'!D:D = D460,
        'Raw PhocalPoint Data'!E:E = E460,
        'Raw PhocalPoint Data'!F:F = F460
      ) /
      PRODUC"&amp;"T(
        ARRAYFORMULA(
          (
            FILTER('Raw PhocalPoint Data'!G:G,
              'Raw PhocalPoint Data'!A:A = 2012,
              'Raw PhocalPoint Data'!D:D = D460,
              'Raw PhocalPoint Data'!E:E = E460,
              'Raw Phoca"&amp;"lPoint Data'!F:F = F460
            ) /
            FILTER('Raw PhocalPoint Data'!G:G,
              'Raw PhocalPoint Data'!A:A = 2011,
              'Raw PhocalPoint Data'!D:D = D460,
              'Raw PhocalPoint Data'!E:E = E460,
              'Raw Ph"&amp;"ocalPoint Data'!F:F = F460
            ) -
            (ROW(INDIRECT(""1:"" &amp; (2010 - A460))) - 1) *
            (
              (
                FILTER('Raw PhocalPoint Data'!G:G,
                  'Raw PhocalPoint Data'!A:A = 2012,
                  'R"&amp;"aw PhocalPoint Data'!D:D = D460,
                  'Raw PhocalPoint Data'!E:E = E460,
                  'Raw PhocalPoint Data'!F:F = F460
                ) /
                FILTER('Raw PhocalPoint Data'!G:G,
                  'Raw PhocalPoint Data'!A:A ="&amp;" 2011,
                  'Raw PhocalPoint Data'!D:D = D460,
                  'Raw PhocalPoint Data'!E:E = E460,
                  'Raw PhocalPoint Data'!F:F = F460
                ) - 1
              ) / 5
            )
          )
        )
      )
    "&amp;") *
    INDEX('Raw GDP data'!$I$2:$M$100,
      MATCH(D460, 'Raw GDP data'!$H$2:$H$100, 0),
      MATCH(A460, 'Raw GDP data'!$I$1:$M$1, 0)
    )
  )),
  """"
)
"),173513892.184191)</f>
        <v>173513892.18419099</v>
      </c>
      <c r="H460" s="80"/>
      <c r="I460" s="81">
        <f ca="1">IFERROR(__xludf.DUMMYFUNCTION("""COMPUTED_VALUE"""),2016)</f>
        <v>2016</v>
      </c>
      <c r="J460" s="82" t="str">
        <f ca="1">IFERROR(__xludf.DUMMYFUNCTION("""COMPUTED_VALUE"""),"Romania")</f>
        <v>Romania</v>
      </c>
      <c r="K460" s="83">
        <f ca="1">IFERROR(
  SUMIFS(
    'New Backfilled Data'!G:G,
    'New Backfilled Data'!A:A, I460,
    'New Backfilled Data'!D:D, J460,
    'New Backfilled Data'!E:E, "Online"
  ) /
  SUMIFS(
    'New Backfilled Data'!G:G,
    'New Backfilled Data'!A:A, I460,
    'New Backfilled Data'!D:D, J460
  ),
  ""
)</f>
        <v>0.34812074082326711</v>
      </c>
      <c r="L460" s="84"/>
      <c r="M460" s="84"/>
    </row>
    <row r="461" spans="1:13" ht="17" x14ac:dyDescent="0.2">
      <c r="A461" s="44">
        <v>2008</v>
      </c>
      <c r="B461" s="45" t="s">
        <v>66</v>
      </c>
      <c r="C461" s="45" t="s">
        <v>35</v>
      </c>
      <c r="D461" s="45" t="s">
        <v>39</v>
      </c>
      <c r="E461" s="45" t="s">
        <v>67</v>
      </c>
      <c r="F461" s="45" t="s">
        <v>67</v>
      </c>
      <c r="G461" s="85">
        <f ca="1">IFERROR(__xludf.DUMMYFUNCTION("IFERROR(
  IF(A461 = 2008,
    IF(E461 = ""Online"",
      FILTER('Raw PhocalPoint Data'!G:G,
        'Raw PhocalPoint Data'!A:A = 2009,
        'Raw PhocalPoint Data'!D:D = D461,
        'Raw PhocalPoint Data'!E:E = E461,
        'Raw PhocalPoint Data'!F"&amp;":F = F461
      ) /
      (
        FILTER('Raw PhocalPoint Data'!G:G,
          'Raw PhocalPoint Data'!A:A = 2012,
          'Raw PhocalPoint Data'!D:D = D461,
          'Raw PhocalPoint Data'!E:E = E461,
          'Raw PhocalPoint Data'!F:F = F461
     "&amp;"   ) /
        FILTER('Raw PhocalPoint Data'!G:G,
          'Raw PhocalPoint Data'!A:A = 2011,
          'Raw PhocalPoint Data'!D:D = D461,
          'Raw PhocalPoint Data'!E:E = E461,
          'Raw PhocalPoint Data'!F:F = F461
        )
      ),
      F"&amp;"ILTER('Raw PhocalPoint Data'!G:G,
        'Raw PhocalPoint Data'!A:A = 2009,
        'Raw PhocalPoint Data'!D:D = D461,
        'Raw PhocalPoint Data'!E:E = E461,
        'Raw PhocalPoint Data'!F:F = F461
      ) *
      (
        INDEX('Raw GDP data'!$I$"&amp;"2:$M$100,
          MATCH(D461, 'Raw GDP data'!$H$2:$H$100, 0),
          MATCH(2008, 'Raw GDP data'!$I$1:$M$1, 0)
        ) /
        INDEX('Raw GDP data'!$I$2:$M$100,
          MATCH(D461, 'Raw GDP data'!$H$2:$H$100, 0),
          MATCH(2009, 'Raw GDP d"&amp;"ata'!$I$1:$M$1, 0)
        )
      )
    ),
  IF(A461 &lt; 2008,
    (
      FILTER(G:G,
        A:A = 2008,
        D:D = D461,
        E:E = E461,
        F:F = F461
      ) /
      PRODUCT(
        ARRAYFORMULA(
          (
            (
              FIL"&amp;"TER('Raw PhocalPoint Data'!G:G,
                'Raw PhocalPoint Data'!A:A = 2012,
                'Raw PhocalPoint Data'!D:D = D461,
                'Raw PhocalPoint Data'!E:E = E461,
                'Raw PhocalPoint Data'!F:F = F461
              ) /
  "&amp;"            FILTER('Raw PhocalPoint Data'!G:G,
                'Raw PhocalPoint Data'!A:A = 2011,
                'Raw PhocalPoint Data'!D:D = D461,
                'Raw PhocalPoint Data'!E:E = E461,
                'Raw PhocalPoint Data'!F:F = F461
     "&amp;"         ) -
              ROW(INDIRECT(""1:"" &amp; (2008 - A461))) *
              (
                (
                  FILTER('Raw PhocalPoint Data'!G:G,
                    'Raw PhocalPoint Data'!A:A = 2012,
                    'Raw PhocalPoint Data'!D:D"&amp;" = D461,
                    'Raw PhocalPoint Data'!E:E = E461,
                    'Raw PhocalPoint Data'!F:F = F461
                  ) /
                  FILTER('Raw PhocalPoint Data'!G:G,
                    'Raw PhocalPoint Data'!A:A = 2011,
       "&amp;"             'Raw PhocalPoint Data'!D:D = D461,
                    'Raw PhocalPoint Data'!E:E = E461,
                    'Raw PhocalPoint Data'!F:F = F461
                  ) - 1
                ) / 5
              )
            )
          )
        )
"&amp;"      )
    ),
    (
      FILTER('Raw PhocalPoint Data'!G:G,
        'Raw PhocalPoint Data'!A:A = 2009,
        'Raw PhocalPoint Data'!D:D = D461,
        'Raw PhocalPoint Data'!E:E = E461,
        'Raw PhocalPoint Data'!F:F = F461
      ) /
      PRODUC"&amp;"T(
        ARRAYFORMULA(
          (
            FILTER('Raw PhocalPoint Data'!G:G,
              'Raw PhocalPoint Data'!A:A = 2012,
              'Raw PhocalPoint Data'!D:D = D461,
              'Raw PhocalPoint Data'!E:E = E461,
              'Raw Phoca"&amp;"lPoint Data'!F:F = F461
            ) /
            FILTER('Raw PhocalPoint Data'!G:G,
              'Raw PhocalPoint Data'!A:A = 2011,
              'Raw PhocalPoint Data'!D:D = D461,
              'Raw PhocalPoint Data'!E:E = E461,
              'Raw Ph"&amp;"ocalPoint Data'!F:F = F461
            ) -
            (ROW(INDIRECT(""1:"" &amp; (2010 - A461))) - 1) *
            (
              (
                FILTER('Raw PhocalPoint Data'!G:G,
                  'Raw PhocalPoint Data'!A:A = 2012,
                  'R"&amp;"aw PhocalPoint Data'!D:D = D461,
                  'Raw PhocalPoint Data'!E:E = E461,
                  'Raw PhocalPoint Data'!F:F = F461
                ) /
                FILTER('Raw PhocalPoint Data'!G:G,
                  'Raw PhocalPoint Data'!A:A ="&amp;" 2011,
                  'Raw PhocalPoint Data'!D:D = D461,
                  'Raw PhocalPoint Data'!E:E = E461,
                  'Raw PhocalPoint Data'!F:F = F461
                ) - 1
              ) / 5
            )
          )
        )
      )
    "&amp;") *
    INDEX('Raw GDP data'!$I$2:$M$100,
      MATCH(D461, 'Raw GDP data'!$H$2:$H$100, 0),
      MATCH(A461, 'Raw GDP data'!$I$1:$M$1, 0)
    )
  )),
  """"
)
"),19903766339.8855)</f>
        <v>19903766339.885502</v>
      </c>
      <c r="H461" s="86"/>
      <c r="I461" s="87">
        <f ca="1">IFERROR(__xludf.DUMMYFUNCTION("""COMPUTED_VALUE"""),2016)</f>
        <v>2016</v>
      </c>
      <c r="J461" s="88" t="str">
        <f ca="1">IFERROR(__xludf.DUMMYFUNCTION("""COMPUTED_VALUE"""),"Russia")</f>
        <v>Russia</v>
      </c>
      <c r="K461" s="89">
        <f ca="1">IFERROR(
  SUMIFS(
    'New Backfilled Data'!G:G,
    'New Backfilled Data'!A:A, I461,
    'New Backfilled Data'!D:D, J461,
    'New Backfilled Data'!E:E, "Online"
  ) /
  SUMIFS(
    'New Backfilled Data'!G:G,
    'New Backfilled Data'!A:A, I461,
    'New Backfilled Data'!D:D, J461
  ),
  ""
)</f>
        <v>0.34795044051658341</v>
      </c>
      <c r="L461" s="90"/>
      <c r="M461" s="90"/>
    </row>
    <row r="462" spans="1:13" ht="17" x14ac:dyDescent="0.2">
      <c r="A462" s="37">
        <v>2008</v>
      </c>
      <c r="B462" s="38" t="s">
        <v>66</v>
      </c>
      <c r="C462" s="38" t="s">
        <v>35</v>
      </c>
      <c r="D462" s="38" t="s">
        <v>39</v>
      </c>
      <c r="E462" s="38" t="s">
        <v>69</v>
      </c>
      <c r="F462" s="38" t="s">
        <v>71</v>
      </c>
      <c r="G462" s="79">
        <f ca="1">IFERROR(__xludf.DUMMYFUNCTION("IFERROR(
  IF(A462 = 2008,
    IF(E462 = ""Online"",
      FILTER('Raw PhocalPoint Data'!G:G,
        'Raw PhocalPoint Data'!A:A = 2009,
        'Raw PhocalPoint Data'!D:D = D462,
        'Raw PhocalPoint Data'!E:E = E462,
        'Raw PhocalPoint Data'!F"&amp;":F = F462
      ) /
      (
        FILTER('Raw PhocalPoint Data'!G:G,
          'Raw PhocalPoint Data'!A:A = 2012,
          'Raw PhocalPoint Data'!D:D = D462,
          'Raw PhocalPoint Data'!E:E = E462,
          'Raw PhocalPoint Data'!F:F = F462
     "&amp;"   ) /
        FILTER('Raw PhocalPoint Data'!G:G,
          'Raw PhocalPoint Data'!A:A = 2011,
          'Raw PhocalPoint Data'!D:D = D462,
          'Raw PhocalPoint Data'!E:E = E462,
          'Raw PhocalPoint Data'!F:F = F462
        )
      ),
      F"&amp;"ILTER('Raw PhocalPoint Data'!G:G,
        'Raw PhocalPoint Data'!A:A = 2009,
        'Raw PhocalPoint Data'!D:D = D462,
        'Raw PhocalPoint Data'!E:E = E462,
        'Raw PhocalPoint Data'!F:F = F462
      ) *
      (
        INDEX('Raw GDP data'!$I$"&amp;"2:$M$100,
          MATCH(D462, 'Raw GDP data'!$H$2:$H$100, 0),
          MATCH(2008, 'Raw GDP data'!$I$1:$M$1, 0)
        ) /
        INDEX('Raw GDP data'!$I$2:$M$100,
          MATCH(D462, 'Raw GDP data'!$H$2:$H$100, 0),
          MATCH(2009, 'Raw GDP d"&amp;"ata'!$I$1:$M$1, 0)
        )
      )
    ),
  IF(A462 &lt; 2008,
    (
      FILTER(G:G,
        A:A = 2008,
        D:D = D462,
        E:E = E462,
        F:F = F462
      ) /
      PRODUCT(
        ARRAYFORMULA(
          (
            (
              FIL"&amp;"TER('Raw PhocalPoint Data'!G:G,
                'Raw PhocalPoint Data'!A:A = 2012,
                'Raw PhocalPoint Data'!D:D = D462,
                'Raw PhocalPoint Data'!E:E = E462,
                'Raw PhocalPoint Data'!F:F = F462
              ) /
  "&amp;"            FILTER('Raw PhocalPoint Data'!G:G,
                'Raw PhocalPoint Data'!A:A = 2011,
                'Raw PhocalPoint Data'!D:D = D462,
                'Raw PhocalPoint Data'!E:E = E462,
                'Raw PhocalPoint Data'!F:F = F462
     "&amp;"         ) -
              ROW(INDIRECT(""1:"" &amp; (2008 - A462))) *
              (
                (
                  FILTER('Raw PhocalPoint Data'!G:G,
                    'Raw PhocalPoint Data'!A:A = 2012,
                    'Raw PhocalPoint Data'!D:D"&amp;" = D462,
                    'Raw PhocalPoint Data'!E:E = E462,
                    'Raw PhocalPoint Data'!F:F = F462
                  ) /
                  FILTER('Raw PhocalPoint Data'!G:G,
                    'Raw PhocalPoint Data'!A:A = 2011,
       "&amp;"             'Raw PhocalPoint Data'!D:D = D462,
                    'Raw PhocalPoint Data'!E:E = E462,
                    'Raw PhocalPoint Data'!F:F = F462
                  ) - 1
                ) / 5
              )
            )
          )
        )
"&amp;"      )
    ),
    (
      FILTER('Raw PhocalPoint Data'!G:G,
        'Raw PhocalPoint Data'!A:A = 2009,
        'Raw PhocalPoint Data'!D:D = D462,
        'Raw PhocalPoint Data'!E:E = E462,
        'Raw PhocalPoint Data'!F:F = F462
      ) /
      PRODUC"&amp;"T(
        ARRAYFORMULA(
          (
            FILTER('Raw PhocalPoint Data'!G:G,
              'Raw PhocalPoint Data'!A:A = 2012,
              'Raw PhocalPoint Data'!D:D = D462,
              'Raw PhocalPoint Data'!E:E = E462,
              'Raw Phoca"&amp;"lPoint Data'!F:F = F462
            ) /
            FILTER('Raw PhocalPoint Data'!G:G,
              'Raw PhocalPoint Data'!A:A = 2011,
              'Raw PhocalPoint Data'!D:D = D462,
              'Raw PhocalPoint Data'!E:E = E462,
              'Raw Ph"&amp;"ocalPoint Data'!F:F = F462
            ) -
            (ROW(INDIRECT(""1:"" &amp; (2010 - A462))) - 1) *
            (
              (
                FILTER('Raw PhocalPoint Data'!G:G,
                  'Raw PhocalPoint Data'!A:A = 2012,
                  'R"&amp;"aw PhocalPoint Data'!D:D = D462,
                  'Raw PhocalPoint Data'!E:E = E462,
                  'Raw PhocalPoint Data'!F:F = F462
                ) /
                FILTER('Raw PhocalPoint Data'!G:G,
                  'Raw PhocalPoint Data'!A:A ="&amp;" 2011,
                  'Raw PhocalPoint Data'!D:D = D462,
                  'Raw PhocalPoint Data'!E:E = E462,
                  'Raw PhocalPoint Data'!F:F = F462
                ) - 1
              ) / 5
            )
          )
        )
      )
    "&amp;") *
    INDEX('Raw GDP data'!$I$2:$M$100,
      MATCH(D462, 'Raw GDP data'!$H$2:$H$100, 0),
      MATCH(A462, 'Raw GDP data'!$I$1:$M$1, 0)
    )
  )),
  """"
)
"),1588843444.64539)</f>
        <v>1588843444.64539</v>
      </c>
      <c r="H462" s="80"/>
      <c r="I462" s="81">
        <f ca="1">IFERROR(__xludf.DUMMYFUNCTION("""COMPUTED_VALUE"""),2016)</f>
        <v>2016</v>
      </c>
      <c r="J462" s="82" t="str">
        <f ca="1">IFERROR(__xludf.DUMMYFUNCTION("""COMPUTED_VALUE"""),"Ukraine")</f>
        <v>Ukraine</v>
      </c>
      <c r="K462" s="83">
        <f ca="1">IFERROR(
  SUMIFS(
    'New Backfilled Data'!G:G,
    'New Backfilled Data'!A:A, I462,
    'New Backfilled Data'!D:D, J462,
    'New Backfilled Data'!E:E, "Online"
  ) /
  SUMIFS(
    'New Backfilled Data'!G:G,
    'New Backfilled Data'!A:A, I462,
    'New Backfilled Data'!D:D, J462
  ),
  ""
)</f>
        <v>0.23113895376302035</v>
      </c>
      <c r="L462" s="84"/>
      <c r="M462" s="84"/>
    </row>
    <row r="463" spans="1:13" ht="17" x14ac:dyDescent="0.2">
      <c r="A463" s="44">
        <v>2008</v>
      </c>
      <c r="B463" s="45" t="s">
        <v>66</v>
      </c>
      <c r="C463" s="45" t="s">
        <v>35</v>
      </c>
      <c r="D463" s="45" t="s">
        <v>39</v>
      </c>
      <c r="E463" s="45" t="s">
        <v>69</v>
      </c>
      <c r="F463" s="45" t="s">
        <v>70</v>
      </c>
      <c r="G463" s="85">
        <f ca="1">IFERROR(__xludf.DUMMYFUNCTION("IFERROR(
  IF(A463 = 2008,
    IF(E463 = ""Online"",
      FILTER('Raw PhocalPoint Data'!G:G,
        'Raw PhocalPoint Data'!A:A = 2009,
        'Raw PhocalPoint Data'!D:D = D463,
        'Raw PhocalPoint Data'!E:E = E463,
        'Raw PhocalPoint Data'!F"&amp;":F = F463
      ) /
      (
        FILTER('Raw PhocalPoint Data'!G:G,
          'Raw PhocalPoint Data'!A:A = 2012,
          'Raw PhocalPoint Data'!D:D = D463,
          'Raw PhocalPoint Data'!E:E = E463,
          'Raw PhocalPoint Data'!F:F = F463
     "&amp;"   ) /
        FILTER('Raw PhocalPoint Data'!G:G,
          'Raw PhocalPoint Data'!A:A = 2011,
          'Raw PhocalPoint Data'!D:D = D463,
          'Raw PhocalPoint Data'!E:E = E463,
          'Raw PhocalPoint Data'!F:F = F463
        )
      ),
      F"&amp;"ILTER('Raw PhocalPoint Data'!G:G,
        'Raw PhocalPoint Data'!A:A = 2009,
        'Raw PhocalPoint Data'!D:D = D463,
        'Raw PhocalPoint Data'!E:E = E463,
        'Raw PhocalPoint Data'!F:F = F463
      ) *
      (
        INDEX('Raw GDP data'!$I$"&amp;"2:$M$100,
          MATCH(D463, 'Raw GDP data'!$H$2:$H$100, 0),
          MATCH(2008, 'Raw GDP data'!$I$1:$M$1, 0)
        ) /
        INDEX('Raw GDP data'!$I$2:$M$100,
          MATCH(D463, 'Raw GDP data'!$H$2:$H$100, 0),
          MATCH(2009, 'Raw GDP d"&amp;"ata'!$I$1:$M$1, 0)
        )
      )
    ),
  IF(A463 &lt; 2008,
    (
      FILTER(G:G,
        A:A = 2008,
        D:D = D463,
        E:E = E463,
        F:F = F463
      ) /
      PRODUCT(
        ARRAYFORMULA(
          (
            (
              FIL"&amp;"TER('Raw PhocalPoint Data'!G:G,
                'Raw PhocalPoint Data'!A:A = 2012,
                'Raw PhocalPoint Data'!D:D = D463,
                'Raw PhocalPoint Data'!E:E = E463,
                'Raw PhocalPoint Data'!F:F = F463
              ) /
  "&amp;"            FILTER('Raw PhocalPoint Data'!G:G,
                'Raw PhocalPoint Data'!A:A = 2011,
                'Raw PhocalPoint Data'!D:D = D463,
                'Raw PhocalPoint Data'!E:E = E463,
                'Raw PhocalPoint Data'!F:F = F463
     "&amp;"         ) -
              ROW(INDIRECT(""1:"" &amp; (2008 - A463))) *
              (
                (
                  FILTER('Raw PhocalPoint Data'!G:G,
                    'Raw PhocalPoint Data'!A:A = 2012,
                    'Raw PhocalPoint Data'!D:D"&amp;" = D463,
                    'Raw PhocalPoint Data'!E:E = E463,
                    'Raw PhocalPoint Data'!F:F = F463
                  ) /
                  FILTER('Raw PhocalPoint Data'!G:G,
                    'Raw PhocalPoint Data'!A:A = 2011,
       "&amp;"             'Raw PhocalPoint Data'!D:D = D463,
                    'Raw PhocalPoint Data'!E:E = E463,
                    'Raw PhocalPoint Data'!F:F = F463
                  ) - 1
                ) / 5
              )
            )
          )
        )
"&amp;"      )
    ),
    (
      FILTER('Raw PhocalPoint Data'!G:G,
        'Raw PhocalPoint Data'!A:A = 2009,
        'Raw PhocalPoint Data'!D:D = D463,
        'Raw PhocalPoint Data'!E:E = E463,
        'Raw PhocalPoint Data'!F:F = F463
      ) /
      PRODUC"&amp;"T(
        ARRAYFORMULA(
          (
            FILTER('Raw PhocalPoint Data'!G:G,
              'Raw PhocalPoint Data'!A:A = 2012,
              'Raw PhocalPoint Data'!D:D = D463,
              'Raw PhocalPoint Data'!E:E = E463,
              'Raw Phoca"&amp;"lPoint Data'!F:F = F463
            ) /
            FILTER('Raw PhocalPoint Data'!G:G,
              'Raw PhocalPoint Data'!A:A = 2011,
              'Raw PhocalPoint Data'!D:D = D463,
              'Raw PhocalPoint Data'!E:E = E463,
              'Raw Ph"&amp;"ocalPoint Data'!F:F = F463
            ) -
            (ROW(INDIRECT(""1:"" &amp; (2010 - A463))) - 1) *
            (
              (
                FILTER('Raw PhocalPoint Data'!G:G,
                  'Raw PhocalPoint Data'!A:A = 2012,
                  'R"&amp;"aw PhocalPoint Data'!D:D = D463,
                  'Raw PhocalPoint Data'!E:E = E463,
                  'Raw PhocalPoint Data'!F:F = F463
                ) /
                FILTER('Raw PhocalPoint Data'!G:G,
                  'Raw PhocalPoint Data'!A:A ="&amp;" 2011,
                  'Raw PhocalPoint Data'!D:D = D463,
                  'Raw PhocalPoint Data'!E:E = E463,
                  'Raw PhocalPoint Data'!F:F = F463
                ) - 1
              ) / 5
            )
          )
        )
      )
    "&amp;") *
    INDEX('Raw GDP data'!$I$2:$M$100,
      MATCH(D463, 'Raw GDP data'!$H$2:$H$100, 0),
      MATCH(A463, 'Raw GDP data'!$I$1:$M$1, 0)
    )
  )),
  """"
)
"),663069118.523226)</f>
        <v>663069118.52322602</v>
      </c>
      <c r="H463" s="86"/>
      <c r="I463" s="87">
        <f ca="1">IFERROR(__xludf.DUMMYFUNCTION("""COMPUTED_VALUE"""),2016)</f>
        <v>2016</v>
      </c>
      <c r="J463" s="88" t="str">
        <f ca="1">IFERROR(__xludf.DUMMYFUNCTION("""COMPUTED_VALUE"""),"France")</f>
        <v>France</v>
      </c>
      <c r="K463" s="89">
        <f ca="1">IFERROR(
  SUMIFS(
    'New Backfilled Data'!G:G,
    'New Backfilled Data'!A:A, I463,
    'New Backfilled Data'!D:D, J463,
    'New Backfilled Data'!E:E, "Online"
  ) /
  SUMIFS(
    'New Backfilled Data'!G:G,
    'New Backfilled Data'!A:A, I463,
    'New Backfilled Data'!D:D, J463
  ),
  ""
)</f>
        <v>0.4111613247128959</v>
      </c>
      <c r="L463" s="90"/>
      <c r="M463" s="90"/>
    </row>
    <row r="464" spans="1:13" ht="17" x14ac:dyDescent="0.2">
      <c r="A464" s="37">
        <v>2008</v>
      </c>
      <c r="B464" s="38" t="s">
        <v>66</v>
      </c>
      <c r="C464" s="38" t="s">
        <v>41</v>
      </c>
      <c r="D464" s="38" t="s">
        <v>40</v>
      </c>
      <c r="E464" s="38" t="s">
        <v>67</v>
      </c>
      <c r="F464" s="38" t="s">
        <v>67</v>
      </c>
      <c r="G464" s="79">
        <f ca="1">IFERROR(__xludf.DUMMYFUNCTION("IFERROR(
  IF(A464 = 2008,
    IF(E464 = ""Online"",
      FILTER('Raw PhocalPoint Data'!G:G,
        'Raw PhocalPoint Data'!A:A = 2009,
        'Raw PhocalPoint Data'!D:D = D464,
        'Raw PhocalPoint Data'!E:E = E464,
        'Raw PhocalPoint Data'!F"&amp;":F = F464
      ) /
      (
        FILTER('Raw PhocalPoint Data'!G:G,
          'Raw PhocalPoint Data'!A:A = 2012,
          'Raw PhocalPoint Data'!D:D = D464,
          'Raw PhocalPoint Data'!E:E = E464,
          'Raw PhocalPoint Data'!F:F = F464
     "&amp;"   ) /
        FILTER('Raw PhocalPoint Data'!G:G,
          'Raw PhocalPoint Data'!A:A = 2011,
          'Raw PhocalPoint Data'!D:D = D464,
          'Raw PhocalPoint Data'!E:E = E464,
          'Raw PhocalPoint Data'!F:F = F464
        )
      ),
      F"&amp;"ILTER('Raw PhocalPoint Data'!G:G,
        'Raw PhocalPoint Data'!A:A = 2009,
        'Raw PhocalPoint Data'!D:D = D464,
        'Raw PhocalPoint Data'!E:E = E464,
        'Raw PhocalPoint Data'!F:F = F464
      ) *
      (
        INDEX('Raw GDP data'!$I$"&amp;"2:$M$100,
          MATCH(D464, 'Raw GDP data'!$H$2:$H$100, 0),
          MATCH(2008, 'Raw GDP data'!$I$1:$M$1, 0)
        ) /
        INDEX('Raw GDP data'!$I$2:$M$100,
          MATCH(D464, 'Raw GDP data'!$H$2:$H$100, 0),
          MATCH(2009, 'Raw GDP d"&amp;"ata'!$I$1:$M$1, 0)
        )
      )
    ),
  IF(A464 &lt; 2008,
    (
      FILTER(G:G,
        A:A = 2008,
        D:D = D464,
        E:E = E464,
        F:F = F464
      ) /
      PRODUCT(
        ARRAYFORMULA(
          (
            (
              FIL"&amp;"TER('Raw PhocalPoint Data'!G:G,
                'Raw PhocalPoint Data'!A:A = 2012,
                'Raw PhocalPoint Data'!D:D = D464,
                'Raw PhocalPoint Data'!E:E = E464,
                'Raw PhocalPoint Data'!F:F = F464
              ) /
  "&amp;"            FILTER('Raw PhocalPoint Data'!G:G,
                'Raw PhocalPoint Data'!A:A = 2011,
                'Raw PhocalPoint Data'!D:D = D464,
                'Raw PhocalPoint Data'!E:E = E464,
                'Raw PhocalPoint Data'!F:F = F464
     "&amp;"         ) -
              ROW(INDIRECT(""1:"" &amp; (2008 - A464))) *
              (
                (
                  FILTER('Raw PhocalPoint Data'!G:G,
                    'Raw PhocalPoint Data'!A:A = 2012,
                    'Raw PhocalPoint Data'!D:D"&amp;" = D464,
                    'Raw PhocalPoint Data'!E:E = E464,
                    'Raw PhocalPoint Data'!F:F = F464
                  ) /
                  FILTER('Raw PhocalPoint Data'!G:G,
                    'Raw PhocalPoint Data'!A:A = 2011,
       "&amp;"             'Raw PhocalPoint Data'!D:D = D464,
                    'Raw PhocalPoint Data'!E:E = E464,
                    'Raw PhocalPoint Data'!F:F = F464
                  ) - 1
                ) / 5
              )
            )
          )
        )
"&amp;"      )
    ),
    (
      FILTER('Raw PhocalPoint Data'!G:G,
        'Raw PhocalPoint Data'!A:A = 2009,
        'Raw PhocalPoint Data'!D:D = D464,
        'Raw PhocalPoint Data'!E:E = E464,
        'Raw PhocalPoint Data'!F:F = F464
      ) /
      PRODUC"&amp;"T(
        ARRAYFORMULA(
          (
            FILTER('Raw PhocalPoint Data'!G:G,
              'Raw PhocalPoint Data'!A:A = 2012,
              'Raw PhocalPoint Data'!D:D = D464,
              'Raw PhocalPoint Data'!E:E = E464,
              'Raw Phoca"&amp;"lPoint Data'!F:F = F464
            ) /
            FILTER('Raw PhocalPoint Data'!G:G,
              'Raw PhocalPoint Data'!A:A = 2011,
              'Raw PhocalPoint Data'!D:D = D464,
              'Raw PhocalPoint Data'!E:E = E464,
              'Raw Ph"&amp;"ocalPoint Data'!F:F = F464
            ) -
            (ROW(INDIRECT(""1:"" &amp; (2010 - A464))) - 1) *
            (
              (
                FILTER('Raw PhocalPoint Data'!G:G,
                  'Raw PhocalPoint Data'!A:A = 2012,
                  'R"&amp;"aw PhocalPoint Data'!D:D = D464,
                  'Raw PhocalPoint Data'!E:E = E464,
                  'Raw PhocalPoint Data'!F:F = F464
                ) /
                FILTER('Raw PhocalPoint Data'!G:G,
                  'Raw PhocalPoint Data'!A:A ="&amp;" 2011,
                  'Raw PhocalPoint Data'!D:D = D464,
                  'Raw PhocalPoint Data'!E:E = E464,
                  'Raw PhocalPoint Data'!F:F = F464
                ) - 1
              ) / 5
            )
          )
        )
      )
    "&amp;") *
    INDEX('Raw GDP data'!$I$2:$M$100,
      MATCH(D464, 'Raw GDP data'!$H$2:$H$100, 0),
      MATCH(A464, 'Raw GDP data'!$I$1:$M$1, 0)
    )
  )),
  """"
)
"),6578524229.04954)</f>
        <v>6578524229.0495396</v>
      </c>
      <c r="H464" s="80"/>
      <c r="I464" s="81">
        <f ca="1">IFERROR(__xludf.DUMMYFUNCTION("""COMPUTED_VALUE"""),2016)</f>
        <v>2016</v>
      </c>
      <c r="J464" s="82" t="str">
        <f ca="1">IFERROR(__xludf.DUMMYFUNCTION("""COMPUTED_VALUE"""),"Germany")</f>
        <v>Germany</v>
      </c>
      <c r="K464" s="83">
        <f ca="1">IFERROR(
  SUMIFS(
    'New Backfilled Data'!G:G,
    'New Backfilled Data'!A:A, I464,
    'New Backfilled Data'!D:D, J464,
    'New Backfilled Data'!E:E, "Online"
  ) /
  SUMIFS(
    'New Backfilled Data'!G:G,
    'New Backfilled Data'!A:A, I464,
    'New Backfilled Data'!D:D, J464
  ),
  ""
)</f>
        <v>0.40035696855457958</v>
      </c>
      <c r="L464" s="84"/>
      <c r="M464" s="84"/>
    </row>
    <row r="465" spans="1:13" ht="17" x14ac:dyDescent="0.2">
      <c r="A465" s="44">
        <v>2008</v>
      </c>
      <c r="B465" s="45" t="s">
        <v>66</v>
      </c>
      <c r="C465" s="45" t="s">
        <v>41</v>
      </c>
      <c r="D465" s="45" t="s">
        <v>40</v>
      </c>
      <c r="E465" s="45" t="s">
        <v>69</v>
      </c>
      <c r="F465" s="45" t="s">
        <v>71</v>
      </c>
      <c r="G465" s="85">
        <f ca="1">IFERROR(__xludf.DUMMYFUNCTION("IFERROR(
  IF(A465 = 2008,
    IF(E465 = ""Online"",
      FILTER('Raw PhocalPoint Data'!G:G,
        'Raw PhocalPoint Data'!A:A = 2009,
        'Raw PhocalPoint Data'!D:D = D465,
        'Raw PhocalPoint Data'!E:E = E465,
        'Raw PhocalPoint Data'!F"&amp;":F = F465
      ) /
      (
        FILTER('Raw PhocalPoint Data'!G:G,
          'Raw PhocalPoint Data'!A:A = 2012,
          'Raw PhocalPoint Data'!D:D = D465,
          'Raw PhocalPoint Data'!E:E = E465,
          'Raw PhocalPoint Data'!F:F = F465
     "&amp;"   ) /
        FILTER('Raw PhocalPoint Data'!G:G,
          'Raw PhocalPoint Data'!A:A = 2011,
          'Raw PhocalPoint Data'!D:D = D465,
          'Raw PhocalPoint Data'!E:E = E465,
          'Raw PhocalPoint Data'!F:F = F465
        )
      ),
      F"&amp;"ILTER('Raw PhocalPoint Data'!G:G,
        'Raw PhocalPoint Data'!A:A = 2009,
        'Raw PhocalPoint Data'!D:D = D465,
        'Raw PhocalPoint Data'!E:E = E465,
        'Raw PhocalPoint Data'!F:F = F465
      ) *
      (
        INDEX('Raw GDP data'!$I$"&amp;"2:$M$100,
          MATCH(D465, 'Raw GDP data'!$H$2:$H$100, 0),
          MATCH(2008, 'Raw GDP data'!$I$1:$M$1, 0)
        ) /
        INDEX('Raw GDP data'!$I$2:$M$100,
          MATCH(D465, 'Raw GDP data'!$H$2:$H$100, 0),
          MATCH(2009, 'Raw GDP d"&amp;"ata'!$I$1:$M$1, 0)
        )
      )
    ),
  IF(A465 &lt; 2008,
    (
      FILTER(G:G,
        A:A = 2008,
        D:D = D465,
        E:E = E465,
        F:F = F465
      ) /
      PRODUCT(
        ARRAYFORMULA(
          (
            (
              FIL"&amp;"TER('Raw PhocalPoint Data'!G:G,
                'Raw PhocalPoint Data'!A:A = 2012,
                'Raw PhocalPoint Data'!D:D = D465,
                'Raw PhocalPoint Data'!E:E = E465,
                'Raw PhocalPoint Data'!F:F = F465
              ) /
  "&amp;"            FILTER('Raw PhocalPoint Data'!G:G,
                'Raw PhocalPoint Data'!A:A = 2011,
                'Raw PhocalPoint Data'!D:D = D465,
                'Raw PhocalPoint Data'!E:E = E465,
                'Raw PhocalPoint Data'!F:F = F465
     "&amp;"         ) -
              ROW(INDIRECT(""1:"" &amp; (2008 - A465))) *
              (
                (
                  FILTER('Raw PhocalPoint Data'!G:G,
                    'Raw PhocalPoint Data'!A:A = 2012,
                    'Raw PhocalPoint Data'!D:D"&amp;" = D465,
                    'Raw PhocalPoint Data'!E:E = E465,
                    'Raw PhocalPoint Data'!F:F = F465
                  ) /
                  FILTER('Raw PhocalPoint Data'!G:G,
                    'Raw PhocalPoint Data'!A:A = 2011,
       "&amp;"             'Raw PhocalPoint Data'!D:D = D465,
                    'Raw PhocalPoint Data'!E:E = E465,
                    'Raw PhocalPoint Data'!F:F = F465
                  ) - 1
                ) / 5
              )
            )
          )
        )
"&amp;"      )
    ),
    (
      FILTER('Raw PhocalPoint Data'!G:G,
        'Raw PhocalPoint Data'!A:A = 2009,
        'Raw PhocalPoint Data'!D:D = D465,
        'Raw PhocalPoint Data'!E:E = E465,
        'Raw PhocalPoint Data'!F:F = F465
      ) /
      PRODUC"&amp;"T(
        ARRAYFORMULA(
          (
            FILTER('Raw PhocalPoint Data'!G:G,
              'Raw PhocalPoint Data'!A:A = 2012,
              'Raw PhocalPoint Data'!D:D = D465,
              'Raw PhocalPoint Data'!E:E = E465,
              'Raw Phoca"&amp;"lPoint Data'!F:F = F465
            ) /
            FILTER('Raw PhocalPoint Data'!G:G,
              'Raw PhocalPoint Data'!A:A = 2011,
              'Raw PhocalPoint Data'!D:D = D465,
              'Raw PhocalPoint Data'!E:E = E465,
              'Raw Ph"&amp;"ocalPoint Data'!F:F = F465
            ) -
            (ROW(INDIRECT(""1:"" &amp; (2010 - A465))) - 1) *
            (
              (
                FILTER('Raw PhocalPoint Data'!G:G,
                  'Raw PhocalPoint Data'!A:A = 2012,
                  'R"&amp;"aw PhocalPoint Data'!D:D = D465,
                  'Raw PhocalPoint Data'!E:E = E465,
                  'Raw PhocalPoint Data'!F:F = F465
                ) /
                FILTER('Raw PhocalPoint Data'!G:G,
                  'Raw PhocalPoint Data'!A:A ="&amp;" 2011,
                  'Raw PhocalPoint Data'!D:D = D465,
                  'Raw PhocalPoint Data'!E:E = E465,
                  'Raw PhocalPoint Data'!F:F = F465
                ) - 1
              ) / 5
            )
          )
        )
      )
    "&amp;") *
    INDEX('Raw GDP data'!$I$2:$M$100,
      MATCH(D465, 'Raw GDP data'!$H$2:$H$100, 0),
      MATCH(A465, 'Raw GDP data'!$I$1:$M$1, 0)
    )
  )),
  """"
)
"),210578660.782572)</f>
        <v>210578660.782572</v>
      </c>
      <c r="H465" s="86"/>
      <c r="I465" s="87">
        <f ca="1">IFERROR(__xludf.DUMMYFUNCTION("""COMPUTED_VALUE"""),2016)</f>
        <v>2016</v>
      </c>
      <c r="J465" s="88" t="str">
        <f ca="1">IFERROR(__xludf.DUMMYFUNCTION("""COMPUTED_VALUE"""),"Italy")</f>
        <v>Italy</v>
      </c>
      <c r="K465" s="89">
        <f ca="1">IFERROR(
  SUMIFS(
    'New Backfilled Data'!G:G,
    'New Backfilled Data'!A:A, I465,
    'New Backfilled Data'!D:D, J465,
    'New Backfilled Data'!E:E, "Online"
  ) /
  SUMIFS(
    'New Backfilled Data'!G:G,
    'New Backfilled Data'!A:A, I465,
    'New Backfilled Data'!D:D, J465
  ),
  ""
)</f>
        <v>0.35977205154008024</v>
      </c>
      <c r="L465" s="90"/>
      <c r="M465" s="90"/>
    </row>
    <row r="466" spans="1:13" ht="17" x14ac:dyDescent="0.2">
      <c r="A466" s="37">
        <v>2008</v>
      </c>
      <c r="B466" s="38" t="s">
        <v>66</v>
      </c>
      <c r="C466" s="38" t="s">
        <v>41</v>
      </c>
      <c r="D466" s="38" t="s">
        <v>40</v>
      </c>
      <c r="E466" s="38" t="s">
        <v>69</v>
      </c>
      <c r="F466" s="38" t="s">
        <v>70</v>
      </c>
      <c r="G466" s="79">
        <f ca="1">IFERROR(__xludf.DUMMYFUNCTION("IFERROR(
  IF(A466 = 2008,
    IF(E466 = ""Online"",
      FILTER('Raw PhocalPoint Data'!G:G,
        'Raw PhocalPoint Data'!A:A = 2009,
        'Raw PhocalPoint Data'!D:D = D466,
        'Raw PhocalPoint Data'!E:E = E466,
        'Raw PhocalPoint Data'!F"&amp;":F = F466
      ) /
      (
        FILTER('Raw PhocalPoint Data'!G:G,
          'Raw PhocalPoint Data'!A:A = 2012,
          'Raw PhocalPoint Data'!D:D = D466,
          'Raw PhocalPoint Data'!E:E = E466,
          'Raw PhocalPoint Data'!F:F = F466
     "&amp;"   ) /
        FILTER('Raw PhocalPoint Data'!G:G,
          'Raw PhocalPoint Data'!A:A = 2011,
          'Raw PhocalPoint Data'!D:D = D466,
          'Raw PhocalPoint Data'!E:E = E466,
          'Raw PhocalPoint Data'!F:F = F466
        )
      ),
      F"&amp;"ILTER('Raw PhocalPoint Data'!G:G,
        'Raw PhocalPoint Data'!A:A = 2009,
        'Raw PhocalPoint Data'!D:D = D466,
        'Raw PhocalPoint Data'!E:E = E466,
        'Raw PhocalPoint Data'!F:F = F466
      ) *
      (
        INDEX('Raw GDP data'!$I$"&amp;"2:$M$100,
          MATCH(D466, 'Raw GDP data'!$H$2:$H$100, 0),
          MATCH(2008, 'Raw GDP data'!$I$1:$M$1, 0)
        ) /
        INDEX('Raw GDP data'!$I$2:$M$100,
          MATCH(D466, 'Raw GDP data'!$H$2:$H$100, 0),
          MATCH(2009, 'Raw GDP d"&amp;"ata'!$I$1:$M$1, 0)
        )
      )
    ),
  IF(A466 &lt; 2008,
    (
      FILTER(G:G,
        A:A = 2008,
        D:D = D466,
        E:E = E466,
        F:F = F466
      ) /
      PRODUCT(
        ARRAYFORMULA(
          (
            (
              FIL"&amp;"TER('Raw PhocalPoint Data'!G:G,
                'Raw PhocalPoint Data'!A:A = 2012,
                'Raw PhocalPoint Data'!D:D = D466,
                'Raw PhocalPoint Data'!E:E = E466,
                'Raw PhocalPoint Data'!F:F = F466
              ) /
  "&amp;"            FILTER('Raw PhocalPoint Data'!G:G,
                'Raw PhocalPoint Data'!A:A = 2011,
                'Raw PhocalPoint Data'!D:D = D466,
                'Raw PhocalPoint Data'!E:E = E466,
                'Raw PhocalPoint Data'!F:F = F466
     "&amp;"         ) -
              ROW(INDIRECT(""1:"" &amp; (2008 - A466))) *
              (
                (
                  FILTER('Raw PhocalPoint Data'!G:G,
                    'Raw PhocalPoint Data'!A:A = 2012,
                    'Raw PhocalPoint Data'!D:D"&amp;" = D466,
                    'Raw PhocalPoint Data'!E:E = E466,
                    'Raw PhocalPoint Data'!F:F = F466
                  ) /
                  FILTER('Raw PhocalPoint Data'!G:G,
                    'Raw PhocalPoint Data'!A:A = 2011,
       "&amp;"             'Raw PhocalPoint Data'!D:D = D466,
                    'Raw PhocalPoint Data'!E:E = E466,
                    'Raw PhocalPoint Data'!F:F = F466
                  ) - 1
                ) / 5
              )
            )
          )
        )
"&amp;"      )
    ),
    (
      FILTER('Raw PhocalPoint Data'!G:G,
        'Raw PhocalPoint Data'!A:A = 2009,
        'Raw PhocalPoint Data'!D:D = D466,
        'Raw PhocalPoint Data'!E:E = E466,
        'Raw PhocalPoint Data'!F:F = F466
      ) /
      PRODUC"&amp;"T(
        ARRAYFORMULA(
          (
            FILTER('Raw PhocalPoint Data'!G:G,
              'Raw PhocalPoint Data'!A:A = 2012,
              'Raw PhocalPoint Data'!D:D = D466,
              'Raw PhocalPoint Data'!E:E = E466,
              'Raw Phoca"&amp;"lPoint Data'!F:F = F466
            ) /
            FILTER('Raw PhocalPoint Data'!G:G,
              'Raw PhocalPoint Data'!A:A = 2011,
              'Raw PhocalPoint Data'!D:D = D466,
              'Raw PhocalPoint Data'!E:E = E466,
              'Raw Ph"&amp;"ocalPoint Data'!F:F = F466
            ) -
            (ROW(INDIRECT(""1:"" &amp; (2010 - A466))) - 1) *
            (
              (
                FILTER('Raw PhocalPoint Data'!G:G,
                  'Raw PhocalPoint Data'!A:A = 2012,
                  'R"&amp;"aw PhocalPoint Data'!D:D = D466,
                  'Raw PhocalPoint Data'!E:E = E466,
                  'Raw PhocalPoint Data'!F:F = F466
                ) /
                FILTER('Raw PhocalPoint Data'!G:G,
                  'Raw PhocalPoint Data'!A:A ="&amp;" 2011,
                  'Raw PhocalPoint Data'!D:D = D466,
                  'Raw PhocalPoint Data'!E:E = E466,
                  'Raw PhocalPoint Data'!F:F = F466
                ) - 1
              ) / 5
            )
          )
        )
      )
    "&amp;") *
    INDEX('Raw GDP data'!$I$2:$M$100,
      MATCH(D466, 'Raw GDP data'!$H$2:$H$100, 0),
      MATCH(A466, 'Raw GDP data'!$I$1:$M$1, 0)
    )
  )),
  """"
)
"),143802970.465493)</f>
        <v>143802970.46549299</v>
      </c>
      <c r="H466" s="80"/>
      <c r="I466" s="81">
        <f ca="1">IFERROR(__xludf.DUMMYFUNCTION("""COMPUTED_VALUE"""),2016)</f>
        <v>2016</v>
      </c>
      <c r="J466" s="82" t="str">
        <f ca="1">IFERROR(__xludf.DUMMYFUNCTION("""COMPUTED_VALUE"""),"Rest of Europe")</f>
        <v>Rest of Europe</v>
      </c>
      <c r="K466" s="83">
        <f ca="1">IFERROR(
  SUMIFS(
    'New Backfilled Data'!G:G,
    'New Backfilled Data'!A:A, I466,
    'New Backfilled Data'!D:D, J466,
    'New Backfilled Data'!E:E, "Online"
  ) /
  SUMIFS(
    'New Backfilled Data'!G:G,
    'New Backfilled Data'!A:A, I466,
    'New Backfilled Data'!D:D, J466
  ),
  ""
)</f>
        <v>0.42209002621075664</v>
      </c>
      <c r="L466" s="84"/>
      <c r="M466" s="84"/>
    </row>
    <row r="467" spans="1:13" ht="17" x14ac:dyDescent="0.2">
      <c r="A467" s="44">
        <v>2008</v>
      </c>
      <c r="B467" s="45" t="s">
        <v>66</v>
      </c>
      <c r="C467" s="45" t="s">
        <v>41</v>
      </c>
      <c r="D467" s="45" t="s">
        <v>42</v>
      </c>
      <c r="E467" s="45" t="s">
        <v>67</v>
      </c>
      <c r="F467" s="45" t="s">
        <v>67</v>
      </c>
      <c r="G467" s="85">
        <f ca="1">IFERROR(__xludf.DUMMYFUNCTION("IFERROR(
  IF(A467 = 2008,
    IF(E467 = ""Online"",
      FILTER('Raw PhocalPoint Data'!G:G,
        'Raw PhocalPoint Data'!A:A = 2009,
        'Raw PhocalPoint Data'!D:D = D467,
        'Raw PhocalPoint Data'!E:E = E467,
        'Raw PhocalPoint Data'!F"&amp;":F = F467
      ) /
      (
        FILTER('Raw PhocalPoint Data'!G:G,
          'Raw PhocalPoint Data'!A:A = 2012,
          'Raw PhocalPoint Data'!D:D = D467,
          'Raw PhocalPoint Data'!E:E = E467,
          'Raw PhocalPoint Data'!F:F = F467
     "&amp;"   ) /
        FILTER('Raw PhocalPoint Data'!G:G,
          'Raw PhocalPoint Data'!A:A = 2011,
          'Raw PhocalPoint Data'!D:D = D467,
          'Raw PhocalPoint Data'!E:E = E467,
          'Raw PhocalPoint Data'!F:F = F467
        )
      ),
      F"&amp;"ILTER('Raw PhocalPoint Data'!G:G,
        'Raw PhocalPoint Data'!A:A = 2009,
        'Raw PhocalPoint Data'!D:D = D467,
        'Raw PhocalPoint Data'!E:E = E467,
        'Raw PhocalPoint Data'!F:F = F467
      ) *
      (
        INDEX('Raw GDP data'!$I$"&amp;"2:$M$100,
          MATCH(D467, 'Raw GDP data'!$H$2:$H$100, 0),
          MATCH(2008, 'Raw GDP data'!$I$1:$M$1, 0)
        ) /
        INDEX('Raw GDP data'!$I$2:$M$100,
          MATCH(D467, 'Raw GDP data'!$H$2:$H$100, 0),
          MATCH(2009, 'Raw GDP d"&amp;"ata'!$I$1:$M$1, 0)
        )
      )
    ),
  IF(A467 &lt; 2008,
    (
      FILTER(G:G,
        A:A = 2008,
        D:D = D467,
        E:E = E467,
        F:F = F467
      ) /
      PRODUCT(
        ARRAYFORMULA(
          (
            (
              FIL"&amp;"TER('Raw PhocalPoint Data'!G:G,
                'Raw PhocalPoint Data'!A:A = 2012,
                'Raw PhocalPoint Data'!D:D = D467,
                'Raw PhocalPoint Data'!E:E = E467,
                'Raw PhocalPoint Data'!F:F = F467
              ) /
  "&amp;"            FILTER('Raw PhocalPoint Data'!G:G,
                'Raw PhocalPoint Data'!A:A = 2011,
                'Raw PhocalPoint Data'!D:D = D467,
                'Raw PhocalPoint Data'!E:E = E467,
                'Raw PhocalPoint Data'!F:F = F467
     "&amp;"         ) -
              ROW(INDIRECT(""1:"" &amp; (2008 - A467))) *
              (
                (
                  FILTER('Raw PhocalPoint Data'!G:G,
                    'Raw PhocalPoint Data'!A:A = 2012,
                    'Raw PhocalPoint Data'!D:D"&amp;" = D467,
                    'Raw PhocalPoint Data'!E:E = E467,
                    'Raw PhocalPoint Data'!F:F = F467
                  ) /
                  FILTER('Raw PhocalPoint Data'!G:G,
                    'Raw PhocalPoint Data'!A:A = 2011,
       "&amp;"             'Raw PhocalPoint Data'!D:D = D467,
                    'Raw PhocalPoint Data'!E:E = E467,
                    'Raw PhocalPoint Data'!F:F = F467
                  ) - 1
                ) / 5
              )
            )
          )
        )
"&amp;"      )
    ),
    (
      FILTER('Raw PhocalPoint Data'!G:G,
        'Raw PhocalPoint Data'!A:A = 2009,
        'Raw PhocalPoint Data'!D:D = D467,
        'Raw PhocalPoint Data'!E:E = E467,
        'Raw PhocalPoint Data'!F:F = F467
      ) /
      PRODUC"&amp;"T(
        ARRAYFORMULA(
          (
            FILTER('Raw PhocalPoint Data'!G:G,
              'Raw PhocalPoint Data'!A:A = 2012,
              'Raw PhocalPoint Data'!D:D = D467,
              'Raw PhocalPoint Data'!E:E = E467,
              'Raw Phoca"&amp;"lPoint Data'!F:F = F467
            ) /
            FILTER('Raw PhocalPoint Data'!G:G,
              'Raw PhocalPoint Data'!A:A = 2011,
              'Raw PhocalPoint Data'!D:D = D467,
              'Raw PhocalPoint Data'!E:E = E467,
              'Raw Ph"&amp;"ocalPoint Data'!F:F = F467
            ) -
            (ROW(INDIRECT(""1:"" &amp; (2010 - A467))) - 1) *
            (
              (
                FILTER('Raw PhocalPoint Data'!G:G,
                  'Raw PhocalPoint Data'!A:A = 2012,
                  'R"&amp;"aw PhocalPoint Data'!D:D = D467,
                  'Raw PhocalPoint Data'!E:E = E467,
                  'Raw PhocalPoint Data'!F:F = F467
                ) /
                FILTER('Raw PhocalPoint Data'!G:G,
                  'Raw PhocalPoint Data'!A:A ="&amp;" 2011,
                  'Raw PhocalPoint Data'!D:D = D467,
                  'Raw PhocalPoint Data'!E:E = E467,
                  'Raw PhocalPoint Data'!F:F = F467
                ) - 1
              ) / 5
            )
          )
        )
      )
    "&amp;") *
    INDEX('Raw GDP data'!$I$2:$M$100,
      MATCH(D467, 'Raw GDP data'!$H$2:$H$100, 0),
      MATCH(A467, 'Raw GDP data'!$I$1:$M$1, 0)
    )
  )),
  """"
)
"),5128997447.72417)</f>
        <v>5128997447.7241697</v>
      </c>
      <c r="H467" s="86"/>
      <c r="I467" s="87">
        <f ca="1">IFERROR(__xludf.DUMMYFUNCTION("""COMPUTED_VALUE"""),2016)</f>
        <v>2016</v>
      </c>
      <c r="J467" s="88" t="str">
        <f ca="1">IFERROR(__xludf.DUMMYFUNCTION("""COMPUTED_VALUE"""),"Scandinavia")</f>
        <v>Scandinavia</v>
      </c>
      <c r="K467" s="89">
        <f ca="1">IFERROR(
  SUMIFS(
    'New Backfilled Data'!G:G,
    'New Backfilled Data'!A:A, I467,
    'New Backfilled Data'!D:D, J467,
    'New Backfilled Data'!E:E, "Online"
  ) /
  SUMIFS(
    'New Backfilled Data'!G:G,
    'New Backfilled Data'!A:A, I467,
    'New Backfilled Data'!D:D, J467
  ),
  ""
)</f>
        <v>0.52573680462002814</v>
      </c>
      <c r="L467" s="90"/>
      <c r="M467" s="90"/>
    </row>
    <row r="468" spans="1:13" ht="17" x14ac:dyDescent="0.2">
      <c r="A468" s="37">
        <v>2008</v>
      </c>
      <c r="B468" s="38" t="s">
        <v>66</v>
      </c>
      <c r="C468" s="38" t="s">
        <v>41</v>
      </c>
      <c r="D468" s="38" t="s">
        <v>42</v>
      </c>
      <c r="E468" s="38" t="s">
        <v>69</v>
      </c>
      <c r="F468" s="38" t="s">
        <v>71</v>
      </c>
      <c r="G468" s="79">
        <f ca="1">IFERROR(__xludf.DUMMYFUNCTION("IFERROR(
  IF(A468 = 2008,
    IF(E468 = ""Online"",
      FILTER('Raw PhocalPoint Data'!G:G,
        'Raw PhocalPoint Data'!A:A = 2009,
        'Raw PhocalPoint Data'!D:D = D468,
        'Raw PhocalPoint Data'!E:E = E468,
        'Raw PhocalPoint Data'!F"&amp;":F = F468
      ) /
      (
        FILTER('Raw PhocalPoint Data'!G:G,
          'Raw PhocalPoint Data'!A:A = 2012,
          'Raw PhocalPoint Data'!D:D = D468,
          'Raw PhocalPoint Data'!E:E = E468,
          'Raw PhocalPoint Data'!F:F = F468
     "&amp;"   ) /
        FILTER('Raw PhocalPoint Data'!G:G,
          'Raw PhocalPoint Data'!A:A = 2011,
          'Raw PhocalPoint Data'!D:D = D468,
          'Raw PhocalPoint Data'!E:E = E468,
          'Raw PhocalPoint Data'!F:F = F468
        )
      ),
      F"&amp;"ILTER('Raw PhocalPoint Data'!G:G,
        'Raw PhocalPoint Data'!A:A = 2009,
        'Raw PhocalPoint Data'!D:D = D468,
        'Raw PhocalPoint Data'!E:E = E468,
        'Raw PhocalPoint Data'!F:F = F468
      ) *
      (
        INDEX('Raw GDP data'!$I$"&amp;"2:$M$100,
          MATCH(D468, 'Raw GDP data'!$H$2:$H$100, 0),
          MATCH(2008, 'Raw GDP data'!$I$1:$M$1, 0)
        ) /
        INDEX('Raw GDP data'!$I$2:$M$100,
          MATCH(D468, 'Raw GDP data'!$H$2:$H$100, 0),
          MATCH(2009, 'Raw GDP d"&amp;"ata'!$I$1:$M$1, 0)
        )
      )
    ),
  IF(A468 &lt; 2008,
    (
      FILTER(G:G,
        A:A = 2008,
        D:D = D468,
        E:E = E468,
        F:F = F468
      ) /
      PRODUCT(
        ARRAYFORMULA(
          (
            (
              FIL"&amp;"TER('Raw PhocalPoint Data'!G:G,
                'Raw PhocalPoint Data'!A:A = 2012,
                'Raw PhocalPoint Data'!D:D = D468,
                'Raw PhocalPoint Data'!E:E = E468,
                'Raw PhocalPoint Data'!F:F = F468
              ) /
  "&amp;"            FILTER('Raw PhocalPoint Data'!G:G,
                'Raw PhocalPoint Data'!A:A = 2011,
                'Raw PhocalPoint Data'!D:D = D468,
                'Raw PhocalPoint Data'!E:E = E468,
                'Raw PhocalPoint Data'!F:F = F468
     "&amp;"         ) -
              ROW(INDIRECT(""1:"" &amp; (2008 - A468))) *
              (
                (
                  FILTER('Raw PhocalPoint Data'!G:G,
                    'Raw PhocalPoint Data'!A:A = 2012,
                    'Raw PhocalPoint Data'!D:D"&amp;" = D468,
                    'Raw PhocalPoint Data'!E:E = E468,
                    'Raw PhocalPoint Data'!F:F = F468
                  ) /
                  FILTER('Raw PhocalPoint Data'!G:G,
                    'Raw PhocalPoint Data'!A:A = 2011,
       "&amp;"             'Raw PhocalPoint Data'!D:D = D468,
                    'Raw PhocalPoint Data'!E:E = E468,
                    'Raw PhocalPoint Data'!F:F = F468
                  ) - 1
                ) / 5
              )
            )
          )
        )
"&amp;"      )
    ),
    (
      FILTER('Raw PhocalPoint Data'!G:G,
        'Raw PhocalPoint Data'!A:A = 2009,
        'Raw PhocalPoint Data'!D:D = D468,
        'Raw PhocalPoint Data'!E:E = E468,
        'Raw PhocalPoint Data'!F:F = F468
      ) /
      PRODUC"&amp;"T(
        ARRAYFORMULA(
          (
            FILTER('Raw PhocalPoint Data'!G:G,
              'Raw PhocalPoint Data'!A:A = 2012,
              'Raw PhocalPoint Data'!D:D = D468,
              'Raw PhocalPoint Data'!E:E = E468,
              'Raw Phoca"&amp;"lPoint Data'!F:F = F468
            ) /
            FILTER('Raw PhocalPoint Data'!G:G,
              'Raw PhocalPoint Data'!A:A = 2011,
              'Raw PhocalPoint Data'!D:D = D468,
              'Raw PhocalPoint Data'!E:E = E468,
              'Raw Ph"&amp;"ocalPoint Data'!F:F = F468
            ) -
            (ROW(INDIRECT(""1:"" &amp; (2010 - A468))) - 1) *
            (
              (
                FILTER('Raw PhocalPoint Data'!G:G,
                  'Raw PhocalPoint Data'!A:A = 2012,
                  'R"&amp;"aw PhocalPoint Data'!D:D = D468,
                  'Raw PhocalPoint Data'!E:E = E468,
                  'Raw PhocalPoint Data'!F:F = F468
                ) /
                FILTER('Raw PhocalPoint Data'!G:G,
                  'Raw PhocalPoint Data'!A:A ="&amp;" 2011,
                  'Raw PhocalPoint Data'!D:D = D468,
                  'Raw PhocalPoint Data'!E:E = E468,
                  'Raw PhocalPoint Data'!F:F = F468
                ) - 1
              ) / 5
            )
          )
        )
      )
    "&amp;") *
    INDEX('Raw GDP data'!$I$2:$M$100,
      MATCH(D468, 'Raw GDP data'!$H$2:$H$100, 0),
      MATCH(A468, 'Raw GDP data'!$I$1:$M$1, 0)
    )
  )),
  """"
)
"),330578376.419977)</f>
        <v>330578376.41997701</v>
      </c>
      <c r="H468" s="80"/>
      <c r="I468" s="81">
        <f ca="1">IFERROR(__xludf.DUMMYFUNCTION("""COMPUTED_VALUE"""),2016)</f>
        <v>2016</v>
      </c>
      <c r="J468" s="82" t="str">
        <f ca="1">IFERROR(__xludf.DUMMYFUNCTION("""COMPUTED_VALUE"""),"Spain")</f>
        <v>Spain</v>
      </c>
      <c r="K468" s="83">
        <f ca="1">IFERROR(
  SUMIFS(
    'New Backfilled Data'!G:G,
    'New Backfilled Data'!A:A, I468,
    'New Backfilled Data'!D:D, J468,
    'New Backfilled Data'!E:E, "Online"
  ) /
  SUMIFS(
    'New Backfilled Data'!G:G,
    'New Backfilled Data'!A:A, I468,
    'New Backfilled Data'!D:D, J468
  ),
  ""
)</f>
        <v>0.42373958214200191</v>
      </c>
      <c r="L468" s="84"/>
      <c r="M468" s="84"/>
    </row>
    <row r="469" spans="1:13" ht="17" x14ac:dyDescent="0.2">
      <c r="A469" s="44">
        <v>2008</v>
      </c>
      <c r="B469" s="45" t="s">
        <v>66</v>
      </c>
      <c r="C469" s="45" t="s">
        <v>41</v>
      </c>
      <c r="D469" s="45" t="s">
        <v>42</v>
      </c>
      <c r="E469" s="45" t="s">
        <v>69</v>
      </c>
      <c r="F469" s="45" t="s">
        <v>70</v>
      </c>
      <c r="G469" s="85">
        <f ca="1">IFERROR(__xludf.DUMMYFUNCTION("IFERROR(
  IF(A469 = 2008,
    IF(E469 = ""Online"",
      FILTER('Raw PhocalPoint Data'!G:G,
        'Raw PhocalPoint Data'!A:A = 2009,
        'Raw PhocalPoint Data'!D:D = D469,
        'Raw PhocalPoint Data'!E:E = E469,
        'Raw PhocalPoint Data'!F"&amp;":F = F469
      ) /
      (
        FILTER('Raw PhocalPoint Data'!G:G,
          'Raw PhocalPoint Data'!A:A = 2012,
          'Raw PhocalPoint Data'!D:D = D469,
          'Raw PhocalPoint Data'!E:E = E469,
          'Raw PhocalPoint Data'!F:F = F469
     "&amp;"   ) /
        FILTER('Raw PhocalPoint Data'!G:G,
          'Raw PhocalPoint Data'!A:A = 2011,
          'Raw PhocalPoint Data'!D:D = D469,
          'Raw PhocalPoint Data'!E:E = E469,
          'Raw PhocalPoint Data'!F:F = F469
        )
      ),
      F"&amp;"ILTER('Raw PhocalPoint Data'!G:G,
        'Raw PhocalPoint Data'!A:A = 2009,
        'Raw PhocalPoint Data'!D:D = D469,
        'Raw PhocalPoint Data'!E:E = E469,
        'Raw PhocalPoint Data'!F:F = F469
      ) *
      (
        INDEX('Raw GDP data'!$I$"&amp;"2:$M$100,
          MATCH(D469, 'Raw GDP data'!$H$2:$H$100, 0),
          MATCH(2008, 'Raw GDP data'!$I$1:$M$1, 0)
        ) /
        INDEX('Raw GDP data'!$I$2:$M$100,
          MATCH(D469, 'Raw GDP data'!$H$2:$H$100, 0),
          MATCH(2009, 'Raw GDP d"&amp;"ata'!$I$1:$M$1, 0)
        )
      )
    ),
  IF(A469 &lt; 2008,
    (
      FILTER(G:G,
        A:A = 2008,
        D:D = D469,
        E:E = E469,
        F:F = F469
      ) /
      PRODUCT(
        ARRAYFORMULA(
          (
            (
              FIL"&amp;"TER('Raw PhocalPoint Data'!G:G,
                'Raw PhocalPoint Data'!A:A = 2012,
                'Raw PhocalPoint Data'!D:D = D469,
                'Raw PhocalPoint Data'!E:E = E469,
                'Raw PhocalPoint Data'!F:F = F469
              ) /
  "&amp;"            FILTER('Raw PhocalPoint Data'!G:G,
                'Raw PhocalPoint Data'!A:A = 2011,
                'Raw PhocalPoint Data'!D:D = D469,
                'Raw PhocalPoint Data'!E:E = E469,
                'Raw PhocalPoint Data'!F:F = F469
     "&amp;"         ) -
              ROW(INDIRECT(""1:"" &amp; (2008 - A469))) *
              (
                (
                  FILTER('Raw PhocalPoint Data'!G:G,
                    'Raw PhocalPoint Data'!A:A = 2012,
                    'Raw PhocalPoint Data'!D:D"&amp;" = D469,
                    'Raw PhocalPoint Data'!E:E = E469,
                    'Raw PhocalPoint Data'!F:F = F469
                  ) /
                  FILTER('Raw PhocalPoint Data'!G:G,
                    'Raw PhocalPoint Data'!A:A = 2011,
       "&amp;"             'Raw PhocalPoint Data'!D:D = D469,
                    'Raw PhocalPoint Data'!E:E = E469,
                    'Raw PhocalPoint Data'!F:F = F469
                  ) - 1
                ) / 5
              )
            )
          )
        )
"&amp;"      )
    ),
    (
      FILTER('Raw PhocalPoint Data'!G:G,
        'Raw PhocalPoint Data'!A:A = 2009,
        'Raw PhocalPoint Data'!D:D = D469,
        'Raw PhocalPoint Data'!E:E = E469,
        'Raw PhocalPoint Data'!F:F = F469
      ) /
      PRODUC"&amp;"T(
        ARRAYFORMULA(
          (
            FILTER('Raw PhocalPoint Data'!G:G,
              'Raw PhocalPoint Data'!A:A = 2012,
              'Raw PhocalPoint Data'!D:D = D469,
              'Raw PhocalPoint Data'!E:E = E469,
              'Raw Phoca"&amp;"lPoint Data'!F:F = F469
            ) /
            FILTER('Raw PhocalPoint Data'!G:G,
              'Raw PhocalPoint Data'!A:A = 2011,
              'Raw PhocalPoint Data'!D:D = D469,
              'Raw PhocalPoint Data'!E:E = E469,
              'Raw Ph"&amp;"ocalPoint Data'!F:F = F469
            ) -
            (ROW(INDIRECT(""1:"" &amp; (2010 - A469))) - 1) *
            (
              (
                FILTER('Raw PhocalPoint Data'!G:G,
                  'Raw PhocalPoint Data'!A:A = 2012,
                  'R"&amp;"aw PhocalPoint Data'!D:D = D469,
                  'Raw PhocalPoint Data'!E:E = E469,
                  'Raw PhocalPoint Data'!F:F = F469
                ) /
                FILTER('Raw PhocalPoint Data'!G:G,
                  'Raw PhocalPoint Data'!A:A ="&amp;" 2011,
                  'Raw PhocalPoint Data'!D:D = D469,
                  'Raw PhocalPoint Data'!E:E = E469,
                  'Raw PhocalPoint Data'!F:F = F469
                ) - 1
              ) / 5
            )
          )
        )
      )
    "&amp;") *
    INDEX('Raw GDP data'!$I$2:$M$100,
      MATCH(D469, 'Raw GDP data'!$H$2:$H$100, 0),
      MATCH(A469, 'Raw GDP data'!$I$1:$M$1, 0)
    )
  )),
  """"
)
"),343764413.490751)</f>
        <v>343764413.49075103</v>
      </c>
      <c r="H469" s="86"/>
      <c r="I469" s="87">
        <f ca="1">IFERROR(__xludf.DUMMYFUNCTION("""COMPUTED_VALUE"""),2016)</f>
        <v>2016</v>
      </c>
      <c r="J469" s="88" t="str">
        <f ca="1">IFERROR(__xludf.DUMMYFUNCTION("""COMPUTED_VALUE"""),"U.K.")</f>
        <v>U.K.</v>
      </c>
      <c r="K469" s="89">
        <f ca="1">IFERROR(
  SUMIFS(
    'New Backfilled Data'!G:G,
    'New Backfilled Data'!A:A, I469,
    'New Backfilled Data'!D:D, J469,
    'New Backfilled Data'!E:E, "Online"
  ) /
  SUMIFS(
    'New Backfilled Data'!G:G,
    'New Backfilled Data'!A:A, I469,
    'New Backfilled Data'!D:D, J469
  ),
  ""
)</f>
        <v>0.58074051072041177</v>
      </c>
      <c r="L469" s="90"/>
      <c r="M469" s="90"/>
    </row>
    <row r="470" spans="1:13" ht="17" x14ac:dyDescent="0.2">
      <c r="A470" s="37">
        <v>2008</v>
      </c>
      <c r="B470" s="38" t="s">
        <v>66</v>
      </c>
      <c r="C470" s="38" t="s">
        <v>41</v>
      </c>
      <c r="D470" s="38" t="s">
        <v>43</v>
      </c>
      <c r="E470" s="38" t="s">
        <v>67</v>
      </c>
      <c r="F470" s="38" t="s">
        <v>67</v>
      </c>
      <c r="G470" s="79">
        <f ca="1">IFERROR(__xludf.DUMMYFUNCTION("IFERROR(
  IF(A470 = 2008,
    IF(E470 = ""Online"",
      FILTER('Raw PhocalPoint Data'!G:G,
        'Raw PhocalPoint Data'!A:A = 2009,
        'Raw PhocalPoint Data'!D:D = D470,
        'Raw PhocalPoint Data'!E:E = E470,
        'Raw PhocalPoint Data'!F"&amp;":F = F470
      ) /
      (
        FILTER('Raw PhocalPoint Data'!G:G,
          'Raw PhocalPoint Data'!A:A = 2012,
          'Raw PhocalPoint Data'!D:D = D470,
          'Raw PhocalPoint Data'!E:E = E470,
          'Raw PhocalPoint Data'!F:F = F470
     "&amp;"   ) /
        FILTER('Raw PhocalPoint Data'!G:G,
          'Raw PhocalPoint Data'!A:A = 2011,
          'Raw PhocalPoint Data'!D:D = D470,
          'Raw PhocalPoint Data'!E:E = E470,
          'Raw PhocalPoint Data'!F:F = F470
        )
      ),
      F"&amp;"ILTER('Raw PhocalPoint Data'!G:G,
        'Raw PhocalPoint Data'!A:A = 2009,
        'Raw PhocalPoint Data'!D:D = D470,
        'Raw PhocalPoint Data'!E:E = E470,
        'Raw PhocalPoint Data'!F:F = F470
      ) *
      (
        INDEX('Raw GDP data'!$I$"&amp;"2:$M$100,
          MATCH(D470, 'Raw GDP data'!$H$2:$H$100, 0),
          MATCH(2008, 'Raw GDP data'!$I$1:$M$1, 0)
        ) /
        INDEX('Raw GDP data'!$I$2:$M$100,
          MATCH(D470, 'Raw GDP data'!$H$2:$H$100, 0),
          MATCH(2009, 'Raw GDP d"&amp;"ata'!$I$1:$M$1, 0)
        )
      )
    ),
  IF(A470 &lt; 2008,
    (
      FILTER(G:G,
        A:A = 2008,
        D:D = D470,
        E:E = E470,
        F:F = F470
      ) /
      PRODUCT(
        ARRAYFORMULA(
          (
            (
              FIL"&amp;"TER('Raw PhocalPoint Data'!G:G,
                'Raw PhocalPoint Data'!A:A = 2012,
                'Raw PhocalPoint Data'!D:D = D470,
                'Raw PhocalPoint Data'!E:E = E470,
                'Raw PhocalPoint Data'!F:F = F470
              ) /
  "&amp;"            FILTER('Raw PhocalPoint Data'!G:G,
                'Raw PhocalPoint Data'!A:A = 2011,
                'Raw PhocalPoint Data'!D:D = D470,
                'Raw PhocalPoint Data'!E:E = E470,
                'Raw PhocalPoint Data'!F:F = F470
     "&amp;"         ) -
              ROW(INDIRECT(""1:"" &amp; (2008 - A470))) *
              (
                (
                  FILTER('Raw PhocalPoint Data'!G:G,
                    'Raw PhocalPoint Data'!A:A = 2012,
                    'Raw PhocalPoint Data'!D:D"&amp;" = D470,
                    'Raw PhocalPoint Data'!E:E = E470,
                    'Raw PhocalPoint Data'!F:F = F470
                  ) /
                  FILTER('Raw PhocalPoint Data'!G:G,
                    'Raw PhocalPoint Data'!A:A = 2011,
       "&amp;"             'Raw PhocalPoint Data'!D:D = D470,
                    'Raw PhocalPoint Data'!E:E = E470,
                    'Raw PhocalPoint Data'!F:F = F470
                  ) - 1
                ) / 5
              )
            )
          )
        )
"&amp;"      )
    ),
    (
      FILTER('Raw PhocalPoint Data'!G:G,
        'Raw PhocalPoint Data'!A:A = 2009,
        'Raw PhocalPoint Data'!D:D = D470,
        'Raw PhocalPoint Data'!E:E = E470,
        'Raw PhocalPoint Data'!F:F = F470
      ) /
      PRODUC"&amp;"T(
        ARRAYFORMULA(
          (
            FILTER('Raw PhocalPoint Data'!G:G,
              'Raw PhocalPoint Data'!A:A = 2012,
              'Raw PhocalPoint Data'!D:D = D470,
              'Raw PhocalPoint Data'!E:E = E470,
              'Raw Phoca"&amp;"lPoint Data'!F:F = F470
            ) /
            FILTER('Raw PhocalPoint Data'!G:G,
              'Raw PhocalPoint Data'!A:A = 2011,
              'Raw PhocalPoint Data'!D:D = D470,
              'Raw PhocalPoint Data'!E:E = E470,
              'Raw Ph"&amp;"ocalPoint Data'!F:F = F470
            ) -
            (ROW(INDIRECT(""1:"" &amp; (2010 - A470))) - 1) *
            (
              (
                FILTER('Raw PhocalPoint Data'!G:G,
                  'Raw PhocalPoint Data'!A:A = 2012,
                  'R"&amp;"aw PhocalPoint Data'!D:D = D470,
                  'Raw PhocalPoint Data'!E:E = E470,
                  'Raw PhocalPoint Data'!F:F = F470
                ) /
                FILTER('Raw PhocalPoint Data'!G:G,
                  'Raw PhocalPoint Data'!A:A ="&amp;" 2011,
                  'Raw PhocalPoint Data'!D:D = D470,
                  'Raw PhocalPoint Data'!E:E = E470,
                  'Raw PhocalPoint Data'!F:F = F470
                ) - 1
              ) / 5
            )
          )
        )
      )
    "&amp;") *
    INDEX('Raw GDP data'!$I$2:$M$100,
      MATCH(D470, 'Raw GDP data'!$H$2:$H$100, 0),
      MATCH(A470, 'Raw GDP data'!$I$1:$M$1, 0)
    )
  )),
  """"
)
"),8591194764.71061)</f>
        <v>8591194764.7106094</v>
      </c>
      <c r="H470" s="80"/>
      <c r="I470" s="81">
        <f ca="1">IFERROR(__xludf.DUMMYFUNCTION("""COMPUTED_VALUE"""),2016)</f>
        <v>2016</v>
      </c>
      <c r="J470" s="82" t="str">
        <f ca="1">IFERROR(__xludf.DUMMYFUNCTION("""COMPUTED_VALUE"""),"Argentina")</f>
        <v>Argentina</v>
      </c>
      <c r="K470" s="83">
        <f ca="1">IFERROR(
  SUMIFS(
    'New Backfilled Data'!G:G,
    'New Backfilled Data'!A:A, I470,
    'New Backfilled Data'!D:D, J470,
    'New Backfilled Data'!E:E, "Online"
  ) /
  SUMIFS(
    'New Backfilled Data'!G:G,
    'New Backfilled Data'!A:A, I470,
    'New Backfilled Data'!D:D, J470
  ),
  ""
)</f>
        <v>0.24566670587305098</v>
      </c>
      <c r="L470" s="84"/>
      <c r="M470" s="84"/>
    </row>
    <row r="471" spans="1:13" ht="17" x14ac:dyDescent="0.2">
      <c r="A471" s="44">
        <v>2008</v>
      </c>
      <c r="B471" s="45" t="s">
        <v>66</v>
      </c>
      <c r="C471" s="45" t="s">
        <v>41</v>
      </c>
      <c r="D471" s="45" t="s">
        <v>43</v>
      </c>
      <c r="E471" s="45" t="s">
        <v>69</v>
      </c>
      <c r="F471" s="45" t="s">
        <v>71</v>
      </c>
      <c r="G471" s="85">
        <f ca="1">IFERROR(__xludf.DUMMYFUNCTION("IFERROR(
  IF(A471 = 2008,
    IF(E471 = ""Online"",
      FILTER('Raw PhocalPoint Data'!G:G,
        'Raw PhocalPoint Data'!A:A = 2009,
        'Raw PhocalPoint Data'!D:D = D471,
        'Raw PhocalPoint Data'!E:E = E471,
        'Raw PhocalPoint Data'!F"&amp;":F = F471
      ) /
      (
        FILTER('Raw PhocalPoint Data'!G:G,
          'Raw PhocalPoint Data'!A:A = 2012,
          'Raw PhocalPoint Data'!D:D = D471,
          'Raw PhocalPoint Data'!E:E = E471,
          'Raw PhocalPoint Data'!F:F = F471
     "&amp;"   ) /
        FILTER('Raw PhocalPoint Data'!G:G,
          'Raw PhocalPoint Data'!A:A = 2011,
          'Raw PhocalPoint Data'!D:D = D471,
          'Raw PhocalPoint Data'!E:E = E471,
          'Raw PhocalPoint Data'!F:F = F471
        )
      ),
      F"&amp;"ILTER('Raw PhocalPoint Data'!G:G,
        'Raw PhocalPoint Data'!A:A = 2009,
        'Raw PhocalPoint Data'!D:D = D471,
        'Raw PhocalPoint Data'!E:E = E471,
        'Raw PhocalPoint Data'!F:F = F471
      ) *
      (
        INDEX('Raw GDP data'!$I$"&amp;"2:$M$100,
          MATCH(D471, 'Raw GDP data'!$H$2:$H$100, 0),
          MATCH(2008, 'Raw GDP data'!$I$1:$M$1, 0)
        ) /
        INDEX('Raw GDP data'!$I$2:$M$100,
          MATCH(D471, 'Raw GDP data'!$H$2:$H$100, 0),
          MATCH(2009, 'Raw GDP d"&amp;"ata'!$I$1:$M$1, 0)
        )
      )
    ),
  IF(A471 &lt; 2008,
    (
      FILTER(G:G,
        A:A = 2008,
        D:D = D471,
        E:E = E471,
        F:F = F471
      ) /
      PRODUCT(
        ARRAYFORMULA(
          (
            (
              FIL"&amp;"TER('Raw PhocalPoint Data'!G:G,
                'Raw PhocalPoint Data'!A:A = 2012,
                'Raw PhocalPoint Data'!D:D = D471,
                'Raw PhocalPoint Data'!E:E = E471,
                'Raw PhocalPoint Data'!F:F = F471
              ) /
  "&amp;"            FILTER('Raw PhocalPoint Data'!G:G,
                'Raw PhocalPoint Data'!A:A = 2011,
                'Raw PhocalPoint Data'!D:D = D471,
                'Raw PhocalPoint Data'!E:E = E471,
                'Raw PhocalPoint Data'!F:F = F471
     "&amp;"         ) -
              ROW(INDIRECT(""1:"" &amp; (2008 - A471))) *
              (
                (
                  FILTER('Raw PhocalPoint Data'!G:G,
                    'Raw PhocalPoint Data'!A:A = 2012,
                    'Raw PhocalPoint Data'!D:D"&amp;" = D471,
                    'Raw PhocalPoint Data'!E:E = E471,
                    'Raw PhocalPoint Data'!F:F = F471
                  ) /
                  FILTER('Raw PhocalPoint Data'!G:G,
                    'Raw PhocalPoint Data'!A:A = 2011,
       "&amp;"             'Raw PhocalPoint Data'!D:D = D471,
                    'Raw PhocalPoint Data'!E:E = E471,
                    'Raw PhocalPoint Data'!F:F = F471
                  ) - 1
                ) / 5
              )
            )
          )
        )
"&amp;"      )
    ),
    (
      FILTER('Raw PhocalPoint Data'!G:G,
        'Raw PhocalPoint Data'!A:A = 2009,
        'Raw PhocalPoint Data'!D:D = D471,
        'Raw PhocalPoint Data'!E:E = E471,
        'Raw PhocalPoint Data'!F:F = F471
      ) /
      PRODUC"&amp;"T(
        ARRAYFORMULA(
          (
            FILTER('Raw PhocalPoint Data'!G:G,
              'Raw PhocalPoint Data'!A:A = 2012,
              'Raw PhocalPoint Data'!D:D = D471,
              'Raw PhocalPoint Data'!E:E = E471,
              'Raw Phoca"&amp;"lPoint Data'!F:F = F471
            ) /
            FILTER('Raw PhocalPoint Data'!G:G,
              'Raw PhocalPoint Data'!A:A = 2011,
              'Raw PhocalPoint Data'!D:D = D471,
              'Raw PhocalPoint Data'!E:E = E471,
              'Raw Ph"&amp;"ocalPoint Data'!F:F = F471
            ) -
            (ROW(INDIRECT(""1:"" &amp; (2010 - A471))) - 1) *
            (
              (
                FILTER('Raw PhocalPoint Data'!G:G,
                  'Raw PhocalPoint Data'!A:A = 2012,
                  'R"&amp;"aw PhocalPoint Data'!D:D = D471,
                  'Raw PhocalPoint Data'!E:E = E471,
                  'Raw PhocalPoint Data'!F:F = F471
                ) /
                FILTER('Raw PhocalPoint Data'!G:G,
                  'Raw PhocalPoint Data'!A:A ="&amp;" 2011,
                  'Raw PhocalPoint Data'!D:D = D471,
                  'Raw PhocalPoint Data'!E:E = E471,
                  'Raw PhocalPoint Data'!F:F = F471
                ) - 1
              ) / 5
            )
          )
        )
      )
    "&amp;") *
    INDEX('Raw GDP data'!$I$2:$M$100,
      MATCH(D471, 'Raw GDP data'!$H$2:$H$100, 0),
      MATCH(A471, 'Raw GDP data'!$I$1:$M$1, 0)
    )
  )),
  """"
)
"),228447155.253881)</f>
        <v>228447155.25388101</v>
      </c>
      <c r="H471" s="86"/>
      <c r="I471" s="87">
        <f ca="1">IFERROR(__xludf.DUMMYFUNCTION("""COMPUTED_VALUE"""),2016)</f>
        <v>2016</v>
      </c>
      <c r="J471" s="88" t="str">
        <f ca="1">IFERROR(__xludf.DUMMYFUNCTION("""COMPUTED_VALUE"""),"Brazil")</f>
        <v>Brazil</v>
      </c>
      <c r="K471" s="89">
        <f ca="1">IFERROR(
  SUMIFS(
    'New Backfilled Data'!G:G,
    'New Backfilled Data'!A:A, I471,
    'New Backfilled Data'!D:D, J471,
    'New Backfilled Data'!E:E, "Online"
  ) /
  SUMIFS(
    'New Backfilled Data'!G:G,
    'New Backfilled Data'!A:A, I471,
    'New Backfilled Data'!D:D, J471
  ),
  ""
)</f>
        <v>0.34835979831595315</v>
      </c>
      <c r="L471" s="90"/>
      <c r="M471" s="90"/>
    </row>
    <row r="472" spans="1:13" ht="17" x14ac:dyDescent="0.2">
      <c r="A472" s="37">
        <v>2008</v>
      </c>
      <c r="B472" s="38" t="s">
        <v>66</v>
      </c>
      <c r="C472" s="38" t="s">
        <v>41</v>
      </c>
      <c r="D472" s="38" t="s">
        <v>43</v>
      </c>
      <c r="E472" s="38" t="s">
        <v>69</v>
      </c>
      <c r="F472" s="38" t="s">
        <v>70</v>
      </c>
      <c r="G472" s="79">
        <f ca="1">IFERROR(__xludf.DUMMYFUNCTION("IFERROR(
  IF(A472 = 2008,
    IF(E472 = ""Online"",
      FILTER('Raw PhocalPoint Data'!G:G,
        'Raw PhocalPoint Data'!A:A = 2009,
        'Raw PhocalPoint Data'!D:D = D472,
        'Raw PhocalPoint Data'!E:E = E472,
        'Raw PhocalPoint Data'!F"&amp;":F = F472
      ) /
      (
        FILTER('Raw PhocalPoint Data'!G:G,
          'Raw PhocalPoint Data'!A:A = 2012,
          'Raw PhocalPoint Data'!D:D = D472,
          'Raw PhocalPoint Data'!E:E = E472,
          'Raw PhocalPoint Data'!F:F = F472
     "&amp;"   ) /
        FILTER('Raw PhocalPoint Data'!G:G,
          'Raw PhocalPoint Data'!A:A = 2011,
          'Raw PhocalPoint Data'!D:D = D472,
          'Raw PhocalPoint Data'!E:E = E472,
          'Raw PhocalPoint Data'!F:F = F472
        )
      ),
      F"&amp;"ILTER('Raw PhocalPoint Data'!G:G,
        'Raw PhocalPoint Data'!A:A = 2009,
        'Raw PhocalPoint Data'!D:D = D472,
        'Raw PhocalPoint Data'!E:E = E472,
        'Raw PhocalPoint Data'!F:F = F472
      ) *
      (
        INDEX('Raw GDP data'!$I$"&amp;"2:$M$100,
          MATCH(D472, 'Raw GDP data'!$H$2:$H$100, 0),
          MATCH(2008, 'Raw GDP data'!$I$1:$M$1, 0)
        ) /
        INDEX('Raw GDP data'!$I$2:$M$100,
          MATCH(D472, 'Raw GDP data'!$H$2:$H$100, 0),
          MATCH(2009, 'Raw GDP d"&amp;"ata'!$I$1:$M$1, 0)
        )
      )
    ),
  IF(A472 &lt; 2008,
    (
      FILTER(G:G,
        A:A = 2008,
        D:D = D472,
        E:E = E472,
        F:F = F472
      ) /
      PRODUCT(
        ARRAYFORMULA(
          (
            (
              FIL"&amp;"TER('Raw PhocalPoint Data'!G:G,
                'Raw PhocalPoint Data'!A:A = 2012,
                'Raw PhocalPoint Data'!D:D = D472,
                'Raw PhocalPoint Data'!E:E = E472,
                'Raw PhocalPoint Data'!F:F = F472
              ) /
  "&amp;"            FILTER('Raw PhocalPoint Data'!G:G,
                'Raw PhocalPoint Data'!A:A = 2011,
                'Raw PhocalPoint Data'!D:D = D472,
                'Raw PhocalPoint Data'!E:E = E472,
                'Raw PhocalPoint Data'!F:F = F472
     "&amp;"         ) -
              ROW(INDIRECT(""1:"" &amp; (2008 - A472))) *
              (
                (
                  FILTER('Raw PhocalPoint Data'!G:G,
                    'Raw PhocalPoint Data'!A:A = 2012,
                    'Raw PhocalPoint Data'!D:D"&amp;" = D472,
                    'Raw PhocalPoint Data'!E:E = E472,
                    'Raw PhocalPoint Data'!F:F = F472
                  ) /
                  FILTER('Raw PhocalPoint Data'!G:G,
                    'Raw PhocalPoint Data'!A:A = 2011,
       "&amp;"             'Raw PhocalPoint Data'!D:D = D472,
                    'Raw PhocalPoint Data'!E:E = E472,
                    'Raw PhocalPoint Data'!F:F = F472
                  ) - 1
                ) / 5
              )
            )
          )
        )
"&amp;"      )
    ),
    (
      FILTER('Raw PhocalPoint Data'!G:G,
        'Raw PhocalPoint Data'!A:A = 2009,
        'Raw PhocalPoint Data'!D:D = D472,
        'Raw PhocalPoint Data'!E:E = E472,
        'Raw PhocalPoint Data'!F:F = F472
      ) /
      PRODUC"&amp;"T(
        ARRAYFORMULA(
          (
            FILTER('Raw PhocalPoint Data'!G:G,
              'Raw PhocalPoint Data'!A:A = 2012,
              'Raw PhocalPoint Data'!D:D = D472,
              'Raw PhocalPoint Data'!E:E = E472,
              'Raw Phoca"&amp;"lPoint Data'!F:F = F472
            ) /
            FILTER('Raw PhocalPoint Data'!G:G,
              'Raw PhocalPoint Data'!A:A = 2011,
              'Raw PhocalPoint Data'!D:D = D472,
              'Raw PhocalPoint Data'!E:E = E472,
              'Raw Ph"&amp;"ocalPoint Data'!F:F = F472
            ) -
            (ROW(INDIRECT(""1:"" &amp; (2010 - A472))) - 1) *
            (
              (
                FILTER('Raw PhocalPoint Data'!G:G,
                  'Raw PhocalPoint Data'!A:A = 2012,
                  'R"&amp;"aw PhocalPoint Data'!D:D = D472,
                  'Raw PhocalPoint Data'!E:E = E472,
                  'Raw PhocalPoint Data'!F:F = F472
                ) /
                FILTER('Raw PhocalPoint Data'!G:G,
                  'Raw PhocalPoint Data'!A:A ="&amp;" 2011,
                  'Raw PhocalPoint Data'!D:D = D472,
                  'Raw PhocalPoint Data'!E:E = E472,
                  'Raw PhocalPoint Data'!F:F = F472
                ) - 1
              ) / 5
            )
          )
        )
      )
    "&amp;") *
    INDEX('Raw GDP data'!$I$2:$M$100,
      MATCH(D472, 'Raw GDP data'!$H$2:$H$100, 0),
      MATCH(A472, 'Raw GDP data'!$I$1:$M$1, 0)
    )
  )),
  """"
)
"),244588190.778342)</f>
        <v>244588190.77834201</v>
      </c>
      <c r="H472" s="80"/>
      <c r="I472" s="81">
        <f ca="1">IFERROR(__xludf.DUMMYFUNCTION("""COMPUTED_VALUE"""),2016)</f>
        <v>2016</v>
      </c>
      <c r="J472" s="82" t="str">
        <f ca="1">IFERROR(__xludf.DUMMYFUNCTION("""COMPUTED_VALUE"""),"Chile")</f>
        <v>Chile</v>
      </c>
      <c r="K472" s="83">
        <f ca="1">IFERROR(
  SUMIFS(
    'New Backfilled Data'!G:G,
    'New Backfilled Data'!A:A, I472,
    'New Backfilled Data'!D:D, J472,
    'New Backfilled Data'!E:E, "Online"
  ) /
  SUMIFS(
    'New Backfilled Data'!G:G,
    'New Backfilled Data'!A:A, I472,
    'New Backfilled Data'!D:D, J472
  ),
  ""
)</f>
        <v>0.33153994063160325</v>
      </c>
      <c r="L472" s="84"/>
      <c r="M472" s="84"/>
    </row>
    <row r="473" spans="1:13" ht="17" x14ac:dyDescent="0.2">
      <c r="A473" s="44">
        <v>2008</v>
      </c>
      <c r="B473" s="45" t="s">
        <v>66</v>
      </c>
      <c r="C473" s="45" t="s">
        <v>41</v>
      </c>
      <c r="D473" s="45" t="s">
        <v>44</v>
      </c>
      <c r="E473" s="45" t="s">
        <v>67</v>
      </c>
      <c r="F473" s="45" t="s">
        <v>67</v>
      </c>
      <c r="G473" s="85">
        <f ca="1">IFERROR(__xludf.DUMMYFUNCTION("IFERROR(
  IF(A473 = 2008,
    IF(E473 = ""Online"",
      FILTER('Raw PhocalPoint Data'!G:G,
        'Raw PhocalPoint Data'!A:A = 2009,
        'Raw PhocalPoint Data'!D:D = D473,
        'Raw PhocalPoint Data'!E:E = E473,
        'Raw PhocalPoint Data'!F"&amp;":F = F473
      ) /
      (
        FILTER('Raw PhocalPoint Data'!G:G,
          'Raw PhocalPoint Data'!A:A = 2012,
          'Raw PhocalPoint Data'!D:D = D473,
          'Raw PhocalPoint Data'!E:E = E473,
          'Raw PhocalPoint Data'!F:F = F473
     "&amp;"   ) /
        FILTER('Raw PhocalPoint Data'!G:G,
          'Raw PhocalPoint Data'!A:A = 2011,
          'Raw PhocalPoint Data'!D:D = D473,
          'Raw PhocalPoint Data'!E:E = E473,
          'Raw PhocalPoint Data'!F:F = F473
        )
      ),
      F"&amp;"ILTER('Raw PhocalPoint Data'!G:G,
        'Raw PhocalPoint Data'!A:A = 2009,
        'Raw PhocalPoint Data'!D:D = D473,
        'Raw PhocalPoint Data'!E:E = E473,
        'Raw PhocalPoint Data'!F:F = F473
      ) *
      (
        INDEX('Raw GDP data'!$I$"&amp;"2:$M$100,
          MATCH(D473, 'Raw GDP data'!$H$2:$H$100, 0),
          MATCH(2008, 'Raw GDP data'!$I$1:$M$1, 0)
        ) /
        INDEX('Raw GDP data'!$I$2:$M$100,
          MATCH(D473, 'Raw GDP data'!$H$2:$H$100, 0),
          MATCH(2009, 'Raw GDP d"&amp;"ata'!$I$1:$M$1, 0)
        )
      )
    ),
  IF(A473 &lt; 2008,
    (
      FILTER(G:G,
        A:A = 2008,
        D:D = D473,
        E:E = E473,
        F:F = F473
      ) /
      PRODUCT(
        ARRAYFORMULA(
          (
            (
              FIL"&amp;"TER('Raw PhocalPoint Data'!G:G,
                'Raw PhocalPoint Data'!A:A = 2012,
                'Raw PhocalPoint Data'!D:D = D473,
                'Raw PhocalPoint Data'!E:E = E473,
                'Raw PhocalPoint Data'!F:F = F473
              ) /
  "&amp;"            FILTER('Raw PhocalPoint Data'!G:G,
                'Raw PhocalPoint Data'!A:A = 2011,
                'Raw PhocalPoint Data'!D:D = D473,
                'Raw PhocalPoint Data'!E:E = E473,
                'Raw PhocalPoint Data'!F:F = F473
     "&amp;"         ) -
              ROW(INDIRECT(""1:"" &amp; (2008 - A473))) *
              (
                (
                  FILTER('Raw PhocalPoint Data'!G:G,
                    'Raw PhocalPoint Data'!A:A = 2012,
                    'Raw PhocalPoint Data'!D:D"&amp;" = D473,
                    'Raw PhocalPoint Data'!E:E = E473,
                    'Raw PhocalPoint Data'!F:F = F473
                  ) /
                  FILTER('Raw PhocalPoint Data'!G:G,
                    'Raw PhocalPoint Data'!A:A = 2011,
       "&amp;"             'Raw PhocalPoint Data'!D:D = D473,
                    'Raw PhocalPoint Data'!E:E = E473,
                    'Raw PhocalPoint Data'!F:F = F473
                  ) - 1
                ) / 5
              )
            )
          )
        )
"&amp;"      )
    ),
    (
      FILTER('Raw PhocalPoint Data'!G:G,
        'Raw PhocalPoint Data'!A:A = 2009,
        'Raw PhocalPoint Data'!D:D = D473,
        'Raw PhocalPoint Data'!E:E = E473,
        'Raw PhocalPoint Data'!F:F = F473
      ) /
      PRODUC"&amp;"T(
        ARRAYFORMULA(
          (
            FILTER('Raw PhocalPoint Data'!G:G,
              'Raw PhocalPoint Data'!A:A = 2012,
              'Raw PhocalPoint Data'!D:D = D473,
              'Raw PhocalPoint Data'!E:E = E473,
              'Raw Phoca"&amp;"lPoint Data'!F:F = F473
            ) /
            FILTER('Raw PhocalPoint Data'!G:G,
              'Raw PhocalPoint Data'!A:A = 2011,
              'Raw PhocalPoint Data'!D:D = D473,
              'Raw PhocalPoint Data'!E:E = E473,
              'Raw Ph"&amp;"ocalPoint Data'!F:F = F473
            ) -
            (ROW(INDIRECT(""1:"" &amp; (2010 - A473))) - 1) *
            (
              (
                FILTER('Raw PhocalPoint Data'!G:G,
                  'Raw PhocalPoint Data'!A:A = 2012,
                  'R"&amp;"aw PhocalPoint Data'!D:D = D473,
                  'Raw PhocalPoint Data'!E:E = E473,
                  'Raw PhocalPoint Data'!F:F = F473
                ) /
                FILTER('Raw PhocalPoint Data'!G:G,
                  'Raw PhocalPoint Data'!A:A ="&amp;" 2011,
                  'Raw PhocalPoint Data'!D:D = D473,
                  'Raw PhocalPoint Data'!E:E = E473,
                  'Raw PhocalPoint Data'!F:F = F473
                ) - 1
              ) / 5
            )
          )
        )
      )
    "&amp;") *
    INDEX('Raw GDP data'!$I$2:$M$100,
      MATCH(D473, 'Raw GDP data'!$H$2:$H$100, 0),
      MATCH(A473, 'Raw GDP data'!$I$1:$M$1, 0)
    )
  )),
  """"
)
"),9944674800.11132)</f>
        <v>9944674800.1113205</v>
      </c>
      <c r="H473" s="86"/>
      <c r="I473" s="87">
        <f ca="1">IFERROR(__xludf.DUMMYFUNCTION("""COMPUTED_VALUE"""),2016)</f>
        <v>2016</v>
      </c>
      <c r="J473" s="88" t="str">
        <f ca="1">IFERROR(__xludf.DUMMYFUNCTION("""COMPUTED_VALUE"""),"Colombia")</f>
        <v>Colombia</v>
      </c>
      <c r="K473" s="89">
        <f ca="1">IFERROR(
  SUMIFS(
    'New Backfilled Data'!G:G,
    'New Backfilled Data'!A:A, I473,
    'New Backfilled Data'!D:D, J473,
    'New Backfilled Data'!E:E, "Online"
  ) /
  SUMIFS(
    'New Backfilled Data'!G:G,
    'New Backfilled Data'!A:A, I473,
    'New Backfilled Data'!D:D, J473
  ),
  ""
)</f>
        <v>0.30992879831143122</v>
      </c>
      <c r="L473" s="90"/>
      <c r="M473" s="90"/>
    </row>
    <row r="474" spans="1:13" ht="17" x14ac:dyDescent="0.2">
      <c r="A474" s="37">
        <v>2008</v>
      </c>
      <c r="B474" s="38" t="s">
        <v>66</v>
      </c>
      <c r="C474" s="38" t="s">
        <v>41</v>
      </c>
      <c r="D474" s="38" t="s">
        <v>44</v>
      </c>
      <c r="E474" s="38" t="s">
        <v>69</v>
      </c>
      <c r="F474" s="38" t="s">
        <v>71</v>
      </c>
      <c r="G474" s="79">
        <f ca="1">IFERROR(__xludf.DUMMYFUNCTION("IFERROR(
  IF(A474 = 2008,
    IF(E474 = ""Online"",
      FILTER('Raw PhocalPoint Data'!G:G,
        'Raw PhocalPoint Data'!A:A = 2009,
        'Raw PhocalPoint Data'!D:D = D474,
        'Raw PhocalPoint Data'!E:E = E474,
        'Raw PhocalPoint Data'!F"&amp;":F = F474
      ) /
      (
        FILTER('Raw PhocalPoint Data'!G:G,
          'Raw PhocalPoint Data'!A:A = 2012,
          'Raw PhocalPoint Data'!D:D = D474,
          'Raw PhocalPoint Data'!E:E = E474,
          'Raw PhocalPoint Data'!F:F = F474
     "&amp;"   ) /
        FILTER('Raw PhocalPoint Data'!G:G,
          'Raw PhocalPoint Data'!A:A = 2011,
          'Raw PhocalPoint Data'!D:D = D474,
          'Raw PhocalPoint Data'!E:E = E474,
          'Raw PhocalPoint Data'!F:F = F474
        )
      ),
      F"&amp;"ILTER('Raw PhocalPoint Data'!G:G,
        'Raw PhocalPoint Data'!A:A = 2009,
        'Raw PhocalPoint Data'!D:D = D474,
        'Raw PhocalPoint Data'!E:E = E474,
        'Raw PhocalPoint Data'!F:F = F474
      ) *
      (
        INDEX('Raw GDP data'!$I$"&amp;"2:$M$100,
          MATCH(D474, 'Raw GDP data'!$H$2:$H$100, 0),
          MATCH(2008, 'Raw GDP data'!$I$1:$M$1, 0)
        ) /
        INDEX('Raw GDP data'!$I$2:$M$100,
          MATCH(D474, 'Raw GDP data'!$H$2:$H$100, 0),
          MATCH(2009, 'Raw GDP d"&amp;"ata'!$I$1:$M$1, 0)
        )
      )
    ),
  IF(A474 &lt; 2008,
    (
      FILTER(G:G,
        A:A = 2008,
        D:D = D474,
        E:E = E474,
        F:F = F474
      ) /
      PRODUCT(
        ARRAYFORMULA(
          (
            (
              FIL"&amp;"TER('Raw PhocalPoint Data'!G:G,
                'Raw PhocalPoint Data'!A:A = 2012,
                'Raw PhocalPoint Data'!D:D = D474,
                'Raw PhocalPoint Data'!E:E = E474,
                'Raw PhocalPoint Data'!F:F = F474
              ) /
  "&amp;"            FILTER('Raw PhocalPoint Data'!G:G,
                'Raw PhocalPoint Data'!A:A = 2011,
                'Raw PhocalPoint Data'!D:D = D474,
                'Raw PhocalPoint Data'!E:E = E474,
                'Raw PhocalPoint Data'!F:F = F474
     "&amp;"         ) -
              ROW(INDIRECT(""1:"" &amp; (2008 - A474))) *
              (
                (
                  FILTER('Raw PhocalPoint Data'!G:G,
                    'Raw PhocalPoint Data'!A:A = 2012,
                    'Raw PhocalPoint Data'!D:D"&amp;" = D474,
                    'Raw PhocalPoint Data'!E:E = E474,
                    'Raw PhocalPoint Data'!F:F = F474
                  ) /
                  FILTER('Raw PhocalPoint Data'!G:G,
                    'Raw PhocalPoint Data'!A:A = 2011,
       "&amp;"             'Raw PhocalPoint Data'!D:D = D474,
                    'Raw PhocalPoint Data'!E:E = E474,
                    'Raw PhocalPoint Data'!F:F = F474
                  ) - 1
                ) / 5
              )
            )
          )
        )
"&amp;"      )
    ),
    (
      FILTER('Raw PhocalPoint Data'!G:G,
        'Raw PhocalPoint Data'!A:A = 2009,
        'Raw PhocalPoint Data'!D:D = D474,
        'Raw PhocalPoint Data'!E:E = E474,
        'Raw PhocalPoint Data'!F:F = F474
      ) /
      PRODUC"&amp;"T(
        ARRAYFORMULA(
          (
            FILTER('Raw PhocalPoint Data'!G:G,
              'Raw PhocalPoint Data'!A:A = 2012,
              'Raw PhocalPoint Data'!D:D = D474,
              'Raw PhocalPoint Data'!E:E = E474,
              'Raw Phoca"&amp;"lPoint Data'!F:F = F474
            ) /
            FILTER('Raw PhocalPoint Data'!G:G,
              'Raw PhocalPoint Data'!A:A = 2011,
              'Raw PhocalPoint Data'!D:D = D474,
              'Raw PhocalPoint Data'!E:E = E474,
              'Raw Ph"&amp;"ocalPoint Data'!F:F = F474
            ) -
            (ROW(INDIRECT(""1:"" &amp; (2010 - A474))) - 1) *
            (
              (
                FILTER('Raw PhocalPoint Data'!G:G,
                  'Raw PhocalPoint Data'!A:A = 2012,
                  'R"&amp;"aw PhocalPoint Data'!D:D = D474,
                  'Raw PhocalPoint Data'!E:E = E474,
                  'Raw PhocalPoint Data'!F:F = F474
                ) /
                FILTER('Raw PhocalPoint Data'!G:G,
                  'Raw PhocalPoint Data'!A:A ="&amp;" 2011,
                  'Raw PhocalPoint Data'!D:D = D474,
                  'Raw PhocalPoint Data'!E:E = E474,
                  'Raw PhocalPoint Data'!F:F = F474
                ) - 1
              ) / 5
            )
          )
        )
      )
    "&amp;") *
    INDEX('Raw GDP data'!$I$2:$M$100,
      MATCH(D474, 'Raw GDP data'!$H$2:$H$100, 0),
      MATCH(A474, 'Raw GDP data'!$I$1:$M$1, 0)
    )
  )),
  """"
)
"),553911816.303924)</f>
        <v>553911816.30392396</v>
      </c>
      <c r="H474" s="80"/>
      <c r="I474" s="81">
        <f ca="1">IFERROR(__xludf.DUMMYFUNCTION("""COMPUTED_VALUE"""),2016)</f>
        <v>2016</v>
      </c>
      <c r="J474" s="82" t="str">
        <f ca="1">IFERROR(__xludf.DUMMYFUNCTION("""COMPUTED_VALUE"""),"Mexico")</f>
        <v>Mexico</v>
      </c>
      <c r="K474" s="83">
        <f ca="1">IFERROR(
  SUMIFS(
    'New Backfilled Data'!G:G,
    'New Backfilled Data'!A:A, I474,
    'New Backfilled Data'!D:D, J474,
    'New Backfilled Data'!E:E, "Online"
  ) /
  SUMIFS(
    'New Backfilled Data'!G:G,
    'New Backfilled Data'!A:A, I474,
    'New Backfilled Data'!D:D, J474
  ),
  ""
)</f>
        <v>0.3121648606863302</v>
      </c>
      <c r="L474" s="84"/>
      <c r="M474" s="84"/>
    </row>
    <row r="475" spans="1:13" ht="17" x14ac:dyDescent="0.2">
      <c r="A475" s="44">
        <v>2008</v>
      </c>
      <c r="B475" s="45" t="s">
        <v>66</v>
      </c>
      <c r="C475" s="45" t="s">
        <v>41</v>
      </c>
      <c r="D475" s="45" t="s">
        <v>44</v>
      </c>
      <c r="E475" s="45" t="s">
        <v>69</v>
      </c>
      <c r="F475" s="45" t="s">
        <v>70</v>
      </c>
      <c r="G475" s="85">
        <f ca="1">IFERROR(__xludf.DUMMYFUNCTION("IFERROR(
  IF(A475 = 2008,
    IF(E475 = ""Online"",
      FILTER('Raw PhocalPoint Data'!G:G,
        'Raw PhocalPoint Data'!A:A = 2009,
        'Raw PhocalPoint Data'!D:D = D475,
        'Raw PhocalPoint Data'!E:E = E475,
        'Raw PhocalPoint Data'!F"&amp;":F = F475
      ) /
      (
        FILTER('Raw PhocalPoint Data'!G:G,
          'Raw PhocalPoint Data'!A:A = 2012,
          'Raw PhocalPoint Data'!D:D = D475,
          'Raw PhocalPoint Data'!E:E = E475,
          'Raw PhocalPoint Data'!F:F = F475
     "&amp;"   ) /
        FILTER('Raw PhocalPoint Data'!G:G,
          'Raw PhocalPoint Data'!A:A = 2011,
          'Raw PhocalPoint Data'!D:D = D475,
          'Raw PhocalPoint Data'!E:E = E475,
          'Raw PhocalPoint Data'!F:F = F475
        )
      ),
      F"&amp;"ILTER('Raw PhocalPoint Data'!G:G,
        'Raw PhocalPoint Data'!A:A = 2009,
        'Raw PhocalPoint Data'!D:D = D475,
        'Raw PhocalPoint Data'!E:E = E475,
        'Raw PhocalPoint Data'!F:F = F475
      ) *
      (
        INDEX('Raw GDP data'!$I$"&amp;"2:$M$100,
          MATCH(D475, 'Raw GDP data'!$H$2:$H$100, 0),
          MATCH(2008, 'Raw GDP data'!$I$1:$M$1, 0)
        ) /
        INDEX('Raw GDP data'!$I$2:$M$100,
          MATCH(D475, 'Raw GDP data'!$H$2:$H$100, 0),
          MATCH(2009, 'Raw GDP d"&amp;"ata'!$I$1:$M$1, 0)
        )
      )
    ),
  IF(A475 &lt; 2008,
    (
      FILTER(G:G,
        A:A = 2008,
        D:D = D475,
        E:E = E475,
        F:F = F475
      ) /
      PRODUCT(
        ARRAYFORMULA(
          (
            (
              FIL"&amp;"TER('Raw PhocalPoint Data'!G:G,
                'Raw PhocalPoint Data'!A:A = 2012,
                'Raw PhocalPoint Data'!D:D = D475,
                'Raw PhocalPoint Data'!E:E = E475,
                'Raw PhocalPoint Data'!F:F = F475
              ) /
  "&amp;"            FILTER('Raw PhocalPoint Data'!G:G,
                'Raw PhocalPoint Data'!A:A = 2011,
                'Raw PhocalPoint Data'!D:D = D475,
                'Raw PhocalPoint Data'!E:E = E475,
                'Raw PhocalPoint Data'!F:F = F475
     "&amp;"         ) -
              ROW(INDIRECT(""1:"" &amp; (2008 - A475))) *
              (
                (
                  FILTER('Raw PhocalPoint Data'!G:G,
                    'Raw PhocalPoint Data'!A:A = 2012,
                    'Raw PhocalPoint Data'!D:D"&amp;" = D475,
                    'Raw PhocalPoint Data'!E:E = E475,
                    'Raw PhocalPoint Data'!F:F = F475
                  ) /
                  FILTER('Raw PhocalPoint Data'!G:G,
                    'Raw PhocalPoint Data'!A:A = 2011,
       "&amp;"             'Raw PhocalPoint Data'!D:D = D475,
                    'Raw PhocalPoint Data'!E:E = E475,
                    'Raw PhocalPoint Data'!F:F = F475
                  ) - 1
                ) / 5
              )
            )
          )
        )
"&amp;"      )
    ),
    (
      FILTER('Raw PhocalPoint Data'!G:G,
        'Raw PhocalPoint Data'!A:A = 2009,
        'Raw PhocalPoint Data'!D:D = D475,
        'Raw PhocalPoint Data'!E:E = E475,
        'Raw PhocalPoint Data'!F:F = F475
      ) /
      PRODUC"&amp;"T(
        ARRAYFORMULA(
          (
            FILTER('Raw PhocalPoint Data'!G:G,
              'Raw PhocalPoint Data'!A:A = 2012,
              'Raw PhocalPoint Data'!D:D = D475,
              'Raw PhocalPoint Data'!E:E = E475,
              'Raw Phoca"&amp;"lPoint Data'!F:F = F475
            ) /
            FILTER('Raw PhocalPoint Data'!G:G,
              'Raw PhocalPoint Data'!A:A = 2011,
              'Raw PhocalPoint Data'!D:D = D475,
              'Raw PhocalPoint Data'!E:E = E475,
              'Raw Ph"&amp;"ocalPoint Data'!F:F = F475
            ) -
            (ROW(INDIRECT(""1:"" &amp; (2010 - A475))) - 1) *
            (
              (
                FILTER('Raw PhocalPoint Data'!G:G,
                  'Raw PhocalPoint Data'!A:A = 2012,
                  'R"&amp;"aw PhocalPoint Data'!D:D = D475,
                  'Raw PhocalPoint Data'!E:E = E475,
                  'Raw PhocalPoint Data'!F:F = F475
                ) /
                FILTER('Raw PhocalPoint Data'!G:G,
                  'Raw PhocalPoint Data'!A:A ="&amp;" 2011,
                  'Raw PhocalPoint Data'!D:D = D475,
                  'Raw PhocalPoint Data'!E:E = E475,
                  'Raw PhocalPoint Data'!F:F = F475
                ) - 1
              ) / 5
            )
          )
        )
      )
    "&amp;") *
    INDEX('Raw GDP data'!$I$2:$M$100,
      MATCH(D475, 'Raw GDP data'!$H$2:$H$100, 0),
      MATCH(A475, 'Raw GDP data'!$I$1:$M$1, 0)
    )
  )),
  """"
)
"),298514020.421153)</f>
        <v>298514020.42115301</v>
      </c>
      <c r="H475" s="86"/>
      <c r="I475" s="87">
        <f ca="1">IFERROR(__xludf.DUMMYFUNCTION("""COMPUTED_VALUE"""),2016)</f>
        <v>2016</v>
      </c>
      <c r="J475" s="88" t="str">
        <f ca="1">IFERROR(__xludf.DUMMYFUNCTION("""COMPUTED_VALUE"""),"Egypt")</f>
        <v>Egypt</v>
      </c>
      <c r="K475" s="89">
        <f ca="1">IFERROR(
  SUMIFS(
    'New Backfilled Data'!G:G,
    'New Backfilled Data'!A:A, I475,
    'New Backfilled Data'!D:D, J475,
    'New Backfilled Data'!E:E, "Online"
  ) /
  SUMIFS(
    'New Backfilled Data'!G:G,
    'New Backfilled Data'!A:A, I475,
    'New Backfilled Data'!D:D, J475
  ),
  ""
)</f>
        <v>0.1196714712262702</v>
      </c>
      <c r="L475" s="90"/>
      <c r="M475" s="90"/>
    </row>
    <row r="476" spans="1:13" ht="17" x14ac:dyDescent="0.2">
      <c r="A476" s="37">
        <v>2008</v>
      </c>
      <c r="B476" s="38" t="s">
        <v>66</v>
      </c>
      <c r="C476" s="38" t="s">
        <v>41</v>
      </c>
      <c r="D476" s="38" t="s">
        <v>45</v>
      </c>
      <c r="E476" s="38" t="s">
        <v>67</v>
      </c>
      <c r="F476" s="38" t="s">
        <v>67</v>
      </c>
      <c r="G476" s="79">
        <f ca="1">IFERROR(__xludf.DUMMYFUNCTION("IFERROR(
  IF(A476 = 2008,
    IF(E476 = ""Online"",
      FILTER('Raw PhocalPoint Data'!G:G,
        'Raw PhocalPoint Data'!A:A = 2009,
        'Raw PhocalPoint Data'!D:D = D476,
        'Raw PhocalPoint Data'!E:E = E476,
        'Raw PhocalPoint Data'!F"&amp;":F = F476
      ) /
      (
        FILTER('Raw PhocalPoint Data'!G:G,
          'Raw PhocalPoint Data'!A:A = 2012,
          'Raw PhocalPoint Data'!D:D = D476,
          'Raw PhocalPoint Data'!E:E = E476,
          'Raw PhocalPoint Data'!F:F = F476
     "&amp;"   ) /
        FILTER('Raw PhocalPoint Data'!G:G,
          'Raw PhocalPoint Data'!A:A = 2011,
          'Raw PhocalPoint Data'!D:D = D476,
          'Raw PhocalPoint Data'!E:E = E476,
          'Raw PhocalPoint Data'!F:F = F476
        )
      ),
      F"&amp;"ILTER('Raw PhocalPoint Data'!G:G,
        'Raw PhocalPoint Data'!A:A = 2009,
        'Raw PhocalPoint Data'!D:D = D476,
        'Raw PhocalPoint Data'!E:E = E476,
        'Raw PhocalPoint Data'!F:F = F476
      ) *
      (
        INDEX('Raw GDP data'!$I$"&amp;"2:$M$100,
          MATCH(D476, 'Raw GDP data'!$H$2:$H$100, 0),
          MATCH(2008, 'Raw GDP data'!$I$1:$M$1, 0)
        ) /
        INDEX('Raw GDP data'!$I$2:$M$100,
          MATCH(D476, 'Raw GDP data'!$H$2:$H$100, 0),
          MATCH(2009, 'Raw GDP d"&amp;"ata'!$I$1:$M$1, 0)
        )
      )
    ),
  IF(A476 &lt; 2008,
    (
      FILTER(G:G,
        A:A = 2008,
        D:D = D476,
        E:E = E476,
        F:F = F476
      ) /
      PRODUCT(
        ARRAYFORMULA(
          (
            (
              FIL"&amp;"TER('Raw PhocalPoint Data'!G:G,
                'Raw PhocalPoint Data'!A:A = 2012,
                'Raw PhocalPoint Data'!D:D = D476,
                'Raw PhocalPoint Data'!E:E = E476,
                'Raw PhocalPoint Data'!F:F = F476
              ) /
  "&amp;"            FILTER('Raw PhocalPoint Data'!G:G,
                'Raw PhocalPoint Data'!A:A = 2011,
                'Raw PhocalPoint Data'!D:D = D476,
                'Raw PhocalPoint Data'!E:E = E476,
                'Raw PhocalPoint Data'!F:F = F476
     "&amp;"         ) -
              ROW(INDIRECT(""1:"" &amp; (2008 - A476))) *
              (
                (
                  FILTER('Raw PhocalPoint Data'!G:G,
                    'Raw PhocalPoint Data'!A:A = 2012,
                    'Raw PhocalPoint Data'!D:D"&amp;" = D476,
                    'Raw PhocalPoint Data'!E:E = E476,
                    'Raw PhocalPoint Data'!F:F = F476
                  ) /
                  FILTER('Raw PhocalPoint Data'!G:G,
                    'Raw PhocalPoint Data'!A:A = 2011,
       "&amp;"             'Raw PhocalPoint Data'!D:D = D476,
                    'Raw PhocalPoint Data'!E:E = E476,
                    'Raw PhocalPoint Data'!F:F = F476
                  ) - 1
                ) / 5
              )
            )
          )
        )
"&amp;"      )
    ),
    (
      FILTER('Raw PhocalPoint Data'!G:G,
        'Raw PhocalPoint Data'!A:A = 2009,
        'Raw PhocalPoint Data'!D:D = D476,
        'Raw PhocalPoint Data'!E:E = E476,
        'Raw PhocalPoint Data'!F:F = F476
      ) /
      PRODUC"&amp;"T(
        ARRAYFORMULA(
          (
            FILTER('Raw PhocalPoint Data'!G:G,
              'Raw PhocalPoint Data'!A:A = 2012,
              'Raw PhocalPoint Data'!D:D = D476,
              'Raw PhocalPoint Data'!E:E = E476,
              'Raw Phoca"&amp;"lPoint Data'!F:F = F476
            ) /
            FILTER('Raw PhocalPoint Data'!G:G,
              'Raw PhocalPoint Data'!A:A = 2011,
              'Raw PhocalPoint Data'!D:D = D476,
              'Raw PhocalPoint Data'!E:E = E476,
              'Raw Ph"&amp;"ocalPoint Data'!F:F = F476
            ) -
            (ROW(INDIRECT(""1:"" &amp; (2010 - A476))) - 1) *
            (
              (
                FILTER('Raw PhocalPoint Data'!G:G,
                  'Raw PhocalPoint Data'!A:A = 2012,
                  'R"&amp;"aw PhocalPoint Data'!D:D = D476,
                  'Raw PhocalPoint Data'!E:E = E476,
                  'Raw PhocalPoint Data'!F:F = F476
                ) /
                FILTER('Raw PhocalPoint Data'!G:G,
                  'Raw PhocalPoint Data'!A:A ="&amp;" 2011,
                  'Raw PhocalPoint Data'!D:D = D476,
                  'Raw PhocalPoint Data'!E:E = E476,
                  'Raw PhocalPoint Data'!F:F = F476
                ) - 1
              ) / 5
            )
          )
        )
      )
    "&amp;") *
    INDEX('Raw GDP data'!$I$2:$M$100,
      MATCH(D476, 'Raw GDP data'!$H$2:$H$100, 0),
      MATCH(A476, 'Raw GDP data'!$I$1:$M$1, 0)
    )
  )),
  """"
)
"),22370931451.4477)</f>
        <v>22370931451.447701</v>
      </c>
      <c r="H476" s="80"/>
      <c r="I476" s="81">
        <f ca="1">IFERROR(__xludf.DUMMYFUNCTION("""COMPUTED_VALUE"""),2016)</f>
        <v>2016</v>
      </c>
      <c r="J476" s="82" t="str">
        <f ca="1">IFERROR(__xludf.DUMMYFUNCTION("""COMPUTED_VALUE"""),"Qatar")</f>
        <v>Qatar</v>
      </c>
      <c r="K476" s="83">
        <f ca="1">IFERROR(
  SUMIFS(
    'New Backfilled Data'!G:G,
    'New Backfilled Data'!A:A, I476,
    'New Backfilled Data'!D:D, J476,
    'New Backfilled Data'!E:E, "Online"
  ) /
  SUMIFS(
    'New Backfilled Data'!G:G,
    'New Backfilled Data'!A:A, I476,
    'New Backfilled Data'!D:D, J476
  ),
  ""
)</f>
        <v>0.24677504462254712</v>
      </c>
      <c r="L476" s="84"/>
      <c r="M476" s="84"/>
    </row>
    <row r="477" spans="1:13" ht="34" x14ac:dyDescent="0.2">
      <c r="A477" s="44">
        <v>2008</v>
      </c>
      <c r="B477" s="45" t="s">
        <v>66</v>
      </c>
      <c r="C477" s="45" t="s">
        <v>41</v>
      </c>
      <c r="D477" s="45" t="s">
        <v>45</v>
      </c>
      <c r="E477" s="45" t="s">
        <v>69</v>
      </c>
      <c r="F477" s="45" t="s">
        <v>71</v>
      </c>
      <c r="G477" s="85">
        <f ca="1">IFERROR(__xludf.DUMMYFUNCTION("IFERROR(
  IF(A477 = 2008,
    IF(E477 = ""Online"",
      FILTER('Raw PhocalPoint Data'!G:G,
        'Raw PhocalPoint Data'!A:A = 2009,
        'Raw PhocalPoint Data'!D:D = D477,
        'Raw PhocalPoint Data'!E:E = E477,
        'Raw PhocalPoint Data'!F"&amp;":F = F477
      ) /
      (
        FILTER('Raw PhocalPoint Data'!G:G,
          'Raw PhocalPoint Data'!A:A = 2012,
          'Raw PhocalPoint Data'!D:D = D477,
          'Raw PhocalPoint Data'!E:E = E477,
          'Raw PhocalPoint Data'!F:F = F477
     "&amp;"   ) /
        FILTER('Raw PhocalPoint Data'!G:G,
          'Raw PhocalPoint Data'!A:A = 2011,
          'Raw PhocalPoint Data'!D:D = D477,
          'Raw PhocalPoint Data'!E:E = E477,
          'Raw PhocalPoint Data'!F:F = F477
        )
      ),
      F"&amp;"ILTER('Raw PhocalPoint Data'!G:G,
        'Raw PhocalPoint Data'!A:A = 2009,
        'Raw PhocalPoint Data'!D:D = D477,
        'Raw PhocalPoint Data'!E:E = E477,
        'Raw PhocalPoint Data'!F:F = F477
      ) *
      (
        INDEX('Raw GDP data'!$I$"&amp;"2:$M$100,
          MATCH(D477, 'Raw GDP data'!$H$2:$H$100, 0),
          MATCH(2008, 'Raw GDP data'!$I$1:$M$1, 0)
        ) /
        INDEX('Raw GDP data'!$I$2:$M$100,
          MATCH(D477, 'Raw GDP data'!$H$2:$H$100, 0),
          MATCH(2009, 'Raw GDP d"&amp;"ata'!$I$1:$M$1, 0)
        )
      )
    ),
  IF(A477 &lt; 2008,
    (
      FILTER(G:G,
        A:A = 2008,
        D:D = D477,
        E:E = E477,
        F:F = F477
      ) /
      PRODUCT(
        ARRAYFORMULA(
          (
            (
              FIL"&amp;"TER('Raw PhocalPoint Data'!G:G,
                'Raw PhocalPoint Data'!A:A = 2012,
                'Raw PhocalPoint Data'!D:D = D477,
                'Raw PhocalPoint Data'!E:E = E477,
                'Raw PhocalPoint Data'!F:F = F477
              ) /
  "&amp;"            FILTER('Raw PhocalPoint Data'!G:G,
                'Raw PhocalPoint Data'!A:A = 2011,
                'Raw PhocalPoint Data'!D:D = D477,
                'Raw PhocalPoint Data'!E:E = E477,
                'Raw PhocalPoint Data'!F:F = F477
     "&amp;"         ) -
              ROW(INDIRECT(""1:"" &amp; (2008 - A477))) *
              (
                (
                  FILTER('Raw PhocalPoint Data'!G:G,
                    'Raw PhocalPoint Data'!A:A = 2012,
                    'Raw PhocalPoint Data'!D:D"&amp;" = D477,
                    'Raw PhocalPoint Data'!E:E = E477,
                    'Raw PhocalPoint Data'!F:F = F477
                  ) /
                  FILTER('Raw PhocalPoint Data'!G:G,
                    'Raw PhocalPoint Data'!A:A = 2011,
       "&amp;"             'Raw PhocalPoint Data'!D:D = D477,
                    'Raw PhocalPoint Data'!E:E = E477,
                    'Raw PhocalPoint Data'!F:F = F477
                  ) - 1
                ) / 5
              )
            )
          )
        )
"&amp;"      )
    ),
    (
      FILTER('Raw PhocalPoint Data'!G:G,
        'Raw PhocalPoint Data'!A:A = 2009,
        'Raw PhocalPoint Data'!D:D = D477,
        'Raw PhocalPoint Data'!E:E = E477,
        'Raw PhocalPoint Data'!F:F = F477
      ) /
      PRODUC"&amp;"T(
        ARRAYFORMULA(
          (
            FILTER('Raw PhocalPoint Data'!G:G,
              'Raw PhocalPoint Data'!A:A = 2012,
              'Raw PhocalPoint Data'!D:D = D477,
              'Raw PhocalPoint Data'!E:E = E477,
              'Raw Phoca"&amp;"lPoint Data'!F:F = F477
            ) /
            FILTER('Raw PhocalPoint Data'!G:G,
              'Raw PhocalPoint Data'!A:A = 2011,
              'Raw PhocalPoint Data'!D:D = D477,
              'Raw PhocalPoint Data'!E:E = E477,
              'Raw Ph"&amp;"ocalPoint Data'!F:F = F477
            ) -
            (ROW(INDIRECT(""1:"" &amp; (2010 - A477))) - 1) *
            (
              (
                FILTER('Raw PhocalPoint Data'!G:G,
                  'Raw PhocalPoint Data'!A:A = 2012,
                  'R"&amp;"aw PhocalPoint Data'!D:D = D477,
                  'Raw PhocalPoint Data'!E:E = E477,
                  'Raw PhocalPoint Data'!F:F = F477
                ) /
                FILTER('Raw PhocalPoint Data'!G:G,
                  'Raw PhocalPoint Data'!A:A ="&amp;" 2011,
                  'Raw PhocalPoint Data'!D:D = D477,
                  'Raw PhocalPoint Data'!E:E = E477,
                  'Raw PhocalPoint Data'!F:F = F477
                ) - 1
              ) / 5
            )
          )
        )
      )
    "&amp;") *
    INDEX('Raw GDP data'!$I$2:$M$100,
      MATCH(D477, 'Raw GDP data'!$H$2:$H$100, 0),
      MATCH(A477, 'Raw GDP data'!$I$1:$M$1, 0)
    )
  )),
  """"
)
"),1318146284.06962)</f>
        <v>1318146284.0696199</v>
      </c>
      <c r="H477" s="86"/>
      <c r="I477" s="87">
        <f ca="1">IFERROR(__xludf.DUMMYFUNCTION("""COMPUTED_VALUE"""),2016)</f>
        <v>2016</v>
      </c>
      <c r="J477" s="88" t="str">
        <f ca="1">IFERROR(__xludf.DUMMYFUNCTION("""COMPUTED_VALUE"""),"Rest of Middle East")</f>
        <v>Rest of Middle East</v>
      </c>
      <c r="K477" s="89">
        <f ca="1">IFERROR(
  SUMIFS(
    'New Backfilled Data'!G:G,
    'New Backfilled Data'!A:A, I477,
    'New Backfilled Data'!D:D, J477,
    'New Backfilled Data'!E:E, "Online"
  ) /
  SUMIFS(
    'New Backfilled Data'!G:G,
    'New Backfilled Data'!A:A, I477,
    'New Backfilled Data'!D:D, J477
  ),
  ""
)</f>
        <v>0.23351267557792699</v>
      </c>
      <c r="L477" s="90"/>
      <c r="M477" s="90"/>
    </row>
    <row r="478" spans="1:13" ht="17" x14ac:dyDescent="0.2">
      <c r="A478" s="37">
        <v>2008</v>
      </c>
      <c r="B478" s="38" t="s">
        <v>66</v>
      </c>
      <c r="C478" s="38" t="s">
        <v>41</v>
      </c>
      <c r="D478" s="38" t="s">
        <v>45</v>
      </c>
      <c r="E478" s="38" t="s">
        <v>69</v>
      </c>
      <c r="F478" s="38" t="s">
        <v>70</v>
      </c>
      <c r="G478" s="79">
        <f ca="1">IFERROR(__xludf.DUMMYFUNCTION("IFERROR(
  IF(A478 = 2008,
    IF(E478 = ""Online"",
      FILTER('Raw PhocalPoint Data'!G:G,
        'Raw PhocalPoint Data'!A:A = 2009,
        'Raw PhocalPoint Data'!D:D = D478,
        'Raw PhocalPoint Data'!E:E = E478,
        'Raw PhocalPoint Data'!F"&amp;":F = F478
      ) /
      (
        FILTER('Raw PhocalPoint Data'!G:G,
          'Raw PhocalPoint Data'!A:A = 2012,
          'Raw PhocalPoint Data'!D:D = D478,
          'Raw PhocalPoint Data'!E:E = E478,
          'Raw PhocalPoint Data'!F:F = F478
     "&amp;"   ) /
        FILTER('Raw PhocalPoint Data'!G:G,
          'Raw PhocalPoint Data'!A:A = 2011,
          'Raw PhocalPoint Data'!D:D = D478,
          'Raw PhocalPoint Data'!E:E = E478,
          'Raw PhocalPoint Data'!F:F = F478
        )
      ),
      F"&amp;"ILTER('Raw PhocalPoint Data'!G:G,
        'Raw PhocalPoint Data'!A:A = 2009,
        'Raw PhocalPoint Data'!D:D = D478,
        'Raw PhocalPoint Data'!E:E = E478,
        'Raw PhocalPoint Data'!F:F = F478
      ) *
      (
        INDEX('Raw GDP data'!$I$"&amp;"2:$M$100,
          MATCH(D478, 'Raw GDP data'!$H$2:$H$100, 0),
          MATCH(2008, 'Raw GDP data'!$I$1:$M$1, 0)
        ) /
        INDEX('Raw GDP data'!$I$2:$M$100,
          MATCH(D478, 'Raw GDP data'!$H$2:$H$100, 0),
          MATCH(2009, 'Raw GDP d"&amp;"ata'!$I$1:$M$1, 0)
        )
      )
    ),
  IF(A478 &lt; 2008,
    (
      FILTER(G:G,
        A:A = 2008,
        D:D = D478,
        E:E = E478,
        F:F = F478
      ) /
      PRODUCT(
        ARRAYFORMULA(
          (
            (
              FIL"&amp;"TER('Raw PhocalPoint Data'!G:G,
                'Raw PhocalPoint Data'!A:A = 2012,
                'Raw PhocalPoint Data'!D:D = D478,
                'Raw PhocalPoint Data'!E:E = E478,
                'Raw PhocalPoint Data'!F:F = F478
              ) /
  "&amp;"            FILTER('Raw PhocalPoint Data'!G:G,
                'Raw PhocalPoint Data'!A:A = 2011,
                'Raw PhocalPoint Data'!D:D = D478,
                'Raw PhocalPoint Data'!E:E = E478,
                'Raw PhocalPoint Data'!F:F = F478
     "&amp;"         ) -
              ROW(INDIRECT(""1:"" &amp; (2008 - A478))) *
              (
                (
                  FILTER('Raw PhocalPoint Data'!G:G,
                    'Raw PhocalPoint Data'!A:A = 2012,
                    'Raw PhocalPoint Data'!D:D"&amp;" = D478,
                    'Raw PhocalPoint Data'!E:E = E478,
                    'Raw PhocalPoint Data'!F:F = F478
                  ) /
                  FILTER('Raw PhocalPoint Data'!G:G,
                    'Raw PhocalPoint Data'!A:A = 2011,
       "&amp;"             'Raw PhocalPoint Data'!D:D = D478,
                    'Raw PhocalPoint Data'!E:E = E478,
                    'Raw PhocalPoint Data'!F:F = F478
                  ) - 1
                ) / 5
              )
            )
          )
        )
"&amp;"      )
    ),
    (
      FILTER('Raw PhocalPoint Data'!G:G,
        'Raw PhocalPoint Data'!A:A = 2009,
        'Raw PhocalPoint Data'!D:D = D478,
        'Raw PhocalPoint Data'!E:E = E478,
        'Raw PhocalPoint Data'!F:F = F478
      ) /
      PRODUC"&amp;"T(
        ARRAYFORMULA(
          (
            FILTER('Raw PhocalPoint Data'!G:G,
              'Raw PhocalPoint Data'!A:A = 2012,
              'Raw PhocalPoint Data'!D:D = D478,
              'Raw PhocalPoint Data'!E:E = E478,
              'Raw Phoca"&amp;"lPoint Data'!F:F = F478
            ) /
            FILTER('Raw PhocalPoint Data'!G:G,
              'Raw PhocalPoint Data'!A:A = 2011,
              'Raw PhocalPoint Data'!D:D = D478,
              'Raw PhocalPoint Data'!E:E = E478,
              'Raw Ph"&amp;"ocalPoint Data'!F:F = F478
            ) -
            (ROW(INDIRECT(""1:"" &amp; (2010 - A478))) - 1) *
            (
              (
                FILTER('Raw PhocalPoint Data'!G:G,
                  'Raw PhocalPoint Data'!A:A = 2012,
                  'R"&amp;"aw PhocalPoint Data'!D:D = D478,
                  'Raw PhocalPoint Data'!E:E = E478,
                  'Raw PhocalPoint Data'!F:F = F478
                ) /
                FILTER('Raw PhocalPoint Data'!G:G,
                  'Raw PhocalPoint Data'!A:A ="&amp;" 2011,
                  'Raw PhocalPoint Data'!D:D = D478,
                  'Raw PhocalPoint Data'!E:E = E478,
                  'Raw PhocalPoint Data'!F:F = F478
                ) - 1
              ) / 5
            )
          )
        )
      )
    "&amp;") *
    INDEX('Raw GDP data'!$I$2:$M$100,
      MATCH(D478, 'Raw GDP data'!$H$2:$H$100, 0),
      MATCH(A478, 'Raw GDP data'!$I$1:$M$1, 0)
    )
  )),
  """"
)
"),1132603731.35472)</f>
        <v>1132603731.3547201</v>
      </c>
      <c r="H478" s="80"/>
      <c r="I478" s="81">
        <f ca="1">IFERROR(__xludf.DUMMYFUNCTION("""COMPUTED_VALUE"""),2016)</f>
        <v>2016</v>
      </c>
      <c r="J478" s="82" t="str">
        <f ca="1">IFERROR(__xludf.DUMMYFUNCTION("""COMPUTED_VALUE"""),"Saudi Arabia")</f>
        <v>Saudi Arabia</v>
      </c>
      <c r="K478" s="83">
        <f ca="1">IFERROR(
  SUMIFS(
    'New Backfilled Data'!G:G,
    'New Backfilled Data'!A:A, I478,
    'New Backfilled Data'!D:D, J478,
    'New Backfilled Data'!E:E, "Online"
  ) /
  SUMIFS(
    'New Backfilled Data'!G:G,
    'New Backfilled Data'!A:A, I478,
    'New Backfilled Data'!D:D, J478
  ),
  ""
)</f>
        <v>0.25708613982044898</v>
      </c>
      <c r="L478" s="84"/>
      <c r="M478" s="84"/>
    </row>
    <row r="479" spans="1:13" ht="17" x14ac:dyDescent="0.2">
      <c r="A479" s="44">
        <v>2008</v>
      </c>
      <c r="B479" s="45" t="s">
        <v>66</v>
      </c>
      <c r="C479" s="45" t="s">
        <v>47</v>
      </c>
      <c r="D479" s="45" t="s">
        <v>46</v>
      </c>
      <c r="E479" s="45" t="s">
        <v>67</v>
      </c>
      <c r="F479" s="45" t="s">
        <v>67</v>
      </c>
      <c r="G479" s="85">
        <f ca="1">IFERROR(__xludf.DUMMYFUNCTION("IFERROR(
  IF(A479 = 2008,
    IF(E479 = ""Online"",
      FILTER('Raw PhocalPoint Data'!G:G,
        'Raw PhocalPoint Data'!A:A = 2009,
        'Raw PhocalPoint Data'!D:D = D479,
        'Raw PhocalPoint Data'!E:E = E479,
        'Raw PhocalPoint Data'!F"&amp;":F = F479
      ) /
      (
        FILTER('Raw PhocalPoint Data'!G:G,
          'Raw PhocalPoint Data'!A:A = 2012,
          'Raw PhocalPoint Data'!D:D = D479,
          'Raw PhocalPoint Data'!E:E = E479,
          'Raw PhocalPoint Data'!F:F = F479
     "&amp;"   ) /
        FILTER('Raw PhocalPoint Data'!G:G,
          'Raw PhocalPoint Data'!A:A = 2011,
          'Raw PhocalPoint Data'!D:D = D479,
          'Raw PhocalPoint Data'!E:E = E479,
          'Raw PhocalPoint Data'!F:F = F479
        )
      ),
      F"&amp;"ILTER('Raw PhocalPoint Data'!G:G,
        'Raw PhocalPoint Data'!A:A = 2009,
        'Raw PhocalPoint Data'!D:D = D479,
        'Raw PhocalPoint Data'!E:E = E479,
        'Raw PhocalPoint Data'!F:F = F479
      ) *
      (
        INDEX('Raw GDP data'!$I$"&amp;"2:$M$100,
          MATCH(D479, 'Raw GDP data'!$H$2:$H$100, 0),
          MATCH(2008, 'Raw GDP data'!$I$1:$M$1, 0)
        ) /
        INDEX('Raw GDP data'!$I$2:$M$100,
          MATCH(D479, 'Raw GDP data'!$H$2:$H$100, 0),
          MATCH(2009, 'Raw GDP d"&amp;"ata'!$I$1:$M$1, 0)
        )
      )
    ),
  IF(A479 &lt; 2008,
    (
      FILTER(G:G,
        A:A = 2008,
        D:D = D479,
        E:E = E479,
        F:F = F479
      ) /
      PRODUCT(
        ARRAYFORMULA(
          (
            (
              FIL"&amp;"TER('Raw PhocalPoint Data'!G:G,
                'Raw PhocalPoint Data'!A:A = 2012,
                'Raw PhocalPoint Data'!D:D = D479,
                'Raw PhocalPoint Data'!E:E = E479,
                'Raw PhocalPoint Data'!F:F = F479
              ) /
  "&amp;"            FILTER('Raw PhocalPoint Data'!G:G,
                'Raw PhocalPoint Data'!A:A = 2011,
                'Raw PhocalPoint Data'!D:D = D479,
                'Raw PhocalPoint Data'!E:E = E479,
                'Raw PhocalPoint Data'!F:F = F479
     "&amp;"         ) -
              ROW(INDIRECT(""1:"" &amp; (2008 - A479))) *
              (
                (
                  FILTER('Raw PhocalPoint Data'!G:G,
                    'Raw PhocalPoint Data'!A:A = 2012,
                    'Raw PhocalPoint Data'!D:D"&amp;" = D479,
                    'Raw PhocalPoint Data'!E:E = E479,
                    'Raw PhocalPoint Data'!F:F = F479
                  ) /
                  FILTER('Raw PhocalPoint Data'!G:G,
                    'Raw PhocalPoint Data'!A:A = 2011,
       "&amp;"             'Raw PhocalPoint Data'!D:D = D479,
                    'Raw PhocalPoint Data'!E:E = E479,
                    'Raw PhocalPoint Data'!F:F = F479
                  ) - 1
                ) / 5
              )
            )
          )
        )
"&amp;"      )
    ),
    (
      FILTER('Raw PhocalPoint Data'!G:G,
        'Raw PhocalPoint Data'!A:A = 2009,
        'Raw PhocalPoint Data'!D:D = D479,
        'Raw PhocalPoint Data'!E:E = E479,
        'Raw PhocalPoint Data'!F:F = F479
      ) /
      PRODUC"&amp;"T(
        ARRAYFORMULA(
          (
            FILTER('Raw PhocalPoint Data'!G:G,
              'Raw PhocalPoint Data'!A:A = 2012,
              'Raw PhocalPoint Data'!D:D = D479,
              'Raw PhocalPoint Data'!E:E = E479,
              'Raw Phoca"&amp;"lPoint Data'!F:F = F479
            ) /
            FILTER('Raw PhocalPoint Data'!G:G,
              'Raw PhocalPoint Data'!A:A = 2011,
              'Raw PhocalPoint Data'!D:D = D479,
              'Raw PhocalPoint Data'!E:E = E479,
              'Raw Ph"&amp;"ocalPoint Data'!F:F = F479
            ) -
            (ROW(INDIRECT(""1:"" &amp; (2010 - A479))) - 1) *
            (
              (
                FILTER('Raw PhocalPoint Data'!G:G,
                  'Raw PhocalPoint Data'!A:A = 2012,
                  'R"&amp;"aw PhocalPoint Data'!D:D = D479,
                  'Raw PhocalPoint Data'!E:E = E479,
                  'Raw PhocalPoint Data'!F:F = F479
                ) /
                FILTER('Raw PhocalPoint Data'!G:G,
                  'Raw PhocalPoint Data'!A:A ="&amp;" 2011,
                  'Raw PhocalPoint Data'!D:D = D479,
                  'Raw PhocalPoint Data'!E:E = E479,
                  'Raw PhocalPoint Data'!F:F = F479
                ) - 1
              ) / 5
            )
          )
        )
      )
    "&amp;") *
    INDEX('Raw GDP data'!$I$2:$M$100,
      MATCH(D479, 'Raw GDP data'!$H$2:$H$100, 0),
      MATCH(A479, 'Raw GDP data'!$I$1:$M$1, 0)
    )
  )),
  """"
)
"),16822801372.3039)</f>
        <v>16822801372.3039</v>
      </c>
      <c r="H479" s="86"/>
      <c r="I479" s="87">
        <f ca="1">IFERROR(__xludf.DUMMYFUNCTION("""COMPUTED_VALUE"""),2016)</f>
        <v>2016</v>
      </c>
      <c r="J479" s="88" t="str">
        <f ca="1">IFERROR(__xludf.DUMMYFUNCTION("""COMPUTED_VALUE"""),"U.A.E.")</f>
        <v>U.A.E.</v>
      </c>
      <c r="K479" s="89">
        <f ca="1">IFERROR(
  SUMIFS(
    'New Backfilled Data'!G:G,
    'New Backfilled Data'!A:A, I479,
    'New Backfilled Data'!D:D, J479,
    'New Backfilled Data'!E:E, "Online"
  ) /
  SUMIFS(
    'New Backfilled Data'!G:G,
    'New Backfilled Data'!A:A, I479,
    'New Backfilled Data'!D:D, J479
  ),
  ""
)</f>
        <v>0.31213503790011654</v>
      </c>
      <c r="L479" s="90"/>
      <c r="M479" s="90"/>
    </row>
    <row r="480" spans="1:13" ht="17" x14ac:dyDescent="0.2">
      <c r="A480" s="37">
        <v>2008</v>
      </c>
      <c r="B480" s="38" t="s">
        <v>66</v>
      </c>
      <c r="C480" s="38" t="s">
        <v>47</v>
      </c>
      <c r="D480" s="38" t="s">
        <v>46</v>
      </c>
      <c r="E480" s="38" t="s">
        <v>69</v>
      </c>
      <c r="F480" s="38" t="s">
        <v>71</v>
      </c>
      <c r="G480" s="79">
        <f ca="1">IFERROR(__xludf.DUMMYFUNCTION("IFERROR(
  IF(A480 = 2008,
    IF(E480 = ""Online"",
      FILTER('Raw PhocalPoint Data'!G:G,
        'Raw PhocalPoint Data'!A:A = 2009,
        'Raw PhocalPoint Data'!D:D = D480,
        'Raw PhocalPoint Data'!E:E = E480,
        'Raw PhocalPoint Data'!F"&amp;":F = F480
      ) /
      (
        FILTER('Raw PhocalPoint Data'!G:G,
          'Raw PhocalPoint Data'!A:A = 2012,
          'Raw PhocalPoint Data'!D:D = D480,
          'Raw PhocalPoint Data'!E:E = E480,
          'Raw PhocalPoint Data'!F:F = F480
     "&amp;"   ) /
        FILTER('Raw PhocalPoint Data'!G:G,
          'Raw PhocalPoint Data'!A:A = 2011,
          'Raw PhocalPoint Data'!D:D = D480,
          'Raw PhocalPoint Data'!E:E = E480,
          'Raw PhocalPoint Data'!F:F = F480
        )
      ),
      F"&amp;"ILTER('Raw PhocalPoint Data'!G:G,
        'Raw PhocalPoint Data'!A:A = 2009,
        'Raw PhocalPoint Data'!D:D = D480,
        'Raw PhocalPoint Data'!E:E = E480,
        'Raw PhocalPoint Data'!F:F = F480
      ) *
      (
        INDEX('Raw GDP data'!$I$"&amp;"2:$M$100,
          MATCH(D480, 'Raw GDP data'!$H$2:$H$100, 0),
          MATCH(2008, 'Raw GDP data'!$I$1:$M$1, 0)
        ) /
        INDEX('Raw GDP data'!$I$2:$M$100,
          MATCH(D480, 'Raw GDP data'!$H$2:$H$100, 0),
          MATCH(2009, 'Raw GDP d"&amp;"ata'!$I$1:$M$1, 0)
        )
      )
    ),
  IF(A480 &lt; 2008,
    (
      FILTER(G:G,
        A:A = 2008,
        D:D = D480,
        E:E = E480,
        F:F = F480
      ) /
      PRODUCT(
        ARRAYFORMULA(
          (
            (
              FIL"&amp;"TER('Raw PhocalPoint Data'!G:G,
                'Raw PhocalPoint Data'!A:A = 2012,
                'Raw PhocalPoint Data'!D:D = D480,
                'Raw PhocalPoint Data'!E:E = E480,
                'Raw PhocalPoint Data'!F:F = F480
              ) /
  "&amp;"            FILTER('Raw PhocalPoint Data'!G:G,
                'Raw PhocalPoint Data'!A:A = 2011,
                'Raw PhocalPoint Data'!D:D = D480,
                'Raw PhocalPoint Data'!E:E = E480,
                'Raw PhocalPoint Data'!F:F = F480
     "&amp;"         ) -
              ROW(INDIRECT(""1:"" &amp; (2008 - A480))) *
              (
                (
                  FILTER('Raw PhocalPoint Data'!G:G,
                    'Raw PhocalPoint Data'!A:A = 2012,
                    'Raw PhocalPoint Data'!D:D"&amp;" = D480,
                    'Raw PhocalPoint Data'!E:E = E480,
                    'Raw PhocalPoint Data'!F:F = F480
                  ) /
                  FILTER('Raw PhocalPoint Data'!G:G,
                    'Raw PhocalPoint Data'!A:A = 2011,
       "&amp;"             'Raw PhocalPoint Data'!D:D = D480,
                    'Raw PhocalPoint Data'!E:E = E480,
                    'Raw PhocalPoint Data'!F:F = F480
                  ) - 1
                ) / 5
              )
            )
          )
        )
"&amp;"      )
    ),
    (
      FILTER('Raw PhocalPoint Data'!G:G,
        'Raw PhocalPoint Data'!A:A = 2009,
        'Raw PhocalPoint Data'!D:D = D480,
        'Raw PhocalPoint Data'!E:E = E480,
        'Raw PhocalPoint Data'!F:F = F480
      ) /
      PRODUC"&amp;"T(
        ARRAYFORMULA(
          (
            FILTER('Raw PhocalPoint Data'!G:G,
              'Raw PhocalPoint Data'!A:A = 2012,
              'Raw PhocalPoint Data'!D:D = D480,
              'Raw PhocalPoint Data'!E:E = E480,
              'Raw Phoca"&amp;"lPoint Data'!F:F = F480
            ) /
            FILTER('Raw PhocalPoint Data'!G:G,
              'Raw PhocalPoint Data'!A:A = 2011,
              'Raw PhocalPoint Data'!D:D = D480,
              'Raw PhocalPoint Data'!E:E = E480,
              'Raw Ph"&amp;"ocalPoint Data'!F:F = F480
            ) -
            (ROW(INDIRECT(""1:"" &amp; (2010 - A480))) - 1) *
            (
              (
                FILTER('Raw PhocalPoint Data'!G:G,
                  'Raw PhocalPoint Data'!A:A = 2012,
                  'R"&amp;"aw PhocalPoint Data'!D:D = D480,
                  'Raw PhocalPoint Data'!E:E = E480,
                  'Raw PhocalPoint Data'!F:F = F480
                ) /
                FILTER('Raw PhocalPoint Data'!G:G,
                  'Raw PhocalPoint Data'!A:A ="&amp;" 2011,
                  'Raw PhocalPoint Data'!D:D = D480,
                  'Raw PhocalPoint Data'!E:E = E480,
                  'Raw PhocalPoint Data'!F:F = F480
                ) - 1
              ) / 5
            )
          )
        )
      )
    "&amp;") *
    INDEX('Raw GDP data'!$I$2:$M$100,
      MATCH(D480, 'Raw GDP data'!$H$2:$H$100, 0),
      MATCH(A480, 'Raw GDP data'!$I$1:$M$1, 0)
    )
  )),
  """"
)
"),2150430403.58164)</f>
        <v>2150430403.5816398</v>
      </c>
      <c r="H480" s="80"/>
      <c r="I480" s="81">
        <f ca="1">IFERROR(__xludf.DUMMYFUNCTION("""COMPUTED_VALUE"""),2016)</f>
        <v>2016</v>
      </c>
      <c r="J480" s="82" t="str">
        <f ca="1">IFERROR(__xludf.DUMMYFUNCTION("""COMPUTED_VALUE"""),"Canada")</f>
        <v>Canada</v>
      </c>
      <c r="K480" s="83">
        <f ca="1">IFERROR(
  SUMIFS(
    'New Backfilled Data'!G:G,
    'New Backfilled Data'!A:A, I480,
    'New Backfilled Data'!D:D, J480,
    'New Backfilled Data'!E:E, "Online"
  ) /
  SUMIFS(
    'New Backfilled Data'!G:G,
    'New Backfilled Data'!A:A, I480,
    'New Backfilled Data'!D:D, J480
  ),
  ""
)</f>
        <v>0.39650695278505821</v>
      </c>
      <c r="L480" s="84"/>
      <c r="M480" s="84"/>
    </row>
    <row r="481" spans="1:13" ht="17" x14ac:dyDescent="0.2">
      <c r="A481" s="44">
        <v>2008</v>
      </c>
      <c r="B481" s="45" t="s">
        <v>66</v>
      </c>
      <c r="C481" s="45" t="s">
        <v>47</v>
      </c>
      <c r="D481" s="45" t="s">
        <v>46</v>
      </c>
      <c r="E481" s="45" t="s">
        <v>69</v>
      </c>
      <c r="F481" s="45" t="s">
        <v>70</v>
      </c>
      <c r="G481" s="85">
        <f ca="1">IFERROR(__xludf.DUMMYFUNCTION("IFERROR(
  IF(A481 = 2008,
    IF(E481 = ""Online"",
      FILTER('Raw PhocalPoint Data'!G:G,
        'Raw PhocalPoint Data'!A:A = 2009,
        'Raw PhocalPoint Data'!D:D = D481,
        'Raw PhocalPoint Data'!E:E = E481,
        'Raw PhocalPoint Data'!F"&amp;":F = F481
      ) /
      (
        FILTER('Raw PhocalPoint Data'!G:G,
          'Raw PhocalPoint Data'!A:A = 2012,
          'Raw PhocalPoint Data'!D:D = D481,
          'Raw PhocalPoint Data'!E:E = E481,
          'Raw PhocalPoint Data'!F:F = F481
     "&amp;"   ) /
        FILTER('Raw PhocalPoint Data'!G:G,
          'Raw PhocalPoint Data'!A:A = 2011,
          'Raw PhocalPoint Data'!D:D = D481,
          'Raw PhocalPoint Data'!E:E = E481,
          'Raw PhocalPoint Data'!F:F = F481
        )
      ),
      F"&amp;"ILTER('Raw PhocalPoint Data'!G:G,
        'Raw PhocalPoint Data'!A:A = 2009,
        'Raw PhocalPoint Data'!D:D = D481,
        'Raw PhocalPoint Data'!E:E = E481,
        'Raw PhocalPoint Data'!F:F = F481
      ) *
      (
        INDEX('Raw GDP data'!$I$"&amp;"2:$M$100,
          MATCH(D481, 'Raw GDP data'!$H$2:$H$100, 0),
          MATCH(2008, 'Raw GDP data'!$I$1:$M$1, 0)
        ) /
        INDEX('Raw GDP data'!$I$2:$M$100,
          MATCH(D481, 'Raw GDP data'!$H$2:$H$100, 0),
          MATCH(2009, 'Raw GDP d"&amp;"ata'!$I$1:$M$1, 0)
        )
      )
    ),
  IF(A481 &lt; 2008,
    (
      FILTER(G:G,
        A:A = 2008,
        D:D = D481,
        E:E = E481,
        F:F = F481
      ) /
      PRODUCT(
        ARRAYFORMULA(
          (
            (
              FIL"&amp;"TER('Raw PhocalPoint Data'!G:G,
                'Raw PhocalPoint Data'!A:A = 2012,
                'Raw PhocalPoint Data'!D:D = D481,
                'Raw PhocalPoint Data'!E:E = E481,
                'Raw PhocalPoint Data'!F:F = F481
              ) /
  "&amp;"            FILTER('Raw PhocalPoint Data'!G:G,
                'Raw PhocalPoint Data'!A:A = 2011,
                'Raw PhocalPoint Data'!D:D = D481,
                'Raw PhocalPoint Data'!E:E = E481,
                'Raw PhocalPoint Data'!F:F = F481
     "&amp;"         ) -
              ROW(INDIRECT(""1:"" &amp; (2008 - A481))) *
              (
                (
                  FILTER('Raw PhocalPoint Data'!G:G,
                    'Raw PhocalPoint Data'!A:A = 2012,
                    'Raw PhocalPoint Data'!D:D"&amp;" = D481,
                    'Raw PhocalPoint Data'!E:E = E481,
                    'Raw PhocalPoint Data'!F:F = F481
                  ) /
                  FILTER('Raw PhocalPoint Data'!G:G,
                    'Raw PhocalPoint Data'!A:A = 2011,
       "&amp;"             'Raw PhocalPoint Data'!D:D = D481,
                    'Raw PhocalPoint Data'!E:E = E481,
                    'Raw PhocalPoint Data'!F:F = F481
                  ) - 1
                ) / 5
              )
            )
          )
        )
"&amp;"      )
    ),
    (
      FILTER('Raw PhocalPoint Data'!G:G,
        'Raw PhocalPoint Data'!A:A = 2009,
        'Raw PhocalPoint Data'!D:D = D481,
        'Raw PhocalPoint Data'!E:E = E481,
        'Raw PhocalPoint Data'!F:F = F481
      ) /
      PRODUC"&amp;"T(
        ARRAYFORMULA(
          (
            FILTER('Raw PhocalPoint Data'!G:G,
              'Raw PhocalPoint Data'!A:A = 2012,
              'Raw PhocalPoint Data'!D:D = D481,
              'Raw PhocalPoint Data'!E:E = E481,
              'Raw Phoca"&amp;"lPoint Data'!F:F = F481
            ) /
            FILTER('Raw PhocalPoint Data'!G:G,
              'Raw PhocalPoint Data'!A:A = 2011,
              'Raw PhocalPoint Data'!D:D = D481,
              'Raw PhocalPoint Data'!E:E = E481,
              'Raw Ph"&amp;"ocalPoint Data'!F:F = F481
            ) -
            (ROW(INDIRECT(""1:"" &amp; (2010 - A481))) - 1) *
            (
              (
                FILTER('Raw PhocalPoint Data'!G:G,
                  'Raw PhocalPoint Data'!A:A = 2012,
                  'R"&amp;"aw PhocalPoint Data'!D:D = D481,
                  'Raw PhocalPoint Data'!E:E = E481,
                  'Raw PhocalPoint Data'!F:F = F481
                ) /
                FILTER('Raw PhocalPoint Data'!G:G,
                  'Raw PhocalPoint Data'!A:A ="&amp;" 2011,
                  'Raw PhocalPoint Data'!D:D = D481,
                  'Raw PhocalPoint Data'!E:E = E481,
                  'Raw PhocalPoint Data'!F:F = F481
                ) - 1
              ) / 5
            )
          )
        )
      )
    "&amp;") *
    INDEX('Raw GDP data'!$I$2:$M$100,
      MATCH(D481, 'Raw GDP data'!$H$2:$H$100, 0),
      MATCH(A481, 'Raw GDP data'!$I$1:$M$1, 0)
    )
  )),
  """"
)
"),5534631374.29999)</f>
        <v>5534631374.2999897</v>
      </c>
      <c r="H481" s="86"/>
      <c r="I481" s="87">
        <f ca="1">IFERROR(__xludf.DUMMYFUNCTION("""COMPUTED_VALUE"""),2016)</f>
        <v>2016</v>
      </c>
      <c r="J481" s="88" t="str">
        <f ca="1">IFERROR(__xludf.DUMMYFUNCTION("""COMPUTED_VALUE"""),"U.S.")</f>
        <v>U.S.</v>
      </c>
      <c r="K481" s="89">
        <f ca="1">IFERROR(
  SUMIFS(
    'New Backfilled Data'!G:G,
    'New Backfilled Data'!A:A, I481,
    'New Backfilled Data'!D:D, J481,
    'New Backfilled Data'!E:E, "Online"
  ) /
  SUMIFS(
    'New Backfilled Data'!G:G,
    'New Backfilled Data'!A:A, I481,
    'New Backfilled Data'!D:D, J481
  ),
  ""
)</f>
        <v>0.4728170276807081</v>
      </c>
      <c r="L481" s="90"/>
      <c r="M481" s="90"/>
    </row>
    <row r="482" spans="1:13" ht="34" x14ac:dyDescent="0.2">
      <c r="A482" s="37">
        <v>2008</v>
      </c>
      <c r="B482" s="38" t="s">
        <v>66</v>
      </c>
      <c r="C482" s="38" t="s">
        <v>47</v>
      </c>
      <c r="D482" s="38" t="s">
        <v>48</v>
      </c>
      <c r="E482" s="38" t="s">
        <v>72</v>
      </c>
      <c r="F482" s="38" t="s">
        <v>73</v>
      </c>
      <c r="G482" s="79">
        <f ca="1">IFERROR(__xludf.DUMMYFUNCTION("IFERROR(
  IF(A482 = 2008,
    IF(E482 = ""Online"",
      FILTER('Raw PhocalPoint Data'!G:G,
        'Raw PhocalPoint Data'!A:A = 2009,
        'Raw PhocalPoint Data'!D:D = D482,
        'Raw PhocalPoint Data'!E:E = E482,
        'Raw PhocalPoint Data'!F"&amp;":F = F482
      ) /
      (
        FILTER('Raw PhocalPoint Data'!G:G,
          'Raw PhocalPoint Data'!A:A = 2012,
          'Raw PhocalPoint Data'!D:D = D482,
          'Raw PhocalPoint Data'!E:E = E482,
          'Raw PhocalPoint Data'!F:F = F482
     "&amp;"   ) /
        FILTER('Raw PhocalPoint Data'!G:G,
          'Raw PhocalPoint Data'!A:A = 2011,
          'Raw PhocalPoint Data'!D:D = D482,
          'Raw PhocalPoint Data'!E:E = E482,
          'Raw PhocalPoint Data'!F:F = F482
        )
      ),
      F"&amp;"ILTER('Raw PhocalPoint Data'!G:G,
        'Raw PhocalPoint Data'!A:A = 2009,
        'Raw PhocalPoint Data'!D:D = D482,
        'Raw PhocalPoint Data'!E:E = E482,
        'Raw PhocalPoint Data'!F:F = F482
      ) *
      (
        INDEX('Raw GDP data'!$I$"&amp;"2:$M$100,
          MATCH(D482, 'Raw GDP data'!$H$2:$H$100, 0),
          MATCH(2008, 'Raw GDP data'!$I$1:$M$1, 0)
        ) /
        INDEX('Raw GDP data'!$I$2:$M$100,
          MATCH(D482, 'Raw GDP data'!$H$2:$H$100, 0),
          MATCH(2009, 'Raw GDP d"&amp;"ata'!$I$1:$M$1, 0)
        )
      )
    ),
  IF(A482 &lt; 2008,
    (
      FILTER(G:G,
        A:A = 2008,
        D:D = D482,
        E:E = E482,
        F:F = F482
      ) /
      PRODUCT(
        ARRAYFORMULA(
          (
            (
              FIL"&amp;"TER('Raw PhocalPoint Data'!G:G,
                'Raw PhocalPoint Data'!A:A = 2012,
                'Raw PhocalPoint Data'!D:D = D482,
                'Raw PhocalPoint Data'!E:E = E482,
                'Raw PhocalPoint Data'!F:F = F482
              ) /
  "&amp;"            FILTER('Raw PhocalPoint Data'!G:G,
                'Raw PhocalPoint Data'!A:A = 2011,
                'Raw PhocalPoint Data'!D:D = D482,
                'Raw PhocalPoint Data'!E:E = E482,
                'Raw PhocalPoint Data'!F:F = F482
     "&amp;"         ) -
              ROW(INDIRECT(""1:"" &amp; (2008 - A482))) *
              (
                (
                  FILTER('Raw PhocalPoint Data'!G:G,
                    'Raw PhocalPoint Data'!A:A = 2012,
                    'Raw PhocalPoint Data'!D:D"&amp;" = D482,
                    'Raw PhocalPoint Data'!E:E = E482,
                    'Raw PhocalPoint Data'!F:F = F482
                  ) /
                  FILTER('Raw PhocalPoint Data'!G:G,
                    'Raw PhocalPoint Data'!A:A = 2011,
       "&amp;"             'Raw PhocalPoint Data'!D:D = D482,
                    'Raw PhocalPoint Data'!E:E = E482,
                    'Raw PhocalPoint Data'!F:F = F482
                  ) - 1
                ) / 5
              )
            )
          )
        )
"&amp;"      )
    ),
    (
      FILTER('Raw PhocalPoint Data'!G:G,
        'Raw PhocalPoint Data'!A:A = 2009,
        'Raw PhocalPoint Data'!D:D = D482,
        'Raw PhocalPoint Data'!E:E = E482,
        'Raw PhocalPoint Data'!F:F = F482
      ) /
      PRODUC"&amp;"T(
        ARRAYFORMULA(
          (
            FILTER('Raw PhocalPoint Data'!G:G,
              'Raw PhocalPoint Data'!A:A = 2012,
              'Raw PhocalPoint Data'!D:D = D482,
              'Raw PhocalPoint Data'!E:E = E482,
              'Raw Phoca"&amp;"lPoint Data'!F:F = F482
            ) /
            FILTER('Raw PhocalPoint Data'!G:G,
              'Raw PhocalPoint Data'!A:A = 2011,
              'Raw PhocalPoint Data'!D:D = D482,
              'Raw PhocalPoint Data'!E:E = E482,
              'Raw Ph"&amp;"ocalPoint Data'!F:F = F482
            ) -
            (ROW(INDIRECT(""1:"" &amp; (2010 - A482))) - 1) *
            (
              (
                FILTER('Raw PhocalPoint Data'!G:G,
                  'Raw PhocalPoint Data'!A:A = 2012,
                  'R"&amp;"aw PhocalPoint Data'!D:D = D482,
                  'Raw PhocalPoint Data'!E:E = E482,
                  'Raw PhocalPoint Data'!F:F = F482
                ) /
                FILTER('Raw PhocalPoint Data'!G:G,
                  'Raw PhocalPoint Data'!A:A ="&amp;" 2011,
                  'Raw PhocalPoint Data'!D:D = D482,
                  'Raw PhocalPoint Data'!E:E = E482,
                  'Raw PhocalPoint Data'!F:F = F482
                ) - 1
              ) / 5
            )
          )
        )
      )
    "&amp;") *
    INDEX('Raw GDP data'!$I$2:$M$100,
      MATCH(D482, 'Raw GDP data'!$H$2:$H$100, 0),
      MATCH(A482, 'Raw GDP data'!$I$1:$M$1, 0)
    )
  )),
  """"
)
"),72949818879.5992)</f>
        <v>72949818879.599197</v>
      </c>
      <c r="H482" s="80"/>
      <c r="I482" s="81">
        <f ca="1">IFERROR(__xludf.DUMMYFUNCTION("""COMPUTED_VALUE"""),2017)</f>
        <v>2017</v>
      </c>
      <c r="J482" s="82" t="str">
        <f ca="1">IFERROR(__xludf.DUMMYFUNCTION("""COMPUTED_VALUE"""),"Australia-New Zealand")</f>
        <v>Australia-New Zealand</v>
      </c>
      <c r="K482" s="83">
        <f ca="1">IFERROR(
  SUMIFS(
    'New Backfilled Data'!G:G,
    'New Backfilled Data'!A:A, I482,
    'New Backfilled Data'!D:D, J482,
    'New Backfilled Data'!E:E, "Online"
  ) /
  SUMIFS(
    'New Backfilled Data'!G:G,
    'New Backfilled Data'!A:A, I482,
    'New Backfilled Data'!D:D, J482
  ),
  ""
)</f>
        <v>0.4173582952364972</v>
      </c>
      <c r="L482" s="84"/>
      <c r="M482" s="84"/>
    </row>
    <row r="483" spans="1:13" ht="17" x14ac:dyDescent="0.2">
      <c r="A483" s="44">
        <v>2008</v>
      </c>
      <c r="B483" s="45" t="s">
        <v>66</v>
      </c>
      <c r="C483" s="45" t="s">
        <v>47</v>
      </c>
      <c r="D483" s="45" t="s">
        <v>48</v>
      </c>
      <c r="E483" s="45" t="s">
        <v>67</v>
      </c>
      <c r="F483" s="45" t="s">
        <v>74</v>
      </c>
      <c r="G483" s="85">
        <f ca="1">IFERROR(__xludf.DUMMYFUNCTION("IFERROR(
  IF(A483 = 2008,
    IF(E483 = ""Online"",
      FILTER('Raw PhocalPoint Data'!G:G,
        'Raw PhocalPoint Data'!A:A = 2009,
        'Raw PhocalPoint Data'!D:D = D483,
        'Raw PhocalPoint Data'!E:E = E483,
        'Raw PhocalPoint Data'!F"&amp;":F = F483
      ) /
      (
        FILTER('Raw PhocalPoint Data'!G:G,
          'Raw PhocalPoint Data'!A:A = 2012,
          'Raw PhocalPoint Data'!D:D = D483,
          'Raw PhocalPoint Data'!E:E = E483,
          'Raw PhocalPoint Data'!F:F = F483
     "&amp;"   ) /
        FILTER('Raw PhocalPoint Data'!G:G,
          'Raw PhocalPoint Data'!A:A = 2011,
          'Raw PhocalPoint Data'!D:D = D483,
          'Raw PhocalPoint Data'!E:E = E483,
          'Raw PhocalPoint Data'!F:F = F483
        )
      ),
      F"&amp;"ILTER('Raw PhocalPoint Data'!G:G,
        'Raw PhocalPoint Data'!A:A = 2009,
        'Raw PhocalPoint Data'!D:D = D483,
        'Raw PhocalPoint Data'!E:E = E483,
        'Raw PhocalPoint Data'!F:F = F483
      ) *
      (
        INDEX('Raw GDP data'!$I$"&amp;"2:$M$100,
          MATCH(D483, 'Raw GDP data'!$H$2:$H$100, 0),
          MATCH(2008, 'Raw GDP data'!$I$1:$M$1, 0)
        ) /
        INDEX('Raw GDP data'!$I$2:$M$100,
          MATCH(D483, 'Raw GDP data'!$H$2:$H$100, 0),
          MATCH(2009, 'Raw GDP d"&amp;"ata'!$I$1:$M$1, 0)
        )
      )
    ),
  IF(A483 &lt; 2008,
    (
      FILTER(G:G,
        A:A = 2008,
        D:D = D483,
        E:E = E483,
        F:F = F483
      ) /
      PRODUCT(
        ARRAYFORMULA(
          (
            (
              FIL"&amp;"TER('Raw PhocalPoint Data'!G:G,
                'Raw PhocalPoint Data'!A:A = 2012,
                'Raw PhocalPoint Data'!D:D = D483,
                'Raw PhocalPoint Data'!E:E = E483,
                'Raw PhocalPoint Data'!F:F = F483
              ) /
  "&amp;"            FILTER('Raw PhocalPoint Data'!G:G,
                'Raw PhocalPoint Data'!A:A = 2011,
                'Raw PhocalPoint Data'!D:D = D483,
                'Raw PhocalPoint Data'!E:E = E483,
                'Raw PhocalPoint Data'!F:F = F483
     "&amp;"         ) -
              ROW(INDIRECT(""1:"" &amp; (2008 - A483))) *
              (
                (
                  FILTER('Raw PhocalPoint Data'!G:G,
                    'Raw PhocalPoint Data'!A:A = 2012,
                    'Raw PhocalPoint Data'!D:D"&amp;" = D483,
                    'Raw PhocalPoint Data'!E:E = E483,
                    'Raw PhocalPoint Data'!F:F = F483
                  ) /
                  FILTER('Raw PhocalPoint Data'!G:G,
                    'Raw PhocalPoint Data'!A:A = 2011,
       "&amp;"             'Raw PhocalPoint Data'!D:D = D483,
                    'Raw PhocalPoint Data'!E:E = E483,
                    'Raw PhocalPoint Data'!F:F = F483
                  ) - 1
                ) / 5
              )
            )
          )
        )
"&amp;"      )
    ),
    (
      FILTER('Raw PhocalPoint Data'!G:G,
        'Raw PhocalPoint Data'!A:A = 2009,
        'Raw PhocalPoint Data'!D:D = D483,
        'Raw PhocalPoint Data'!E:E = E483,
        'Raw PhocalPoint Data'!F:F = F483
      ) /
      PRODUC"&amp;"T(
        ARRAYFORMULA(
          (
            FILTER('Raw PhocalPoint Data'!G:G,
              'Raw PhocalPoint Data'!A:A = 2012,
              'Raw PhocalPoint Data'!D:D = D483,
              'Raw PhocalPoint Data'!E:E = E483,
              'Raw Phoca"&amp;"lPoint Data'!F:F = F483
            ) /
            FILTER('Raw PhocalPoint Data'!G:G,
              'Raw PhocalPoint Data'!A:A = 2011,
              'Raw PhocalPoint Data'!D:D = D483,
              'Raw PhocalPoint Data'!E:E = E483,
              'Raw Ph"&amp;"ocalPoint Data'!F:F = F483
            ) -
            (ROW(INDIRECT(""1:"" &amp; (2010 - A483))) - 1) *
            (
              (
                FILTER('Raw PhocalPoint Data'!G:G,
                  'Raw PhocalPoint Data'!A:A = 2012,
                  'R"&amp;"aw PhocalPoint Data'!D:D = D483,
                  'Raw PhocalPoint Data'!E:E = E483,
                  'Raw PhocalPoint Data'!F:F = F483
                ) /
                FILTER('Raw PhocalPoint Data'!G:G,
                  'Raw PhocalPoint Data'!A:A ="&amp;" 2011,
                  'Raw PhocalPoint Data'!D:D = D483,
                  'Raw PhocalPoint Data'!E:E = E483,
                  'Raw PhocalPoint Data'!F:F = F483
                ) - 1
              ) / 5
            )
          )
        )
      )
    "&amp;") *
    INDEX('Raw GDP data'!$I$2:$M$100,
      MATCH(D483, 'Raw GDP data'!$H$2:$H$100, 0),
      MATCH(A483, 'Raw GDP data'!$I$1:$M$1, 0)
    )
  )),
  """"
)
"),72115983813.3448)</f>
        <v>72115983813.344803</v>
      </c>
      <c r="H483" s="86"/>
      <c r="I483" s="87">
        <f ca="1">IFERROR(__xludf.DUMMYFUNCTION("""COMPUTED_VALUE"""),2017)</f>
        <v>2017</v>
      </c>
      <c r="J483" s="88" t="str">
        <f ca="1">IFERROR(__xludf.DUMMYFUNCTION("""COMPUTED_VALUE"""),"China")</f>
        <v>China</v>
      </c>
      <c r="K483" s="89">
        <f ca="1">IFERROR(
  SUMIFS(
    'New Backfilled Data'!G:G,
    'New Backfilled Data'!A:A, I483,
    'New Backfilled Data'!D:D, J483,
    'New Backfilled Data'!E:E, "Online"
  ) /
  SUMIFS(
    'New Backfilled Data'!G:G,
    'New Backfilled Data'!A:A, I483,
    'New Backfilled Data'!D:D, J483
  ),
  ""
)</f>
        <v>0.44522933582657204</v>
      </c>
      <c r="L483" s="90"/>
      <c r="M483" s="90"/>
    </row>
    <row r="484" spans="1:13" ht="17" x14ac:dyDescent="0.2">
      <c r="A484" s="37">
        <v>2008</v>
      </c>
      <c r="B484" s="38" t="s">
        <v>66</v>
      </c>
      <c r="C484" s="38" t="s">
        <v>47</v>
      </c>
      <c r="D484" s="38" t="s">
        <v>48</v>
      </c>
      <c r="E484" s="38" t="s">
        <v>69</v>
      </c>
      <c r="F484" s="38" t="s">
        <v>71</v>
      </c>
      <c r="G484" s="79">
        <f ca="1">IFERROR(__xludf.DUMMYFUNCTION("IFERROR(
  IF(A484 = 2008,
    IF(E484 = ""Online"",
      FILTER('Raw PhocalPoint Data'!G:G,
        'Raw PhocalPoint Data'!A:A = 2009,
        'Raw PhocalPoint Data'!D:D = D484,
        'Raw PhocalPoint Data'!E:E = E484,
        'Raw PhocalPoint Data'!F"&amp;":F = F484
      ) /
      (
        FILTER('Raw PhocalPoint Data'!G:G,
          'Raw PhocalPoint Data'!A:A = 2012,
          'Raw PhocalPoint Data'!D:D = D484,
          'Raw PhocalPoint Data'!E:E = E484,
          'Raw PhocalPoint Data'!F:F = F484
     "&amp;"   ) /
        FILTER('Raw PhocalPoint Data'!G:G,
          'Raw PhocalPoint Data'!A:A = 2011,
          'Raw PhocalPoint Data'!D:D = D484,
          'Raw PhocalPoint Data'!E:E = E484,
          'Raw PhocalPoint Data'!F:F = F484
        )
      ),
      F"&amp;"ILTER('Raw PhocalPoint Data'!G:G,
        'Raw PhocalPoint Data'!A:A = 2009,
        'Raw PhocalPoint Data'!D:D = D484,
        'Raw PhocalPoint Data'!E:E = E484,
        'Raw PhocalPoint Data'!F:F = F484
      ) *
      (
        INDEX('Raw GDP data'!$I$"&amp;"2:$M$100,
          MATCH(D484, 'Raw GDP data'!$H$2:$H$100, 0),
          MATCH(2008, 'Raw GDP data'!$I$1:$M$1, 0)
        ) /
        INDEX('Raw GDP data'!$I$2:$M$100,
          MATCH(D484, 'Raw GDP data'!$H$2:$H$100, 0),
          MATCH(2009, 'Raw GDP d"&amp;"ata'!$I$1:$M$1, 0)
        )
      )
    ),
  IF(A484 &lt; 2008,
    (
      FILTER(G:G,
        A:A = 2008,
        D:D = D484,
        E:E = E484,
        F:F = F484
      ) /
      PRODUCT(
        ARRAYFORMULA(
          (
            (
              FIL"&amp;"TER('Raw PhocalPoint Data'!G:G,
                'Raw PhocalPoint Data'!A:A = 2012,
                'Raw PhocalPoint Data'!D:D = D484,
                'Raw PhocalPoint Data'!E:E = E484,
                'Raw PhocalPoint Data'!F:F = F484
              ) /
  "&amp;"            FILTER('Raw PhocalPoint Data'!G:G,
                'Raw PhocalPoint Data'!A:A = 2011,
                'Raw PhocalPoint Data'!D:D = D484,
                'Raw PhocalPoint Data'!E:E = E484,
                'Raw PhocalPoint Data'!F:F = F484
     "&amp;"         ) -
              ROW(INDIRECT(""1:"" &amp; (2008 - A484))) *
              (
                (
                  FILTER('Raw PhocalPoint Data'!G:G,
                    'Raw PhocalPoint Data'!A:A = 2012,
                    'Raw PhocalPoint Data'!D:D"&amp;" = D484,
                    'Raw PhocalPoint Data'!E:E = E484,
                    'Raw PhocalPoint Data'!F:F = F484
                  ) /
                  FILTER('Raw PhocalPoint Data'!G:G,
                    'Raw PhocalPoint Data'!A:A = 2011,
       "&amp;"             'Raw PhocalPoint Data'!D:D = D484,
                    'Raw PhocalPoint Data'!E:E = E484,
                    'Raw PhocalPoint Data'!F:F = F484
                  ) - 1
                ) / 5
              )
            )
          )
        )
"&amp;"      )
    ),
    (
      FILTER('Raw PhocalPoint Data'!G:G,
        'Raw PhocalPoint Data'!A:A = 2009,
        'Raw PhocalPoint Data'!D:D = D484,
        'Raw PhocalPoint Data'!E:E = E484,
        'Raw PhocalPoint Data'!F:F = F484
      ) /
      PRODUC"&amp;"T(
        ARRAYFORMULA(
          (
            FILTER('Raw PhocalPoint Data'!G:G,
              'Raw PhocalPoint Data'!A:A = 2012,
              'Raw PhocalPoint Data'!D:D = D484,
              'Raw PhocalPoint Data'!E:E = E484,
              'Raw Phoca"&amp;"lPoint Data'!F:F = F484
            ) /
            FILTER('Raw PhocalPoint Data'!G:G,
              'Raw PhocalPoint Data'!A:A = 2011,
              'Raw PhocalPoint Data'!D:D = D484,
              'Raw PhocalPoint Data'!E:E = E484,
              'Raw Ph"&amp;"ocalPoint Data'!F:F = F484
            ) -
            (ROW(INDIRECT(""1:"" &amp; (2010 - A484))) - 1) *
            (
              (
                FILTER('Raw PhocalPoint Data'!G:G,
                  'Raw PhocalPoint Data'!A:A = 2012,
                  'R"&amp;"aw PhocalPoint Data'!D:D = D484,
                  'Raw PhocalPoint Data'!E:E = E484,
                  'Raw PhocalPoint Data'!F:F = F484
                ) /
                FILTER('Raw PhocalPoint Data'!G:G,
                  'Raw PhocalPoint Data'!A:A ="&amp;" 2011,
                  'Raw PhocalPoint Data'!D:D = D484,
                  'Raw PhocalPoint Data'!E:E = E484,
                  'Raw PhocalPoint Data'!F:F = F484
                ) - 1
              ) / 5
            )
          )
        )
      )
    "&amp;") *
    INDEX('Raw GDP data'!$I$2:$M$100,
      MATCH(D484, 'Raw GDP data'!$H$2:$H$100, 0),
      MATCH(A484, 'Raw GDP data'!$I$1:$M$1, 0)
    )
  )),
  """"
)
"),33346959726.581)</f>
        <v>33346959726.581001</v>
      </c>
      <c r="H484" s="80"/>
      <c r="I484" s="81">
        <f ca="1">IFERROR(__xludf.DUMMYFUNCTION("""COMPUTED_VALUE"""),2017)</f>
        <v>2017</v>
      </c>
      <c r="J484" s="82" t="str">
        <f ca="1">IFERROR(__xludf.DUMMYFUNCTION("""COMPUTED_VALUE"""),"Hong Kong")</f>
        <v>Hong Kong</v>
      </c>
      <c r="K484" s="83">
        <f ca="1">IFERROR(
  SUMIFS(
    'New Backfilled Data'!G:G,
    'New Backfilled Data'!A:A, I484,
    'New Backfilled Data'!D:D, J484,
    'New Backfilled Data'!E:E, "Online"
  ) /
  SUMIFS(
    'New Backfilled Data'!G:G,
    'New Backfilled Data'!A:A, I484,
    'New Backfilled Data'!D:D, J484
  ),
  ""
)</f>
        <v>0.16564768048248929</v>
      </c>
      <c r="L484" s="84"/>
      <c r="M484" s="84"/>
    </row>
    <row r="485" spans="1:13" ht="17" x14ac:dyDescent="0.2">
      <c r="A485" s="91">
        <v>2009</v>
      </c>
      <c r="B485" s="92" t="s">
        <v>66</v>
      </c>
      <c r="C485" s="92" t="s">
        <v>4</v>
      </c>
      <c r="D485" s="92" t="s">
        <v>3</v>
      </c>
      <c r="E485" s="92" t="s">
        <v>67</v>
      </c>
      <c r="F485" s="92" t="s">
        <v>67</v>
      </c>
      <c r="G485" s="93">
        <v>15523531464</v>
      </c>
      <c r="H485" s="92"/>
      <c r="I485" s="87">
        <f ca="1">IFERROR(__xludf.DUMMYFUNCTION("""COMPUTED_VALUE"""),2017)</f>
        <v>2017</v>
      </c>
      <c r="J485" s="88" t="str">
        <f ca="1">IFERROR(__xludf.DUMMYFUNCTION("""COMPUTED_VALUE"""),"India")</f>
        <v>India</v>
      </c>
      <c r="K485" s="89">
        <f ca="1">IFERROR(
  SUMIFS(
    'New Backfilled Data'!G:G,
    'New Backfilled Data'!A:A, I485,
    'New Backfilled Data'!D:D, J485,
    'New Backfilled Data'!E:E, "Online"
  ) /
  SUMIFS(
    'New Backfilled Data'!G:G,
    'New Backfilled Data'!A:A, I485,
    'New Backfilled Data'!D:D, J485
  ),
  ""
)</f>
        <v>0.39860702178180507</v>
      </c>
      <c r="L485" s="90"/>
      <c r="M485" s="90"/>
    </row>
    <row r="486" spans="1:13" ht="17" x14ac:dyDescent="0.2">
      <c r="A486" s="94">
        <v>2009</v>
      </c>
      <c r="B486" s="95" t="s">
        <v>66</v>
      </c>
      <c r="C486" s="95" t="s">
        <v>4</v>
      </c>
      <c r="D486" s="95" t="s">
        <v>3</v>
      </c>
      <c r="E486" s="95" t="s">
        <v>69</v>
      </c>
      <c r="F486" s="95" t="s">
        <v>71</v>
      </c>
      <c r="G486" s="96">
        <v>1271681938</v>
      </c>
      <c r="H486" s="95"/>
      <c r="I486" s="81">
        <f ca="1">IFERROR(__xludf.DUMMYFUNCTION("""COMPUTED_VALUE"""),2017)</f>
        <v>2017</v>
      </c>
      <c r="J486" s="82" t="str">
        <f ca="1">IFERROR(__xludf.DUMMYFUNCTION("""COMPUTED_VALUE"""),"Indonesia")</f>
        <v>Indonesia</v>
      </c>
      <c r="K486" s="83">
        <f ca="1">IFERROR(
  SUMIFS(
    'New Backfilled Data'!G:G,
    'New Backfilled Data'!A:A, I486,
    'New Backfilled Data'!D:D, J486,
    'New Backfilled Data'!E:E, "Online"
  ) /
  SUMIFS(
    'New Backfilled Data'!G:G,
    'New Backfilled Data'!A:A, I486,
    'New Backfilled Data'!D:D, J486
  ),
  ""
)</f>
        <v>0.26738851161954635</v>
      </c>
      <c r="L486" s="84"/>
      <c r="M486" s="84"/>
    </row>
    <row r="487" spans="1:13" ht="17" x14ac:dyDescent="0.2">
      <c r="A487" s="91">
        <v>2009</v>
      </c>
      <c r="B487" s="92" t="s">
        <v>66</v>
      </c>
      <c r="C487" s="92" t="s">
        <v>4</v>
      </c>
      <c r="D487" s="92" t="s">
        <v>3</v>
      </c>
      <c r="E487" s="92" t="s">
        <v>69</v>
      </c>
      <c r="F487" s="92" t="s">
        <v>70</v>
      </c>
      <c r="G487" s="93">
        <v>6040014782</v>
      </c>
      <c r="H487" s="92"/>
      <c r="I487" s="87">
        <f ca="1">IFERROR(__xludf.DUMMYFUNCTION("""COMPUTED_VALUE"""),2017)</f>
        <v>2017</v>
      </c>
      <c r="J487" s="88" t="str">
        <f ca="1">IFERROR(__xludf.DUMMYFUNCTION("""COMPUTED_VALUE"""),"Japan")</f>
        <v>Japan</v>
      </c>
      <c r="K487" s="89">
        <f ca="1">IFERROR(
  SUMIFS(
    'New Backfilled Data'!G:G,
    'New Backfilled Data'!A:A, I487,
    'New Backfilled Data'!D:D, J487,
    'New Backfilled Data'!E:E, "Online"
  ) /
  SUMIFS(
    'New Backfilled Data'!G:G,
    'New Backfilled Data'!A:A, I487,
    'New Backfilled Data'!D:D, J487
  ),
  ""
)</f>
        <v>0.3985317171119574</v>
      </c>
      <c r="L487" s="90"/>
      <c r="M487" s="90"/>
    </row>
    <row r="488" spans="1:13" ht="17" x14ac:dyDescent="0.2">
      <c r="A488" s="94">
        <v>2009</v>
      </c>
      <c r="B488" s="95" t="s">
        <v>66</v>
      </c>
      <c r="C488" s="95" t="s">
        <v>4</v>
      </c>
      <c r="D488" s="95" t="s">
        <v>5</v>
      </c>
      <c r="E488" s="95" t="s">
        <v>67</v>
      </c>
      <c r="F488" s="95" t="s">
        <v>67</v>
      </c>
      <c r="G488" s="96">
        <v>57900895821</v>
      </c>
      <c r="H488" s="95"/>
      <c r="I488" s="81">
        <f ca="1">IFERROR(__xludf.DUMMYFUNCTION("""COMPUTED_VALUE"""),2017)</f>
        <v>2017</v>
      </c>
      <c r="J488" s="82" t="str">
        <f ca="1">IFERROR(__xludf.DUMMYFUNCTION("""COMPUTED_VALUE"""),"Macau")</f>
        <v>Macau</v>
      </c>
      <c r="K488" s="83">
        <f ca="1">IFERROR(
  SUMIFS(
    'New Backfilled Data'!G:G,
    'New Backfilled Data'!A:A, I488,
    'New Backfilled Data'!D:D, J488,
    'New Backfilled Data'!E:E, "Online"
  ) /
  SUMIFS(
    'New Backfilled Data'!G:G,
    'New Backfilled Data'!A:A, I488,
    'New Backfilled Data'!D:D, J488
  ),
  ""
)</f>
        <v>0.17500000017493078</v>
      </c>
      <c r="L488" s="84"/>
      <c r="M488" s="84"/>
    </row>
    <row r="489" spans="1:13" ht="17" x14ac:dyDescent="0.2">
      <c r="A489" s="91">
        <v>2009</v>
      </c>
      <c r="B489" s="92" t="s">
        <v>66</v>
      </c>
      <c r="C489" s="92" t="s">
        <v>4</v>
      </c>
      <c r="D489" s="92" t="s">
        <v>5</v>
      </c>
      <c r="E489" s="92" t="s">
        <v>69</v>
      </c>
      <c r="F489" s="92" t="s">
        <v>71</v>
      </c>
      <c r="G489" s="93">
        <v>1880368349</v>
      </c>
      <c r="H489" s="92"/>
      <c r="I489" s="87">
        <f ca="1">IFERROR(__xludf.DUMMYFUNCTION("""COMPUTED_VALUE"""),2017)</f>
        <v>2017</v>
      </c>
      <c r="J489" s="88" t="str">
        <f ca="1">IFERROR(__xludf.DUMMYFUNCTION("""COMPUTED_VALUE"""),"Malaysia")</f>
        <v>Malaysia</v>
      </c>
      <c r="K489" s="89">
        <f ca="1">IFERROR(
  SUMIFS(
    'New Backfilled Data'!G:G,
    'New Backfilled Data'!A:A, I489,
    'New Backfilled Data'!D:D, J489,
    'New Backfilled Data'!E:E, "Online"
  ) /
  SUMIFS(
    'New Backfilled Data'!G:G,
    'New Backfilled Data'!A:A, I489,
    'New Backfilled Data'!D:D, J489
  ),
  ""
)</f>
        <v>0.4478434848852374</v>
      </c>
      <c r="L489" s="90"/>
      <c r="M489" s="90"/>
    </row>
    <row r="490" spans="1:13" ht="17" x14ac:dyDescent="0.2">
      <c r="A490" s="94">
        <v>2009</v>
      </c>
      <c r="B490" s="95" t="s">
        <v>66</v>
      </c>
      <c r="C490" s="95" t="s">
        <v>4</v>
      </c>
      <c r="D490" s="95" t="s">
        <v>5</v>
      </c>
      <c r="E490" s="95" t="s">
        <v>69</v>
      </c>
      <c r="F490" s="95" t="s">
        <v>70</v>
      </c>
      <c r="G490" s="96">
        <v>2020688248</v>
      </c>
      <c r="H490" s="95"/>
      <c r="I490" s="81">
        <f ca="1">IFERROR(__xludf.DUMMYFUNCTION("""COMPUTED_VALUE"""),2017)</f>
        <v>2017</v>
      </c>
      <c r="J490" s="82" t="str">
        <f ca="1">IFERROR(__xludf.DUMMYFUNCTION("""COMPUTED_VALUE"""),"Singapore")</f>
        <v>Singapore</v>
      </c>
      <c r="K490" s="83">
        <f ca="1">IFERROR(
  SUMIFS(
    'New Backfilled Data'!G:G,
    'New Backfilled Data'!A:A, I490,
    'New Backfilled Data'!D:D, J490,
    'New Backfilled Data'!E:E, "Online"
  ) /
  SUMIFS(
    'New Backfilled Data'!G:G,
    'New Backfilled Data'!A:A, I490,
    'New Backfilled Data'!D:D, J490
  ),
  ""
)</f>
        <v>0.39420940237668312</v>
      </c>
      <c r="L490" s="84"/>
      <c r="M490" s="84"/>
    </row>
    <row r="491" spans="1:13" ht="17" x14ac:dyDescent="0.2">
      <c r="A491" s="91">
        <v>2009</v>
      </c>
      <c r="B491" s="92" t="s">
        <v>66</v>
      </c>
      <c r="C491" s="92" t="s">
        <v>4</v>
      </c>
      <c r="D491" s="92" t="s">
        <v>6</v>
      </c>
      <c r="E491" s="92" t="s">
        <v>67</v>
      </c>
      <c r="F491" s="92" t="s">
        <v>67</v>
      </c>
      <c r="G491" s="93">
        <v>8587607904</v>
      </c>
      <c r="H491" s="92"/>
      <c r="I491" s="87">
        <f ca="1">IFERROR(__xludf.DUMMYFUNCTION("""COMPUTED_VALUE"""),2017)</f>
        <v>2017</v>
      </c>
      <c r="J491" s="88" t="str">
        <f ca="1">IFERROR(__xludf.DUMMYFUNCTION("""COMPUTED_VALUE"""),"South Korea")</f>
        <v>South Korea</v>
      </c>
      <c r="K491" s="89">
        <f ca="1">IFERROR(
  SUMIFS(
    'New Backfilled Data'!G:G,
    'New Backfilled Data'!A:A, I491,
    'New Backfilled Data'!D:D, J491,
    'New Backfilled Data'!E:E, "Online"
  ) /
  SUMIFS(
    'New Backfilled Data'!G:G,
    'New Backfilled Data'!A:A, I491,
    'New Backfilled Data'!D:D, J491
  ),
  ""
)</f>
        <v>0.36712695515605065</v>
      </c>
      <c r="L491" s="90"/>
      <c r="M491" s="90"/>
    </row>
    <row r="492" spans="1:13" ht="17" x14ac:dyDescent="0.2">
      <c r="A492" s="94">
        <v>2009</v>
      </c>
      <c r="B492" s="95" t="s">
        <v>66</v>
      </c>
      <c r="C492" s="95" t="s">
        <v>4</v>
      </c>
      <c r="D492" s="95" t="s">
        <v>6</v>
      </c>
      <c r="E492" s="95" t="s">
        <v>69</v>
      </c>
      <c r="F492" s="95" t="s">
        <v>71</v>
      </c>
      <c r="G492" s="96">
        <v>144080723</v>
      </c>
      <c r="H492" s="95"/>
      <c r="I492" s="81">
        <f ca="1">IFERROR(__xludf.DUMMYFUNCTION("""COMPUTED_VALUE"""),2017)</f>
        <v>2017</v>
      </c>
      <c r="J492" s="82" t="str">
        <f ca="1">IFERROR(__xludf.DUMMYFUNCTION("""COMPUTED_VALUE"""),"Taiwan")</f>
        <v>Taiwan</v>
      </c>
      <c r="K492" s="83">
        <f ca="1">IFERROR(
  SUMIFS(
    'New Backfilled Data'!G:G,
    'New Backfilled Data'!A:A, I492,
    'New Backfilled Data'!D:D, J492,
    'New Backfilled Data'!E:E, "Online"
  ) /
  SUMIFS(
    'New Backfilled Data'!G:G,
    'New Backfilled Data'!A:A, I492,
    'New Backfilled Data'!D:D, J492
  ),
  ""
)</f>
        <v>0.21099428554310964</v>
      </c>
      <c r="L492" s="84"/>
      <c r="M492" s="84"/>
    </row>
    <row r="493" spans="1:13" ht="17" x14ac:dyDescent="0.2">
      <c r="A493" s="91">
        <v>2009</v>
      </c>
      <c r="B493" s="92" t="s">
        <v>66</v>
      </c>
      <c r="C493" s="92" t="s">
        <v>4</v>
      </c>
      <c r="D493" s="92" t="s">
        <v>6</v>
      </c>
      <c r="E493" s="92" t="s">
        <v>69</v>
      </c>
      <c r="F493" s="92" t="s">
        <v>70</v>
      </c>
      <c r="G493" s="93">
        <v>388480252</v>
      </c>
      <c r="H493" s="92"/>
      <c r="I493" s="87">
        <f ca="1">IFERROR(__xludf.DUMMYFUNCTION("""COMPUTED_VALUE"""),2017)</f>
        <v>2017</v>
      </c>
      <c r="J493" s="88" t="str">
        <f ca="1">IFERROR(__xludf.DUMMYFUNCTION("""COMPUTED_VALUE"""),"Thailand")</f>
        <v>Thailand</v>
      </c>
      <c r="K493" s="89">
        <f ca="1">IFERROR(
  SUMIFS(
    'New Backfilled Data'!G:G,
    'New Backfilled Data'!A:A, I493,
    'New Backfilled Data'!D:D, J493,
    'New Backfilled Data'!E:E, "Online"
  ) /
  SUMIFS(
    'New Backfilled Data'!G:G,
    'New Backfilled Data'!A:A, I493,
    'New Backfilled Data'!D:D, J493
  ),
  ""
)</f>
        <v>0.33648203518097142</v>
      </c>
      <c r="L493" s="90"/>
      <c r="M493" s="90"/>
    </row>
    <row r="494" spans="1:13" ht="17" x14ac:dyDescent="0.2">
      <c r="A494" s="94">
        <v>2009</v>
      </c>
      <c r="B494" s="95" t="s">
        <v>66</v>
      </c>
      <c r="C494" s="95" t="s">
        <v>4</v>
      </c>
      <c r="D494" s="95" t="s">
        <v>7</v>
      </c>
      <c r="E494" s="95" t="s">
        <v>67</v>
      </c>
      <c r="F494" s="95" t="s">
        <v>67</v>
      </c>
      <c r="G494" s="96">
        <v>13723773716</v>
      </c>
      <c r="H494" s="95"/>
      <c r="I494" s="81">
        <f ca="1">IFERROR(__xludf.DUMMYFUNCTION("""COMPUTED_VALUE"""),2017)</f>
        <v>2017</v>
      </c>
      <c r="J494" s="82" t="str">
        <f ca="1">IFERROR(__xludf.DUMMYFUNCTION("""COMPUTED_VALUE"""),"Bulgaria")</f>
        <v>Bulgaria</v>
      </c>
      <c r="K494" s="83">
        <f ca="1">IFERROR(
  SUMIFS(
    'New Backfilled Data'!G:G,
    'New Backfilled Data'!A:A, I494,
    'New Backfilled Data'!D:D, J494,
    'New Backfilled Data'!E:E, "Online"
  ) /
  SUMIFS(
    'New Backfilled Data'!G:G,
    'New Backfilled Data'!A:A, I494,
    'New Backfilled Data'!D:D, J494
  ),
  ""
)</f>
        <v>0.31182411961235862</v>
      </c>
      <c r="L494" s="84"/>
      <c r="M494" s="84"/>
    </row>
    <row r="495" spans="1:13" ht="17" x14ac:dyDescent="0.2">
      <c r="A495" s="91">
        <v>2009</v>
      </c>
      <c r="B495" s="92" t="s">
        <v>66</v>
      </c>
      <c r="C495" s="92" t="s">
        <v>4</v>
      </c>
      <c r="D495" s="92" t="s">
        <v>7</v>
      </c>
      <c r="E495" s="92" t="s">
        <v>69</v>
      </c>
      <c r="F495" s="92" t="s">
        <v>71</v>
      </c>
      <c r="G495" s="93">
        <v>1139031923</v>
      </c>
      <c r="H495" s="92"/>
      <c r="I495" s="87">
        <f ca="1">IFERROR(__xludf.DUMMYFUNCTION("""COMPUTED_VALUE"""),2017)</f>
        <v>2017</v>
      </c>
      <c r="J495" s="88" t="str">
        <f ca="1">IFERROR(__xludf.DUMMYFUNCTION("""COMPUTED_VALUE"""),"Czech Republic")</f>
        <v>Czech Republic</v>
      </c>
      <c r="K495" s="89">
        <f ca="1">IFERROR(
  SUMIFS(
    'New Backfilled Data'!G:G,
    'New Backfilled Data'!A:A, I495,
    'New Backfilled Data'!D:D, J495,
    'New Backfilled Data'!E:E, "Online"
  ) /
  SUMIFS(
    'New Backfilled Data'!G:G,
    'New Backfilled Data'!A:A, I495,
    'New Backfilled Data'!D:D, J495
  ),
  ""
)</f>
        <v>0.45732049594642044</v>
      </c>
      <c r="L495" s="90"/>
      <c r="M495" s="90"/>
    </row>
    <row r="496" spans="1:13" ht="17" x14ac:dyDescent="0.2">
      <c r="A496" s="94">
        <v>2009</v>
      </c>
      <c r="B496" s="95" t="s">
        <v>66</v>
      </c>
      <c r="C496" s="95" t="s">
        <v>4</v>
      </c>
      <c r="D496" s="95" t="s">
        <v>7</v>
      </c>
      <c r="E496" s="95" t="s">
        <v>69</v>
      </c>
      <c r="F496" s="95" t="s">
        <v>70</v>
      </c>
      <c r="G496" s="96">
        <v>2354023606</v>
      </c>
      <c r="H496" s="95"/>
      <c r="I496" s="81">
        <f ca="1">IFERROR(__xludf.DUMMYFUNCTION("""COMPUTED_VALUE"""),2017)</f>
        <v>2017</v>
      </c>
      <c r="J496" s="82" t="str">
        <f ca="1">IFERROR(__xludf.DUMMYFUNCTION("""COMPUTED_VALUE"""),"Greece")</f>
        <v>Greece</v>
      </c>
      <c r="K496" s="83">
        <f ca="1">IFERROR(
  SUMIFS(
    'New Backfilled Data'!G:G,
    'New Backfilled Data'!A:A, I496,
    'New Backfilled Data'!D:D, J496,
    'New Backfilled Data'!E:E, "Online"
  ) /
  SUMIFS(
    'New Backfilled Data'!G:G,
    'New Backfilled Data'!A:A, I496,
    'New Backfilled Data'!D:D, J496
  ),
  ""
)</f>
        <v>0.28042189582400306</v>
      </c>
      <c r="L496" s="84"/>
      <c r="M496" s="84"/>
    </row>
    <row r="497" spans="1:13" ht="17" x14ac:dyDescent="0.2">
      <c r="A497" s="91">
        <v>2009</v>
      </c>
      <c r="B497" s="92" t="s">
        <v>66</v>
      </c>
      <c r="C497" s="92" t="s">
        <v>4</v>
      </c>
      <c r="D497" s="92" t="s">
        <v>8</v>
      </c>
      <c r="E497" s="92" t="s">
        <v>67</v>
      </c>
      <c r="F497" s="92" t="s">
        <v>67</v>
      </c>
      <c r="G497" s="93">
        <v>4823372874</v>
      </c>
      <c r="H497" s="92"/>
      <c r="I497" s="87">
        <f ca="1">IFERROR(__xludf.DUMMYFUNCTION("""COMPUTED_VALUE"""),2017)</f>
        <v>2017</v>
      </c>
      <c r="J497" s="88" t="str">
        <f ca="1">IFERROR(__xludf.DUMMYFUNCTION("""COMPUTED_VALUE"""),"Hungary")</f>
        <v>Hungary</v>
      </c>
      <c r="K497" s="89">
        <f ca="1">IFERROR(
  SUMIFS(
    'New Backfilled Data'!G:G,
    'New Backfilled Data'!A:A, I497,
    'New Backfilled Data'!D:D, J497,
    'New Backfilled Data'!E:E, "Online"
  ) /
  SUMIFS(
    'New Backfilled Data'!G:G,
    'New Backfilled Data'!A:A, I497,
    'New Backfilled Data'!D:D, J497
  ),
  ""
)</f>
        <v>0.52182691522860292</v>
      </c>
      <c r="L497" s="90"/>
      <c r="M497" s="90"/>
    </row>
    <row r="498" spans="1:13" ht="17" x14ac:dyDescent="0.2">
      <c r="A498" s="94">
        <v>2009</v>
      </c>
      <c r="B498" s="95" t="s">
        <v>66</v>
      </c>
      <c r="C498" s="95" t="s">
        <v>4</v>
      </c>
      <c r="D498" s="95" t="s">
        <v>8</v>
      </c>
      <c r="E498" s="95" t="s">
        <v>69</v>
      </c>
      <c r="F498" s="95" t="s">
        <v>71</v>
      </c>
      <c r="G498" s="96">
        <v>29593562</v>
      </c>
      <c r="H498" s="95"/>
      <c r="I498" s="81">
        <f ca="1">IFERROR(__xludf.DUMMYFUNCTION("""COMPUTED_VALUE"""),2017)</f>
        <v>2017</v>
      </c>
      <c r="J498" s="82" t="str">
        <f ca="1">IFERROR(__xludf.DUMMYFUNCTION("""COMPUTED_VALUE"""),"Poland")</f>
        <v>Poland</v>
      </c>
      <c r="K498" s="83">
        <f ca="1">IFERROR(
  SUMIFS(
    'New Backfilled Data'!G:G,
    'New Backfilled Data'!A:A, I498,
    'New Backfilled Data'!D:D, J498,
    'New Backfilled Data'!E:E, "Online"
  ) /
  SUMIFS(
    'New Backfilled Data'!G:G,
    'New Backfilled Data'!A:A, I498,
    'New Backfilled Data'!D:D, J498
  ),
  ""
)</f>
        <v>0.38722163028984807</v>
      </c>
      <c r="L498" s="84"/>
      <c r="M498" s="84"/>
    </row>
    <row r="499" spans="1:13" ht="34" x14ac:dyDescent="0.2">
      <c r="A499" s="91">
        <v>2009</v>
      </c>
      <c r="B499" s="92" t="s">
        <v>66</v>
      </c>
      <c r="C499" s="92" t="s">
        <v>4</v>
      </c>
      <c r="D499" s="92" t="s">
        <v>8</v>
      </c>
      <c r="E499" s="92" t="s">
        <v>69</v>
      </c>
      <c r="F499" s="92" t="s">
        <v>70</v>
      </c>
      <c r="G499" s="93">
        <v>120618054</v>
      </c>
      <c r="H499" s="92"/>
      <c r="I499" s="87">
        <f ca="1">IFERROR(__xludf.DUMMYFUNCTION("""COMPUTED_VALUE"""),2017)</f>
        <v>2017</v>
      </c>
      <c r="J499" s="88" t="str">
        <f ca="1">IFERROR(__xludf.DUMMYFUNCTION("""COMPUTED_VALUE"""),"Rest of Eastern Europe")</f>
        <v>Rest of Eastern Europe</v>
      </c>
      <c r="K499" s="89">
        <f ca="1">IFERROR(
  SUMIFS(
    'New Backfilled Data'!G:G,
    'New Backfilled Data'!A:A, I499,
    'New Backfilled Data'!D:D, J499,
    'New Backfilled Data'!E:E, "Online"
  ) /
  SUMIFS(
    'New Backfilled Data'!G:G,
    'New Backfilled Data'!A:A, I499,
    'New Backfilled Data'!D:D, J499
  ),
  ""
)</f>
        <v>0.43327806251805828</v>
      </c>
      <c r="L499" s="90"/>
      <c r="M499" s="90"/>
    </row>
    <row r="500" spans="1:13" ht="17" x14ac:dyDescent="0.2">
      <c r="A500" s="94">
        <v>2009</v>
      </c>
      <c r="B500" s="95" t="s">
        <v>66</v>
      </c>
      <c r="C500" s="95" t="s">
        <v>4</v>
      </c>
      <c r="D500" s="95" t="s">
        <v>9</v>
      </c>
      <c r="E500" s="95" t="s">
        <v>67</v>
      </c>
      <c r="F500" s="95" t="s">
        <v>67</v>
      </c>
      <c r="G500" s="96">
        <v>66451204207</v>
      </c>
      <c r="H500" s="95"/>
      <c r="I500" s="81">
        <f ca="1">IFERROR(__xludf.DUMMYFUNCTION("""COMPUTED_VALUE"""),2017)</f>
        <v>2017</v>
      </c>
      <c r="J500" s="82" t="str">
        <f ca="1">IFERROR(__xludf.DUMMYFUNCTION("""COMPUTED_VALUE"""),"Romania")</f>
        <v>Romania</v>
      </c>
      <c r="K500" s="83">
        <f ca="1">IFERROR(
  SUMIFS(
    'New Backfilled Data'!G:G,
    'New Backfilled Data'!A:A, I500,
    'New Backfilled Data'!D:D, J500,
    'New Backfilled Data'!E:E, "Online"
  ) /
  SUMIFS(
    'New Backfilled Data'!G:G,
    'New Backfilled Data'!A:A, I500,
    'New Backfilled Data'!D:D, J500
  ),
  ""
)</f>
        <v>0.42287099657387739</v>
      </c>
      <c r="L500" s="84"/>
      <c r="M500" s="84"/>
    </row>
    <row r="501" spans="1:13" ht="17" x14ac:dyDescent="0.2">
      <c r="A501" s="91">
        <v>2009</v>
      </c>
      <c r="B501" s="92" t="s">
        <v>66</v>
      </c>
      <c r="C501" s="92" t="s">
        <v>4</v>
      </c>
      <c r="D501" s="92" t="s">
        <v>9</v>
      </c>
      <c r="E501" s="92" t="s">
        <v>69</v>
      </c>
      <c r="F501" s="92" t="s">
        <v>71</v>
      </c>
      <c r="G501" s="93">
        <v>6842752515</v>
      </c>
      <c r="H501" s="92"/>
      <c r="I501" s="87">
        <f ca="1">IFERROR(__xludf.DUMMYFUNCTION("""COMPUTED_VALUE"""),2017)</f>
        <v>2017</v>
      </c>
      <c r="J501" s="88" t="str">
        <f ca="1">IFERROR(__xludf.DUMMYFUNCTION("""COMPUTED_VALUE"""),"Russia")</f>
        <v>Russia</v>
      </c>
      <c r="K501" s="89">
        <f ca="1">IFERROR(
  SUMIFS(
    'New Backfilled Data'!G:G,
    'New Backfilled Data'!A:A, I501,
    'New Backfilled Data'!D:D, J501,
    'New Backfilled Data'!E:E, "Online"
  ) /
  SUMIFS(
    'New Backfilled Data'!G:G,
    'New Backfilled Data'!A:A, I501,
    'New Backfilled Data'!D:D, J501
  ),
  ""
)</f>
        <v>0.35571321730453326</v>
      </c>
      <c r="L501" s="90"/>
      <c r="M501" s="90"/>
    </row>
    <row r="502" spans="1:13" ht="17" x14ac:dyDescent="0.2">
      <c r="A502" s="94">
        <v>2009</v>
      </c>
      <c r="B502" s="95" t="s">
        <v>66</v>
      </c>
      <c r="C502" s="95" t="s">
        <v>4</v>
      </c>
      <c r="D502" s="95" t="s">
        <v>9</v>
      </c>
      <c r="E502" s="95" t="s">
        <v>69</v>
      </c>
      <c r="F502" s="95" t="s">
        <v>70</v>
      </c>
      <c r="G502" s="96">
        <v>13630457013</v>
      </c>
      <c r="H502" s="95"/>
      <c r="I502" s="81">
        <f ca="1">IFERROR(__xludf.DUMMYFUNCTION("""COMPUTED_VALUE"""),2017)</f>
        <v>2017</v>
      </c>
      <c r="J502" s="82" t="str">
        <f ca="1">IFERROR(__xludf.DUMMYFUNCTION("""COMPUTED_VALUE"""),"Ukraine")</f>
        <v>Ukraine</v>
      </c>
      <c r="K502" s="83">
        <f ca="1">IFERROR(
  SUMIFS(
    'New Backfilled Data'!G:G,
    'New Backfilled Data'!A:A, I502,
    'New Backfilled Data'!D:D, J502,
    'New Backfilled Data'!E:E, "Online"
  ) /
  SUMIFS(
    'New Backfilled Data'!G:G,
    'New Backfilled Data'!A:A, I502,
    'New Backfilled Data'!D:D, J502
  ),
  ""
)</f>
        <v>0.25888434524062998</v>
      </c>
      <c r="L502" s="84"/>
      <c r="M502" s="84"/>
    </row>
    <row r="503" spans="1:13" ht="17" x14ac:dyDescent="0.2">
      <c r="A503" s="91">
        <v>2009</v>
      </c>
      <c r="B503" s="92" t="s">
        <v>66</v>
      </c>
      <c r="C503" s="92" t="s">
        <v>4</v>
      </c>
      <c r="D503" s="92" t="s">
        <v>10</v>
      </c>
      <c r="E503" s="92" t="s">
        <v>67</v>
      </c>
      <c r="F503" s="92" t="s">
        <v>67</v>
      </c>
      <c r="G503" s="93">
        <v>551150065</v>
      </c>
      <c r="H503" s="92"/>
      <c r="I503" s="87">
        <f ca="1">IFERROR(__xludf.DUMMYFUNCTION("""COMPUTED_VALUE"""),2017)</f>
        <v>2017</v>
      </c>
      <c r="J503" s="88" t="str">
        <f ca="1">IFERROR(__xludf.DUMMYFUNCTION("""COMPUTED_VALUE"""),"France")</f>
        <v>France</v>
      </c>
      <c r="K503" s="89">
        <f ca="1">IFERROR(
  SUMIFS(
    'New Backfilled Data'!G:G,
    'New Backfilled Data'!A:A, I503,
    'New Backfilled Data'!D:D, J503,
    'New Backfilled Data'!E:E, "Online"
  ) /
  SUMIFS(
    'New Backfilled Data'!G:G,
    'New Backfilled Data'!A:A, I503,
    'New Backfilled Data'!D:D, J503
  ),
  ""
)</f>
        <v>0.43094274123732657</v>
      </c>
      <c r="L503" s="90"/>
      <c r="M503" s="90"/>
    </row>
    <row r="504" spans="1:13" ht="17" x14ac:dyDescent="0.2">
      <c r="A504" s="94">
        <v>2009</v>
      </c>
      <c r="B504" s="95" t="s">
        <v>66</v>
      </c>
      <c r="C504" s="95" t="s">
        <v>4</v>
      </c>
      <c r="D504" s="95" t="s">
        <v>10</v>
      </c>
      <c r="E504" s="95" t="s">
        <v>69</v>
      </c>
      <c r="F504" s="95" t="s">
        <v>71</v>
      </c>
      <c r="G504" s="96">
        <v>7132863</v>
      </c>
      <c r="H504" s="95"/>
      <c r="I504" s="81">
        <f ca="1">IFERROR(__xludf.DUMMYFUNCTION("""COMPUTED_VALUE"""),2017)</f>
        <v>2017</v>
      </c>
      <c r="J504" s="82" t="str">
        <f ca="1">IFERROR(__xludf.DUMMYFUNCTION("""COMPUTED_VALUE"""),"Germany")</f>
        <v>Germany</v>
      </c>
      <c r="K504" s="83">
        <f ca="1">IFERROR(
  SUMIFS(
    'New Backfilled Data'!G:G,
    'New Backfilled Data'!A:A, I504,
    'New Backfilled Data'!D:D, J504,
    'New Backfilled Data'!E:E, "Online"
  ) /
  SUMIFS(
    'New Backfilled Data'!G:G,
    'New Backfilled Data'!A:A, I504,
    'New Backfilled Data'!D:D, J504
  ),
  ""
)</f>
        <v>0.41884926983085086</v>
      </c>
      <c r="L504" s="84"/>
      <c r="M504" s="84"/>
    </row>
    <row r="505" spans="1:13" ht="17" x14ac:dyDescent="0.2">
      <c r="A505" s="91">
        <v>2009</v>
      </c>
      <c r="B505" s="92" t="s">
        <v>66</v>
      </c>
      <c r="C505" s="92" t="s">
        <v>4</v>
      </c>
      <c r="D505" s="92" t="s">
        <v>10</v>
      </c>
      <c r="E505" s="92" t="s">
        <v>69</v>
      </c>
      <c r="F505" s="92" t="s">
        <v>70</v>
      </c>
      <c r="G505" s="93">
        <v>5835979</v>
      </c>
      <c r="H505" s="92"/>
      <c r="I505" s="87">
        <f ca="1">IFERROR(__xludf.DUMMYFUNCTION("""COMPUTED_VALUE"""),2017)</f>
        <v>2017</v>
      </c>
      <c r="J505" s="88" t="str">
        <f ca="1">IFERROR(__xludf.DUMMYFUNCTION("""COMPUTED_VALUE"""),"Italy")</f>
        <v>Italy</v>
      </c>
      <c r="K505" s="89">
        <f ca="1">IFERROR(
  SUMIFS(
    'New Backfilled Data'!G:G,
    'New Backfilled Data'!A:A, I505,
    'New Backfilled Data'!D:D, J505,
    'New Backfilled Data'!E:E, "Online"
  ) /
  SUMIFS(
    'New Backfilled Data'!G:G,
    'New Backfilled Data'!A:A, I505,
    'New Backfilled Data'!D:D, J505
  ),
  ""
)</f>
        <v>0.37554895143826827</v>
      </c>
      <c r="L505" s="90"/>
      <c r="M505" s="90"/>
    </row>
    <row r="506" spans="1:13" ht="17" x14ac:dyDescent="0.2">
      <c r="A506" s="94">
        <v>2009</v>
      </c>
      <c r="B506" s="95" t="s">
        <v>66</v>
      </c>
      <c r="C506" s="95" t="s">
        <v>4</v>
      </c>
      <c r="D506" s="95" t="s">
        <v>11</v>
      </c>
      <c r="E506" s="95" t="s">
        <v>67</v>
      </c>
      <c r="F506" s="95" t="s">
        <v>67</v>
      </c>
      <c r="G506" s="96">
        <v>4043255582</v>
      </c>
      <c r="H506" s="95"/>
      <c r="I506" s="81">
        <f ca="1">IFERROR(__xludf.DUMMYFUNCTION("""COMPUTED_VALUE"""),2017)</f>
        <v>2017</v>
      </c>
      <c r="J506" s="82" t="str">
        <f ca="1">IFERROR(__xludf.DUMMYFUNCTION("""COMPUTED_VALUE"""),"Rest of Europe")</f>
        <v>Rest of Europe</v>
      </c>
      <c r="K506" s="83">
        <f ca="1">IFERROR(
  SUMIFS(
    'New Backfilled Data'!G:G,
    'New Backfilled Data'!A:A, I506,
    'New Backfilled Data'!D:D, J506,
    'New Backfilled Data'!E:E, "Online"
  ) /
  SUMIFS(
    'New Backfilled Data'!G:G,
    'New Backfilled Data'!A:A, I506,
    'New Backfilled Data'!D:D, J506
  ),
  ""
)</f>
        <v>0.44162512608168275</v>
      </c>
      <c r="L506" s="84"/>
      <c r="M506" s="84"/>
    </row>
    <row r="507" spans="1:13" ht="17" x14ac:dyDescent="0.2">
      <c r="A507" s="91">
        <v>2009</v>
      </c>
      <c r="B507" s="92" t="s">
        <v>66</v>
      </c>
      <c r="C507" s="92" t="s">
        <v>4</v>
      </c>
      <c r="D507" s="92" t="s">
        <v>11</v>
      </c>
      <c r="E507" s="92" t="s">
        <v>69</v>
      </c>
      <c r="F507" s="92" t="s">
        <v>71</v>
      </c>
      <c r="G507" s="93">
        <v>78708676</v>
      </c>
      <c r="H507" s="92"/>
      <c r="I507" s="87">
        <f ca="1">IFERROR(__xludf.DUMMYFUNCTION("""COMPUTED_VALUE"""),2017)</f>
        <v>2017</v>
      </c>
      <c r="J507" s="88" t="str">
        <f ca="1">IFERROR(__xludf.DUMMYFUNCTION("""COMPUTED_VALUE"""),"Scandinavia")</f>
        <v>Scandinavia</v>
      </c>
      <c r="K507" s="89">
        <f ca="1">IFERROR(
  SUMIFS(
    'New Backfilled Data'!G:G,
    'New Backfilled Data'!A:A, I507,
    'New Backfilled Data'!D:D, J507,
    'New Backfilled Data'!E:E, "Online"
  ) /
  SUMIFS(
    'New Backfilled Data'!G:G,
    'New Backfilled Data'!A:A, I507,
    'New Backfilled Data'!D:D, J507
  ),
  ""
)</f>
        <v>0.59693806162501151</v>
      </c>
      <c r="L507" s="90"/>
      <c r="M507" s="90"/>
    </row>
    <row r="508" spans="1:13" ht="17" x14ac:dyDescent="0.2">
      <c r="A508" s="94">
        <v>2009</v>
      </c>
      <c r="B508" s="95" t="s">
        <v>66</v>
      </c>
      <c r="C508" s="95" t="s">
        <v>4</v>
      </c>
      <c r="D508" s="95" t="s">
        <v>11</v>
      </c>
      <c r="E508" s="95" t="s">
        <v>69</v>
      </c>
      <c r="F508" s="95" t="s">
        <v>70</v>
      </c>
      <c r="G508" s="96">
        <v>1256243379</v>
      </c>
      <c r="H508" s="95"/>
      <c r="I508" s="81">
        <f ca="1">IFERROR(__xludf.DUMMYFUNCTION("""COMPUTED_VALUE"""),2017)</f>
        <v>2017</v>
      </c>
      <c r="J508" s="82" t="str">
        <f ca="1">IFERROR(__xludf.DUMMYFUNCTION("""COMPUTED_VALUE"""),"Spain")</f>
        <v>Spain</v>
      </c>
      <c r="K508" s="83">
        <f ca="1">IFERROR(
  SUMIFS(
    'New Backfilled Data'!G:G,
    'New Backfilled Data'!A:A, I508,
    'New Backfilled Data'!D:D, J508,
    'New Backfilled Data'!E:E, "Online"
  ) /
  SUMIFS(
    'New Backfilled Data'!G:G,
    'New Backfilled Data'!A:A, I508,
    'New Backfilled Data'!D:D, J508
  ),
  ""
)</f>
        <v>0.42911230985845927</v>
      </c>
      <c r="L508" s="84"/>
      <c r="M508" s="84"/>
    </row>
    <row r="509" spans="1:13" ht="17" x14ac:dyDescent="0.2">
      <c r="A509" s="91">
        <v>2009</v>
      </c>
      <c r="B509" s="92" t="s">
        <v>66</v>
      </c>
      <c r="C509" s="92" t="s">
        <v>4</v>
      </c>
      <c r="D509" s="92" t="s">
        <v>12</v>
      </c>
      <c r="E509" s="92" t="s">
        <v>67</v>
      </c>
      <c r="F509" s="92" t="s">
        <v>67</v>
      </c>
      <c r="G509" s="93">
        <v>5183334817</v>
      </c>
      <c r="H509" s="92"/>
      <c r="I509" s="87">
        <f ca="1">IFERROR(__xludf.DUMMYFUNCTION("""COMPUTED_VALUE"""),2017)</f>
        <v>2017</v>
      </c>
      <c r="J509" s="88" t="str">
        <f ca="1">IFERROR(__xludf.DUMMYFUNCTION("""COMPUTED_VALUE"""),"U.K.")</f>
        <v>U.K.</v>
      </c>
      <c r="K509" s="89">
        <f ca="1">IFERROR(
  SUMIFS(
    'New Backfilled Data'!G:G,
    'New Backfilled Data'!A:A, I509,
    'New Backfilled Data'!D:D, J509,
    'New Backfilled Data'!E:E, "Online"
  ) /
  SUMIFS(
    'New Backfilled Data'!G:G,
    'New Backfilled Data'!A:A, I509,
    'New Backfilled Data'!D:D, J509
  ),
  ""
)</f>
        <v>0.61230430171830119</v>
      </c>
      <c r="L509" s="90"/>
      <c r="M509" s="90"/>
    </row>
    <row r="510" spans="1:13" ht="17" x14ac:dyDescent="0.2">
      <c r="A510" s="94">
        <v>2009</v>
      </c>
      <c r="B510" s="95" t="s">
        <v>66</v>
      </c>
      <c r="C510" s="95" t="s">
        <v>4</v>
      </c>
      <c r="D510" s="95" t="s">
        <v>12</v>
      </c>
      <c r="E510" s="95" t="s">
        <v>69</v>
      </c>
      <c r="F510" s="95" t="s">
        <v>71</v>
      </c>
      <c r="G510" s="96">
        <v>231785047</v>
      </c>
      <c r="H510" s="95"/>
      <c r="I510" s="81">
        <f ca="1">IFERROR(__xludf.DUMMYFUNCTION("""COMPUTED_VALUE"""),2017)</f>
        <v>2017</v>
      </c>
      <c r="J510" s="82" t="str">
        <f ca="1">IFERROR(__xludf.DUMMYFUNCTION("""COMPUTED_VALUE"""),"Argentina")</f>
        <v>Argentina</v>
      </c>
      <c r="K510" s="83">
        <f ca="1">IFERROR(
  SUMIFS(
    'New Backfilled Data'!G:G,
    'New Backfilled Data'!A:A, I510,
    'New Backfilled Data'!D:D, J510,
    'New Backfilled Data'!E:E, "Online"
  ) /
  SUMIFS(
    'New Backfilled Data'!G:G,
    'New Backfilled Data'!A:A, I510,
    'New Backfilled Data'!D:D, J510
  ),
  ""
)</f>
        <v>0.27029540392792456</v>
      </c>
      <c r="L510" s="84"/>
      <c r="M510" s="84"/>
    </row>
    <row r="511" spans="1:13" ht="17" x14ac:dyDescent="0.2">
      <c r="A511" s="91">
        <v>2009</v>
      </c>
      <c r="B511" s="92" t="s">
        <v>66</v>
      </c>
      <c r="C511" s="92" t="s">
        <v>4</v>
      </c>
      <c r="D511" s="92" t="s">
        <v>12</v>
      </c>
      <c r="E511" s="92" t="s">
        <v>69</v>
      </c>
      <c r="F511" s="92" t="s">
        <v>70</v>
      </c>
      <c r="G511" s="93">
        <v>1329120007</v>
      </c>
      <c r="H511" s="92"/>
      <c r="I511" s="87">
        <f ca="1">IFERROR(__xludf.DUMMYFUNCTION("""COMPUTED_VALUE"""),2017)</f>
        <v>2017</v>
      </c>
      <c r="J511" s="88" t="str">
        <f ca="1">IFERROR(__xludf.DUMMYFUNCTION("""COMPUTED_VALUE"""),"Brazil")</f>
        <v>Brazil</v>
      </c>
      <c r="K511" s="89">
        <f ca="1">IFERROR(
  SUMIFS(
    'New Backfilled Data'!G:G,
    'New Backfilled Data'!A:A, I511,
    'New Backfilled Data'!D:D, J511,
    'New Backfilled Data'!E:E, "Online"
  ) /
  SUMIFS(
    'New Backfilled Data'!G:G,
    'New Backfilled Data'!A:A, I511,
    'New Backfilled Data'!D:D, J511
  ),
  ""
)</f>
        <v>0.38895426915397879</v>
      </c>
      <c r="L511" s="90"/>
      <c r="M511" s="90"/>
    </row>
    <row r="512" spans="1:13" ht="17" x14ac:dyDescent="0.2">
      <c r="A512" s="94">
        <v>2009</v>
      </c>
      <c r="B512" s="95" t="s">
        <v>66</v>
      </c>
      <c r="C512" s="95" t="s">
        <v>4</v>
      </c>
      <c r="D512" s="95" t="s">
        <v>13</v>
      </c>
      <c r="E512" s="95" t="s">
        <v>67</v>
      </c>
      <c r="F512" s="95" t="s">
        <v>67</v>
      </c>
      <c r="G512" s="96">
        <v>8827228902</v>
      </c>
      <c r="H512" s="95"/>
      <c r="I512" s="81">
        <f ca="1">IFERROR(__xludf.DUMMYFUNCTION("""COMPUTED_VALUE"""),2017)</f>
        <v>2017</v>
      </c>
      <c r="J512" s="82" t="str">
        <f ca="1">IFERROR(__xludf.DUMMYFUNCTION("""COMPUTED_VALUE"""),"Chile")</f>
        <v>Chile</v>
      </c>
      <c r="K512" s="83">
        <f ca="1">IFERROR(
  SUMIFS(
    'New Backfilled Data'!G:G,
    'New Backfilled Data'!A:A, I512,
    'New Backfilled Data'!D:D, J512,
    'New Backfilled Data'!E:E, "Online"
  ) /
  SUMIFS(
    'New Backfilled Data'!G:G,
    'New Backfilled Data'!A:A, I512,
    'New Backfilled Data'!D:D, J512
  ),
  ""
)</f>
        <v>0.35906515124687377</v>
      </c>
      <c r="L512" s="84"/>
      <c r="M512" s="84"/>
    </row>
    <row r="513" spans="1:13" ht="17" x14ac:dyDescent="0.2">
      <c r="A513" s="91">
        <v>2009</v>
      </c>
      <c r="B513" s="92" t="s">
        <v>66</v>
      </c>
      <c r="C513" s="92" t="s">
        <v>4</v>
      </c>
      <c r="D513" s="92" t="s">
        <v>13</v>
      </c>
      <c r="E513" s="92" t="s">
        <v>69</v>
      </c>
      <c r="F513" s="92" t="s">
        <v>71</v>
      </c>
      <c r="G513" s="93">
        <v>81632740</v>
      </c>
      <c r="H513" s="92"/>
      <c r="I513" s="87">
        <f ca="1">IFERROR(__xludf.DUMMYFUNCTION("""COMPUTED_VALUE"""),2017)</f>
        <v>2017</v>
      </c>
      <c r="J513" s="88" t="str">
        <f ca="1">IFERROR(__xludf.DUMMYFUNCTION("""COMPUTED_VALUE"""),"Colombia")</f>
        <v>Colombia</v>
      </c>
      <c r="K513" s="89">
        <f ca="1">IFERROR(
  SUMIFS(
    'New Backfilled Data'!G:G,
    'New Backfilled Data'!A:A, I513,
    'New Backfilled Data'!D:D, J513,
    'New Backfilled Data'!E:E, "Online"
  ) /
  SUMIFS(
    'New Backfilled Data'!G:G,
    'New Backfilled Data'!A:A, I513,
    'New Backfilled Data'!D:D, J513
  ),
  ""
)</f>
        <v>0.33034432684305787</v>
      </c>
      <c r="L513" s="90"/>
      <c r="M513" s="90"/>
    </row>
    <row r="514" spans="1:13" ht="17" x14ac:dyDescent="0.2">
      <c r="A514" s="94">
        <v>2009</v>
      </c>
      <c r="B514" s="95" t="s">
        <v>66</v>
      </c>
      <c r="C514" s="95" t="s">
        <v>4</v>
      </c>
      <c r="D514" s="95" t="s">
        <v>13</v>
      </c>
      <c r="E514" s="95" t="s">
        <v>69</v>
      </c>
      <c r="F514" s="95" t="s">
        <v>70</v>
      </c>
      <c r="G514" s="96">
        <v>1108985340</v>
      </c>
      <c r="H514" s="95"/>
      <c r="I514" s="81">
        <f ca="1">IFERROR(__xludf.DUMMYFUNCTION("""COMPUTED_VALUE"""),2017)</f>
        <v>2017</v>
      </c>
      <c r="J514" s="82" t="str">
        <f ca="1">IFERROR(__xludf.DUMMYFUNCTION("""COMPUTED_VALUE"""),"Mexico")</f>
        <v>Mexico</v>
      </c>
      <c r="K514" s="83">
        <f ca="1">IFERROR(
  SUMIFS(
    'New Backfilled Data'!G:G,
    'New Backfilled Data'!A:A, I514,
    'New Backfilled Data'!D:D, J514,
    'New Backfilled Data'!E:E, "Online"
  ) /
  SUMIFS(
    'New Backfilled Data'!G:G,
    'New Backfilled Data'!A:A, I514,
    'New Backfilled Data'!D:D, J514
  ),
  ""
)</f>
        <v>0.33463722544875973</v>
      </c>
      <c r="L514" s="84"/>
      <c r="M514" s="84"/>
    </row>
    <row r="515" spans="1:13" ht="17" x14ac:dyDescent="0.2">
      <c r="A515" s="91">
        <v>2009</v>
      </c>
      <c r="B515" s="92" t="s">
        <v>66</v>
      </c>
      <c r="C515" s="92" t="s">
        <v>4</v>
      </c>
      <c r="D515" s="92" t="s">
        <v>14</v>
      </c>
      <c r="E515" s="92" t="s">
        <v>67</v>
      </c>
      <c r="F515" s="92" t="s">
        <v>67</v>
      </c>
      <c r="G515" s="93">
        <v>4251468513</v>
      </c>
      <c r="H515" s="92"/>
      <c r="I515" s="87">
        <f ca="1">IFERROR(__xludf.DUMMYFUNCTION("""COMPUTED_VALUE"""),2017)</f>
        <v>2017</v>
      </c>
      <c r="J515" s="88" t="str">
        <f ca="1">IFERROR(__xludf.DUMMYFUNCTION("""COMPUTED_VALUE"""),"Egypt")</f>
        <v>Egypt</v>
      </c>
      <c r="K515" s="89">
        <f ca="1">IFERROR(
  SUMIFS(
    'New Backfilled Data'!G:G,
    'New Backfilled Data'!A:A, I515,
    'New Backfilled Data'!D:D, J515,
    'New Backfilled Data'!E:E, "Online"
  ) /
  SUMIFS(
    'New Backfilled Data'!G:G,
    'New Backfilled Data'!A:A, I515,
    'New Backfilled Data'!D:D, J515
  ),
  ""
)</f>
        <v>0.13156614145199028</v>
      </c>
      <c r="L515" s="90"/>
      <c r="M515" s="90"/>
    </row>
    <row r="516" spans="1:13" ht="17" x14ac:dyDescent="0.2">
      <c r="A516" s="94">
        <v>2009</v>
      </c>
      <c r="B516" s="95" t="s">
        <v>66</v>
      </c>
      <c r="C516" s="95" t="s">
        <v>4</v>
      </c>
      <c r="D516" s="95" t="s">
        <v>14</v>
      </c>
      <c r="E516" s="95" t="s">
        <v>69</v>
      </c>
      <c r="F516" s="95" t="s">
        <v>71</v>
      </c>
      <c r="G516" s="96">
        <v>87442155</v>
      </c>
      <c r="H516" s="95"/>
      <c r="I516" s="81">
        <f ca="1">IFERROR(__xludf.DUMMYFUNCTION("""COMPUTED_VALUE"""),2017)</f>
        <v>2017</v>
      </c>
      <c r="J516" s="82" t="str">
        <f ca="1">IFERROR(__xludf.DUMMYFUNCTION("""COMPUTED_VALUE"""),"Qatar")</f>
        <v>Qatar</v>
      </c>
      <c r="K516" s="83">
        <f ca="1">IFERROR(
  SUMIFS(
    'New Backfilled Data'!G:G,
    'New Backfilled Data'!A:A, I516,
    'New Backfilled Data'!D:D, J516,
    'New Backfilled Data'!E:E, "Online"
  ) /
  SUMIFS(
    'New Backfilled Data'!G:G,
    'New Backfilled Data'!A:A, I516,
    'New Backfilled Data'!D:D, J516
  ),
  ""
)</f>
        <v>0.26447540493409238</v>
      </c>
      <c r="L516" s="84"/>
      <c r="M516" s="84"/>
    </row>
    <row r="517" spans="1:13" ht="34" x14ac:dyDescent="0.2">
      <c r="A517" s="91">
        <v>2009</v>
      </c>
      <c r="B517" s="92" t="s">
        <v>66</v>
      </c>
      <c r="C517" s="92" t="s">
        <v>4</v>
      </c>
      <c r="D517" s="92" t="s">
        <v>14</v>
      </c>
      <c r="E517" s="92" t="s">
        <v>69</v>
      </c>
      <c r="F517" s="92" t="s">
        <v>70</v>
      </c>
      <c r="G517" s="93">
        <v>352036615</v>
      </c>
      <c r="H517" s="92"/>
      <c r="I517" s="87">
        <f ca="1">IFERROR(__xludf.DUMMYFUNCTION("""COMPUTED_VALUE"""),2017)</f>
        <v>2017</v>
      </c>
      <c r="J517" s="88" t="str">
        <f ca="1">IFERROR(__xludf.DUMMYFUNCTION("""COMPUTED_VALUE"""),"Rest of Middle East")</f>
        <v>Rest of Middle East</v>
      </c>
      <c r="K517" s="89">
        <f ca="1">IFERROR(
  SUMIFS(
    'New Backfilled Data'!G:G,
    'New Backfilled Data'!A:A, I517,
    'New Backfilled Data'!D:D, J517,
    'New Backfilled Data'!E:E, "Online"
  ) /
  SUMIFS(
    'New Backfilled Data'!G:G,
    'New Backfilled Data'!A:A, I517,
    'New Backfilled Data'!D:D, J517
  ),
  ""
)</f>
        <v>0.25816671061598256</v>
      </c>
      <c r="L517" s="90"/>
      <c r="M517" s="90"/>
    </row>
    <row r="518" spans="1:13" ht="17" x14ac:dyDescent="0.2">
      <c r="A518" s="94">
        <v>2009</v>
      </c>
      <c r="B518" s="95" t="s">
        <v>66</v>
      </c>
      <c r="C518" s="95" t="s">
        <v>4</v>
      </c>
      <c r="D518" s="95" t="s">
        <v>15</v>
      </c>
      <c r="E518" s="95" t="s">
        <v>67</v>
      </c>
      <c r="F518" s="95" t="s">
        <v>67</v>
      </c>
      <c r="G518" s="96">
        <v>8214837771</v>
      </c>
      <c r="H518" s="95"/>
      <c r="I518" s="81">
        <f ca="1">IFERROR(__xludf.DUMMYFUNCTION("""COMPUTED_VALUE"""),2017)</f>
        <v>2017</v>
      </c>
      <c r="J518" s="82" t="str">
        <f ca="1">IFERROR(__xludf.DUMMYFUNCTION("""COMPUTED_VALUE"""),"Saudi Arabia")</f>
        <v>Saudi Arabia</v>
      </c>
      <c r="K518" s="83">
        <f ca="1">IFERROR(
  SUMIFS(
    'New Backfilled Data'!G:G,
    'New Backfilled Data'!A:A, I518,
    'New Backfilled Data'!D:D, J518,
    'New Backfilled Data'!E:E, "Online"
  ) /
  SUMIFS(
    'New Backfilled Data'!G:G,
    'New Backfilled Data'!A:A, I518,
    'New Backfilled Data'!D:D, J518
  ),
  ""
)</f>
        <v>0.28620997994949771</v>
      </c>
      <c r="L518" s="84"/>
      <c r="M518" s="84"/>
    </row>
    <row r="519" spans="1:13" ht="17" x14ac:dyDescent="0.2">
      <c r="A519" s="91">
        <v>2009</v>
      </c>
      <c r="B519" s="92" t="s">
        <v>66</v>
      </c>
      <c r="C519" s="92" t="s">
        <v>4</v>
      </c>
      <c r="D519" s="92" t="s">
        <v>15</v>
      </c>
      <c r="E519" s="92" t="s">
        <v>69</v>
      </c>
      <c r="F519" s="92" t="s">
        <v>71</v>
      </c>
      <c r="G519" s="93">
        <v>499440837</v>
      </c>
      <c r="H519" s="92"/>
      <c r="I519" s="87">
        <f ca="1">IFERROR(__xludf.DUMMYFUNCTION("""COMPUTED_VALUE"""),2017)</f>
        <v>2017</v>
      </c>
      <c r="J519" s="88" t="str">
        <f ca="1">IFERROR(__xludf.DUMMYFUNCTION("""COMPUTED_VALUE"""),"U.A.E.")</f>
        <v>U.A.E.</v>
      </c>
      <c r="K519" s="89">
        <f ca="1">IFERROR(
  SUMIFS(
    'New Backfilled Data'!G:G,
    'New Backfilled Data'!A:A, I519,
    'New Backfilled Data'!D:D, J519,
    'New Backfilled Data'!E:E, "Online"
  ) /
  SUMIFS(
    'New Backfilled Data'!G:G,
    'New Backfilled Data'!A:A, I519,
    'New Backfilled Data'!D:D, J519
  ),
  ""
)</f>
        <v>0.33375321494606408</v>
      </c>
      <c r="L519" s="90"/>
      <c r="M519" s="90"/>
    </row>
    <row r="520" spans="1:13" ht="17" x14ac:dyDescent="0.2">
      <c r="A520" s="94">
        <v>2009</v>
      </c>
      <c r="B520" s="95" t="s">
        <v>66</v>
      </c>
      <c r="C520" s="95" t="s">
        <v>4</v>
      </c>
      <c r="D520" s="95" t="s">
        <v>15</v>
      </c>
      <c r="E520" s="95" t="s">
        <v>69</v>
      </c>
      <c r="F520" s="95" t="s">
        <v>70</v>
      </c>
      <c r="G520" s="96">
        <v>740830751</v>
      </c>
      <c r="H520" s="95"/>
      <c r="I520" s="81">
        <f ca="1">IFERROR(__xludf.DUMMYFUNCTION("""COMPUTED_VALUE"""),2017)</f>
        <v>2017</v>
      </c>
      <c r="J520" s="82" t="str">
        <f ca="1">IFERROR(__xludf.DUMMYFUNCTION("""COMPUTED_VALUE"""),"Canada")</f>
        <v>Canada</v>
      </c>
      <c r="K520" s="83">
        <f ca="1">IFERROR(
  SUMIFS(
    'New Backfilled Data'!G:G,
    'New Backfilled Data'!A:A, I520,
    'New Backfilled Data'!D:D, J520,
    'New Backfilled Data'!E:E, "Online"
  ) /
  SUMIFS(
    'New Backfilled Data'!G:G,
    'New Backfilled Data'!A:A, I520,
    'New Backfilled Data'!D:D, J520
  ),
  ""
)</f>
        <v>0.41470443367932441</v>
      </c>
      <c r="L520" s="84"/>
      <c r="M520" s="84"/>
    </row>
    <row r="521" spans="1:13" ht="17" x14ac:dyDescent="0.2">
      <c r="A521" s="91">
        <v>2009</v>
      </c>
      <c r="B521" s="92" t="s">
        <v>66</v>
      </c>
      <c r="C521" s="92" t="s">
        <v>17</v>
      </c>
      <c r="D521" s="92" t="s">
        <v>16</v>
      </c>
      <c r="E521" s="92" t="s">
        <v>67</v>
      </c>
      <c r="F521" s="92" t="s">
        <v>67</v>
      </c>
      <c r="G521" s="93">
        <v>1318340039</v>
      </c>
      <c r="H521" s="92"/>
      <c r="I521" s="87">
        <f ca="1">IFERROR(__xludf.DUMMYFUNCTION("""COMPUTED_VALUE"""),2017)</f>
        <v>2017</v>
      </c>
      <c r="J521" s="88" t="str">
        <f ca="1">IFERROR(__xludf.DUMMYFUNCTION("""COMPUTED_VALUE"""),"U.S.")</f>
        <v>U.S.</v>
      </c>
      <c r="K521" s="89">
        <f ca="1">IFERROR(
  SUMIFS(
    'New Backfilled Data'!G:G,
    'New Backfilled Data'!A:A, I521,
    'New Backfilled Data'!D:D, J521,
    'New Backfilled Data'!E:E, "Online"
  ) /
  SUMIFS(
    'New Backfilled Data'!G:G,
    'New Backfilled Data'!A:A, I521,
    'New Backfilled Data'!D:D, J521
  ),
  ""
)</f>
        <v>0.48749710878569052</v>
      </c>
      <c r="L521" s="90"/>
      <c r="M521" s="90"/>
    </row>
    <row r="522" spans="1:13" ht="34" x14ac:dyDescent="0.2">
      <c r="A522" s="94">
        <v>2009</v>
      </c>
      <c r="B522" s="95" t="s">
        <v>66</v>
      </c>
      <c r="C522" s="95" t="s">
        <v>17</v>
      </c>
      <c r="D522" s="95" t="s">
        <v>16</v>
      </c>
      <c r="E522" s="95" t="s">
        <v>69</v>
      </c>
      <c r="F522" s="95" t="s">
        <v>71</v>
      </c>
      <c r="G522" s="96">
        <v>16479153</v>
      </c>
      <c r="H522" s="95"/>
      <c r="I522" s="81">
        <f ca="1">IFERROR(__xludf.DUMMYFUNCTION("""COMPUTED_VALUE"""),2018)</f>
        <v>2018</v>
      </c>
      <c r="J522" s="82" t="str">
        <f ca="1">IFERROR(__xludf.DUMMYFUNCTION("""COMPUTED_VALUE"""),"Australia-New Zealand")</f>
        <v>Australia-New Zealand</v>
      </c>
      <c r="K522" s="83">
        <f ca="1">IFERROR(
  SUMIFS(
    'New Backfilled Data'!G:G,
    'New Backfilled Data'!A:A, I522,
    'New Backfilled Data'!D:D, J522,
    'New Backfilled Data'!E:E, "Online"
  ) /
  SUMIFS(
    'New Backfilled Data'!G:G,
    'New Backfilled Data'!A:A, I522,
    'New Backfilled Data'!D:D, J522
  ),
  ""
)</f>
        <v>0.43542542232241616</v>
      </c>
      <c r="L522" s="84"/>
      <c r="M522" s="84"/>
    </row>
    <row r="523" spans="1:13" ht="17" x14ac:dyDescent="0.2">
      <c r="A523" s="91">
        <v>2009</v>
      </c>
      <c r="B523" s="92" t="s">
        <v>66</v>
      </c>
      <c r="C523" s="92" t="s">
        <v>17</v>
      </c>
      <c r="D523" s="92" t="s">
        <v>16</v>
      </c>
      <c r="E523" s="92" t="s">
        <v>69</v>
      </c>
      <c r="F523" s="92" t="s">
        <v>70</v>
      </c>
      <c r="G523" s="93">
        <v>83036315</v>
      </c>
      <c r="H523" s="92"/>
      <c r="I523" s="87">
        <f ca="1">IFERROR(__xludf.DUMMYFUNCTION("""COMPUTED_VALUE"""),2018)</f>
        <v>2018</v>
      </c>
      <c r="J523" s="88" t="str">
        <f ca="1">IFERROR(__xludf.DUMMYFUNCTION("""COMPUTED_VALUE"""),"China")</f>
        <v>China</v>
      </c>
      <c r="K523" s="89">
        <f ca="1">IFERROR(
  SUMIFS(
    'New Backfilled Data'!G:G,
    'New Backfilled Data'!A:A, I523,
    'New Backfilled Data'!D:D, J523,
    'New Backfilled Data'!E:E, "Online"
  ) /
  SUMIFS(
    'New Backfilled Data'!G:G,
    'New Backfilled Data'!A:A, I523,
    'New Backfilled Data'!D:D, J523
  ),
  ""
)</f>
        <v>0.49871345848200793</v>
      </c>
      <c r="L523" s="90"/>
      <c r="M523" s="90"/>
    </row>
    <row r="524" spans="1:13" ht="17" x14ac:dyDescent="0.2">
      <c r="A524" s="94">
        <v>2009</v>
      </c>
      <c r="B524" s="95" t="s">
        <v>66</v>
      </c>
      <c r="C524" s="95" t="s">
        <v>17</v>
      </c>
      <c r="D524" s="95" t="s">
        <v>18</v>
      </c>
      <c r="E524" s="95" t="s">
        <v>67</v>
      </c>
      <c r="F524" s="95" t="s">
        <v>67</v>
      </c>
      <c r="G524" s="96">
        <v>2673363667</v>
      </c>
      <c r="H524" s="95"/>
      <c r="I524" s="81">
        <f ca="1">IFERROR(__xludf.DUMMYFUNCTION("""COMPUTED_VALUE"""),2018)</f>
        <v>2018</v>
      </c>
      <c r="J524" s="82" t="str">
        <f ca="1">IFERROR(__xludf.DUMMYFUNCTION("""COMPUTED_VALUE"""),"Hong Kong")</f>
        <v>Hong Kong</v>
      </c>
      <c r="K524" s="83">
        <f ca="1">IFERROR(
  SUMIFS(
    'New Backfilled Data'!G:G,
    'New Backfilled Data'!A:A, I524,
    'New Backfilled Data'!D:D, J524,
    'New Backfilled Data'!E:E, "Online"
  ) /
  SUMIFS(
    'New Backfilled Data'!G:G,
    'New Backfilled Data'!A:A, I524,
    'New Backfilled Data'!D:D, J524
  ),
  ""
)</f>
        <v>0.18752502696306353</v>
      </c>
      <c r="L524" s="84"/>
      <c r="M524" s="84"/>
    </row>
    <row r="525" spans="1:13" ht="17" x14ac:dyDescent="0.2">
      <c r="A525" s="91">
        <v>2009</v>
      </c>
      <c r="B525" s="92" t="s">
        <v>66</v>
      </c>
      <c r="C525" s="92" t="s">
        <v>17</v>
      </c>
      <c r="D525" s="92" t="s">
        <v>18</v>
      </c>
      <c r="E525" s="92" t="s">
        <v>69</v>
      </c>
      <c r="F525" s="92" t="s">
        <v>71</v>
      </c>
      <c r="G525" s="93">
        <v>255177175</v>
      </c>
      <c r="H525" s="92"/>
      <c r="I525" s="87">
        <f ca="1">IFERROR(__xludf.DUMMYFUNCTION("""COMPUTED_VALUE"""),2018)</f>
        <v>2018</v>
      </c>
      <c r="J525" s="88" t="str">
        <f ca="1">IFERROR(__xludf.DUMMYFUNCTION("""COMPUTED_VALUE"""),"India")</f>
        <v>India</v>
      </c>
      <c r="K525" s="89">
        <f ca="1">IFERROR(
  SUMIFS(
    'New Backfilled Data'!G:G,
    'New Backfilled Data'!A:A, I525,
    'New Backfilled Data'!D:D, J525,
    'New Backfilled Data'!E:E, "Online"
  ) /
  SUMIFS(
    'New Backfilled Data'!G:G,
    'New Backfilled Data'!A:A, I525,
    'New Backfilled Data'!D:D, J525
  ),
  ""
)</f>
        <v>0.42499502902002634</v>
      </c>
      <c r="L525" s="90"/>
      <c r="M525" s="90"/>
    </row>
    <row r="526" spans="1:13" ht="17" x14ac:dyDescent="0.2">
      <c r="A526" s="94">
        <v>2009</v>
      </c>
      <c r="B526" s="95" t="s">
        <v>66</v>
      </c>
      <c r="C526" s="95" t="s">
        <v>17</v>
      </c>
      <c r="D526" s="95" t="s">
        <v>18</v>
      </c>
      <c r="E526" s="95" t="s">
        <v>69</v>
      </c>
      <c r="F526" s="95" t="s">
        <v>70</v>
      </c>
      <c r="G526" s="96">
        <v>230152966</v>
      </c>
      <c r="H526" s="95"/>
      <c r="I526" s="81">
        <f ca="1">IFERROR(__xludf.DUMMYFUNCTION("""COMPUTED_VALUE"""),2018)</f>
        <v>2018</v>
      </c>
      <c r="J526" s="82" t="str">
        <f ca="1">IFERROR(__xludf.DUMMYFUNCTION("""COMPUTED_VALUE"""),"Indonesia")</f>
        <v>Indonesia</v>
      </c>
      <c r="K526" s="83">
        <f ca="1">IFERROR(
  SUMIFS(
    'New Backfilled Data'!G:G,
    'New Backfilled Data'!A:A, I526,
    'New Backfilled Data'!D:D, J526,
    'New Backfilled Data'!E:E, "Online"
  ) /
  SUMIFS(
    'New Backfilled Data'!G:G,
    'New Backfilled Data'!A:A, I526,
    'New Backfilled Data'!D:D, J526
  ),
  ""
)</f>
        <v>0.31396511407627237</v>
      </c>
      <c r="L526" s="84"/>
      <c r="M526" s="84"/>
    </row>
    <row r="527" spans="1:13" ht="17" x14ac:dyDescent="0.2">
      <c r="A527" s="91">
        <v>2009</v>
      </c>
      <c r="B527" s="92" t="s">
        <v>66</v>
      </c>
      <c r="C527" s="92" t="s">
        <v>17</v>
      </c>
      <c r="D527" s="92" t="s">
        <v>19</v>
      </c>
      <c r="E527" s="92" t="s">
        <v>67</v>
      </c>
      <c r="F527" s="92" t="s">
        <v>67</v>
      </c>
      <c r="G527" s="93">
        <v>8206450097</v>
      </c>
      <c r="H527" s="92"/>
      <c r="I527" s="87">
        <f ca="1">IFERROR(__xludf.DUMMYFUNCTION("""COMPUTED_VALUE"""),2018)</f>
        <v>2018</v>
      </c>
      <c r="J527" s="88" t="str">
        <f ca="1">IFERROR(__xludf.DUMMYFUNCTION("""COMPUTED_VALUE"""),"Japan")</f>
        <v>Japan</v>
      </c>
      <c r="K527" s="89">
        <f ca="1">IFERROR(
  SUMIFS(
    'New Backfilled Data'!G:G,
    'New Backfilled Data'!A:A, I527,
    'New Backfilled Data'!D:D, J527,
    'New Backfilled Data'!E:E, "Online"
  ) /
  SUMIFS(
    'New Backfilled Data'!G:G,
    'New Backfilled Data'!A:A, I527,
    'New Backfilled Data'!D:D, J527
  ),
  ""
)</f>
        <v>0.42092633750611413</v>
      </c>
      <c r="L527" s="90"/>
      <c r="M527" s="90"/>
    </row>
    <row r="528" spans="1:13" ht="17" x14ac:dyDescent="0.2">
      <c r="A528" s="94">
        <v>2009</v>
      </c>
      <c r="B528" s="95" t="s">
        <v>66</v>
      </c>
      <c r="C528" s="95" t="s">
        <v>17</v>
      </c>
      <c r="D528" s="95" t="s">
        <v>19</v>
      </c>
      <c r="E528" s="95" t="s">
        <v>69</v>
      </c>
      <c r="F528" s="95" t="s">
        <v>71</v>
      </c>
      <c r="G528" s="96">
        <v>542673970</v>
      </c>
      <c r="H528" s="95"/>
      <c r="I528" s="81">
        <f ca="1">IFERROR(__xludf.DUMMYFUNCTION("""COMPUTED_VALUE"""),2018)</f>
        <v>2018</v>
      </c>
      <c r="J528" s="82" t="str">
        <f ca="1">IFERROR(__xludf.DUMMYFUNCTION("""COMPUTED_VALUE"""),"Macau")</f>
        <v>Macau</v>
      </c>
      <c r="K528" s="83">
        <f ca="1">IFERROR(
  SUMIFS(
    'New Backfilled Data'!G:G,
    'New Backfilled Data'!A:A, I528,
    'New Backfilled Data'!D:D, J528,
    'New Backfilled Data'!E:E, "Online"
  ) /
  SUMIFS(
    'New Backfilled Data'!G:G,
    'New Backfilled Data'!A:A, I528,
    'New Backfilled Data'!D:D, J528
  ),
  ""
)</f>
        <v>0.19999999981776356</v>
      </c>
      <c r="L528" s="84"/>
      <c r="M528" s="84"/>
    </row>
    <row r="529" spans="1:13" ht="17" x14ac:dyDescent="0.2">
      <c r="A529" s="91">
        <v>2009</v>
      </c>
      <c r="B529" s="92" t="s">
        <v>66</v>
      </c>
      <c r="C529" s="92" t="s">
        <v>17</v>
      </c>
      <c r="D529" s="92" t="s">
        <v>19</v>
      </c>
      <c r="E529" s="92" t="s">
        <v>69</v>
      </c>
      <c r="F529" s="92" t="s">
        <v>70</v>
      </c>
      <c r="G529" s="93">
        <v>1525351218</v>
      </c>
      <c r="H529" s="92"/>
      <c r="I529" s="87">
        <f ca="1">IFERROR(__xludf.DUMMYFUNCTION("""COMPUTED_VALUE"""),2018)</f>
        <v>2018</v>
      </c>
      <c r="J529" s="88" t="str">
        <f ca="1">IFERROR(__xludf.DUMMYFUNCTION("""COMPUTED_VALUE"""),"Malaysia")</f>
        <v>Malaysia</v>
      </c>
      <c r="K529" s="89">
        <f ca="1">IFERROR(
  SUMIFS(
    'New Backfilled Data'!G:G,
    'New Backfilled Data'!A:A, I529,
    'New Backfilled Data'!D:D, J529,
    'New Backfilled Data'!E:E, "Online"
  ) /
  SUMIFS(
    'New Backfilled Data'!G:G,
    'New Backfilled Data'!A:A, I529,
    'New Backfilled Data'!D:D, J529
  ),
  ""
)</f>
        <v>0.40773778418380247</v>
      </c>
      <c r="L529" s="90"/>
      <c r="M529" s="90"/>
    </row>
    <row r="530" spans="1:13" ht="17" x14ac:dyDescent="0.2">
      <c r="A530" s="94">
        <v>2009</v>
      </c>
      <c r="B530" s="95" t="s">
        <v>66</v>
      </c>
      <c r="C530" s="95" t="s">
        <v>17</v>
      </c>
      <c r="D530" s="95" t="s">
        <v>20</v>
      </c>
      <c r="E530" s="95" t="s">
        <v>67</v>
      </c>
      <c r="F530" s="95" t="s">
        <v>67</v>
      </c>
      <c r="G530" s="96">
        <v>2074578067</v>
      </c>
      <c r="H530" s="95"/>
      <c r="I530" s="81">
        <f ca="1">IFERROR(__xludf.DUMMYFUNCTION("""COMPUTED_VALUE"""),2018)</f>
        <v>2018</v>
      </c>
      <c r="J530" s="82" t="str">
        <f ca="1">IFERROR(__xludf.DUMMYFUNCTION("""COMPUTED_VALUE"""),"Singapore")</f>
        <v>Singapore</v>
      </c>
      <c r="K530" s="83">
        <f ca="1">IFERROR(
  SUMIFS(
    'New Backfilled Data'!G:G,
    'New Backfilled Data'!A:A, I530,
    'New Backfilled Data'!D:D, J530,
    'New Backfilled Data'!E:E, "Online"
  ) /
  SUMIFS(
    'New Backfilled Data'!G:G,
    'New Backfilled Data'!A:A, I530,
    'New Backfilled Data'!D:D, J530
  ),
  ""
)</f>
        <v>0.42108280283330812</v>
      </c>
      <c r="L530" s="84"/>
      <c r="M530" s="84"/>
    </row>
    <row r="531" spans="1:13" ht="17" x14ac:dyDescent="0.2">
      <c r="A531" s="91">
        <v>2009</v>
      </c>
      <c r="B531" s="92" t="s">
        <v>66</v>
      </c>
      <c r="C531" s="92" t="s">
        <v>17</v>
      </c>
      <c r="D531" s="92" t="s">
        <v>20</v>
      </c>
      <c r="E531" s="92" t="s">
        <v>69</v>
      </c>
      <c r="F531" s="92" t="s">
        <v>71</v>
      </c>
      <c r="G531" s="93">
        <v>90986868</v>
      </c>
      <c r="H531" s="92"/>
      <c r="I531" s="87">
        <f ca="1">IFERROR(__xludf.DUMMYFUNCTION("""COMPUTED_VALUE"""),2018)</f>
        <v>2018</v>
      </c>
      <c r="J531" s="88" t="str">
        <f ca="1">IFERROR(__xludf.DUMMYFUNCTION("""COMPUTED_VALUE"""),"South Korea")</f>
        <v>South Korea</v>
      </c>
      <c r="K531" s="89">
        <f ca="1">IFERROR(
  SUMIFS(
    'New Backfilled Data'!G:G,
    'New Backfilled Data'!A:A, I531,
    'New Backfilled Data'!D:D, J531,
    'New Backfilled Data'!E:E, "Online"
  ) /
  SUMIFS(
    'New Backfilled Data'!G:G,
    'New Backfilled Data'!A:A, I531,
    'New Backfilled Data'!D:D, J531
  ),
  ""
)</f>
        <v>0.41396676097437807</v>
      </c>
      <c r="L531" s="90"/>
      <c r="M531" s="90"/>
    </row>
    <row r="532" spans="1:13" ht="17" x14ac:dyDescent="0.2">
      <c r="A532" s="94">
        <v>2009</v>
      </c>
      <c r="B532" s="95" t="s">
        <v>66</v>
      </c>
      <c r="C532" s="95" t="s">
        <v>17</v>
      </c>
      <c r="D532" s="95" t="s">
        <v>20</v>
      </c>
      <c r="E532" s="95" t="s">
        <v>69</v>
      </c>
      <c r="F532" s="95" t="s">
        <v>70</v>
      </c>
      <c r="G532" s="96">
        <v>375889448</v>
      </c>
      <c r="H532" s="95"/>
      <c r="I532" s="81">
        <f ca="1">IFERROR(__xludf.DUMMYFUNCTION("""COMPUTED_VALUE"""),2018)</f>
        <v>2018</v>
      </c>
      <c r="J532" s="82" t="str">
        <f ca="1">IFERROR(__xludf.DUMMYFUNCTION("""COMPUTED_VALUE"""),"Taiwan")</f>
        <v>Taiwan</v>
      </c>
      <c r="K532" s="83">
        <f ca="1">IFERROR(
  SUMIFS(
    'New Backfilled Data'!G:G,
    'New Backfilled Data'!A:A, I532,
    'New Backfilled Data'!D:D, J532,
    'New Backfilled Data'!E:E, "Online"
  ) /
  SUMIFS(
    'New Backfilled Data'!G:G,
    'New Backfilled Data'!A:A, I532,
    'New Backfilled Data'!D:D, J532
  ),
  ""
)</f>
        <v>0.27256722363582508</v>
      </c>
      <c r="L532" s="84"/>
      <c r="M532" s="84"/>
    </row>
    <row r="533" spans="1:13" ht="17" x14ac:dyDescent="0.2">
      <c r="A533" s="91">
        <v>2009</v>
      </c>
      <c r="B533" s="92" t="s">
        <v>66</v>
      </c>
      <c r="C533" s="92" t="s">
        <v>17</v>
      </c>
      <c r="D533" s="92" t="s">
        <v>21</v>
      </c>
      <c r="E533" s="92" t="s">
        <v>67</v>
      </c>
      <c r="F533" s="92" t="s">
        <v>67</v>
      </c>
      <c r="G533" s="93">
        <v>3219642997</v>
      </c>
      <c r="H533" s="92"/>
      <c r="I533" s="87">
        <f ca="1">IFERROR(__xludf.DUMMYFUNCTION("""COMPUTED_VALUE"""),2018)</f>
        <v>2018</v>
      </c>
      <c r="J533" s="88" t="str">
        <f ca="1">IFERROR(__xludf.DUMMYFUNCTION("""COMPUTED_VALUE"""),"Thailand")</f>
        <v>Thailand</v>
      </c>
      <c r="K533" s="89">
        <f ca="1">IFERROR(
  SUMIFS(
    'New Backfilled Data'!G:G,
    'New Backfilled Data'!A:A, I533,
    'New Backfilled Data'!D:D, J533,
    'New Backfilled Data'!E:E, "Online"
  ) /
  SUMIFS(
    'New Backfilled Data'!G:G,
    'New Backfilled Data'!A:A, I533,
    'New Backfilled Data'!D:D, J533
  ),
  ""
)</f>
        <v>0.35315569621746867</v>
      </c>
      <c r="L533" s="90"/>
      <c r="M533" s="90"/>
    </row>
    <row r="534" spans="1:13" ht="17" x14ac:dyDescent="0.2">
      <c r="A534" s="94">
        <v>2009</v>
      </c>
      <c r="B534" s="95" t="s">
        <v>66</v>
      </c>
      <c r="C534" s="95" t="s">
        <v>17</v>
      </c>
      <c r="D534" s="95" t="s">
        <v>21</v>
      </c>
      <c r="E534" s="95" t="s">
        <v>69</v>
      </c>
      <c r="F534" s="95" t="s">
        <v>71</v>
      </c>
      <c r="G534" s="96">
        <v>199532460</v>
      </c>
      <c r="H534" s="95"/>
      <c r="I534" s="81">
        <f ca="1">IFERROR(__xludf.DUMMYFUNCTION("""COMPUTED_VALUE"""),2018)</f>
        <v>2018</v>
      </c>
      <c r="J534" s="82" t="str">
        <f ca="1">IFERROR(__xludf.DUMMYFUNCTION("""COMPUTED_VALUE"""),"Bulgaria")</f>
        <v>Bulgaria</v>
      </c>
      <c r="K534" s="83">
        <f ca="1">IFERROR(
  SUMIFS(
    'New Backfilled Data'!G:G,
    'New Backfilled Data'!A:A, I534,
    'New Backfilled Data'!D:D, J534,
    'New Backfilled Data'!E:E, "Online"
  ) /
  SUMIFS(
    'New Backfilled Data'!G:G,
    'New Backfilled Data'!A:A, I534,
    'New Backfilled Data'!D:D, J534
  ),
  ""
)</f>
        <v>0.29716816429072856</v>
      </c>
      <c r="L534" s="84"/>
      <c r="M534" s="84"/>
    </row>
    <row r="535" spans="1:13" ht="17" x14ac:dyDescent="0.2">
      <c r="A535" s="91">
        <v>2009</v>
      </c>
      <c r="B535" s="92" t="s">
        <v>66</v>
      </c>
      <c r="C535" s="92" t="s">
        <v>17</v>
      </c>
      <c r="D535" s="92" t="s">
        <v>21</v>
      </c>
      <c r="E535" s="92" t="s">
        <v>69</v>
      </c>
      <c r="F535" s="92" t="s">
        <v>70</v>
      </c>
      <c r="G535" s="93">
        <v>417975397</v>
      </c>
      <c r="H535" s="92"/>
      <c r="I535" s="87">
        <f ca="1">IFERROR(__xludf.DUMMYFUNCTION("""COMPUTED_VALUE"""),2018)</f>
        <v>2018</v>
      </c>
      <c r="J535" s="88" t="str">
        <f ca="1">IFERROR(__xludf.DUMMYFUNCTION("""COMPUTED_VALUE"""),"Czech Republic")</f>
        <v>Czech Republic</v>
      </c>
      <c r="K535" s="89">
        <f ca="1">IFERROR(
  SUMIFS(
    'New Backfilled Data'!G:G,
    'New Backfilled Data'!A:A, I535,
    'New Backfilled Data'!D:D, J535,
    'New Backfilled Data'!E:E, "Online"
  ) /
  SUMIFS(
    'New Backfilled Data'!G:G,
    'New Backfilled Data'!A:A, I535,
    'New Backfilled Data'!D:D, J535
  ),
  ""
)</f>
        <v>0.51612430046870761</v>
      </c>
      <c r="L535" s="90"/>
      <c r="M535" s="90"/>
    </row>
    <row r="536" spans="1:13" ht="17" x14ac:dyDescent="0.2">
      <c r="A536" s="94">
        <v>2009</v>
      </c>
      <c r="B536" s="95" t="s">
        <v>66</v>
      </c>
      <c r="C536" s="95" t="s">
        <v>17</v>
      </c>
      <c r="D536" s="95" t="s">
        <v>22</v>
      </c>
      <c r="E536" s="95" t="s">
        <v>67</v>
      </c>
      <c r="F536" s="95" t="s">
        <v>67</v>
      </c>
      <c r="G536" s="96">
        <v>2617742255</v>
      </c>
      <c r="H536" s="95"/>
      <c r="I536" s="81">
        <f ca="1">IFERROR(__xludf.DUMMYFUNCTION("""COMPUTED_VALUE"""),2018)</f>
        <v>2018</v>
      </c>
      <c r="J536" s="82" t="str">
        <f ca="1">IFERROR(__xludf.DUMMYFUNCTION("""COMPUTED_VALUE"""),"Greece")</f>
        <v>Greece</v>
      </c>
      <c r="K536" s="83">
        <f ca="1">IFERROR(
  SUMIFS(
    'New Backfilled Data'!G:G,
    'New Backfilled Data'!A:A, I536,
    'New Backfilled Data'!D:D, J536,
    'New Backfilled Data'!E:E, "Online"
  ) /
  SUMIFS(
    'New Backfilled Data'!G:G,
    'New Backfilled Data'!A:A, I536,
    'New Backfilled Data'!D:D, J536
  ),
  ""
)</f>
        <v>0.34795804986849604</v>
      </c>
      <c r="L536" s="84"/>
      <c r="M536" s="84"/>
    </row>
    <row r="537" spans="1:13" ht="17" x14ac:dyDescent="0.2">
      <c r="A537" s="91">
        <v>2009</v>
      </c>
      <c r="B537" s="92" t="s">
        <v>66</v>
      </c>
      <c r="C537" s="92" t="s">
        <v>17</v>
      </c>
      <c r="D537" s="92" t="s">
        <v>22</v>
      </c>
      <c r="E537" s="92" t="s">
        <v>69</v>
      </c>
      <c r="F537" s="92" t="s">
        <v>71</v>
      </c>
      <c r="G537" s="93">
        <v>106769916</v>
      </c>
      <c r="H537" s="92"/>
      <c r="I537" s="87">
        <f ca="1">IFERROR(__xludf.DUMMYFUNCTION("""COMPUTED_VALUE"""),2018)</f>
        <v>2018</v>
      </c>
      <c r="J537" s="88" t="str">
        <f ca="1">IFERROR(__xludf.DUMMYFUNCTION("""COMPUTED_VALUE"""),"Hungary")</f>
        <v>Hungary</v>
      </c>
      <c r="K537" s="89">
        <f ca="1">IFERROR(
  SUMIFS(
    'New Backfilled Data'!G:G,
    'New Backfilled Data'!A:A, I537,
    'New Backfilled Data'!D:D, J537,
    'New Backfilled Data'!E:E, "Online"
  ) /
  SUMIFS(
    'New Backfilled Data'!G:G,
    'New Backfilled Data'!A:A, I537,
    'New Backfilled Data'!D:D, J537
  ),
  ""
)</f>
        <v>0.74195129797893511</v>
      </c>
      <c r="L537" s="90"/>
      <c r="M537" s="90"/>
    </row>
    <row r="538" spans="1:13" ht="17" x14ac:dyDescent="0.2">
      <c r="A538" s="94">
        <v>2009</v>
      </c>
      <c r="B538" s="95" t="s">
        <v>66</v>
      </c>
      <c r="C538" s="95" t="s">
        <v>17</v>
      </c>
      <c r="D538" s="95" t="s">
        <v>22</v>
      </c>
      <c r="E538" s="95" t="s">
        <v>69</v>
      </c>
      <c r="F538" s="95" t="s">
        <v>70</v>
      </c>
      <c r="G538" s="96">
        <v>163500529</v>
      </c>
      <c r="H538" s="95"/>
      <c r="I538" s="81">
        <f ca="1">IFERROR(__xludf.DUMMYFUNCTION("""COMPUTED_VALUE"""),2018)</f>
        <v>2018</v>
      </c>
      <c r="J538" s="82" t="str">
        <f ca="1">IFERROR(__xludf.DUMMYFUNCTION("""COMPUTED_VALUE"""),"Poland")</f>
        <v>Poland</v>
      </c>
      <c r="K538" s="83">
        <f ca="1">IFERROR(
  SUMIFS(
    'New Backfilled Data'!G:G,
    'New Backfilled Data'!A:A, I538,
    'New Backfilled Data'!D:D, J538,
    'New Backfilled Data'!E:E, "Online"
  ) /
  SUMIFS(
    'New Backfilled Data'!G:G,
    'New Backfilled Data'!A:A, I538,
    'New Backfilled Data'!D:D, J538
  ),
  ""
)</f>
        <v>0.38682586582788553</v>
      </c>
      <c r="L538" s="84"/>
      <c r="M538" s="84"/>
    </row>
    <row r="539" spans="1:13" ht="34" x14ac:dyDescent="0.2">
      <c r="A539" s="91">
        <v>2009</v>
      </c>
      <c r="B539" s="92" t="s">
        <v>66</v>
      </c>
      <c r="C539" s="92" t="s">
        <v>17</v>
      </c>
      <c r="D539" s="92" t="s">
        <v>23</v>
      </c>
      <c r="E539" s="92" t="s">
        <v>67</v>
      </c>
      <c r="F539" s="92" t="s">
        <v>67</v>
      </c>
      <c r="G539" s="93">
        <v>2892406340</v>
      </c>
      <c r="H539" s="92"/>
      <c r="I539" s="87">
        <f ca="1">IFERROR(__xludf.DUMMYFUNCTION("""COMPUTED_VALUE"""),2018)</f>
        <v>2018</v>
      </c>
      <c r="J539" s="88" t="str">
        <f ca="1">IFERROR(__xludf.DUMMYFUNCTION("""COMPUTED_VALUE"""),"Rest of Eastern Europe")</f>
        <v>Rest of Eastern Europe</v>
      </c>
      <c r="K539" s="89">
        <f ca="1">IFERROR(
  SUMIFS(
    'New Backfilled Data'!G:G,
    'New Backfilled Data'!A:A, I539,
    'New Backfilled Data'!D:D, J539,
    'New Backfilled Data'!E:E, "Online"
  ) /
  SUMIFS(
    'New Backfilled Data'!G:G,
    'New Backfilled Data'!A:A, I539,
    'New Backfilled Data'!D:D, J539
  ),
  ""
)</f>
        <v>0.4409273576245859</v>
      </c>
      <c r="L539" s="90"/>
      <c r="M539" s="90"/>
    </row>
    <row r="540" spans="1:13" ht="17" x14ac:dyDescent="0.2">
      <c r="A540" s="94">
        <v>2009</v>
      </c>
      <c r="B540" s="95" t="s">
        <v>66</v>
      </c>
      <c r="C540" s="95" t="s">
        <v>17</v>
      </c>
      <c r="D540" s="95" t="s">
        <v>23</v>
      </c>
      <c r="E540" s="95" t="s">
        <v>69</v>
      </c>
      <c r="F540" s="95" t="s">
        <v>71</v>
      </c>
      <c r="G540" s="96">
        <v>104133968</v>
      </c>
      <c r="H540" s="95"/>
      <c r="I540" s="81">
        <f ca="1">IFERROR(__xludf.DUMMYFUNCTION("""COMPUTED_VALUE"""),2018)</f>
        <v>2018</v>
      </c>
      <c r="J540" s="82" t="str">
        <f ca="1">IFERROR(__xludf.DUMMYFUNCTION("""COMPUTED_VALUE"""),"Romania")</f>
        <v>Romania</v>
      </c>
      <c r="K540" s="83">
        <f ca="1">IFERROR(
  SUMIFS(
    'New Backfilled Data'!G:G,
    'New Backfilled Data'!A:A, I540,
    'New Backfilled Data'!D:D, J540,
    'New Backfilled Data'!E:E, "Online"
  ) /
  SUMIFS(
    'New Backfilled Data'!G:G,
    'New Backfilled Data'!A:A, I540,
    'New Backfilled Data'!D:D, J540
  ),
  ""
)</f>
        <v>0.28854815377828702</v>
      </c>
      <c r="L540" s="84"/>
      <c r="M540" s="84"/>
    </row>
    <row r="541" spans="1:13" ht="17" x14ac:dyDescent="0.2">
      <c r="A541" s="91">
        <v>2009</v>
      </c>
      <c r="B541" s="92" t="s">
        <v>66</v>
      </c>
      <c r="C541" s="92" t="s">
        <v>17</v>
      </c>
      <c r="D541" s="92" t="s">
        <v>23</v>
      </c>
      <c r="E541" s="92" t="s">
        <v>69</v>
      </c>
      <c r="F541" s="92" t="s">
        <v>70</v>
      </c>
      <c r="G541" s="93">
        <v>267769211</v>
      </c>
      <c r="H541" s="92"/>
      <c r="I541" s="87">
        <f ca="1">IFERROR(__xludf.DUMMYFUNCTION("""COMPUTED_VALUE"""),2018)</f>
        <v>2018</v>
      </c>
      <c r="J541" s="88" t="str">
        <f ca="1">IFERROR(__xludf.DUMMYFUNCTION("""COMPUTED_VALUE"""),"Russia")</f>
        <v>Russia</v>
      </c>
      <c r="K541" s="89">
        <f ca="1">IFERROR(
  SUMIFS(
    'New Backfilled Data'!G:G,
    'New Backfilled Data'!A:A, I541,
    'New Backfilled Data'!D:D, J541,
    'New Backfilled Data'!E:E, "Online"
  ) /
  SUMIFS(
    'New Backfilled Data'!G:G,
    'New Backfilled Data'!A:A, I541,
    'New Backfilled Data'!D:D, J541
  ),
  ""
)</f>
        <v>0.37529279578349861</v>
      </c>
      <c r="L541" s="90"/>
      <c r="M541" s="90"/>
    </row>
    <row r="542" spans="1:13" ht="17" x14ac:dyDescent="0.2">
      <c r="A542" s="94">
        <v>2009</v>
      </c>
      <c r="B542" s="95" t="s">
        <v>66</v>
      </c>
      <c r="C542" s="95" t="s">
        <v>17</v>
      </c>
      <c r="D542" s="95" t="s">
        <v>24</v>
      </c>
      <c r="E542" s="95" t="s">
        <v>67</v>
      </c>
      <c r="F542" s="95" t="s">
        <v>67</v>
      </c>
      <c r="G542" s="96">
        <v>33061705266</v>
      </c>
      <c r="H542" s="95"/>
      <c r="I542" s="81">
        <f ca="1">IFERROR(__xludf.DUMMYFUNCTION("""COMPUTED_VALUE"""),2018)</f>
        <v>2018</v>
      </c>
      <c r="J542" s="82" t="str">
        <f ca="1">IFERROR(__xludf.DUMMYFUNCTION("""COMPUTED_VALUE"""),"Ukraine")</f>
        <v>Ukraine</v>
      </c>
      <c r="K542" s="83">
        <f ca="1">IFERROR(
  SUMIFS(
    'New Backfilled Data'!G:G,
    'New Backfilled Data'!A:A, I542,
    'New Backfilled Data'!D:D, J542,
    'New Backfilled Data'!E:E, "Online"
  ) /
  SUMIFS(
    'New Backfilled Data'!G:G,
    'New Backfilled Data'!A:A, I542,
    'New Backfilled Data'!D:D, J542
  ),
  ""
)</f>
        <v>0.30287476210791237</v>
      </c>
      <c r="L542" s="84"/>
      <c r="M542" s="84"/>
    </row>
    <row r="543" spans="1:13" ht="17" x14ac:dyDescent="0.2">
      <c r="A543" s="91">
        <v>2009</v>
      </c>
      <c r="B543" s="92" t="s">
        <v>66</v>
      </c>
      <c r="C543" s="92" t="s">
        <v>17</v>
      </c>
      <c r="D543" s="92" t="s">
        <v>24</v>
      </c>
      <c r="E543" s="92" t="s">
        <v>69</v>
      </c>
      <c r="F543" s="92" t="s">
        <v>71</v>
      </c>
      <c r="G543" s="93">
        <v>940718050</v>
      </c>
      <c r="H543" s="92"/>
      <c r="I543" s="87">
        <f ca="1">IFERROR(__xludf.DUMMYFUNCTION("""COMPUTED_VALUE"""),2018)</f>
        <v>2018</v>
      </c>
      <c r="J543" s="88" t="str">
        <f ca="1">IFERROR(__xludf.DUMMYFUNCTION("""COMPUTED_VALUE"""),"France")</f>
        <v>France</v>
      </c>
      <c r="K543" s="89">
        <f ca="1">IFERROR(
  SUMIFS(
    'New Backfilled Data'!G:G,
    'New Backfilled Data'!A:A, I543,
    'New Backfilled Data'!D:D, J543,
    'New Backfilled Data'!E:E, "Online"
  ) /
  SUMIFS(
    'New Backfilled Data'!G:G,
    'New Backfilled Data'!A:A, I543,
    'New Backfilled Data'!D:D, J543
  ),
  ""
)</f>
        <v>0.44560871947336056</v>
      </c>
      <c r="L543" s="90"/>
      <c r="M543" s="90"/>
    </row>
    <row r="544" spans="1:13" ht="17" x14ac:dyDescent="0.2">
      <c r="A544" s="94">
        <v>2009</v>
      </c>
      <c r="B544" s="95" t="s">
        <v>66</v>
      </c>
      <c r="C544" s="95" t="s">
        <v>17</v>
      </c>
      <c r="D544" s="95" t="s">
        <v>24</v>
      </c>
      <c r="E544" s="95" t="s">
        <v>69</v>
      </c>
      <c r="F544" s="95" t="s">
        <v>70</v>
      </c>
      <c r="G544" s="96">
        <v>1068104044</v>
      </c>
      <c r="H544" s="95"/>
      <c r="I544" s="81">
        <f ca="1">IFERROR(__xludf.DUMMYFUNCTION("""COMPUTED_VALUE"""),2018)</f>
        <v>2018</v>
      </c>
      <c r="J544" s="82" t="str">
        <f ca="1">IFERROR(__xludf.DUMMYFUNCTION("""COMPUTED_VALUE"""),"Germany")</f>
        <v>Germany</v>
      </c>
      <c r="K544" s="83">
        <f ca="1">IFERROR(
  SUMIFS(
    'New Backfilled Data'!G:G,
    'New Backfilled Data'!A:A, I544,
    'New Backfilled Data'!D:D, J544,
    'New Backfilled Data'!E:E, "Online"
  ) /
  SUMIFS(
    'New Backfilled Data'!G:G,
    'New Backfilled Data'!A:A, I544,
    'New Backfilled Data'!D:D, J544
  ),
  ""
)</f>
        <v>0.43417895694772107</v>
      </c>
      <c r="L544" s="84"/>
      <c r="M544" s="84"/>
    </row>
    <row r="545" spans="1:13" ht="17" x14ac:dyDescent="0.2">
      <c r="A545" s="91">
        <v>2009</v>
      </c>
      <c r="B545" s="92" t="s">
        <v>66</v>
      </c>
      <c r="C545" s="92" t="s">
        <v>17</v>
      </c>
      <c r="D545" s="92" t="s">
        <v>25</v>
      </c>
      <c r="E545" s="92" t="s">
        <v>67</v>
      </c>
      <c r="F545" s="92" t="s">
        <v>67</v>
      </c>
      <c r="G545" s="93">
        <v>3032952674</v>
      </c>
      <c r="H545" s="92"/>
      <c r="I545" s="87">
        <f ca="1">IFERROR(__xludf.DUMMYFUNCTION("""COMPUTED_VALUE"""),2018)</f>
        <v>2018</v>
      </c>
      <c r="J545" s="88" t="str">
        <f ca="1">IFERROR(__xludf.DUMMYFUNCTION("""COMPUTED_VALUE"""),"Italy")</f>
        <v>Italy</v>
      </c>
      <c r="K545" s="89">
        <f ca="1">IFERROR(
  SUMIFS(
    'New Backfilled Data'!G:G,
    'New Backfilled Data'!A:A, I545,
    'New Backfilled Data'!D:D, J545,
    'New Backfilled Data'!E:E, "Online"
  ) /
  SUMIFS(
    'New Backfilled Data'!G:G,
    'New Backfilled Data'!A:A, I545,
    'New Backfilled Data'!D:D, J545
  ),
  ""
)</f>
        <v>0.40958073329185507</v>
      </c>
      <c r="L545" s="90"/>
      <c r="M545" s="90"/>
    </row>
    <row r="546" spans="1:13" ht="17" x14ac:dyDescent="0.2">
      <c r="A546" s="94">
        <v>2009</v>
      </c>
      <c r="B546" s="95" t="s">
        <v>66</v>
      </c>
      <c r="C546" s="95" t="s">
        <v>17</v>
      </c>
      <c r="D546" s="95" t="s">
        <v>25</v>
      </c>
      <c r="E546" s="95" t="s">
        <v>69</v>
      </c>
      <c r="F546" s="95" t="s">
        <v>71</v>
      </c>
      <c r="G546" s="96">
        <v>150483939</v>
      </c>
      <c r="H546" s="95"/>
      <c r="I546" s="81">
        <f ca="1">IFERROR(__xludf.DUMMYFUNCTION("""COMPUTED_VALUE"""),2018)</f>
        <v>2018</v>
      </c>
      <c r="J546" s="82" t="str">
        <f ca="1">IFERROR(__xludf.DUMMYFUNCTION("""COMPUTED_VALUE"""),"Rest of Europe")</f>
        <v>Rest of Europe</v>
      </c>
      <c r="K546" s="83">
        <f ca="1">IFERROR(
  SUMIFS(
    'New Backfilled Data'!G:G,
    'New Backfilled Data'!A:A, I546,
    'New Backfilled Data'!D:D, J546,
    'New Backfilled Data'!E:E, "Online"
  ) /
  SUMIFS(
    'New Backfilled Data'!G:G,
    'New Backfilled Data'!A:A, I546,
    'New Backfilled Data'!D:D, J546
  ),
  ""
)</f>
        <v>0.46833183504186393</v>
      </c>
      <c r="L546" s="84"/>
      <c r="M546" s="84"/>
    </row>
    <row r="547" spans="1:13" ht="17" x14ac:dyDescent="0.2">
      <c r="A547" s="91">
        <v>2009</v>
      </c>
      <c r="B547" s="92" t="s">
        <v>66</v>
      </c>
      <c r="C547" s="92" t="s">
        <v>17</v>
      </c>
      <c r="D547" s="92" t="s">
        <v>25</v>
      </c>
      <c r="E547" s="92" t="s">
        <v>69</v>
      </c>
      <c r="F547" s="92" t="s">
        <v>70</v>
      </c>
      <c r="G547" s="93">
        <v>277598378</v>
      </c>
      <c r="H547" s="92"/>
      <c r="I547" s="87">
        <f ca="1">IFERROR(__xludf.DUMMYFUNCTION("""COMPUTED_VALUE"""),2018)</f>
        <v>2018</v>
      </c>
      <c r="J547" s="88" t="str">
        <f ca="1">IFERROR(__xludf.DUMMYFUNCTION("""COMPUTED_VALUE"""),"Scandinavia")</f>
        <v>Scandinavia</v>
      </c>
      <c r="K547" s="89">
        <f ca="1">IFERROR(
  SUMIFS(
    'New Backfilled Data'!G:G,
    'New Backfilled Data'!A:A, I547,
    'New Backfilled Data'!D:D, J547,
    'New Backfilled Data'!E:E, "Online"
  ) /
  SUMIFS(
    'New Backfilled Data'!G:G,
    'New Backfilled Data'!A:A, I547,
    'New Backfilled Data'!D:D, J547
  ),
  ""
)</f>
        <v>0.6221487900738657</v>
      </c>
      <c r="L547" s="90"/>
      <c r="M547" s="90"/>
    </row>
    <row r="548" spans="1:13" ht="17" x14ac:dyDescent="0.2">
      <c r="A548" s="94">
        <v>2009</v>
      </c>
      <c r="B548" s="95" t="s">
        <v>66</v>
      </c>
      <c r="C548" s="95" t="s">
        <v>27</v>
      </c>
      <c r="D548" s="95" t="s">
        <v>26</v>
      </c>
      <c r="E548" s="95" t="s">
        <v>67</v>
      </c>
      <c r="F548" s="95" t="s">
        <v>67</v>
      </c>
      <c r="G548" s="96">
        <v>37047452784</v>
      </c>
      <c r="H548" s="95"/>
      <c r="I548" s="81">
        <f ca="1">IFERROR(__xludf.DUMMYFUNCTION("""COMPUTED_VALUE"""),2018)</f>
        <v>2018</v>
      </c>
      <c r="J548" s="82" t="str">
        <f ca="1">IFERROR(__xludf.DUMMYFUNCTION("""COMPUTED_VALUE"""),"Spain")</f>
        <v>Spain</v>
      </c>
      <c r="K548" s="83">
        <f ca="1">IFERROR(
  SUMIFS(
    'New Backfilled Data'!G:G,
    'New Backfilled Data'!A:A, I548,
    'New Backfilled Data'!D:D, J548,
    'New Backfilled Data'!E:E, "Online"
  ) /
  SUMIFS(
    'New Backfilled Data'!G:G,
    'New Backfilled Data'!A:A, I548,
    'New Backfilled Data'!D:D, J548
  ),
  ""
)</f>
        <v>0.44336745956182855</v>
      </c>
      <c r="L548" s="84"/>
      <c r="M548" s="84"/>
    </row>
    <row r="549" spans="1:13" ht="17" x14ac:dyDescent="0.2">
      <c r="A549" s="91">
        <v>2009</v>
      </c>
      <c r="B549" s="92" t="s">
        <v>66</v>
      </c>
      <c r="C549" s="92" t="s">
        <v>27</v>
      </c>
      <c r="D549" s="92" t="s">
        <v>26</v>
      </c>
      <c r="E549" s="92" t="s">
        <v>69</v>
      </c>
      <c r="F549" s="92" t="s">
        <v>71</v>
      </c>
      <c r="G549" s="93">
        <v>5950585961</v>
      </c>
      <c r="H549" s="92"/>
      <c r="I549" s="87">
        <f ca="1">IFERROR(__xludf.DUMMYFUNCTION("""COMPUTED_VALUE"""),2018)</f>
        <v>2018</v>
      </c>
      <c r="J549" s="88" t="str">
        <f ca="1">IFERROR(__xludf.DUMMYFUNCTION("""COMPUTED_VALUE"""),"U.K.")</f>
        <v>U.K.</v>
      </c>
      <c r="K549" s="89">
        <f ca="1">IFERROR(
  SUMIFS(
    'New Backfilled Data'!G:G,
    'New Backfilled Data'!A:A, I549,
    'New Backfilled Data'!D:D, J549,
    'New Backfilled Data'!E:E, "Online"
  ) /
  SUMIFS(
    'New Backfilled Data'!G:G,
    'New Backfilled Data'!A:A, I549,
    'New Backfilled Data'!D:D, J549
  ),
  ""
)</f>
        <v>0.66954403412946217</v>
      </c>
      <c r="L549" s="90"/>
      <c r="M549" s="90"/>
    </row>
    <row r="550" spans="1:13" ht="17" x14ac:dyDescent="0.2">
      <c r="A550" s="94">
        <v>2009</v>
      </c>
      <c r="B550" s="95" t="s">
        <v>66</v>
      </c>
      <c r="C550" s="95" t="s">
        <v>27</v>
      </c>
      <c r="D550" s="95" t="s">
        <v>26</v>
      </c>
      <c r="E550" s="95" t="s">
        <v>69</v>
      </c>
      <c r="F550" s="95" t="s">
        <v>70</v>
      </c>
      <c r="G550" s="96">
        <v>9161747143</v>
      </c>
      <c r="H550" s="95"/>
      <c r="I550" s="81">
        <f ca="1">IFERROR(__xludf.DUMMYFUNCTION("""COMPUTED_VALUE"""),2018)</f>
        <v>2018</v>
      </c>
      <c r="J550" s="82" t="str">
        <f ca="1">IFERROR(__xludf.DUMMYFUNCTION("""COMPUTED_VALUE"""),"Argentina")</f>
        <v>Argentina</v>
      </c>
      <c r="K550" s="83">
        <f ca="1">IFERROR(
  SUMIFS(
    'New Backfilled Data'!G:G,
    'New Backfilled Data'!A:A, I550,
    'New Backfilled Data'!D:D, J550,
    'New Backfilled Data'!E:E, "Online"
  ) /
  SUMIFS(
    'New Backfilled Data'!G:G,
    'New Backfilled Data'!A:A, I550,
    'New Backfilled Data'!D:D, J550
  ),
  ""
)</f>
        <v>0.30700000004556977</v>
      </c>
      <c r="L550" s="84"/>
      <c r="M550" s="84"/>
    </row>
    <row r="551" spans="1:13" ht="17" x14ac:dyDescent="0.2">
      <c r="A551" s="91">
        <v>2009</v>
      </c>
      <c r="B551" s="92" t="s">
        <v>66</v>
      </c>
      <c r="C551" s="92" t="s">
        <v>27</v>
      </c>
      <c r="D551" s="92" t="s">
        <v>28</v>
      </c>
      <c r="E551" s="92" t="s">
        <v>67</v>
      </c>
      <c r="F551" s="92" t="s">
        <v>67</v>
      </c>
      <c r="G551" s="93">
        <v>47332425946</v>
      </c>
      <c r="H551" s="92"/>
      <c r="I551" s="87">
        <f ca="1">IFERROR(__xludf.DUMMYFUNCTION("""COMPUTED_VALUE"""),2018)</f>
        <v>2018</v>
      </c>
      <c r="J551" s="88" t="str">
        <f ca="1">IFERROR(__xludf.DUMMYFUNCTION("""COMPUTED_VALUE"""),"Brazil")</f>
        <v>Brazil</v>
      </c>
      <c r="K551" s="89">
        <f ca="1">IFERROR(
  SUMIFS(
    'New Backfilled Data'!G:G,
    'New Backfilled Data'!A:A, I551,
    'New Backfilled Data'!D:D, J551,
    'New Backfilled Data'!E:E, "Online"
  ) /
  SUMIFS(
    'New Backfilled Data'!G:G,
    'New Backfilled Data'!A:A, I551,
    'New Backfilled Data'!D:D, J551
  ),
  ""
)</f>
        <v>0.40488517592628631</v>
      </c>
      <c r="L551" s="90"/>
      <c r="M551" s="90"/>
    </row>
    <row r="552" spans="1:13" ht="17" x14ac:dyDescent="0.2">
      <c r="A552" s="94">
        <v>2009</v>
      </c>
      <c r="B552" s="95" t="s">
        <v>66</v>
      </c>
      <c r="C552" s="95" t="s">
        <v>27</v>
      </c>
      <c r="D552" s="95" t="s">
        <v>28</v>
      </c>
      <c r="E552" s="95" t="s">
        <v>69</v>
      </c>
      <c r="F552" s="95" t="s">
        <v>71</v>
      </c>
      <c r="G552" s="96">
        <v>8788064229</v>
      </c>
      <c r="H552" s="95"/>
      <c r="I552" s="81">
        <f ca="1">IFERROR(__xludf.DUMMYFUNCTION("""COMPUTED_VALUE"""),2018)</f>
        <v>2018</v>
      </c>
      <c r="J552" s="82" t="str">
        <f ca="1">IFERROR(__xludf.DUMMYFUNCTION("""COMPUTED_VALUE"""),"Chile")</f>
        <v>Chile</v>
      </c>
      <c r="K552" s="83">
        <f ca="1">IFERROR(
  SUMIFS(
    'New Backfilled Data'!G:G,
    'New Backfilled Data'!A:A, I552,
    'New Backfilled Data'!D:D, J552,
    'New Backfilled Data'!E:E, "Online"
  ) /
  SUMIFS(
    'New Backfilled Data'!G:G,
    'New Backfilled Data'!A:A, I552,
    'New Backfilled Data'!D:D, J552
  ),
  ""
)</f>
        <v>0.38625669171187366</v>
      </c>
      <c r="L552" s="84"/>
      <c r="M552" s="84"/>
    </row>
    <row r="553" spans="1:13" ht="17" x14ac:dyDescent="0.2">
      <c r="A553" s="91">
        <v>2009</v>
      </c>
      <c r="B553" s="92" t="s">
        <v>66</v>
      </c>
      <c r="C553" s="92" t="s">
        <v>27</v>
      </c>
      <c r="D553" s="92" t="s">
        <v>28</v>
      </c>
      <c r="E553" s="92" t="s">
        <v>69</v>
      </c>
      <c r="F553" s="92" t="s">
        <v>70</v>
      </c>
      <c r="G553" s="93">
        <v>9710275743</v>
      </c>
      <c r="H553" s="92"/>
      <c r="I553" s="87">
        <f ca="1">IFERROR(__xludf.DUMMYFUNCTION("""COMPUTED_VALUE"""),2018)</f>
        <v>2018</v>
      </c>
      <c r="J553" s="88" t="str">
        <f ca="1">IFERROR(__xludf.DUMMYFUNCTION("""COMPUTED_VALUE"""),"Colombia")</f>
        <v>Colombia</v>
      </c>
      <c r="K553" s="89">
        <f ca="1">IFERROR(
  SUMIFS(
    'New Backfilled Data'!G:G,
    'New Backfilled Data'!A:A, I553,
    'New Backfilled Data'!D:D, J553,
    'New Backfilled Data'!E:E, "Online"
  ) /
  SUMIFS(
    'New Backfilled Data'!G:G,
    'New Backfilled Data'!A:A, I553,
    'New Backfilled Data'!D:D, J553
  ),
  ""
)</f>
        <v>0.34330769462902694</v>
      </c>
      <c r="L553" s="90"/>
      <c r="M553" s="90"/>
    </row>
    <row r="554" spans="1:13" ht="17" x14ac:dyDescent="0.2">
      <c r="A554" s="94">
        <v>2009</v>
      </c>
      <c r="B554" s="95" t="s">
        <v>66</v>
      </c>
      <c r="C554" s="95" t="s">
        <v>27</v>
      </c>
      <c r="D554" s="95" t="s">
        <v>29</v>
      </c>
      <c r="E554" s="95" t="s">
        <v>67</v>
      </c>
      <c r="F554" s="95" t="s">
        <v>67</v>
      </c>
      <c r="G554" s="96">
        <v>20336313177</v>
      </c>
      <c r="H554" s="95"/>
      <c r="I554" s="81">
        <f ca="1">IFERROR(__xludf.DUMMYFUNCTION("""COMPUTED_VALUE"""),2018)</f>
        <v>2018</v>
      </c>
      <c r="J554" s="82" t="str">
        <f ca="1">IFERROR(__xludf.DUMMYFUNCTION("""COMPUTED_VALUE"""),"Mexico")</f>
        <v>Mexico</v>
      </c>
      <c r="K554" s="83">
        <f ca="1">IFERROR(
  SUMIFS(
    'New Backfilled Data'!G:G,
    'New Backfilled Data'!A:A, I554,
    'New Backfilled Data'!D:D, J554,
    'New Backfilled Data'!E:E, "Online"
  ) /
  SUMIFS(
    'New Backfilled Data'!G:G,
    'New Backfilled Data'!A:A, I554,
    'New Backfilled Data'!D:D, J554
  ),
  ""
)</f>
        <v>0.36161733608613522</v>
      </c>
      <c r="L554" s="84"/>
      <c r="M554" s="84"/>
    </row>
    <row r="555" spans="1:13" ht="17" x14ac:dyDescent="0.2">
      <c r="A555" s="91">
        <v>2009</v>
      </c>
      <c r="B555" s="92" t="s">
        <v>66</v>
      </c>
      <c r="C555" s="92" t="s">
        <v>27</v>
      </c>
      <c r="D555" s="92" t="s">
        <v>29</v>
      </c>
      <c r="E555" s="92" t="s">
        <v>69</v>
      </c>
      <c r="F555" s="92" t="s">
        <v>71</v>
      </c>
      <c r="G555" s="93">
        <v>2840276222</v>
      </c>
      <c r="H555" s="92"/>
      <c r="I555" s="87">
        <f ca="1">IFERROR(__xludf.DUMMYFUNCTION("""COMPUTED_VALUE"""),2018)</f>
        <v>2018</v>
      </c>
      <c r="J555" s="88" t="str">
        <f ca="1">IFERROR(__xludf.DUMMYFUNCTION("""COMPUTED_VALUE"""),"Egypt")</f>
        <v>Egypt</v>
      </c>
      <c r="K555" s="89">
        <f ca="1">IFERROR(
  SUMIFS(
    'New Backfilled Data'!G:G,
    'New Backfilled Data'!A:A, I555,
    'New Backfilled Data'!D:D, J555,
    'New Backfilled Data'!E:E, "Online"
  ) /
  SUMIFS(
    'New Backfilled Data'!G:G,
    'New Backfilled Data'!A:A, I555,
    'New Backfilled Data'!D:D, J555
  ),
  ""
)</f>
        <v>0.18380551012400625</v>
      </c>
      <c r="L555" s="90"/>
      <c r="M555" s="90"/>
    </row>
    <row r="556" spans="1:13" ht="17" x14ac:dyDescent="0.2">
      <c r="A556" s="94">
        <v>2009</v>
      </c>
      <c r="B556" s="95" t="s">
        <v>66</v>
      </c>
      <c r="C556" s="95" t="s">
        <v>27</v>
      </c>
      <c r="D556" s="95" t="s">
        <v>29</v>
      </c>
      <c r="E556" s="95" t="s">
        <v>69</v>
      </c>
      <c r="F556" s="95" t="s">
        <v>70</v>
      </c>
      <c r="G556" s="96">
        <v>2388825001</v>
      </c>
      <c r="H556" s="95"/>
      <c r="I556" s="81">
        <f ca="1">IFERROR(__xludf.DUMMYFUNCTION("""COMPUTED_VALUE"""),2018)</f>
        <v>2018</v>
      </c>
      <c r="J556" s="82" t="str">
        <f ca="1">IFERROR(__xludf.DUMMYFUNCTION("""COMPUTED_VALUE"""),"Qatar")</f>
        <v>Qatar</v>
      </c>
      <c r="K556" s="83">
        <f ca="1">IFERROR(
  SUMIFS(
    'New Backfilled Data'!G:G,
    'New Backfilled Data'!A:A, I556,
    'New Backfilled Data'!D:D, J556,
    'New Backfilled Data'!E:E, "Online"
  ) /
  SUMIFS(
    'New Backfilled Data'!G:G,
    'New Backfilled Data'!A:A, I556,
    'New Backfilled Data'!D:D, J556
  ),
  ""
)</f>
        <v>0.29140678367153788</v>
      </c>
      <c r="L556" s="84"/>
      <c r="M556" s="84"/>
    </row>
    <row r="557" spans="1:13" ht="34" x14ac:dyDescent="0.2">
      <c r="A557" s="91">
        <v>2009</v>
      </c>
      <c r="B557" s="92" t="s">
        <v>66</v>
      </c>
      <c r="C557" s="92" t="s">
        <v>27</v>
      </c>
      <c r="D557" s="92" t="s">
        <v>30</v>
      </c>
      <c r="E557" s="92" t="s">
        <v>67</v>
      </c>
      <c r="F557" s="92" t="s">
        <v>67</v>
      </c>
      <c r="G557" s="93">
        <v>42849570680</v>
      </c>
      <c r="H557" s="92"/>
      <c r="I557" s="87">
        <f ca="1">IFERROR(__xludf.DUMMYFUNCTION("""COMPUTED_VALUE"""),2018)</f>
        <v>2018</v>
      </c>
      <c r="J557" s="88" t="str">
        <f ca="1">IFERROR(__xludf.DUMMYFUNCTION("""COMPUTED_VALUE"""),"Rest of Middle East")</f>
        <v>Rest of Middle East</v>
      </c>
      <c r="K557" s="89">
        <f ca="1">IFERROR(
  SUMIFS(
    'New Backfilled Data'!G:G,
    'New Backfilled Data'!A:A, I557,
    'New Backfilled Data'!D:D, J557,
    'New Backfilled Data'!E:E, "Online"
  ) /
  SUMIFS(
    'New Backfilled Data'!G:G,
    'New Backfilled Data'!A:A, I557,
    'New Backfilled Data'!D:D, J557
  ),
  ""
)</f>
        <v>0.28515170214286223</v>
      </c>
      <c r="L557" s="90"/>
      <c r="M557" s="90"/>
    </row>
    <row r="558" spans="1:13" ht="17" x14ac:dyDescent="0.2">
      <c r="A558" s="94">
        <v>2009</v>
      </c>
      <c r="B558" s="95" t="s">
        <v>66</v>
      </c>
      <c r="C558" s="95" t="s">
        <v>27</v>
      </c>
      <c r="D558" s="95" t="s">
        <v>30</v>
      </c>
      <c r="E558" s="95" t="s">
        <v>69</v>
      </c>
      <c r="F558" s="95" t="s">
        <v>71</v>
      </c>
      <c r="G558" s="96">
        <v>4928058049</v>
      </c>
      <c r="H558" s="95"/>
      <c r="I558" s="81">
        <f ca="1">IFERROR(__xludf.DUMMYFUNCTION("""COMPUTED_VALUE"""),2018)</f>
        <v>2018</v>
      </c>
      <c r="J558" s="82" t="str">
        <f ca="1">IFERROR(__xludf.DUMMYFUNCTION("""COMPUTED_VALUE"""),"Saudi Arabia")</f>
        <v>Saudi Arabia</v>
      </c>
      <c r="K558" s="83">
        <f ca="1">IFERROR(
  SUMIFS(
    'New Backfilled Data'!G:G,
    'New Backfilled Data'!A:A, I558,
    'New Backfilled Data'!D:D, J558,
    'New Backfilled Data'!E:E, "Online"
  ) /
  SUMIFS(
    'New Backfilled Data'!G:G,
    'New Backfilled Data'!A:A, I558,
    'New Backfilled Data'!D:D, J558
  ),
  ""
)</f>
        <v>0.33421462294171306</v>
      </c>
      <c r="L558" s="84"/>
      <c r="M558" s="84"/>
    </row>
    <row r="559" spans="1:13" ht="17" x14ac:dyDescent="0.2">
      <c r="A559" s="91">
        <v>2009</v>
      </c>
      <c r="B559" s="92" t="s">
        <v>66</v>
      </c>
      <c r="C559" s="92" t="s">
        <v>27</v>
      </c>
      <c r="D559" s="92" t="s">
        <v>30</v>
      </c>
      <c r="E559" s="92" t="s">
        <v>69</v>
      </c>
      <c r="F559" s="92" t="s">
        <v>70</v>
      </c>
      <c r="G559" s="93">
        <v>8912073087</v>
      </c>
      <c r="H559" s="92"/>
      <c r="I559" s="87">
        <f ca="1">IFERROR(__xludf.DUMMYFUNCTION("""COMPUTED_VALUE"""),2018)</f>
        <v>2018</v>
      </c>
      <c r="J559" s="88" t="str">
        <f ca="1">IFERROR(__xludf.DUMMYFUNCTION("""COMPUTED_VALUE"""),"U.A.E.")</f>
        <v>U.A.E.</v>
      </c>
      <c r="K559" s="89">
        <f ca="1">IFERROR(
  SUMIFS(
    'New Backfilled Data'!G:G,
    'New Backfilled Data'!A:A, I559,
    'New Backfilled Data'!D:D, J559,
    'New Backfilled Data'!E:E, "Online"
  ) /
  SUMIFS(
    'New Backfilled Data'!G:G,
    'New Backfilled Data'!A:A, I559,
    'New Backfilled Data'!D:D, J559
  ),
  ""
)</f>
        <v>0.36046987096750516</v>
      </c>
      <c r="L559" s="90"/>
      <c r="M559" s="90"/>
    </row>
    <row r="560" spans="1:13" ht="17" x14ac:dyDescent="0.2">
      <c r="A560" s="94">
        <v>2009</v>
      </c>
      <c r="B560" s="95" t="s">
        <v>66</v>
      </c>
      <c r="C560" s="95" t="s">
        <v>27</v>
      </c>
      <c r="D560" s="95" t="s">
        <v>31</v>
      </c>
      <c r="E560" s="95" t="s">
        <v>67</v>
      </c>
      <c r="F560" s="95" t="s">
        <v>67</v>
      </c>
      <c r="G560" s="96">
        <v>11180800986</v>
      </c>
      <c r="H560" s="95"/>
      <c r="I560" s="81">
        <f ca="1">IFERROR(__xludf.DUMMYFUNCTION("""COMPUTED_VALUE"""),2018)</f>
        <v>2018</v>
      </c>
      <c r="J560" s="82" t="str">
        <f ca="1">IFERROR(__xludf.DUMMYFUNCTION("""COMPUTED_VALUE"""),"Canada")</f>
        <v>Canada</v>
      </c>
      <c r="K560" s="83">
        <f ca="1">IFERROR(
  SUMIFS(
    'New Backfilled Data'!G:G,
    'New Backfilled Data'!A:A, I560,
    'New Backfilled Data'!D:D, J560,
    'New Backfilled Data'!E:E, "Online"
  ) /
  SUMIFS(
    'New Backfilled Data'!G:G,
    'New Backfilled Data'!A:A, I560,
    'New Backfilled Data'!D:D, J560
  ),
  ""
)</f>
        <v>0.50269219922215724</v>
      </c>
      <c r="L560" s="84"/>
      <c r="M560" s="84"/>
    </row>
    <row r="561" spans="1:13" ht="17" x14ac:dyDescent="0.2">
      <c r="A561" s="91">
        <v>2009</v>
      </c>
      <c r="B561" s="92" t="s">
        <v>66</v>
      </c>
      <c r="C561" s="92" t="s">
        <v>27</v>
      </c>
      <c r="D561" s="92" t="s">
        <v>31</v>
      </c>
      <c r="E561" s="92" t="s">
        <v>69</v>
      </c>
      <c r="F561" s="92" t="s">
        <v>71</v>
      </c>
      <c r="G561" s="93">
        <v>2033952989</v>
      </c>
      <c r="H561" s="92"/>
      <c r="I561" s="87">
        <f ca="1">IFERROR(__xludf.DUMMYFUNCTION("""COMPUTED_VALUE"""),2018)</f>
        <v>2018</v>
      </c>
      <c r="J561" s="88" t="str">
        <f ca="1">IFERROR(__xludf.DUMMYFUNCTION("""COMPUTED_VALUE"""),"U.S.")</f>
        <v>U.S.</v>
      </c>
      <c r="K561" s="89">
        <f ca="1">IFERROR(
  SUMIFS(
    'New Backfilled Data'!G:G,
    'New Backfilled Data'!A:A, I561,
    'New Backfilled Data'!D:D, J561,
    'New Backfilled Data'!E:E, "Online"
  ) /
  SUMIFS(
    'New Backfilled Data'!G:G,
    'New Backfilled Data'!A:A, I561,
    'New Backfilled Data'!D:D, J561
  ),
  ""
)</f>
        <v>0.50884277323383142</v>
      </c>
      <c r="L561" s="90"/>
      <c r="M561" s="90"/>
    </row>
    <row r="562" spans="1:13" ht="34" x14ac:dyDescent="0.2">
      <c r="A562" s="94">
        <v>2009</v>
      </c>
      <c r="B562" s="95" t="s">
        <v>66</v>
      </c>
      <c r="C562" s="95" t="s">
        <v>27</v>
      </c>
      <c r="D562" s="95" t="s">
        <v>31</v>
      </c>
      <c r="E562" s="95" t="s">
        <v>69</v>
      </c>
      <c r="F562" s="95" t="s">
        <v>70</v>
      </c>
      <c r="G562" s="96">
        <v>4312834251</v>
      </c>
      <c r="H562" s="95"/>
      <c r="I562" s="81">
        <f ca="1">IFERROR(__xludf.DUMMYFUNCTION("""COMPUTED_VALUE"""),2019)</f>
        <v>2019</v>
      </c>
      <c r="J562" s="82" t="str">
        <f ca="1">IFERROR(__xludf.DUMMYFUNCTION("""COMPUTED_VALUE"""),"Australia-New Zealand")</f>
        <v>Australia-New Zealand</v>
      </c>
      <c r="K562" s="83">
        <f ca="1">IFERROR(
  SUMIFS(
    'New Backfilled Data'!G:G,
    'New Backfilled Data'!A:A, I562,
    'New Backfilled Data'!D:D, J562,
    'New Backfilled Data'!E:E, "Online"
  ) /
  SUMIFS(
    'New Backfilled Data'!G:G,
    'New Backfilled Data'!A:A, I562,
    'New Backfilled Data'!D:D, J562
  ),
  ""
)</f>
        <v>0.45639244813539959</v>
      </c>
      <c r="L562" s="84"/>
      <c r="M562" s="84"/>
    </row>
    <row r="563" spans="1:13" ht="17" x14ac:dyDescent="0.2">
      <c r="A563" s="91">
        <v>2009</v>
      </c>
      <c r="B563" s="92" t="s">
        <v>66</v>
      </c>
      <c r="C563" s="92" t="s">
        <v>27</v>
      </c>
      <c r="D563" s="92" t="s">
        <v>32</v>
      </c>
      <c r="E563" s="92" t="s">
        <v>67</v>
      </c>
      <c r="F563" s="92" t="s">
        <v>67</v>
      </c>
      <c r="G563" s="93">
        <v>20965610600</v>
      </c>
      <c r="H563" s="92"/>
      <c r="I563" s="87">
        <f ca="1">IFERROR(__xludf.DUMMYFUNCTION("""COMPUTED_VALUE"""),2019)</f>
        <v>2019</v>
      </c>
      <c r="J563" s="88" t="str">
        <f ca="1">IFERROR(__xludf.DUMMYFUNCTION("""COMPUTED_VALUE"""),"China")</f>
        <v>China</v>
      </c>
      <c r="K563" s="89">
        <f ca="1">IFERROR(
  SUMIFS(
    'New Backfilled Data'!G:G,
    'New Backfilled Data'!A:A, I563,
    'New Backfilled Data'!D:D, J563,
    'New Backfilled Data'!E:E, "Online"
  ) /
  SUMIFS(
    'New Backfilled Data'!G:G,
    'New Backfilled Data'!A:A, I563,
    'New Backfilled Data'!D:D, J563
  ),
  ""
)</f>
        <v>0.55182696014409971</v>
      </c>
      <c r="L563" s="90"/>
      <c r="M563" s="90"/>
    </row>
    <row r="564" spans="1:13" ht="17" x14ac:dyDescent="0.2">
      <c r="A564" s="94">
        <v>2009</v>
      </c>
      <c r="B564" s="95" t="s">
        <v>66</v>
      </c>
      <c r="C564" s="95" t="s">
        <v>27</v>
      </c>
      <c r="D564" s="95" t="s">
        <v>32</v>
      </c>
      <c r="E564" s="95" t="s">
        <v>69</v>
      </c>
      <c r="F564" s="95" t="s">
        <v>71</v>
      </c>
      <c r="G564" s="96">
        <v>3037106955</v>
      </c>
      <c r="H564" s="95"/>
      <c r="I564" s="81">
        <f ca="1">IFERROR(__xludf.DUMMYFUNCTION("""COMPUTED_VALUE"""),2019)</f>
        <v>2019</v>
      </c>
      <c r="J564" s="82" t="str">
        <f ca="1">IFERROR(__xludf.DUMMYFUNCTION("""COMPUTED_VALUE"""),"Hong Kong")</f>
        <v>Hong Kong</v>
      </c>
      <c r="K564" s="83">
        <f ca="1">IFERROR(
  SUMIFS(
    'New Backfilled Data'!G:G,
    'New Backfilled Data'!A:A, I564,
    'New Backfilled Data'!D:D, J564,
    'New Backfilled Data'!E:E, "Online"
  ) /
  SUMIFS(
    'New Backfilled Data'!G:G,
    'New Backfilled Data'!A:A, I564,
    'New Backfilled Data'!D:D, J564
  ),
  ""
)</f>
        <v>0.20903984524235597</v>
      </c>
      <c r="L564" s="84"/>
      <c r="M564" s="84"/>
    </row>
    <row r="565" spans="1:13" ht="17" x14ac:dyDescent="0.2">
      <c r="A565" s="91">
        <v>2009</v>
      </c>
      <c r="B565" s="92" t="s">
        <v>66</v>
      </c>
      <c r="C565" s="92" t="s">
        <v>27</v>
      </c>
      <c r="D565" s="92" t="s">
        <v>32</v>
      </c>
      <c r="E565" s="92" t="s">
        <v>69</v>
      </c>
      <c r="F565" s="92" t="s">
        <v>70</v>
      </c>
      <c r="G565" s="93">
        <v>2475379888</v>
      </c>
      <c r="H565" s="92"/>
      <c r="I565" s="87">
        <f ca="1">IFERROR(__xludf.DUMMYFUNCTION("""COMPUTED_VALUE"""),2019)</f>
        <v>2019</v>
      </c>
      <c r="J565" s="88" t="str">
        <f ca="1">IFERROR(__xludf.DUMMYFUNCTION("""COMPUTED_VALUE"""),"India")</f>
        <v>India</v>
      </c>
      <c r="K565" s="89">
        <f ca="1">IFERROR(
  SUMIFS(
    'New Backfilled Data'!G:G,
    'New Backfilled Data'!A:A, I565,
    'New Backfilled Data'!D:D, J565,
    'New Backfilled Data'!E:E, "Online"
  ) /
  SUMIFS(
    'New Backfilled Data'!G:G,
    'New Backfilled Data'!A:A, I565,
    'New Backfilled Data'!D:D, J565
  ),
  ""
)</f>
        <v>0.45252032629715672</v>
      </c>
      <c r="L565" s="90"/>
      <c r="M565" s="90"/>
    </row>
    <row r="566" spans="1:13" ht="17" x14ac:dyDescent="0.2">
      <c r="A566" s="94">
        <v>2009</v>
      </c>
      <c r="B566" s="95" t="s">
        <v>66</v>
      </c>
      <c r="C566" s="95" t="s">
        <v>27</v>
      </c>
      <c r="D566" s="95" t="s">
        <v>33</v>
      </c>
      <c r="E566" s="95" t="s">
        <v>67</v>
      </c>
      <c r="F566" s="95" t="s">
        <v>67</v>
      </c>
      <c r="G566" s="96">
        <v>36328368743</v>
      </c>
      <c r="H566" s="95"/>
      <c r="I566" s="81">
        <f ca="1">IFERROR(__xludf.DUMMYFUNCTION("""COMPUTED_VALUE"""),2019)</f>
        <v>2019</v>
      </c>
      <c r="J566" s="82" t="str">
        <f ca="1">IFERROR(__xludf.DUMMYFUNCTION("""COMPUTED_VALUE"""),"Indonesia")</f>
        <v>Indonesia</v>
      </c>
      <c r="K566" s="83">
        <f ca="1">IFERROR(
  SUMIFS(
    'New Backfilled Data'!G:G,
    'New Backfilled Data'!A:A, I566,
    'New Backfilled Data'!D:D, J566,
    'New Backfilled Data'!E:E, "Online"
  ) /
  SUMIFS(
    'New Backfilled Data'!G:G,
    'New Backfilled Data'!A:A, I566,
    'New Backfilled Data'!D:D, J566
  ),
  ""
)</f>
        <v>0.38724354439480729</v>
      </c>
      <c r="L566" s="84"/>
      <c r="M566" s="84"/>
    </row>
    <row r="567" spans="1:13" ht="17" x14ac:dyDescent="0.2">
      <c r="A567" s="91">
        <v>2009</v>
      </c>
      <c r="B567" s="92" t="s">
        <v>66</v>
      </c>
      <c r="C567" s="92" t="s">
        <v>27</v>
      </c>
      <c r="D567" s="92" t="s">
        <v>33</v>
      </c>
      <c r="E567" s="92" t="s">
        <v>69</v>
      </c>
      <c r="F567" s="92" t="s">
        <v>71</v>
      </c>
      <c r="G567" s="93">
        <v>4724615720</v>
      </c>
      <c r="H567" s="92"/>
      <c r="I567" s="87">
        <f ca="1">IFERROR(__xludf.DUMMYFUNCTION("""COMPUTED_VALUE"""),2019)</f>
        <v>2019</v>
      </c>
      <c r="J567" s="88" t="str">
        <f ca="1">IFERROR(__xludf.DUMMYFUNCTION("""COMPUTED_VALUE"""),"Japan")</f>
        <v>Japan</v>
      </c>
      <c r="K567" s="89">
        <f ca="1">IFERROR(
  SUMIFS(
    'New Backfilled Data'!G:G,
    'New Backfilled Data'!A:A, I567,
    'New Backfilled Data'!D:D, J567,
    'New Backfilled Data'!E:E, "Online"
  ) /
  SUMIFS(
    'New Backfilled Data'!G:G,
    'New Backfilled Data'!A:A, I567,
    'New Backfilled Data'!D:D, J567
  ),
  ""
)</f>
        <v>0.43637424035941691</v>
      </c>
      <c r="L567" s="90"/>
      <c r="M567" s="90"/>
    </row>
    <row r="568" spans="1:13" ht="17" x14ac:dyDescent="0.2">
      <c r="A568" s="94">
        <v>2009</v>
      </c>
      <c r="B568" s="95" t="s">
        <v>66</v>
      </c>
      <c r="C568" s="95" t="s">
        <v>27</v>
      </c>
      <c r="D568" s="95" t="s">
        <v>33</v>
      </c>
      <c r="E568" s="95" t="s">
        <v>69</v>
      </c>
      <c r="F568" s="95" t="s">
        <v>70</v>
      </c>
      <c r="G568" s="96">
        <v>13347828573</v>
      </c>
      <c r="H568" s="95"/>
      <c r="I568" s="81">
        <f ca="1">IFERROR(__xludf.DUMMYFUNCTION("""COMPUTED_VALUE"""),2019)</f>
        <v>2019</v>
      </c>
      <c r="J568" s="82" t="str">
        <f ca="1">IFERROR(__xludf.DUMMYFUNCTION("""COMPUTED_VALUE"""),"Macau")</f>
        <v>Macau</v>
      </c>
      <c r="K568" s="83">
        <f ca="1">IFERROR(
  SUMIFS(
    'New Backfilled Data'!G:G,
    'New Backfilled Data'!A:A, I568,
    'New Backfilled Data'!D:D, J568,
    'New Backfilled Data'!E:E, "Online"
  ) /
  SUMIFS(
    'New Backfilled Data'!G:G,
    'New Backfilled Data'!A:A, I568,
    'New Backfilled Data'!D:D, J568
  ),
  ""
)</f>
        <v>0.34000000020605725</v>
      </c>
      <c r="L568" s="84"/>
      <c r="M568" s="84"/>
    </row>
    <row r="569" spans="1:13" ht="17" x14ac:dyDescent="0.2">
      <c r="A569" s="91">
        <v>2009</v>
      </c>
      <c r="B569" s="92" t="s">
        <v>66</v>
      </c>
      <c r="C569" s="92" t="s">
        <v>35</v>
      </c>
      <c r="D569" s="92" t="s">
        <v>34</v>
      </c>
      <c r="E569" s="92" t="s">
        <v>67</v>
      </c>
      <c r="F569" s="92" t="s">
        <v>67</v>
      </c>
      <c r="G569" s="93">
        <v>8722804665</v>
      </c>
      <c r="H569" s="92"/>
      <c r="I569" s="87">
        <f ca="1">IFERROR(__xludf.DUMMYFUNCTION("""COMPUTED_VALUE"""),2019)</f>
        <v>2019</v>
      </c>
      <c r="J569" s="88" t="str">
        <f ca="1">IFERROR(__xludf.DUMMYFUNCTION("""COMPUTED_VALUE"""),"Malaysia")</f>
        <v>Malaysia</v>
      </c>
      <c r="K569" s="89">
        <f ca="1">IFERROR(
  SUMIFS(
    'New Backfilled Data'!G:G,
    'New Backfilled Data'!A:A, I569,
    'New Backfilled Data'!D:D, J569,
    'New Backfilled Data'!E:E, "Online"
  ) /
  SUMIFS(
    'New Backfilled Data'!G:G,
    'New Backfilled Data'!A:A, I569,
    'New Backfilled Data'!D:D, J569
  ),
  ""
)</f>
        <v>0.44905741138779542</v>
      </c>
      <c r="L569" s="90"/>
      <c r="M569" s="90"/>
    </row>
    <row r="570" spans="1:13" ht="17" x14ac:dyDescent="0.2">
      <c r="A570" s="94">
        <v>2009</v>
      </c>
      <c r="B570" s="95" t="s">
        <v>66</v>
      </c>
      <c r="C570" s="95" t="s">
        <v>35</v>
      </c>
      <c r="D570" s="95" t="s">
        <v>34</v>
      </c>
      <c r="E570" s="95" t="s">
        <v>69</v>
      </c>
      <c r="F570" s="95" t="s">
        <v>71</v>
      </c>
      <c r="G570" s="96">
        <v>222158033</v>
      </c>
      <c r="H570" s="95"/>
      <c r="I570" s="81">
        <f ca="1">IFERROR(__xludf.DUMMYFUNCTION("""COMPUTED_VALUE"""),2019)</f>
        <v>2019</v>
      </c>
      <c r="J570" s="82" t="str">
        <f ca="1">IFERROR(__xludf.DUMMYFUNCTION("""COMPUTED_VALUE"""),"Singapore")</f>
        <v>Singapore</v>
      </c>
      <c r="K570" s="83">
        <f ca="1">IFERROR(
  SUMIFS(
    'New Backfilled Data'!G:G,
    'New Backfilled Data'!A:A, I570,
    'New Backfilled Data'!D:D, J570,
    'New Backfilled Data'!E:E, "Online"
  ) /
  SUMIFS(
    'New Backfilled Data'!G:G,
    'New Backfilled Data'!A:A, I570,
    'New Backfilled Data'!D:D, J570
  ),
  ""
)</f>
        <v>0.43417251095818166</v>
      </c>
      <c r="L570" s="84"/>
      <c r="M570" s="84"/>
    </row>
    <row r="571" spans="1:13" ht="17" x14ac:dyDescent="0.2">
      <c r="A571" s="91">
        <v>2009</v>
      </c>
      <c r="B571" s="92" t="s">
        <v>66</v>
      </c>
      <c r="C571" s="92" t="s">
        <v>35</v>
      </c>
      <c r="D571" s="92" t="s">
        <v>34</v>
      </c>
      <c r="E571" s="92" t="s">
        <v>69</v>
      </c>
      <c r="F571" s="92" t="s">
        <v>70</v>
      </c>
      <c r="G571" s="93">
        <v>189793912</v>
      </c>
      <c r="H571" s="92"/>
      <c r="I571" s="87">
        <f ca="1">IFERROR(__xludf.DUMMYFUNCTION("""COMPUTED_VALUE"""),2019)</f>
        <v>2019</v>
      </c>
      <c r="J571" s="88" t="str">
        <f ca="1">IFERROR(__xludf.DUMMYFUNCTION("""COMPUTED_VALUE"""),"South Korea")</f>
        <v>South Korea</v>
      </c>
      <c r="K571" s="89">
        <f ca="1">IFERROR(
  SUMIFS(
    'New Backfilled Data'!G:G,
    'New Backfilled Data'!A:A, I571,
    'New Backfilled Data'!D:D, J571,
    'New Backfilled Data'!E:E, "Online"
  ) /
  SUMIFS(
    'New Backfilled Data'!G:G,
    'New Backfilled Data'!A:A, I571,
    'New Backfilled Data'!D:D, J571
  ),
  ""
)</f>
        <v>0.45062961654379041</v>
      </c>
      <c r="L571" s="90"/>
      <c r="M571" s="90"/>
    </row>
    <row r="572" spans="1:13" ht="17" x14ac:dyDescent="0.2">
      <c r="A572" s="94">
        <v>2009</v>
      </c>
      <c r="B572" s="95" t="s">
        <v>66</v>
      </c>
      <c r="C572" s="95" t="s">
        <v>35</v>
      </c>
      <c r="D572" s="95" t="s">
        <v>36</v>
      </c>
      <c r="E572" s="95" t="s">
        <v>67</v>
      </c>
      <c r="F572" s="95" t="s">
        <v>67</v>
      </c>
      <c r="G572" s="96">
        <v>36370375145</v>
      </c>
      <c r="H572" s="95"/>
      <c r="I572" s="81">
        <f ca="1">IFERROR(__xludf.DUMMYFUNCTION("""COMPUTED_VALUE"""),2019)</f>
        <v>2019</v>
      </c>
      <c r="J572" s="82" t="str">
        <f ca="1">IFERROR(__xludf.DUMMYFUNCTION("""COMPUTED_VALUE"""),"Taiwan")</f>
        <v>Taiwan</v>
      </c>
      <c r="K572" s="83">
        <f ca="1">IFERROR(
  SUMIFS(
    'New Backfilled Data'!G:G,
    'New Backfilled Data'!A:A, I572,
    'New Backfilled Data'!D:D, J572,
    'New Backfilled Data'!E:E, "Online"
  ) /
  SUMIFS(
    'New Backfilled Data'!G:G,
    'New Backfilled Data'!A:A, I572,
    'New Backfilled Data'!D:D, J572
  ),
  ""
)</f>
        <v>0.29989446478210169</v>
      </c>
      <c r="L572" s="84"/>
      <c r="M572" s="84"/>
    </row>
    <row r="573" spans="1:13" ht="17" x14ac:dyDescent="0.2">
      <c r="A573" s="91">
        <v>2009</v>
      </c>
      <c r="B573" s="92" t="s">
        <v>66</v>
      </c>
      <c r="C573" s="92" t="s">
        <v>35</v>
      </c>
      <c r="D573" s="92" t="s">
        <v>36</v>
      </c>
      <c r="E573" s="92" t="s">
        <v>69</v>
      </c>
      <c r="F573" s="92" t="s">
        <v>71</v>
      </c>
      <c r="G573" s="93">
        <v>2672182149</v>
      </c>
      <c r="H573" s="92"/>
      <c r="I573" s="87">
        <f ca="1">IFERROR(__xludf.DUMMYFUNCTION("""COMPUTED_VALUE"""),2019)</f>
        <v>2019</v>
      </c>
      <c r="J573" s="88" t="str">
        <f ca="1">IFERROR(__xludf.DUMMYFUNCTION("""COMPUTED_VALUE"""),"Thailand")</f>
        <v>Thailand</v>
      </c>
      <c r="K573" s="89">
        <f ca="1">IFERROR(
  SUMIFS(
    'New Backfilled Data'!G:G,
    'New Backfilled Data'!A:A, I573,
    'New Backfilled Data'!D:D, J573,
    'New Backfilled Data'!E:E, "Online"
  ) /
  SUMIFS(
    'New Backfilled Data'!G:G,
    'New Backfilled Data'!A:A, I573,
    'New Backfilled Data'!D:D, J573
  ),
  ""
)</f>
        <v>0.36340127169791531</v>
      </c>
      <c r="L573" s="90"/>
      <c r="M573" s="90"/>
    </row>
    <row r="574" spans="1:13" ht="17" x14ac:dyDescent="0.2">
      <c r="A574" s="94">
        <v>2009</v>
      </c>
      <c r="B574" s="95" t="s">
        <v>66</v>
      </c>
      <c r="C574" s="95" t="s">
        <v>35</v>
      </c>
      <c r="D574" s="95" t="s">
        <v>36</v>
      </c>
      <c r="E574" s="95" t="s">
        <v>69</v>
      </c>
      <c r="F574" s="95" t="s">
        <v>70</v>
      </c>
      <c r="G574" s="96">
        <v>1453038547</v>
      </c>
      <c r="H574" s="95"/>
      <c r="I574" s="81">
        <f ca="1">IFERROR(__xludf.DUMMYFUNCTION("""COMPUTED_VALUE"""),2019)</f>
        <v>2019</v>
      </c>
      <c r="J574" s="82" t="str">
        <f ca="1">IFERROR(__xludf.DUMMYFUNCTION("""COMPUTED_VALUE"""),"Bulgaria")</f>
        <v>Bulgaria</v>
      </c>
      <c r="K574" s="83">
        <f ca="1">IFERROR(
  SUMIFS(
    'New Backfilled Data'!G:G,
    'New Backfilled Data'!A:A, I574,
    'New Backfilled Data'!D:D, J574,
    'New Backfilled Data'!E:E, "Online"
  ) /
  SUMIFS(
    'New Backfilled Data'!G:G,
    'New Backfilled Data'!A:A, I574,
    'New Backfilled Data'!D:D, J574
  ),
  ""
)</f>
        <v>0.32460271001475216</v>
      </c>
      <c r="L574" s="84"/>
      <c r="M574" s="84"/>
    </row>
    <row r="575" spans="1:13" ht="17" x14ac:dyDescent="0.2">
      <c r="A575" s="91">
        <v>2009</v>
      </c>
      <c r="B575" s="92" t="s">
        <v>66</v>
      </c>
      <c r="C575" s="92" t="s">
        <v>35</v>
      </c>
      <c r="D575" s="92" t="s">
        <v>37</v>
      </c>
      <c r="E575" s="92" t="s">
        <v>67</v>
      </c>
      <c r="F575" s="92" t="s">
        <v>67</v>
      </c>
      <c r="G575" s="93">
        <v>3799612189</v>
      </c>
      <c r="H575" s="92"/>
      <c r="I575" s="87">
        <f ca="1">IFERROR(__xludf.DUMMYFUNCTION("""COMPUTED_VALUE"""),2019)</f>
        <v>2019</v>
      </c>
      <c r="J575" s="88" t="str">
        <f ca="1">IFERROR(__xludf.DUMMYFUNCTION("""COMPUTED_VALUE"""),"Czech Republic")</f>
        <v>Czech Republic</v>
      </c>
      <c r="K575" s="89">
        <f ca="1">IFERROR(
  SUMIFS(
    'New Backfilled Data'!G:G,
    'New Backfilled Data'!A:A, I575,
    'New Backfilled Data'!D:D, J575,
    'New Backfilled Data'!E:E, "Online"
  ) /
  SUMIFS(
    'New Backfilled Data'!G:G,
    'New Backfilled Data'!A:A, I575,
    'New Backfilled Data'!D:D, J575
  ),
  ""
)</f>
        <v>0.54079938257151072</v>
      </c>
      <c r="L575" s="90"/>
      <c r="M575" s="90"/>
    </row>
    <row r="576" spans="1:13" ht="17" x14ac:dyDescent="0.2">
      <c r="A576" s="94">
        <v>2009</v>
      </c>
      <c r="B576" s="95" t="s">
        <v>66</v>
      </c>
      <c r="C576" s="95" t="s">
        <v>35</v>
      </c>
      <c r="D576" s="95" t="s">
        <v>37</v>
      </c>
      <c r="E576" s="95" t="s">
        <v>69</v>
      </c>
      <c r="F576" s="95" t="s">
        <v>71</v>
      </c>
      <c r="G576" s="96">
        <v>170962110</v>
      </c>
      <c r="H576" s="95"/>
      <c r="I576" s="81">
        <f ca="1">IFERROR(__xludf.DUMMYFUNCTION("""COMPUTED_VALUE"""),2019)</f>
        <v>2019</v>
      </c>
      <c r="J576" s="82" t="str">
        <f ca="1">IFERROR(__xludf.DUMMYFUNCTION("""COMPUTED_VALUE"""),"Greece")</f>
        <v>Greece</v>
      </c>
      <c r="K576" s="83">
        <f ca="1">IFERROR(
  SUMIFS(
    'New Backfilled Data'!G:G,
    'New Backfilled Data'!A:A, I576,
    'New Backfilled Data'!D:D, J576,
    'New Backfilled Data'!E:E, "Online"
  ) /
  SUMIFS(
    'New Backfilled Data'!G:G,
    'New Backfilled Data'!A:A, I576,
    'New Backfilled Data'!D:D, J576
  ),
  ""
)</f>
        <v>0.37320930080518777</v>
      </c>
      <c r="L576" s="84"/>
      <c r="M576" s="84"/>
    </row>
    <row r="577" spans="1:13" ht="17" x14ac:dyDescent="0.2">
      <c r="A577" s="91">
        <v>2009</v>
      </c>
      <c r="B577" s="92" t="s">
        <v>66</v>
      </c>
      <c r="C577" s="92" t="s">
        <v>35</v>
      </c>
      <c r="D577" s="92" t="s">
        <v>37</v>
      </c>
      <c r="E577" s="92" t="s">
        <v>69</v>
      </c>
      <c r="F577" s="92" t="s">
        <v>70</v>
      </c>
      <c r="G577" s="93">
        <v>605279954</v>
      </c>
      <c r="H577" s="92"/>
      <c r="I577" s="87">
        <f ca="1">IFERROR(__xludf.DUMMYFUNCTION("""COMPUTED_VALUE"""),2019)</f>
        <v>2019</v>
      </c>
      <c r="J577" s="88" t="str">
        <f ca="1">IFERROR(__xludf.DUMMYFUNCTION("""COMPUTED_VALUE"""),"Hungary")</f>
        <v>Hungary</v>
      </c>
      <c r="K577" s="89">
        <f ca="1">IFERROR(
  SUMIFS(
    'New Backfilled Data'!G:G,
    'New Backfilled Data'!A:A, I577,
    'New Backfilled Data'!D:D, J577,
    'New Backfilled Data'!E:E, "Online"
  ) /
  SUMIFS(
    'New Backfilled Data'!G:G,
    'New Backfilled Data'!A:A, I577,
    'New Backfilled Data'!D:D, J577
  ),
  ""
)</f>
        <v>0.79845036464943386</v>
      </c>
      <c r="L577" s="90"/>
      <c r="M577" s="90"/>
    </row>
    <row r="578" spans="1:13" ht="17" x14ac:dyDescent="0.2">
      <c r="A578" s="94">
        <v>2009</v>
      </c>
      <c r="B578" s="95" t="s">
        <v>66</v>
      </c>
      <c r="C578" s="95" t="s">
        <v>35</v>
      </c>
      <c r="D578" s="95" t="s">
        <v>38</v>
      </c>
      <c r="E578" s="95" t="s">
        <v>67</v>
      </c>
      <c r="F578" s="95" t="s">
        <v>67</v>
      </c>
      <c r="G578" s="96">
        <v>7771717172</v>
      </c>
      <c r="H578" s="95"/>
      <c r="I578" s="81">
        <f ca="1">IFERROR(__xludf.DUMMYFUNCTION("""COMPUTED_VALUE"""),2019)</f>
        <v>2019</v>
      </c>
      <c r="J578" s="82" t="str">
        <f ca="1">IFERROR(__xludf.DUMMYFUNCTION("""COMPUTED_VALUE"""),"Poland")</f>
        <v>Poland</v>
      </c>
      <c r="K578" s="83">
        <f ca="1">IFERROR(
  SUMIFS(
    'New Backfilled Data'!G:G,
    'New Backfilled Data'!A:A, I578,
    'New Backfilled Data'!D:D, J578,
    'New Backfilled Data'!E:E, "Online"
  ) /
  SUMIFS(
    'New Backfilled Data'!G:G,
    'New Backfilled Data'!A:A, I578,
    'New Backfilled Data'!D:D, J578
  ),
  ""
)</f>
        <v>0.42176155607146787</v>
      </c>
      <c r="L578" s="84"/>
      <c r="M578" s="84"/>
    </row>
    <row r="579" spans="1:13" ht="34" x14ac:dyDescent="0.2">
      <c r="A579" s="91">
        <v>2009</v>
      </c>
      <c r="B579" s="92" t="s">
        <v>66</v>
      </c>
      <c r="C579" s="92" t="s">
        <v>35</v>
      </c>
      <c r="D579" s="92" t="s">
        <v>38</v>
      </c>
      <c r="E579" s="92" t="s">
        <v>69</v>
      </c>
      <c r="F579" s="92" t="s">
        <v>71</v>
      </c>
      <c r="G579" s="93">
        <v>318925850</v>
      </c>
      <c r="H579" s="92"/>
      <c r="I579" s="87">
        <f ca="1">IFERROR(__xludf.DUMMYFUNCTION("""COMPUTED_VALUE"""),2019)</f>
        <v>2019</v>
      </c>
      <c r="J579" s="88" t="str">
        <f ca="1">IFERROR(__xludf.DUMMYFUNCTION("""COMPUTED_VALUE"""),"Rest of Eastern Europe")</f>
        <v>Rest of Eastern Europe</v>
      </c>
      <c r="K579" s="89">
        <f ca="1">IFERROR(
  SUMIFS(
    'New Backfilled Data'!G:G,
    'New Backfilled Data'!A:A, I579,
    'New Backfilled Data'!D:D, J579,
    'New Backfilled Data'!E:E, "Online"
  ) /
  SUMIFS(
    'New Backfilled Data'!G:G,
    'New Backfilled Data'!A:A, I579,
    'New Backfilled Data'!D:D, J579
  ),
  ""
)</f>
        <v>0.49705908124963621</v>
      </c>
      <c r="L579" s="90"/>
      <c r="M579" s="90"/>
    </row>
    <row r="580" spans="1:13" ht="17" x14ac:dyDescent="0.2">
      <c r="A580" s="94">
        <v>2009</v>
      </c>
      <c r="B580" s="95" t="s">
        <v>66</v>
      </c>
      <c r="C580" s="95" t="s">
        <v>35</v>
      </c>
      <c r="D580" s="95" t="s">
        <v>38</v>
      </c>
      <c r="E580" s="95" t="s">
        <v>69</v>
      </c>
      <c r="F580" s="95" t="s">
        <v>70</v>
      </c>
      <c r="G580" s="96">
        <v>235747266</v>
      </c>
      <c r="H580" s="95"/>
      <c r="I580" s="81">
        <f ca="1">IFERROR(__xludf.DUMMYFUNCTION("""COMPUTED_VALUE"""),2019)</f>
        <v>2019</v>
      </c>
      <c r="J580" s="82" t="str">
        <f ca="1">IFERROR(__xludf.DUMMYFUNCTION("""COMPUTED_VALUE"""),"Romania")</f>
        <v>Romania</v>
      </c>
      <c r="K580" s="83">
        <f ca="1">IFERROR(
  SUMIFS(
    'New Backfilled Data'!G:G,
    'New Backfilled Data'!A:A, I580,
    'New Backfilled Data'!D:D, J580,
    'New Backfilled Data'!E:E, "Online"
  ) /
  SUMIFS(
    'New Backfilled Data'!G:G,
    'New Backfilled Data'!A:A, I580,
    'New Backfilled Data'!D:D, J580
  ),
  ""
)</f>
        <v>0.32615710429013256</v>
      </c>
      <c r="L580" s="84"/>
      <c r="M580" s="84"/>
    </row>
    <row r="581" spans="1:13" ht="17" x14ac:dyDescent="0.2">
      <c r="A581" s="91">
        <v>2009</v>
      </c>
      <c r="B581" s="92" t="s">
        <v>66</v>
      </c>
      <c r="C581" s="92" t="s">
        <v>35</v>
      </c>
      <c r="D581" s="92" t="s">
        <v>39</v>
      </c>
      <c r="E581" s="92" t="s">
        <v>67</v>
      </c>
      <c r="F581" s="92" t="s">
        <v>67</v>
      </c>
      <c r="G581" s="93">
        <v>16166245047</v>
      </c>
      <c r="H581" s="92"/>
      <c r="I581" s="87">
        <f ca="1">IFERROR(__xludf.DUMMYFUNCTION("""COMPUTED_VALUE"""),2019)</f>
        <v>2019</v>
      </c>
      <c r="J581" s="88" t="str">
        <f ca="1">IFERROR(__xludf.DUMMYFUNCTION("""COMPUTED_VALUE"""),"Russia")</f>
        <v>Russia</v>
      </c>
      <c r="K581" s="89">
        <f ca="1">IFERROR(
  SUMIFS(
    'New Backfilled Data'!G:G,
    'New Backfilled Data'!A:A, I581,
    'New Backfilled Data'!D:D, J581,
    'New Backfilled Data'!E:E, "Online"
  ) /
  SUMIFS(
    'New Backfilled Data'!G:G,
    'New Backfilled Data'!A:A, I581,
    'New Backfilled Data'!D:D, J581
  ),
  ""
)</f>
        <v>0.37824304620256766</v>
      </c>
      <c r="L581" s="90"/>
      <c r="M581" s="90"/>
    </row>
    <row r="582" spans="1:13" ht="17" x14ac:dyDescent="0.2">
      <c r="A582" s="94">
        <v>2009</v>
      </c>
      <c r="B582" s="95" t="s">
        <v>66</v>
      </c>
      <c r="C582" s="95" t="s">
        <v>35</v>
      </c>
      <c r="D582" s="95" t="s">
        <v>39</v>
      </c>
      <c r="E582" s="95" t="s">
        <v>69</v>
      </c>
      <c r="F582" s="95" t="s">
        <v>71</v>
      </c>
      <c r="G582" s="96">
        <v>1807976480</v>
      </c>
      <c r="H582" s="95"/>
      <c r="I582" s="81">
        <f ca="1">IFERROR(__xludf.DUMMYFUNCTION("""COMPUTED_VALUE"""),2019)</f>
        <v>2019</v>
      </c>
      <c r="J582" s="82" t="str">
        <f ca="1">IFERROR(__xludf.DUMMYFUNCTION("""COMPUTED_VALUE"""),"Ukraine")</f>
        <v>Ukraine</v>
      </c>
      <c r="K582" s="83">
        <f ca="1">IFERROR(
  SUMIFS(
    'New Backfilled Data'!G:G,
    'New Backfilled Data'!A:A, I582,
    'New Backfilled Data'!D:D, J582,
    'New Backfilled Data'!E:E, "Online"
  ) /
  SUMIFS(
    'New Backfilled Data'!G:G,
    'New Backfilled Data'!A:A, I582,
    'New Backfilled Data'!D:D, J582
  ),
  ""
)</f>
        <v>0.34566433685757303</v>
      </c>
      <c r="L582" s="84"/>
      <c r="M582" s="84"/>
    </row>
    <row r="583" spans="1:13" ht="17" x14ac:dyDescent="0.2">
      <c r="A583" s="91">
        <v>2009</v>
      </c>
      <c r="B583" s="92" t="s">
        <v>66</v>
      </c>
      <c r="C583" s="92" t="s">
        <v>35</v>
      </c>
      <c r="D583" s="92" t="s">
        <v>39</v>
      </c>
      <c r="E583" s="92" t="s">
        <v>69</v>
      </c>
      <c r="F583" s="92" t="s">
        <v>70</v>
      </c>
      <c r="G583" s="93">
        <v>875788096</v>
      </c>
      <c r="H583" s="92"/>
      <c r="I583" s="87">
        <f ca="1">IFERROR(__xludf.DUMMYFUNCTION("""COMPUTED_VALUE"""),2019)</f>
        <v>2019</v>
      </c>
      <c r="J583" s="88" t="str">
        <f ca="1">IFERROR(__xludf.DUMMYFUNCTION("""COMPUTED_VALUE"""),"France")</f>
        <v>France</v>
      </c>
      <c r="K583" s="89">
        <f ca="1">IFERROR(
  SUMIFS(
    'New Backfilled Data'!G:G,
    'New Backfilled Data'!A:A, I583,
    'New Backfilled Data'!D:D, J583,
    'New Backfilled Data'!E:E, "Online"
  ) /
  SUMIFS(
    'New Backfilled Data'!G:G,
    'New Backfilled Data'!A:A, I583,
    'New Backfilled Data'!D:D, J583
  ),
  ""
)</f>
        <v>0.46135120582733397</v>
      </c>
      <c r="L583" s="90"/>
      <c r="M583" s="90"/>
    </row>
    <row r="584" spans="1:13" ht="17" x14ac:dyDescent="0.2">
      <c r="A584" s="94">
        <v>2009</v>
      </c>
      <c r="B584" s="95" t="s">
        <v>66</v>
      </c>
      <c r="C584" s="95" t="s">
        <v>41</v>
      </c>
      <c r="D584" s="95" t="s">
        <v>40</v>
      </c>
      <c r="E584" s="95" t="s">
        <v>67</v>
      </c>
      <c r="F584" s="95" t="s">
        <v>67</v>
      </c>
      <c r="G584" s="96">
        <v>7642316996</v>
      </c>
      <c r="H584" s="95"/>
      <c r="I584" s="81">
        <f ca="1">IFERROR(__xludf.DUMMYFUNCTION("""COMPUTED_VALUE"""),2019)</f>
        <v>2019</v>
      </c>
      <c r="J584" s="82" t="str">
        <f ca="1">IFERROR(__xludf.DUMMYFUNCTION("""COMPUTED_VALUE"""),"Germany")</f>
        <v>Germany</v>
      </c>
      <c r="K584" s="83">
        <f ca="1">IFERROR(
  SUMIFS(
    'New Backfilled Data'!G:G,
    'New Backfilled Data'!A:A, I584,
    'New Backfilled Data'!D:D, J584,
    'New Backfilled Data'!E:E, "Online"
  ) /
  SUMIFS(
    'New Backfilled Data'!G:G,
    'New Backfilled Data'!A:A, I584,
    'New Backfilled Data'!D:D, J584
  ),
  ""
)</f>
        <v>0.4908363414308719</v>
      </c>
      <c r="L584" s="84"/>
      <c r="M584" s="84"/>
    </row>
    <row r="585" spans="1:13" ht="17" x14ac:dyDescent="0.2">
      <c r="A585" s="91">
        <v>2009</v>
      </c>
      <c r="B585" s="92" t="s">
        <v>66</v>
      </c>
      <c r="C585" s="92" t="s">
        <v>41</v>
      </c>
      <c r="D585" s="92" t="s">
        <v>40</v>
      </c>
      <c r="E585" s="92" t="s">
        <v>69</v>
      </c>
      <c r="F585" s="92" t="s">
        <v>71</v>
      </c>
      <c r="G585" s="93">
        <v>270192799</v>
      </c>
      <c r="H585" s="92"/>
      <c r="I585" s="87">
        <f ca="1">IFERROR(__xludf.DUMMYFUNCTION("""COMPUTED_VALUE"""),2019)</f>
        <v>2019</v>
      </c>
      <c r="J585" s="88" t="str">
        <f ca="1">IFERROR(__xludf.DUMMYFUNCTION("""COMPUTED_VALUE"""),"Italy")</f>
        <v>Italy</v>
      </c>
      <c r="K585" s="89">
        <f ca="1">IFERROR(
  SUMIFS(
    'New Backfilled Data'!G:G,
    'New Backfilled Data'!A:A, I585,
    'New Backfilled Data'!D:D, J585,
    'New Backfilled Data'!E:E, "Online"
  ) /
  SUMIFS(
    'New Backfilled Data'!G:G,
    'New Backfilled Data'!A:A, I585,
    'New Backfilled Data'!D:D, J585
  ),
  ""
)</f>
        <v>0.42864683820528832</v>
      </c>
      <c r="L585" s="90"/>
      <c r="M585" s="90"/>
    </row>
    <row r="586" spans="1:13" ht="17" x14ac:dyDescent="0.2">
      <c r="A586" s="94">
        <v>2009</v>
      </c>
      <c r="B586" s="95" t="s">
        <v>66</v>
      </c>
      <c r="C586" s="95" t="s">
        <v>41</v>
      </c>
      <c r="D586" s="95" t="s">
        <v>40</v>
      </c>
      <c r="E586" s="95" t="s">
        <v>69</v>
      </c>
      <c r="F586" s="95" t="s">
        <v>70</v>
      </c>
      <c r="G586" s="96">
        <v>179908877</v>
      </c>
      <c r="H586" s="95"/>
      <c r="I586" s="81">
        <f ca="1">IFERROR(__xludf.DUMMYFUNCTION("""COMPUTED_VALUE"""),2019)</f>
        <v>2019</v>
      </c>
      <c r="J586" s="82" t="str">
        <f ca="1">IFERROR(__xludf.DUMMYFUNCTION("""COMPUTED_VALUE"""),"Rest of Europe")</f>
        <v>Rest of Europe</v>
      </c>
      <c r="K586" s="83">
        <f ca="1">IFERROR(
  SUMIFS(
    'New Backfilled Data'!G:G,
    'New Backfilled Data'!A:A, I586,
    'New Backfilled Data'!D:D, J586,
    'New Backfilled Data'!E:E, "Online"
  ) /
  SUMIFS(
    'New Backfilled Data'!G:G,
    'New Backfilled Data'!A:A, I586,
    'New Backfilled Data'!D:D, J586
  ),
  ""
)</f>
        <v>0.51835553642620358</v>
      </c>
      <c r="L586" s="84"/>
      <c r="M586" s="84"/>
    </row>
    <row r="587" spans="1:13" ht="17" x14ac:dyDescent="0.2">
      <c r="A587" s="91">
        <v>2009</v>
      </c>
      <c r="B587" s="92" t="s">
        <v>66</v>
      </c>
      <c r="C587" s="92" t="s">
        <v>41</v>
      </c>
      <c r="D587" s="92" t="s">
        <v>42</v>
      </c>
      <c r="E587" s="92" t="s">
        <v>67</v>
      </c>
      <c r="F587" s="92" t="s">
        <v>67</v>
      </c>
      <c r="G587" s="93">
        <v>4351585468</v>
      </c>
      <c r="H587" s="92"/>
      <c r="I587" s="87">
        <f ca="1">IFERROR(__xludf.DUMMYFUNCTION("""COMPUTED_VALUE"""),2019)</f>
        <v>2019</v>
      </c>
      <c r="J587" s="88" t="str">
        <f ca="1">IFERROR(__xludf.DUMMYFUNCTION("""COMPUTED_VALUE"""),"Scandinavia")</f>
        <v>Scandinavia</v>
      </c>
      <c r="K587" s="89">
        <f ca="1">IFERROR(
  SUMIFS(
    'New Backfilled Data'!G:G,
    'New Backfilled Data'!A:A, I587,
    'New Backfilled Data'!D:D, J587,
    'New Backfilled Data'!E:E, "Online"
  ) /
  SUMIFS(
    'New Backfilled Data'!G:G,
    'New Backfilled Data'!A:A, I587,
    'New Backfilled Data'!D:D, J587
  ),
  ""
)</f>
        <v>0.69672391190076155</v>
      </c>
      <c r="L587" s="90"/>
      <c r="M587" s="90"/>
    </row>
    <row r="588" spans="1:13" ht="17" x14ac:dyDescent="0.2">
      <c r="A588" s="94">
        <v>2009</v>
      </c>
      <c r="B588" s="95" t="s">
        <v>66</v>
      </c>
      <c r="C588" s="95" t="s">
        <v>41</v>
      </c>
      <c r="D588" s="95" t="s">
        <v>42</v>
      </c>
      <c r="E588" s="95" t="s">
        <v>69</v>
      </c>
      <c r="F588" s="95" t="s">
        <v>71</v>
      </c>
      <c r="G588" s="96">
        <v>377865407</v>
      </c>
      <c r="H588" s="95"/>
      <c r="I588" s="81">
        <f ca="1">IFERROR(__xludf.DUMMYFUNCTION("""COMPUTED_VALUE"""),2019)</f>
        <v>2019</v>
      </c>
      <c r="J588" s="82" t="str">
        <f ca="1">IFERROR(__xludf.DUMMYFUNCTION("""COMPUTED_VALUE"""),"Spain")</f>
        <v>Spain</v>
      </c>
      <c r="K588" s="83">
        <f ca="1">IFERROR(
  SUMIFS(
    'New Backfilled Data'!G:G,
    'New Backfilled Data'!A:A, I588,
    'New Backfilled Data'!D:D, J588,
    'New Backfilled Data'!E:E, "Online"
  ) /
  SUMIFS(
    'New Backfilled Data'!G:G,
    'New Backfilled Data'!A:A, I588,
    'New Backfilled Data'!D:D, J588
  ),
  ""
)</f>
        <v>0.45582544797093216</v>
      </c>
      <c r="L588" s="84"/>
      <c r="M588" s="84"/>
    </row>
    <row r="589" spans="1:13" ht="17" x14ac:dyDescent="0.2">
      <c r="A589" s="91">
        <v>2009</v>
      </c>
      <c r="B589" s="92" t="s">
        <v>66</v>
      </c>
      <c r="C589" s="92" t="s">
        <v>41</v>
      </c>
      <c r="D589" s="92" t="s">
        <v>42</v>
      </c>
      <c r="E589" s="92" t="s">
        <v>69</v>
      </c>
      <c r="F589" s="92" t="s">
        <v>70</v>
      </c>
      <c r="G589" s="93">
        <v>419363036</v>
      </c>
      <c r="H589" s="92"/>
      <c r="I589" s="87">
        <f ca="1">IFERROR(__xludf.DUMMYFUNCTION("""COMPUTED_VALUE"""),2019)</f>
        <v>2019</v>
      </c>
      <c r="J589" s="88" t="str">
        <f ca="1">IFERROR(__xludf.DUMMYFUNCTION("""COMPUTED_VALUE"""),"U.K.")</f>
        <v>U.K.</v>
      </c>
      <c r="K589" s="89">
        <f ca="1">IFERROR(
  SUMIFS(
    'New Backfilled Data'!G:G,
    'New Backfilled Data'!A:A, I589,
    'New Backfilled Data'!D:D, J589,
    'New Backfilled Data'!E:E, "Online"
  ) /
  SUMIFS(
    'New Backfilled Data'!G:G,
    'New Backfilled Data'!A:A, I589,
    'New Backfilled Data'!D:D, J589
  ),
  ""
)</f>
        <v>0.72927127671732372</v>
      </c>
      <c r="L589" s="90"/>
      <c r="M589" s="90"/>
    </row>
    <row r="590" spans="1:13" ht="17" x14ac:dyDescent="0.2">
      <c r="A590" s="94">
        <v>2009</v>
      </c>
      <c r="B590" s="95" t="s">
        <v>66</v>
      </c>
      <c r="C590" s="95" t="s">
        <v>41</v>
      </c>
      <c r="D590" s="95" t="s">
        <v>43</v>
      </c>
      <c r="E590" s="95" t="s">
        <v>67</v>
      </c>
      <c r="F590" s="95" t="s">
        <v>67</v>
      </c>
      <c r="G590" s="96">
        <v>7053814042</v>
      </c>
      <c r="H590" s="95"/>
      <c r="I590" s="81">
        <f ca="1">IFERROR(__xludf.DUMMYFUNCTION("""COMPUTED_VALUE"""),2019)</f>
        <v>2019</v>
      </c>
      <c r="J590" s="82" t="str">
        <f ca="1">IFERROR(__xludf.DUMMYFUNCTION("""COMPUTED_VALUE"""),"Argentina")</f>
        <v>Argentina</v>
      </c>
      <c r="K590" s="83">
        <f ca="1">IFERROR(
  SUMIFS(
    'New Backfilled Data'!G:G,
    'New Backfilled Data'!A:A, I590,
    'New Backfilled Data'!D:D, J590,
    'New Backfilled Data'!E:E, "Online"
  ) /
  SUMIFS(
    'New Backfilled Data'!G:G,
    'New Backfilled Data'!A:A, I590,
    'New Backfilled Data'!D:D, J590
  ),
  ""
)</f>
        <v>0.31534653467983392</v>
      </c>
      <c r="L590" s="84"/>
      <c r="M590" s="84"/>
    </row>
    <row r="591" spans="1:13" ht="17" x14ac:dyDescent="0.2">
      <c r="A591" s="91">
        <v>2009</v>
      </c>
      <c r="B591" s="92" t="s">
        <v>66</v>
      </c>
      <c r="C591" s="92" t="s">
        <v>41</v>
      </c>
      <c r="D591" s="92" t="s">
        <v>43</v>
      </c>
      <c r="E591" s="92" t="s">
        <v>69</v>
      </c>
      <c r="F591" s="92" t="s">
        <v>71</v>
      </c>
      <c r="G591" s="93">
        <v>272777661</v>
      </c>
      <c r="H591" s="92"/>
      <c r="I591" s="87">
        <f ca="1">IFERROR(__xludf.DUMMYFUNCTION("""COMPUTED_VALUE"""),2019)</f>
        <v>2019</v>
      </c>
      <c r="J591" s="88" t="str">
        <f ca="1">IFERROR(__xludf.DUMMYFUNCTION("""COMPUTED_VALUE"""),"Brazil")</f>
        <v>Brazil</v>
      </c>
      <c r="K591" s="89">
        <f ca="1">IFERROR(
  SUMIFS(
    'New Backfilled Data'!G:G,
    'New Backfilled Data'!A:A, I591,
    'New Backfilled Data'!D:D, J591,
    'New Backfilled Data'!E:E, "Online"
  ) /
  SUMIFS(
    'New Backfilled Data'!G:G,
    'New Backfilled Data'!A:A, I591,
    'New Backfilled Data'!D:D, J591
  ),
  ""
)</f>
        <v>0.42961365719959049</v>
      </c>
      <c r="L591" s="90"/>
      <c r="M591" s="90"/>
    </row>
    <row r="592" spans="1:13" ht="17" x14ac:dyDescent="0.2">
      <c r="A592" s="94">
        <v>2009</v>
      </c>
      <c r="B592" s="95" t="s">
        <v>66</v>
      </c>
      <c r="C592" s="95" t="s">
        <v>41</v>
      </c>
      <c r="D592" s="95" t="s">
        <v>43</v>
      </c>
      <c r="E592" s="95" t="s">
        <v>69</v>
      </c>
      <c r="F592" s="95" t="s">
        <v>70</v>
      </c>
      <c r="G592" s="96">
        <v>303049083</v>
      </c>
      <c r="H592" s="95"/>
      <c r="I592" s="81">
        <f ca="1">IFERROR(__xludf.DUMMYFUNCTION("""COMPUTED_VALUE"""),2019)</f>
        <v>2019</v>
      </c>
      <c r="J592" s="82" t="str">
        <f ca="1">IFERROR(__xludf.DUMMYFUNCTION("""COMPUTED_VALUE"""),"Chile")</f>
        <v>Chile</v>
      </c>
      <c r="K592" s="83">
        <f ca="1">IFERROR(
  SUMIFS(
    'New Backfilled Data'!G:G,
    'New Backfilled Data'!A:A, I592,
    'New Backfilled Data'!D:D, J592,
    'New Backfilled Data'!E:E, "Online"
  ) /
  SUMIFS(
    'New Backfilled Data'!G:G,
    'New Backfilled Data'!A:A, I592,
    'New Backfilled Data'!D:D, J592
  ),
  ""
)</f>
        <v>0.405931201927207</v>
      </c>
      <c r="L592" s="84"/>
      <c r="M592" s="84"/>
    </row>
    <row r="593" spans="1:13" ht="17" x14ac:dyDescent="0.2">
      <c r="A593" s="91">
        <v>2009</v>
      </c>
      <c r="B593" s="92" t="s">
        <v>66</v>
      </c>
      <c r="C593" s="92" t="s">
        <v>41</v>
      </c>
      <c r="D593" s="92" t="s">
        <v>44</v>
      </c>
      <c r="E593" s="92" t="s">
        <v>67</v>
      </c>
      <c r="F593" s="92" t="s">
        <v>67</v>
      </c>
      <c r="G593" s="93">
        <v>8209436344</v>
      </c>
      <c r="H593" s="92"/>
      <c r="I593" s="87">
        <f ca="1">IFERROR(__xludf.DUMMYFUNCTION("""COMPUTED_VALUE"""),2019)</f>
        <v>2019</v>
      </c>
      <c r="J593" s="88" t="str">
        <f ca="1">IFERROR(__xludf.DUMMYFUNCTION("""COMPUTED_VALUE"""),"Colombia")</f>
        <v>Colombia</v>
      </c>
      <c r="K593" s="89">
        <f ca="1">IFERROR(
  SUMIFS(
    'New Backfilled Data'!G:G,
    'New Backfilled Data'!A:A, I593,
    'New Backfilled Data'!D:D, J593,
    'New Backfilled Data'!E:E, "Online"
  ) /
  SUMIFS(
    'New Backfilled Data'!G:G,
    'New Backfilled Data'!A:A, I593,
    'New Backfilled Data'!D:D, J593
  ),
  ""
)</f>
        <v>0.37024281871039877</v>
      </c>
      <c r="L593" s="90"/>
      <c r="M593" s="90"/>
    </row>
    <row r="594" spans="1:13" ht="17" x14ac:dyDescent="0.2">
      <c r="A594" s="94">
        <v>2009</v>
      </c>
      <c r="B594" s="95" t="s">
        <v>66</v>
      </c>
      <c r="C594" s="95" t="s">
        <v>41</v>
      </c>
      <c r="D594" s="95" t="s">
        <v>44</v>
      </c>
      <c r="E594" s="95" t="s">
        <v>69</v>
      </c>
      <c r="F594" s="95" t="s">
        <v>71</v>
      </c>
      <c r="G594" s="96">
        <v>641659396</v>
      </c>
      <c r="H594" s="95"/>
      <c r="I594" s="81">
        <f ca="1">IFERROR(__xludf.DUMMYFUNCTION("""COMPUTED_VALUE"""),2019)</f>
        <v>2019</v>
      </c>
      <c r="J594" s="82" t="str">
        <f ca="1">IFERROR(__xludf.DUMMYFUNCTION("""COMPUTED_VALUE"""),"Mexico")</f>
        <v>Mexico</v>
      </c>
      <c r="K594" s="83">
        <f ca="1">IFERROR(
  SUMIFS(
    'New Backfilled Data'!G:G,
    'New Backfilled Data'!A:A, I594,
    'New Backfilled Data'!D:D, J594,
    'New Backfilled Data'!E:E, "Online"
  ) /
  SUMIFS(
    'New Backfilled Data'!G:G,
    'New Backfilled Data'!A:A, I594,
    'New Backfilled Data'!D:D, J594
  ),
  ""
)</f>
        <v>0.36855423768637358</v>
      </c>
      <c r="L594" s="84"/>
      <c r="M594" s="84"/>
    </row>
    <row r="595" spans="1:13" ht="17" x14ac:dyDescent="0.2">
      <c r="A595" s="91">
        <v>2009</v>
      </c>
      <c r="B595" s="92" t="s">
        <v>66</v>
      </c>
      <c r="C595" s="92" t="s">
        <v>41</v>
      </c>
      <c r="D595" s="92" t="s">
        <v>44</v>
      </c>
      <c r="E595" s="92" t="s">
        <v>69</v>
      </c>
      <c r="F595" s="92" t="s">
        <v>70</v>
      </c>
      <c r="G595" s="93">
        <v>355223529</v>
      </c>
      <c r="H595" s="92"/>
      <c r="I595" s="87">
        <f ca="1">IFERROR(__xludf.DUMMYFUNCTION("""COMPUTED_VALUE"""),2019)</f>
        <v>2019</v>
      </c>
      <c r="J595" s="88" t="str">
        <f ca="1">IFERROR(__xludf.DUMMYFUNCTION("""COMPUTED_VALUE"""),"Egypt")</f>
        <v>Egypt</v>
      </c>
      <c r="K595" s="89">
        <f ca="1">IFERROR(
  SUMIFS(
    'New Backfilled Data'!G:G,
    'New Backfilled Data'!A:A, I595,
    'New Backfilled Data'!D:D, J595,
    'New Backfilled Data'!E:E, "Online"
  ) /
  SUMIFS(
    'New Backfilled Data'!G:G,
    'New Backfilled Data'!A:A, I595,
    'New Backfilled Data'!D:D, J595
  ),
  ""
)</f>
        <v>0.24583231612799136</v>
      </c>
      <c r="L595" s="90"/>
      <c r="M595" s="90"/>
    </row>
    <row r="596" spans="1:13" ht="17" x14ac:dyDescent="0.2">
      <c r="A596" s="94">
        <v>2009</v>
      </c>
      <c r="B596" s="95" t="s">
        <v>66</v>
      </c>
      <c r="C596" s="95" t="s">
        <v>41</v>
      </c>
      <c r="D596" s="95" t="s">
        <v>45</v>
      </c>
      <c r="E596" s="95" t="s">
        <v>67</v>
      </c>
      <c r="F596" s="95" t="s">
        <v>67</v>
      </c>
      <c r="G596" s="96">
        <v>17979546687</v>
      </c>
      <c r="H596" s="95"/>
      <c r="I596" s="81">
        <f ca="1">IFERROR(__xludf.DUMMYFUNCTION("""COMPUTED_VALUE"""),2019)</f>
        <v>2019</v>
      </c>
      <c r="J596" s="82" t="str">
        <f ca="1">IFERROR(__xludf.DUMMYFUNCTION("""COMPUTED_VALUE"""),"Qatar")</f>
        <v>Qatar</v>
      </c>
      <c r="K596" s="83">
        <f ca="1">IFERROR(
  SUMIFS(
    'New Backfilled Data'!G:G,
    'New Backfilled Data'!A:A, I596,
    'New Backfilled Data'!D:D, J596,
    'New Backfilled Data'!E:E, "Online"
  ) /
  SUMIFS(
    'New Backfilled Data'!G:G,
    'New Backfilled Data'!A:A, I596,
    'New Backfilled Data'!D:D, J596
  ),
  ""
)</f>
        <v>0.32813691086160324</v>
      </c>
      <c r="L596" s="84"/>
      <c r="M596" s="84"/>
    </row>
    <row r="597" spans="1:13" ht="34" x14ac:dyDescent="0.2">
      <c r="A597" s="91">
        <v>2009</v>
      </c>
      <c r="B597" s="92" t="s">
        <v>66</v>
      </c>
      <c r="C597" s="92" t="s">
        <v>41</v>
      </c>
      <c r="D597" s="92" t="s">
        <v>45</v>
      </c>
      <c r="E597" s="92" t="s">
        <v>69</v>
      </c>
      <c r="F597" s="92" t="s">
        <v>71</v>
      </c>
      <c r="G597" s="93">
        <v>1561065892</v>
      </c>
      <c r="H597" s="92"/>
      <c r="I597" s="87">
        <f ca="1">IFERROR(__xludf.DUMMYFUNCTION("""COMPUTED_VALUE"""),2019)</f>
        <v>2019</v>
      </c>
      <c r="J597" s="88" t="str">
        <f ca="1">IFERROR(__xludf.DUMMYFUNCTION("""COMPUTED_VALUE"""),"Rest of Middle East")</f>
        <v>Rest of Middle East</v>
      </c>
      <c r="K597" s="89">
        <f ca="1">IFERROR(
  SUMIFS(
    'New Backfilled Data'!G:G,
    'New Backfilled Data'!A:A, I597,
    'New Backfilled Data'!D:D, J597,
    'New Backfilled Data'!E:E, "Online"
  ) /
  SUMIFS(
    'New Backfilled Data'!G:G,
    'New Backfilled Data'!A:A, I597,
    'New Backfilled Data'!D:D, J597
  ),
  ""
)</f>
        <v>0.3170210832401818</v>
      </c>
      <c r="L597" s="90"/>
      <c r="M597" s="90"/>
    </row>
    <row r="598" spans="1:13" ht="17" x14ac:dyDescent="0.2">
      <c r="A598" s="94">
        <v>2009</v>
      </c>
      <c r="B598" s="95" t="s">
        <v>66</v>
      </c>
      <c r="C598" s="95" t="s">
        <v>41</v>
      </c>
      <c r="D598" s="95" t="s">
        <v>45</v>
      </c>
      <c r="E598" s="95" t="s">
        <v>69</v>
      </c>
      <c r="F598" s="95" t="s">
        <v>70</v>
      </c>
      <c r="G598" s="96">
        <v>1483070491</v>
      </c>
      <c r="H598" s="95"/>
      <c r="I598" s="81">
        <f ca="1">IFERROR(__xludf.DUMMYFUNCTION("""COMPUTED_VALUE"""),2019)</f>
        <v>2019</v>
      </c>
      <c r="J598" s="82" t="str">
        <f ca="1">IFERROR(__xludf.DUMMYFUNCTION("""COMPUTED_VALUE"""),"Saudi Arabia")</f>
        <v>Saudi Arabia</v>
      </c>
      <c r="K598" s="83">
        <f ca="1">IFERROR(
  SUMIFS(
    'New Backfilled Data'!G:G,
    'New Backfilled Data'!A:A, I598,
    'New Backfilled Data'!D:D, J598,
    'New Backfilled Data'!E:E, "Online"
  ) /
  SUMIFS(
    'New Backfilled Data'!G:G,
    'New Backfilled Data'!A:A, I598,
    'New Backfilled Data'!D:D, J598
  ),
  ""
)</f>
        <v>0.36664277753678531</v>
      </c>
      <c r="L598" s="84"/>
      <c r="M598" s="84"/>
    </row>
    <row r="599" spans="1:13" ht="17" x14ac:dyDescent="0.2">
      <c r="A599" s="91">
        <v>2009</v>
      </c>
      <c r="B599" s="92" t="s">
        <v>66</v>
      </c>
      <c r="C599" s="92" t="s">
        <v>47</v>
      </c>
      <c r="D599" s="92" t="s">
        <v>46</v>
      </c>
      <c r="E599" s="92" t="s">
        <v>67</v>
      </c>
      <c r="F599" s="92" t="s">
        <v>67</v>
      </c>
      <c r="G599" s="93">
        <v>14890662743</v>
      </c>
      <c r="H599" s="92"/>
      <c r="I599" s="87">
        <f ca="1">IFERROR(__xludf.DUMMYFUNCTION("""COMPUTED_VALUE"""),2019)</f>
        <v>2019</v>
      </c>
      <c r="J599" s="88" t="str">
        <f ca="1">IFERROR(__xludf.DUMMYFUNCTION("""COMPUTED_VALUE"""),"U.A.E.")</f>
        <v>U.A.E.</v>
      </c>
      <c r="K599" s="89">
        <f ca="1">IFERROR(
  SUMIFS(
    'New Backfilled Data'!G:G,
    'New Backfilled Data'!A:A, I599,
    'New Backfilled Data'!D:D, J599,
    'New Backfilled Data'!E:E, "Online"
  ) /
  SUMIFS(
    'New Backfilled Data'!G:G,
    'New Backfilled Data'!A:A, I599,
    'New Backfilled Data'!D:D, J599
  ),
  ""
)</f>
        <v>0.38024176810448662</v>
      </c>
      <c r="L599" s="90"/>
      <c r="M599" s="90"/>
    </row>
    <row r="600" spans="1:13" ht="17" x14ac:dyDescent="0.2">
      <c r="A600" s="94">
        <v>2009</v>
      </c>
      <c r="B600" s="95" t="s">
        <v>66</v>
      </c>
      <c r="C600" s="95" t="s">
        <v>47</v>
      </c>
      <c r="D600" s="95" t="s">
        <v>46</v>
      </c>
      <c r="E600" s="95" t="s">
        <v>69</v>
      </c>
      <c r="F600" s="95" t="s">
        <v>71</v>
      </c>
      <c r="G600" s="96">
        <v>2363526657</v>
      </c>
      <c r="H600" s="95"/>
      <c r="I600" s="81">
        <f ca="1">IFERROR(__xludf.DUMMYFUNCTION("""COMPUTED_VALUE"""),2019)</f>
        <v>2019</v>
      </c>
      <c r="J600" s="82" t="str">
        <f ca="1">IFERROR(__xludf.DUMMYFUNCTION("""COMPUTED_VALUE"""),"Canada")</f>
        <v>Canada</v>
      </c>
      <c r="K600" s="83">
        <f ca="1">IFERROR(
  SUMIFS(
    'New Backfilled Data'!G:G,
    'New Backfilled Data'!A:A, I600,
    'New Backfilled Data'!D:D, J600,
    'New Backfilled Data'!E:E, "Online"
  ) /
  SUMIFS(
    'New Backfilled Data'!G:G,
    'New Backfilled Data'!A:A, I600,
    'New Backfilled Data'!D:D, J600
  ),
  ""
)</f>
        <v>0.53289545788101889</v>
      </c>
      <c r="L600" s="84"/>
      <c r="M600" s="84"/>
    </row>
    <row r="601" spans="1:13" ht="17" x14ac:dyDescent="0.2">
      <c r="A601" s="91">
        <v>2009</v>
      </c>
      <c r="B601" s="92" t="s">
        <v>66</v>
      </c>
      <c r="C601" s="92" t="s">
        <v>47</v>
      </c>
      <c r="D601" s="92" t="s">
        <v>46</v>
      </c>
      <c r="E601" s="92" t="s">
        <v>69</v>
      </c>
      <c r="F601" s="92" t="s">
        <v>70</v>
      </c>
      <c r="G601" s="93">
        <v>6024044595</v>
      </c>
      <c r="H601" s="92"/>
      <c r="I601" s="87">
        <f ca="1">IFERROR(__xludf.DUMMYFUNCTION("""COMPUTED_VALUE"""),2019)</f>
        <v>2019</v>
      </c>
      <c r="J601" s="88" t="str">
        <f ca="1">IFERROR(__xludf.DUMMYFUNCTION("""COMPUTED_VALUE"""),"U.S.")</f>
        <v>U.S.</v>
      </c>
      <c r="K601" s="89">
        <f ca="1">IFERROR(
  SUMIFS(
    'New Backfilled Data'!G:G,
    'New Backfilled Data'!A:A, I601,
    'New Backfilled Data'!D:D, J601,
    'New Backfilled Data'!E:E, "Online"
  ) /
  SUMIFS(
    'New Backfilled Data'!G:G,
    'New Backfilled Data'!A:A, I601,
    'New Backfilled Data'!D:D, J601
  ),
  ""
)</f>
        <v>0.52956572060725016</v>
      </c>
      <c r="L601" s="90"/>
      <c r="M601" s="90"/>
    </row>
    <row r="602" spans="1:13" ht="34" x14ac:dyDescent="0.2">
      <c r="A602" s="94">
        <v>2009</v>
      </c>
      <c r="B602" s="95" t="s">
        <v>66</v>
      </c>
      <c r="C602" s="95" t="s">
        <v>47</v>
      </c>
      <c r="D602" s="95" t="s">
        <v>48</v>
      </c>
      <c r="E602" s="95" t="s">
        <v>72</v>
      </c>
      <c r="F602" s="95" t="s">
        <v>73</v>
      </c>
      <c r="G602" s="96">
        <v>71508614324</v>
      </c>
      <c r="H602" s="95"/>
      <c r="I602" s="81">
        <f ca="1">IFERROR(__xludf.DUMMYFUNCTION("""COMPUTED_VALUE"""),2020)</f>
        <v>2020</v>
      </c>
      <c r="J602" s="82" t="str">
        <f ca="1">IFERROR(__xludf.DUMMYFUNCTION("""COMPUTED_VALUE"""),"Australia-New Zealand")</f>
        <v>Australia-New Zealand</v>
      </c>
      <c r="K602" s="83">
        <f ca="1">IFERROR(
  SUMIFS(
    'New Backfilled Data'!G:G,
    'New Backfilled Data'!A:A, I602,
    'New Backfilled Data'!D:D, J602,
    'New Backfilled Data'!E:E, "Online"
  ) /
  SUMIFS(
    'New Backfilled Data'!G:G,
    'New Backfilled Data'!A:A, I602,
    'New Backfilled Data'!D:D, J602
  ),
  ""
)</f>
        <v>0.5038603477704382</v>
      </c>
      <c r="L602" s="84"/>
      <c r="M602" s="84"/>
    </row>
    <row r="603" spans="1:13" ht="17" x14ac:dyDescent="0.2">
      <c r="A603" s="91">
        <v>2009</v>
      </c>
      <c r="B603" s="92" t="s">
        <v>66</v>
      </c>
      <c r="C603" s="92" t="s">
        <v>47</v>
      </c>
      <c r="D603" s="92" t="s">
        <v>48</v>
      </c>
      <c r="E603" s="92" t="s">
        <v>67</v>
      </c>
      <c r="F603" s="92" t="s">
        <v>74</v>
      </c>
      <c r="G603" s="93">
        <v>70691252594</v>
      </c>
      <c r="H603" s="92"/>
      <c r="I603" s="87">
        <f ca="1">IFERROR(__xludf.DUMMYFUNCTION("""COMPUTED_VALUE"""),2020)</f>
        <v>2020</v>
      </c>
      <c r="J603" s="88" t="str">
        <f ca="1">IFERROR(__xludf.DUMMYFUNCTION("""COMPUTED_VALUE"""),"China")</f>
        <v>China</v>
      </c>
      <c r="K603" s="89">
        <f ca="1">IFERROR(
  SUMIFS(
    'New Backfilled Data'!G:G,
    'New Backfilled Data'!A:A, I603,
    'New Backfilled Data'!D:D, J603,
    'New Backfilled Data'!E:E, "Online"
  ) /
  SUMIFS(
    'New Backfilled Data'!G:G,
    'New Backfilled Data'!A:A, I603,
    'New Backfilled Data'!D:D, J603
  ),
  ""
)</f>
        <v>0.62316374630629212</v>
      </c>
      <c r="L603" s="90"/>
      <c r="M603" s="90"/>
    </row>
    <row r="604" spans="1:13" ht="17" x14ac:dyDescent="0.2">
      <c r="A604" s="94">
        <v>2009</v>
      </c>
      <c r="B604" s="95" t="s">
        <v>66</v>
      </c>
      <c r="C604" s="95" t="s">
        <v>47</v>
      </c>
      <c r="D604" s="95" t="s">
        <v>48</v>
      </c>
      <c r="E604" s="95" t="s">
        <v>69</v>
      </c>
      <c r="F604" s="95" t="s">
        <v>71</v>
      </c>
      <c r="G604" s="96">
        <v>35569224768</v>
      </c>
      <c r="H604" s="95"/>
      <c r="I604" s="81">
        <f ca="1">IFERROR(__xludf.DUMMYFUNCTION("""COMPUTED_VALUE"""),2020)</f>
        <v>2020</v>
      </c>
      <c r="J604" s="82" t="str">
        <f ca="1">IFERROR(__xludf.DUMMYFUNCTION("""COMPUTED_VALUE"""),"Hong Kong")</f>
        <v>Hong Kong</v>
      </c>
      <c r="K604" s="83">
        <f ca="1">IFERROR(
  SUMIFS(
    'New Backfilled Data'!G:G,
    'New Backfilled Data'!A:A, I604,
    'New Backfilled Data'!D:D, J604,
    'New Backfilled Data'!E:E, "Online"
  ) /
  SUMIFS(
    'New Backfilled Data'!G:G,
    'New Backfilled Data'!A:A, I604,
    'New Backfilled Data'!D:D, J604
  ),
  ""
)</f>
        <v>0.24291603339818796</v>
      </c>
      <c r="L604" s="84"/>
      <c r="M604" s="84"/>
    </row>
    <row r="605" spans="1:13" ht="17" x14ac:dyDescent="0.2">
      <c r="A605" s="91">
        <v>2009</v>
      </c>
      <c r="B605" s="92" t="s">
        <v>66</v>
      </c>
      <c r="C605" s="92" t="s">
        <v>47</v>
      </c>
      <c r="D605" s="92" t="s">
        <v>48</v>
      </c>
      <c r="E605" s="92" t="s">
        <v>69</v>
      </c>
      <c r="F605" s="92" t="s">
        <v>70</v>
      </c>
      <c r="G605" s="93">
        <v>54210351788</v>
      </c>
      <c r="H605" s="92"/>
      <c r="I605" s="87">
        <f ca="1">IFERROR(__xludf.DUMMYFUNCTION("""COMPUTED_VALUE"""),2020)</f>
        <v>2020</v>
      </c>
      <c r="J605" s="88" t="str">
        <f ca="1">IFERROR(__xludf.DUMMYFUNCTION("""COMPUTED_VALUE"""),"India")</f>
        <v>India</v>
      </c>
      <c r="K605" s="89">
        <f ca="1">IFERROR(
  SUMIFS(
    'New Backfilled Data'!G:G,
    'New Backfilled Data'!A:A, I605,
    'New Backfilled Data'!D:D, J605,
    'New Backfilled Data'!E:E, "Online"
  ) /
  SUMIFS(
    'New Backfilled Data'!G:G,
    'New Backfilled Data'!A:A, I605,
    'New Backfilled Data'!D:D, J605
  ),
  ""
)</f>
        <v>0.47906037849044136</v>
      </c>
      <c r="L605" s="90"/>
      <c r="M605" s="90"/>
    </row>
    <row r="606" spans="1:13" ht="17" x14ac:dyDescent="0.2">
      <c r="A606" s="94">
        <v>2010</v>
      </c>
      <c r="B606" s="95" t="s">
        <v>66</v>
      </c>
      <c r="C606" s="95" t="s">
        <v>4</v>
      </c>
      <c r="D606" s="95" t="s">
        <v>3</v>
      </c>
      <c r="E606" s="95" t="s">
        <v>67</v>
      </c>
      <c r="F606" s="95" t="s">
        <v>67</v>
      </c>
      <c r="G606" s="96">
        <v>18737447258</v>
      </c>
      <c r="H606" s="95"/>
      <c r="I606" s="81">
        <f ca="1">IFERROR(__xludf.DUMMYFUNCTION("""COMPUTED_VALUE"""),2020)</f>
        <v>2020</v>
      </c>
      <c r="J606" s="82" t="str">
        <f ca="1">IFERROR(__xludf.DUMMYFUNCTION("""COMPUTED_VALUE"""),"Indonesia")</f>
        <v>Indonesia</v>
      </c>
      <c r="K606" s="83">
        <f ca="1">IFERROR(
  SUMIFS(
    'New Backfilled Data'!G:G,
    'New Backfilled Data'!A:A, I606,
    'New Backfilled Data'!D:D, J606,
    'New Backfilled Data'!E:E, "Online"
  ) /
  SUMIFS(
    'New Backfilled Data'!G:G,
    'New Backfilled Data'!A:A, I606,
    'New Backfilled Data'!D:D, J606
  ),
  ""
)</f>
        <v>0.4259217360352261</v>
      </c>
      <c r="L606" s="84"/>
      <c r="M606" s="84"/>
    </row>
    <row r="607" spans="1:13" ht="17" x14ac:dyDescent="0.2">
      <c r="A607" s="91">
        <v>2010</v>
      </c>
      <c r="B607" s="92" t="s">
        <v>66</v>
      </c>
      <c r="C607" s="92" t="s">
        <v>4</v>
      </c>
      <c r="D607" s="92" t="s">
        <v>3</v>
      </c>
      <c r="E607" s="92" t="s">
        <v>69</v>
      </c>
      <c r="F607" s="92" t="s">
        <v>71</v>
      </c>
      <c r="G607" s="93">
        <v>1667698213</v>
      </c>
      <c r="H607" s="92"/>
      <c r="I607" s="87">
        <f ca="1">IFERROR(__xludf.DUMMYFUNCTION("""COMPUTED_VALUE"""),2020)</f>
        <v>2020</v>
      </c>
      <c r="J607" s="88" t="str">
        <f ca="1">IFERROR(__xludf.DUMMYFUNCTION("""COMPUTED_VALUE"""),"Japan")</f>
        <v>Japan</v>
      </c>
      <c r="K607" s="89">
        <f ca="1">IFERROR(
  SUMIFS(
    'New Backfilled Data'!G:G,
    'New Backfilled Data'!A:A, I607,
    'New Backfilled Data'!D:D, J607,
    'New Backfilled Data'!E:E, "Online"
  ) /
  SUMIFS(
    'New Backfilled Data'!G:G,
    'New Backfilled Data'!A:A, I607,
    'New Backfilled Data'!D:D, J607
  ),
  ""
)</f>
        <v>0.46202899613368775</v>
      </c>
      <c r="L607" s="90"/>
      <c r="M607" s="90"/>
    </row>
    <row r="608" spans="1:13" ht="17" x14ac:dyDescent="0.2">
      <c r="A608" s="94">
        <v>2010</v>
      </c>
      <c r="B608" s="95" t="s">
        <v>66</v>
      </c>
      <c r="C608" s="95" t="s">
        <v>4</v>
      </c>
      <c r="D608" s="95" t="s">
        <v>3</v>
      </c>
      <c r="E608" s="95" t="s">
        <v>69</v>
      </c>
      <c r="F608" s="95" t="s">
        <v>70</v>
      </c>
      <c r="G608" s="96">
        <v>7417407614</v>
      </c>
      <c r="H608" s="95"/>
      <c r="I608" s="81">
        <f ca="1">IFERROR(__xludf.DUMMYFUNCTION("""COMPUTED_VALUE"""),2020)</f>
        <v>2020</v>
      </c>
      <c r="J608" s="82" t="str">
        <f ca="1">IFERROR(__xludf.DUMMYFUNCTION("""COMPUTED_VALUE"""),"Macau")</f>
        <v>Macau</v>
      </c>
      <c r="K608" s="83">
        <f ca="1">IFERROR(
  SUMIFS(
    'New Backfilled Data'!G:G,
    'New Backfilled Data'!A:A, I608,
    'New Backfilled Data'!D:D, J608,
    'New Backfilled Data'!E:E, "Online"
  ) /
  SUMIFS(
    'New Backfilled Data'!G:G,
    'New Backfilled Data'!A:A, I608,
    'New Backfilled Data'!D:D, J608
  ),
  ""
)</f>
        <v>0.38599999975808513</v>
      </c>
      <c r="L608" s="84"/>
      <c r="M608" s="84"/>
    </row>
    <row r="609" spans="1:13" ht="17" x14ac:dyDescent="0.2">
      <c r="A609" s="91">
        <v>2010</v>
      </c>
      <c r="B609" s="92" t="s">
        <v>66</v>
      </c>
      <c r="C609" s="92" t="s">
        <v>4</v>
      </c>
      <c r="D609" s="92" t="s">
        <v>5</v>
      </c>
      <c r="E609" s="92" t="s">
        <v>67</v>
      </c>
      <c r="F609" s="92" t="s">
        <v>67</v>
      </c>
      <c r="G609" s="93">
        <v>69695817334</v>
      </c>
      <c r="H609" s="92"/>
      <c r="I609" s="87">
        <f ca="1">IFERROR(__xludf.DUMMYFUNCTION("""COMPUTED_VALUE"""),2020)</f>
        <v>2020</v>
      </c>
      <c r="J609" s="88" t="str">
        <f ca="1">IFERROR(__xludf.DUMMYFUNCTION("""COMPUTED_VALUE"""),"Malaysia")</f>
        <v>Malaysia</v>
      </c>
      <c r="K609" s="89">
        <f ca="1">IFERROR(
  SUMIFS(
    'New Backfilled Data'!G:G,
    'New Backfilled Data'!A:A, I609,
    'New Backfilled Data'!D:D, J609,
    'New Backfilled Data'!E:E, "Online"
  ) /
  SUMIFS(
    'New Backfilled Data'!G:G,
    'New Backfilled Data'!A:A, I609,
    'New Backfilled Data'!D:D, J609
  ),
  ""
)</f>
        <v>0.42508583321721544</v>
      </c>
      <c r="L609" s="90"/>
      <c r="M609" s="90"/>
    </row>
    <row r="610" spans="1:13" ht="17" x14ac:dyDescent="0.2">
      <c r="A610" s="94">
        <v>2010</v>
      </c>
      <c r="B610" s="95" t="s">
        <v>66</v>
      </c>
      <c r="C610" s="95" t="s">
        <v>4</v>
      </c>
      <c r="D610" s="95" t="s">
        <v>5</v>
      </c>
      <c r="E610" s="95" t="s">
        <v>69</v>
      </c>
      <c r="F610" s="95" t="s">
        <v>71</v>
      </c>
      <c r="G610" s="96">
        <v>3407773909</v>
      </c>
      <c r="H610" s="95"/>
      <c r="I610" s="81">
        <f ca="1">IFERROR(__xludf.DUMMYFUNCTION("""COMPUTED_VALUE"""),2020)</f>
        <v>2020</v>
      </c>
      <c r="J610" s="82" t="str">
        <f ca="1">IFERROR(__xludf.DUMMYFUNCTION("""COMPUTED_VALUE"""),"Singapore")</f>
        <v>Singapore</v>
      </c>
      <c r="K610" s="83">
        <f ca="1">IFERROR(
  SUMIFS(
    'New Backfilled Data'!G:G,
    'New Backfilled Data'!A:A, I610,
    'New Backfilled Data'!D:D, J610,
    'New Backfilled Data'!E:E, "Online"
  ) /
  SUMIFS(
    'New Backfilled Data'!G:G,
    'New Backfilled Data'!A:A, I610,
    'New Backfilled Data'!D:D, J610
  ),
  ""
)</f>
        <v>0.52510212625941999</v>
      </c>
      <c r="L610" s="84"/>
      <c r="M610" s="84"/>
    </row>
    <row r="611" spans="1:13" ht="17" x14ac:dyDescent="0.2">
      <c r="A611" s="91">
        <v>2010</v>
      </c>
      <c r="B611" s="92" t="s">
        <v>66</v>
      </c>
      <c r="C611" s="92" t="s">
        <v>4</v>
      </c>
      <c r="D611" s="92" t="s">
        <v>5</v>
      </c>
      <c r="E611" s="92" t="s">
        <v>69</v>
      </c>
      <c r="F611" s="92" t="s">
        <v>70</v>
      </c>
      <c r="G611" s="93">
        <v>3365560518</v>
      </c>
      <c r="H611" s="92"/>
      <c r="I611" s="87">
        <f ca="1">IFERROR(__xludf.DUMMYFUNCTION("""COMPUTED_VALUE"""),2020)</f>
        <v>2020</v>
      </c>
      <c r="J611" s="88" t="str">
        <f ca="1">IFERROR(__xludf.DUMMYFUNCTION("""COMPUTED_VALUE"""),"South Korea")</f>
        <v>South Korea</v>
      </c>
      <c r="K611" s="89">
        <f ca="1">IFERROR(
  SUMIFS(
    'New Backfilled Data'!G:G,
    'New Backfilled Data'!A:A, I611,
    'New Backfilled Data'!D:D, J611,
    'New Backfilled Data'!E:E, "Online"
  ) /
  SUMIFS(
    'New Backfilled Data'!G:G,
    'New Backfilled Data'!A:A, I611,
    'New Backfilled Data'!D:D, J611
  ),
  ""
)</f>
        <v>0.53152466737552839</v>
      </c>
      <c r="L611" s="90"/>
      <c r="M611" s="90"/>
    </row>
    <row r="612" spans="1:13" ht="17" x14ac:dyDescent="0.2">
      <c r="A612" s="94">
        <v>2010</v>
      </c>
      <c r="B612" s="95" t="s">
        <v>66</v>
      </c>
      <c r="C612" s="95" t="s">
        <v>4</v>
      </c>
      <c r="D612" s="95" t="s">
        <v>6</v>
      </c>
      <c r="E612" s="95" t="s">
        <v>67</v>
      </c>
      <c r="F612" s="95" t="s">
        <v>67</v>
      </c>
      <c r="G612" s="96">
        <v>10527783022</v>
      </c>
      <c r="H612" s="95"/>
      <c r="I612" s="81">
        <f ca="1">IFERROR(__xludf.DUMMYFUNCTION("""COMPUTED_VALUE"""),2020)</f>
        <v>2020</v>
      </c>
      <c r="J612" s="82" t="str">
        <f ca="1">IFERROR(__xludf.DUMMYFUNCTION("""COMPUTED_VALUE"""),"Taiwan")</f>
        <v>Taiwan</v>
      </c>
      <c r="K612" s="83">
        <f ca="1">IFERROR(
  SUMIFS(
    'New Backfilled Data'!G:G,
    'New Backfilled Data'!A:A, I612,
    'New Backfilled Data'!D:D, J612,
    'New Backfilled Data'!E:E, "Online"
  ) /
  SUMIFS(
    'New Backfilled Data'!G:G,
    'New Backfilled Data'!A:A, I612,
    'New Backfilled Data'!D:D, J612
  ),
  ""
)</f>
        <v>0.36745525550470398</v>
      </c>
      <c r="L612" s="84"/>
      <c r="M612" s="84"/>
    </row>
    <row r="613" spans="1:13" ht="17" x14ac:dyDescent="0.2">
      <c r="A613" s="91">
        <v>2010</v>
      </c>
      <c r="B613" s="92" t="s">
        <v>66</v>
      </c>
      <c r="C613" s="92" t="s">
        <v>4</v>
      </c>
      <c r="D613" s="92" t="s">
        <v>6</v>
      </c>
      <c r="E613" s="92" t="s">
        <v>69</v>
      </c>
      <c r="F613" s="92" t="s">
        <v>71</v>
      </c>
      <c r="G613" s="93">
        <v>175131028</v>
      </c>
      <c r="H613" s="92"/>
      <c r="I613" s="87">
        <f ca="1">IFERROR(__xludf.DUMMYFUNCTION("""COMPUTED_VALUE"""),2020)</f>
        <v>2020</v>
      </c>
      <c r="J613" s="88" t="str">
        <f ca="1">IFERROR(__xludf.DUMMYFUNCTION("""COMPUTED_VALUE"""),"Thailand")</f>
        <v>Thailand</v>
      </c>
      <c r="K613" s="89">
        <f ca="1">IFERROR(
  SUMIFS(
    'New Backfilled Data'!G:G,
    'New Backfilled Data'!A:A, I613,
    'New Backfilled Data'!D:D, J613,
    'New Backfilled Data'!E:E, "Online"
  ) /
  SUMIFS(
    'New Backfilled Data'!G:G,
    'New Backfilled Data'!A:A, I613,
    'New Backfilled Data'!D:D, J613
  ),
  ""
)</f>
        <v>0.3974807031644173</v>
      </c>
      <c r="L613" s="90"/>
      <c r="M613" s="90"/>
    </row>
    <row r="614" spans="1:13" ht="17" x14ac:dyDescent="0.2">
      <c r="A614" s="94">
        <v>2010</v>
      </c>
      <c r="B614" s="95" t="s">
        <v>66</v>
      </c>
      <c r="C614" s="95" t="s">
        <v>4</v>
      </c>
      <c r="D614" s="95" t="s">
        <v>6</v>
      </c>
      <c r="E614" s="95" t="s">
        <v>69</v>
      </c>
      <c r="F614" s="95" t="s">
        <v>70</v>
      </c>
      <c r="G614" s="96">
        <v>536951215</v>
      </c>
      <c r="H614" s="95"/>
      <c r="I614" s="81">
        <f ca="1">IFERROR(__xludf.DUMMYFUNCTION("""COMPUTED_VALUE"""),2020)</f>
        <v>2020</v>
      </c>
      <c r="J614" s="82" t="str">
        <f ca="1">IFERROR(__xludf.DUMMYFUNCTION("""COMPUTED_VALUE"""),"Bulgaria")</f>
        <v>Bulgaria</v>
      </c>
      <c r="K614" s="83">
        <f ca="1">IFERROR(
  SUMIFS(
    'New Backfilled Data'!G:G,
    'New Backfilled Data'!A:A, I614,
    'New Backfilled Data'!D:D, J614,
    'New Backfilled Data'!E:E, "Online"
  ) /
  SUMIFS(
    'New Backfilled Data'!G:G,
    'New Backfilled Data'!A:A, I614,
    'New Backfilled Data'!D:D, J614
  ),
  ""
)</f>
        <v>0.3735953090462526</v>
      </c>
      <c r="L614" s="84"/>
      <c r="M614" s="84"/>
    </row>
    <row r="615" spans="1:13" ht="17" x14ac:dyDescent="0.2">
      <c r="A615" s="91">
        <v>2010</v>
      </c>
      <c r="B615" s="92" t="s">
        <v>66</v>
      </c>
      <c r="C615" s="92" t="s">
        <v>4</v>
      </c>
      <c r="D615" s="92" t="s">
        <v>7</v>
      </c>
      <c r="E615" s="92" t="s">
        <v>67</v>
      </c>
      <c r="F615" s="92" t="s">
        <v>67</v>
      </c>
      <c r="G615" s="93">
        <v>15596271079</v>
      </c>
      <c r="H615" s="92"/>
      <c r="I615" s="87">
        <f ca="1">IFERROR(__xludf.DUMMYFUNCTION("""COMPUTED_VALUE"""),2020)</f>
        <v>2020</v>
      </c>
      <c r="J615" s="88" t="str">
        <f ca="1">IFERROR(__xludf.DUMMYFUNCTION("""COMPUTED_VALUE"""),"Czech Republic")</f>
        <v>Czech Republic</v>
      </c>
      <c r="K615" s="89">
        <f ca="1">IFERROR(
  SUMIFS(
    'New Backfilled Data'!G:G,
    'New Backfilled Data'!A:A, I615,
    'New Backfilled Data'!D:D, J615,
    'New Backfilled Data'!E:E, "Online"
  ) /
  SUMIFS(
    'New Backfilled Data'!G:G,
    'New Backfilled Data'!A:A, I615,
    'New Backfilled Data'!D:D, J615
  ),
  ""
)</f>
        <v>0.50272182209056593</v>
      </c>
      <c r="L615" s="90"/>
      <c r="M615" s="90"/>
    </row>
    <row r="616" spans="1:13" ht="17" x14ac:dyDescent="0.2">
      <c r="A616" s="94">
        <v>2010</v>
      </c>
      <c r="B616" s="95" t="s">
        <v>66</v>
      </c>
      <c r="C616" s="95" t="s">
        <v>4</v>
      </c>
      <c r="D616" s="95" t="s">
        <v>7</v>
      </c>
      <c r="E616" s="95" t="s">
        <v>69</v>
      </c>
      <c r="F616" s="95" t="s">
        <v>71</v>
      </c>
      <c r="G616" s="96">
        <v>1699023105</v>
      </c>
      <c r="H616" s="95"/>
      <c r="I616" s="81">
        <f ca="1">IFERROR(__xludf.DUMMYFUNCTION("""COMPUTED_VALUE"""),2020)</f>
        <v>2020</v>
      </c>
      <c r="J616" s="82" t="str">
        <f ca="1">IFERROR(__xludf.DUMMYFUNCTION("""COMPUTED_VALUE"""),"Greece")</f>
        <v>Greece</v>
      </c>
      <c r="K616" s="83">
        <f ca="1">IFERROR(
  SUMIFS(
    'New Backfilled Data'!G:G,
    'New Backfilled Data'!A:A, I616,
    'New Backfilled Data'!D:D, J616,
    'New Backfilled Data'!E:E, "Online"
  ) /
  SUMIFS(
    'New Backfilled Data'!G:G,
    'New Backfilled Data'!A:A, I616,
    'New Backfilled Data'!D:D, J616
  ),
  ""
)</f>
        <v>0.39203763653616958</v>
      </c>
      <c r="L616" s="84"/>
      <c r="M616" s="84"/>
    </row>
    <row r="617" spans="1:13" ht="17" x14ac:dyDescent="0.2">
      <c r="A617" s="91">
        <v>2010</v>
      </c>
      <c r="B617" s="92" t="s">
        <v>66</v>
      </c>
      <c r="C617" s="92" t="s">
        <v>4</v>
      </c>
      <c r="D617" s="92" t="s">
        <v>7</v>
      </c>
      <c r="E617" s="92" t="s">
        <v>69</v>
      </c>
      <c r="F617" s="92" t="s">
        <v>70</v>
      </c>
      <c r="G617" s="93">
        <v>3269612753</v>
      </c>
      <c r="H617" s="92"/>
      <c r="I617" s="87">
        <f ca="1">IFERROR(__xludf.DUMMYFUNCTION("""COMPUTED_VALUE"""),2020)</f>
        <v>2020</v>
      </c>
      <c r="J617" s="88" t="str">
        <f ca="1">IFERROR(__xludf.DUMMYFUNCTION("""COMPUTED_VALUE"""),"Hungary")</f>
        <v>Hungary</v>
      </c>
      <c r="K617" s="89">
        <f ca="1">IFERROR(
  SUMIFS(
    'New Backfilled Data'!G:G,
    'New Backfilled Data'!A:A, I617,
    'New Backfilled Data'!D:D, J617,
    'New Backfilled Data'!E:E, "Online"
  ) /
  SUMIFS(
    'New Backfilled Data'!G:G,
    'New Backfilled Data'!A:A, I617,
    'New Backfilled Data'!D:D, J617
  ),
  ""
)</f>
        <v>0.80767945153585241</v>
      </c>
      <c r="L617" s="90"/>
      <c r="M617" s="90"/>
    </row>
    <row r="618" spans="1:13" ht="17" x14ac:dyDescent="0.2">
      <c r="A618" s="94">
        <v>2010</v>
      </c>
      <c r="B618" s="95" t="s">
        <v>66</v>
      </c>
      <c r="C618" s="95" t="s">
        <v>4</v>
      </c>
      <c r="D618" s="95" t="s">
        <v>8</v>
      </c>
      <c r="E618" s="95" t="s">
        <v>67</v>
      </c>
      <c r="F618" s="95" t="s">
        <v>67</v>
      </c>
      <c r="G618" s="96">
        <v>7083527198</v>
      </c>
      <c r="H618" s="95"/>
      <c r="I618" s="81">
        <f ca="1">IFERROR(__xludf.DUMMYFUNCTION("""COMPUTED_VALUE"""),2020)</f>
        <v>2020</v>
      </c>
      <c r="J618" s="82" t="str">
        <f ca="1">IFERROR(__xludf.DUMMYFUNCTION("""COMPUTED_VALUE"""),"Poland")</f>
        <v>Poland</v>
      </c>
      <c r="K618" s="83">
        <f ca="1">IFERROR(
  SUMIFS(
    'New Backfilled Data'!G:G,
    'New Backfilled Data'!A:A, I618,
    'New Backfilled Data'!D:D, J618,
    'New Backfilled Data'!E:E, "Online"
  ) /
  SUMIFS(
    'New Backfilled Data'!G:G,
    'New Backfilled Data'!A:A, I618,
    'New Backfilled Data'!D:D, J618
  ),
  ""
)</f>
        <v>0.4059668845020053</v>
      </c>
      <c r="L618" s="84"/>
      <c r="M618" s="84"/>
    </row>
    <row r="619" spans="1:13" ht="34" x14ac:dyDescent="0.2">
      <c r="A619" s="91">
        <v>2010</v>
      </c>
      <c r="B619" s="92" t="s">
        <v>66</v>
      </c>
      <c r="C619" s="92" t="s">
        <v>4</v>
      </c>
      <c r="D619" s="92" t="s">
        <v>8</v>
      </c>
      <c r="E619" s="92" t="s">
        <v>69</v>
      </c>
      <c r="F619" s="92" t="s">
        <v>71</v>
      </c>
      <c r="G619" s="93">
        <v>56985078</v>
      </c>
      <c r="H619" s="92"/>
      <c r="I619" s="87">
        <f ca="1">IFERROR(__xludf.DUMMYFUNCTION("""COMPUTED_VALUE"""),2020)</f>
        <v>2020</v>
      </c>
      <c r="J619" s="88" t="str">
        <f ca="1">IFERROR(__xludf.DUMMYFUNCTION("""COMPUTED_VALUE"""),"Rest of Eastern Europe")</f>
        <v>Rest of Eastern Europe</v>
      </c>
      <c r="K619" s="89">
        <f ca="1">IFERROR(
  SUMIFS(
    'New Backfilled Data'!G:G,
    'New Backfilled Data'!A:A, I619,
    'New Backfilled Data'!D:D, J619,
    'New Backfilled Data'!E:E, "Online"
  ) /
  SUMIFS(
    'New Backfilled Data'!G:G,
    'New Backfilled Data'!A:A, I619,
    'New Backfilled Data'!D:D, J619
  ),
  ""
)</f>
        <v>0.51399737884720453</v>
      </c>
      <c r="L619" s="90"/>
      <c r="M619" s="90"/>
    </row>
    <row r="620" spans="1:13" ht="17" x14ac:dyDescent="0.2">
      <c r="A620" s="94">
        <v>2010</v>
      </c>
      <c r="B620" s="95" t="s">
        <v>66</v>
      </c>
      <c r="C620" s="95" t="s">
        <v>4</v>
      </c>
      <c r="D620" s="95" t="s">
        <v>8</v>
      </c>
      <c r="E620" s="95" t="s">
        <v>69</v>
      </c>
      <c r="F620" s="95" t="s">
        <v>70</v>
      </c>
      <c r="G620" s="96">
        <v>217806904</v>
      </c>
      <c r="H620" s="95"/>
      <c r="I620" s="81">
        <f ca="1">IFERROR(__xludf.DUMMYFUNCTION("""COMPUTED_VALUE"""),2020)</f>
        <v>2020</v>
      </c>
      <c r="J620" s="82" t="str">
        <f ca="1">IFERROR(__xludf.DUMMYFUNCTION("""COMPUTED_VALUE"""),"Romania")</f>
        <v>Romania</v>
      </c>
      <c r="K620" s="83">
        <f ca="1">IFERROR(
  SUMIFS(
    'New Backfilled Data'!G:G,
    'New Backfilled Data'!A:A, I620,
    'New Backfilled Data'!D:D, J620,
    'New Backfilled Data'!E:E, "Online"
  ) /
  SUMIFS(
    'New Backfilled Data'!G:G,
    'New Backfilled Data'!A:A, I620,
    'New Backfilled Data'!D:D, J620
  ),
  ""
)</f>
        <v>0.40213940261901299</v>
      </c>
      <c r="L620" s="84"/>
      <c r="M620" s="84"/>
    </row>
    <row r="621" spans="1:13" ht="17" x14ac:dyDescent="0.2">
      <c r="A621" s="91">
        <v>2010</v>
      </c>
      <c r="B621" s="92" t="s">
        <v>66</v>
      </c>
      <c r="C621" s="92" t="s">
        <v>4</v>
      </c>
      <c r="D621" s="92" t="s">
        <v>9</v>
      </c>
      <c r="E621" s="92" t="s">
        <v>67</v>
      </c>
      <c r="F621" s="92" t="s">
        <v>67</v>
      </c>
      <c r="G621" s="93">
        <v>73869676139</v>
      </c>
      <c r="H621" s="92"/>
      <c r="I621" s="87">
        <f ca="1">IFERROR(__xludf.DUMMYFUNCTION("""COMPUTED_VALUE"""),2020)</f>
        <v>2020</v>
      </c>
      <c r="J621" s="88" t="str">
        <f ca="1">IFERROR(__xludf.DUMMYFUNCTION("""COMPUTED_VALUE"""),"Russia")</f>
        <v>Russia</v>
      </c>
      <c r="K621" s="89">
        <f ca="1">IFERROR(
  SUMIFS(
    'New Backfilled Data'!G:G,
    'New Backfilled Data'!A:A, I621,
    'New Backfilled Data'!D:D, J621,
    'New Backfilled Data'!E:E, "Online"
  ) /
  SUMIFS(
    'New Backfilled Data'!G:G,
    'New Backfilled Data'!A:A, I621,
    'New Backfilled Data'!D:D, J621
  ),
  ""
)</f>
        <v>0.46720064565079134</v>
      </c>
      <c r="L621" s="90"/>
      <c r="M621" s="90"/>
    </row>
    <row r="622" spans="1:13" ht="17" x14ac:dyDescent="0.2">
      <c r="A622" s="94">
        <v>2010</v>
      </c>
      <c r="B622" s="95" t="s">
        <v>66</v>
      </c>
      <c r="C622" s="95" t="s">
        <v>4</v>
      </c>
      <c r="D622" s="95" t="s">
        <v>9</v>
      </c>
      <c r="E622" s="95" t="s">
        <v>69</v>
      </c>
      <c r="F622" s="95" t="s">
        <v>71</v>
      </c>
      <c r="G622" s="96">
        <v>8572683879</v>
      </c>
      <c r="H622" s="95"/>
      <c r="I622" s="81">
        <f ca="1">IFERROR(__xludf.DUMMYFUNCTION("""COMPUTED_VALUE"""),2020)</f>
        <v>2020</v>
      </c>
      <c r="J622" s="82" t="str">
        <f ca="1">IFERROR(__xludf.DUMMYFUNCTION("""COMPUTED_VALUE"""),"Ukraine")</f>
        <v>Ukraine</v>
      </c>
      <c r="K622" s="83">
        <f ca="1">IFERROR(
  SUMIFS(
    'New Backfilled Data'!G:G,
    'New Backfilled Data'!A:A, I622,
    'New Backfilled Data'!D:D, J622,
    'New Backfilled Data'!E:E, "Online"
  ) /
  SUMIFS(
    'New Backfilled Data'!G:G,
    'New Backfilled Data'!A:A, I622,
    'New Backfilled Data'!D:D, J622
  ),
  ""
)</f>
        <v>0.37838722468696534</v>
      </c>
      <c r="L622" s="84"/>
      <c r="M622" s="84"/>
    </row>
    <row r="623" spans="1:13" ht="17" x14ac:dyDescent="0.2">
      <c r="A623" s="91">
        <v>2010</v>
      </c>
      <c r="B623" s="92" t="s">
        <v>66</v>
      </c>
      <c r="C623" s="92" t="s">
        <v>4</v>
      </c>
      <c r="D623" s="92" t="s">
        <v>9</v>
      </c>
      <c r="E623" s="92" t="s">
        <v>69</v>
      </c>
      <c r="F623" s="92" t="s">
        <v>70</v>
      </c>
      <c r="G623" s="93">
        <v>16059068492</v>
      </c>
      <c r="H623" s="92"/>
      <c r="I623" s="87">
        <f ca="1">IFERROR(__xludf.DUMMYFUNCTION("""COMPUTED_VALUE"""),2020)</f>
        <v>2020</v>
      </c>
      <c r="J623" s="88" t="str">
        <f ca="1">IFERROR(__xludf.DUMMYFUNCTION("""COMPUTED_VALUE"""),"France")</f>
        <v>France</v>
      </c>
      <c r="K623" s="89">
        <f ca="1">IFERROR(
  SUMIFS(
    'New Backfilled Data'!G:G,
    'New Backfilled Data'!A:A, I623,
    'New Backfilled Data'!D:D, J623,
    'New Backfilled Data'!E:E, "Online"
  ) /
  SUMIFS(
    'New Backfilled Data'!G:G,
    'New Backfilled Data'!A:A, I623,
    'New Backfilled Data'!D:D, J623
  ),
  ""
)</f>
        <v>0.46978506383451452</v>
      </c>
      <c r="L623" s="90"/>
      <c r="M623" s="90"/>
    </row>
    <row r="624" spans="1:13" ht="17" x14ac:dyDescent="0.2">
      <c r="A624" s="94">
        <v>2010</v>
      </c>
      <c r="B624" s="95" t="s">
        <v>66</v>
      </c>
      <c r="C624" s="95" t="s">
        <v>4</v>
      </c>
      <c r="D624" s="95" t="s">
        <v>10</v>
      </c>
      <c r="E624" s="95" t="s">
        <v>67</v>
      </c>
      <c r="F624" s="95" t="s">
        <v>67</v>
      </c>
      <c r="G624" s="96">
        <v>617475868</v>
      </c>
      <c r="H624" s="95"/>
      <c r="I624" s="81">
        <f ca="1">IFERROR(__xludf.DUMMYFUNCTION("""COMPUTED_VALUE"""),2020)</f>
        <v>2020</v>
      </c>
      <c r="J624" s="82" t="str">
        <f ca="1">IFERROR(__xludf.DUMMYFUNCTION("""COMPUTED_VALUE"""),"Germany")</f>
        <v>Germany</v>
      </c>
      <c r="K624" s="83">
        <f ca="1">IFERROR(
  SUMIFS(
    'New Backfilled Data'!G:G,
    'New Backfilled Data'!A:A, I624,
    'New Backfilled Data'!D:D, J624,
    'New Backfilled Data'!E:E, "Online"
  ) /
  SUMIFS(
    'New Backfilled Data'!G:G,
    'New Backfilled Data'!A:A, I624,
    'New Backfilled Data'!D:D, J624
  ),
  ""
)</f>
        <v>0.53185622826170942</v>
      </c>
      <c r="L624" s="84"/>
      <c r="M624" s="84"/>
    </row>
    <row r="625" spans="1:13" ht="17" x14ac:dyDescent="0.2">
      <c r="A625" s="91">
        <v>2010</v>
      </c>
      <c r="B625" s="92" t="s">
        <v>66</v>
      </c>
      <c r="C625" s="92" t="s">
        <v>4</v>
      </c>
      <c r="D625" s="92" t="s">
        <v>10</v>
      </c>
      <c r="E625" s="92" t="s">
        <v>69</v>
      </c>
      <c r="F625" s="92" t="s">
        <v>71</v>
      </c>
      <c r="G625" s="93">
        <v>10682081</v>
      </c>
      <c r="H625" s="92"/>
      <c r="I625" s="87">
        <f ca="1">IFERROR(__xludf.DUMMYFUNCTION("""COMPUTED_VALUE"""),2020)</f>
        <v>2020</v>
      </c>
      <c r="J625" s="88" t="str">
        <f ca="1">IFERROR(__xludf.DUMMYFUNCTION("""COMPUTED_VALUE"""),"Italy")</f>
        <v>Italy</v>
      </c>
      <c r="K625" s="89">
        <f ca="1">IFERROR(
  SUMIFS(
    'New Backfilled Data'!G:G,
    'New Backfilled Data'!A:A, I625,
    'New Backfilled Data'!D:D, J625,
    'New Backfilled Data'!E:E, "Online"
  ) /
  SUMIFS(
    'New Backfilled Data'!G:G,
    'New Backfilled Data'!A:A, I625,
    'New Backfilled Data'!D:D, J625
  ),
  ""
)</f>
        <v>0.48475515285958404</v>
      </c>
      <c r="L625" s="90"/>
      <c r="M625" s="90"/>
    </row>
    <row r="626" spans="1:13" ht="17" x14ac:dyDescent="0.2">
      <c r="A626" s="94">
        <v>2010</v>
      </c>
      <c r="B626" s="95" t="s">
        <v>66</v>
      </c>
      <c r="C626" s="95" t="s">
        <v>4</v>
      </c>
      <c r="D626" s="95" t="s">
        <v>10</v>
      </c>
      <c r="E626" s="95" t="s">
        <v>69</v>
      </c>
      <c r="F626" s="95" t="s">
        <v>70</v>
      </c>
      <c r="G626" s="96">
        <v>7121387</v>
      </c>
      <c r="H626" s="95"/>
      <c r="I626" s="81">
        <f ca="1">IFERROR(__xludf.DUMMYFUNCTION("""COMPUTED_VALUE"""),2020)</f>
        <v>2020</v>
      </c>
      <c r="J626" s="82" t="str">
        <f ca="1">IFERROR(__xludf.DUMMYFUNCTION("""COMPUTED_VALUE"""),"Rest of Europe")</f>
        <v>Rest of Europe</v>
      </c>
      <c r="K626" s="83">
        <f ca="1">IFERROR(
  SUMIFS(
    'New Backfilled Data'!G:G,
    'New Backfilled Data'!A:A, I626,
    'New Backfilled Data'!D:D, J626,
    'New Backfilled Data'!E:E, "Online"
  ) /
  SUMIFS(
    'New Backfilled Data'!G:G,
    'New Backfilled Data'!A:A, I626,
    'New Backfilled Data'!D:D, J626
  ),
  ""
)</f>
        <v>0.50836649577015625</v>
      </c>
      <c r="L626" s="84"/>
      <c r="M626" s="84"/>
    </row>
    <row r="627" spans="1:13" ht="17" x14ac:dyDescent="0.2">
      <c r="A627" s="91">
        <v>2010</v>
      </c>
      <c r="B627" s="92" t="s">
        <v>66</v>
      </c>
      <c r="C627" s="92" t="s">
        <v>4</v>
      </c>
      <c r="D627" s="92" t="s">
        <v>11</v>
      </c>
      <c r="E627" s="92" t="s">
        <v>67</v>
      </c>
      <c r="F627" s="92" t="s">
        <v>67</v>
      </c>
      <c r="G627" s="93">
        <v>5023264499</v>
      </c>
      <c r="H627" s="92"/>
      <c r="I627" s="87">
        <f ca="1">IFERROR(__xludf.DUMMYFUNCTION("""COMPUTED_VALUE"""),2020)</f>
        <v>2020</v>
      </c>
      <c r="J627" s="88" t="str">
        <f ca="1">IFERROR(__xludf.DUMMYFUNCTION("""COMPUTED_VALUE"""),"Scandinavia")</f>
        <v>Scandinavia</v>
      </c>
      <c r="K627" s="89">
        <f ca="1">IFERROR(
  SUMIFS(
    'New Backfilled Data'!G:G,
    'New Backfilled Data'!A:A, I627,
    'New Backfilled Data'!D:D, J627,
    'New Backfilled Data'!E:E, "Online"
  ) /
  SUMIFS(
    'New Backfilled Data'!G:G,
    'New Backfilled Data'!A:A, I627,
    'New Backfilled Data'!D:D, J627
  ),
  ""
)</f>
        <v>0.71648244266473837</v>
      </c>
      <c r="L627" s="90"/>
      <c r="M627" s="90"/>
    </row>
    <row r="628" spans="1:13" ht="17" x14ac:dyDescent="0.2">
      <c r="A628" s="94">
        <v>2010</v>
      </c>
      <c r="B628" s="95" t="s">
        <v>66</v>
      </c>
      <c r="C628" s="95" t="s">
        <v>4</v>
      </c>
      <c r="D628" s="95" t="s">
        <v>11</v>
      </c>
      <c r="E628" s="95" t="s">
        <v>69</v>
      </c>
      <c r="F628" s="95" t="s">
        <v>71</v>
      </c>
      <c r="G628" s="96">
        <v>166823580</v>
      </c>
      <c r="H628" s="95"/>
      <c r="I628" s="81">
        <f ca="1">IFERROR(__xludf.DUMMYFUNCTION("""COMPUTED_VALUE"""),2020)</f>
        <v>2020</v>
      </c>
      <c r="J628" s="82" t="str">
        <f ca="1">IFERROR(__xludf.DUMMYFUNCTION("""COMPUTED_VALUE"""),"Spain")</f>
        <v>Spain</v>
      </c>
      <c r="K628" s="83">
        <f ca="1">IFERROR(
  SUMIFS(
    'New Backfilled Data'!G:G,
    'New Backfilled Data'!A:A, I628,
    'New Backfilled Data'!D:D, J628,
    'New Backfilled Data'!E:E, "Online"
  ) /
  SUMIFS(
    'New Backfilled Data'!G:G,
    'New Backfilled Data'!A:A, I628,
    'New Backfilled Data'!D:D, J628
  ),
  ""
)</f>
        <v>0.50801933110045572</v>
      </c>
      <c r="L628" s="84"/>
      <c r="M628" s="84"/>
    </row>
    <row r="629" spans="1:13" ht="17" x14ac:dyDescent="0.2">
      <c r="A629" s="91">
        <v>2010</v>
      </c>
      <c r="B629" s="92" t="s">
        <v>66</v>
      </c>
      <c r="C629" s="92" t="s">
        <v>4</v>
      </c>
      <c r="D629" s="92" t="s">
        <v>11</v>
      </c>
      <c r="E629" s="92" t="s">
        <v>69</v>
      </c>
      <c r="F629" s="92" t="s">
        <v>70</v>
      </c>
      <c r="G629" s="93">
        <v>1823757346</v>
      </c>
      <c r="H629" s="92"/>
      <c r="I629" s="87">
        <f ca="1">IFERROR(__xludf.DUMMYFUNCTION("""COMPUTED_VALUE"""),2020)</f>
        <v>2020</v>
      </c>
      <c r="J629" s="88" t="str">
        <f ca="1">IFERROR(__xludf.DUMMYFUNCTION("""COMPUTED_VALUE"""),"U.K.")</f>
        <v>U.K.</v>
      </c>
      <c r="K629" s="89">
        <f ca="1">IFERROR(
  SUMIFS(
    'New Backfilled Data'!G:G,
    'New Backfilled Data'!A:A, I629,
    'New Backfilled Data'!D:D, J629,
    'New Backfilled Data'!E:E, "Online"
  ) /
  SUMIFS(
    'New Backfilled Data'!G:G,
    'New Backfilled Data'!A:A, I629,
    'New Backfilled Data'!D:D, J629
  ),
  ""
)</f>
        <v>0.73932359484755539</v>
      </c>
      <c r="L629" s="90"/>
      <c r="M629" s="90"/>
    </row>
    <row r="630" spans="1:13" ht="17" x14ac:dyDescent="0.2">
      <c r="A630" s="94">
        <v>2010</v>
      </c>
      <c r="B630" s="95" t="s">
        <v>66</v>
      </c>
      <c r="C630" s="95" t="s">
        <v>4</v>
      </c>
      <c r="D630" s="95" t="s">
        <v>12</v>
      </c>
      <c r="E630" s="95" t="s">
        <v>67</v>
      </c>
      <c r="F630" s="95" t="s">
        <v>67</v>
      </c>
      <c r="G630" s="96">
        <v>6689543699</v>
      </c>
      <c r="H630" s="95"/>
      <c r="I630" s="81">
        <f ca="1">IFERROR(__xludf.DUMMYFUNCTION("""COMPUTED_VALUE"""),2020)</f>
        <v>2020</v>
      </c>
      <c r="J630" s="82" t="str">
        <f ca="1">IFERROR(__xludf.DUMMYFUNCTION("""COMPUTED_VALUE"""),"Argentina")</f>
        <v>Argentina</v>
      </c>
      <c r="K630" s="83">
        <f ca="1">IFERROR(
  SUMIFS(
    'New Backfilled Data'!G:G,
    'New Backfilled Data'!A:A, I630,
    'New Backfilled Data'!D:D, J630,
    'New Backfilled Data'!E:E, "Online"
  ) /
  SUMIFS(
    'New Backfilled Data'!G:G,
    'New Backfilled Data'!A:A, I630,
    'New Backfilled Data'!D:D, J630
  ),
  ""
)</f>
        <v>0.33693069339276904</v>
      </c>
      <c r="L630" s="84"/>
      <c r="M630" s="84"/>
    </row>
    <row r="631" spans="1:13" ht="17" x14ac:dyDescent="0.2">
      <c r="A631" s="91">
        <v>2010</v>
      </c>
      <c r="B631" s="92" t="s">
        <v>66</v>
      </c>
      <c r="C631" s="92" t="s">
        <v>4</v>
      </c>
      <c r="D631" s="92" t="s">
        <v>12</v>
      </c>
      <c r="E631" s="92" t="s">
        <v>69</v>
      </c>
      <c r="F631" s="92" t="s">
        <v>71</v>
      </c>
      <c r="G631" s="93">
        <v>364559008</v>
      </c>
      <c r="H631" s="92"/>
      <c r="I631" s="87">
        <f ca="1">IFERROR(__xludf.DUMMYFUNCTION("""COMPUTED_VALUE"""),2020)</f>
        <v>2020</v>
      </c>
      <c r="J631" s="88" t="str">
        <f ca="1">IFERROR(__xludf.DUMMYFUNCTION("""COMPUTED_VALUE"""),"Brazil")</f>
        <v>Brazil</v>
      </c>
      <c r="K631" s="89">
        <f ca="1">IFERROR(
  SUMIFS(
    'New Backfilled Data'!G:G,
    'New Backfilled Data'!A:A, I631,
    'New Backfilled Data'!D:D, J631,
    'New Backfilled Data'!E:E, "Online"
  ) /
  SUMIFS(
    'New Backfilled Data'!G:G,
    'New Backfilled Data'!A:A, I631,
    'New Backfilled Data'!D:D, J631
  ),
  ""
)</f>
        <v>0.46777250716382968</v>
      </c>
      <c r="L631" s="90"/>
      <c r="M631" s="90"/>
    </row>
    <row r="632" spans="1:13" ht="17" x14ac:dyDescent="0.2">
      <c r="A632" s="94">
        <v>2010</v>
      </c>
      <c r="B632" s="95" t="s">
        <v>66</v>
      </c>
      <c r="C632" s="95" t="s">
        <v>4</v>
      </c>
      <c r="D632" s="95" t="s">
        <v>12</v>
      </c>
      <c r="E632" s="95" t="s">
        <v>69</v>
      </c>
      <c r="F632" s="95" t="s">
        <v>70</v>
      </c>
      <c r="G632" s="96">
        <v>1860866366</v>
      </c>
      <c r="H632" s="95"/>
      <c r="I632" s="81">
        <f ca="1">IFERROR(__xludf.DUMMYFUNCTION("""COMPUTED_VALUE"""),2020)</f>
        <v>2020</v>
      </c>
      <c r="J632" s="82" t="str">
        <f ca="1">IFERROR(__xludf.DUMMYFUNCTION("""COMPUTED_VALUE"""),"Chile")</f>
        <v>Chile</v>
      </c>
      <c r="K632" s="83">
        <f ca="1">IFERROR(
  SUMIFS(
    'New Backfilled Data'!G:G,
    'New Backfilled Data'!A:A, I632,
    'New Backfilled Data'!D:D, J632,
    'New Backfilled Data'!E:E, "Online"
  ) /
  SUMIFS(
    'New Backfilled Data'!G:G,
    'New Backfilled Data'!A:A, I632,
    'New Backfilled Data'!D:D, J632
  ),
  ""
)</f>
        <v>0.42029658274367665</v>
      </c>
      <c r="L632" s="84"/>
      <c r="M632" s="84"/>
    </row>
    <row r="633" spans="1:13" ht="17" x14ac:dyDescent="0.2">
      <c r="A633" s="91">
        <v>2010</v>
      </c>
      <c r="B633" s="92" t="s">
        <v>66</v>
      </c>
      <c r="C633" s="92" t="s">
        <v>4</v>
      </c>
      <c r="D633" s="92" t="s">
        <v>13</v>
      </c>
      <c r="E633" s="92" t="s">
        <v>67</v>
      </c>
      <c r="F633" s="92" t="s">
        <v>67</v>
      </c>
      <c r="G633" s="93">
        <v>11086683907</v>
      </c>
      <c r="H633" s="92"/>
      <c r="I633" s="87">
        <f ca="1">IFERROR(__xludf.DUMMYFUNCTION("""COMPUTED_VALUE"""),2020)</f>
        <v>2020</v>
      </c>
      <c r="J633" s="88" t="str">
        <f ca="1">IFERROR(__xludf.DUMMYFUNCTION("""COMPUTED_VALUE"""),"Colombia")</f>
        <v>Colombia</v>
      </c>
      <c r="K633" s="89">
        <f ca="1">IFERROR(
  SUMIFS(
    'New Backfilled Data'!G:G,
    'New Backfilled Data'!A:A, I633,
    'New Backfilled Data'!D:D, J633,
    'New Backfilled Data'!E:E, "Online"
  ) /
  SUMIFS(
    'New Backfilled Data'!G:G,
    'New Backfilled Data'!A:A, I633,
    'New Backfilled Data'!D:D, J633
  ),
  ""
)</f>
        <v>0.4152636879416578</v>
      </c>
      <c r="L633" s="90"/>
      <c r="M633" s="90"/>
    </row>
    <row r="634" spans="1:13" ht="17" x14ac:dyDescent="0.2">
      <c r="A634" s="94">
        <v>2010</v>
      </c>
      <c r="B634" s="95" t="s">
        <v>66</v>
      </c>
      <c r="C634" s="95" t="s">
        <v>4</v>
      </c>
      <c r="D634" s="95" t="s">
        <v>13</v>
      </c>
      <c r="E634" s="95" t="s">
        <v>69</v>
      </c>
      <c r="F634" s="95" t="s">
        <v>71</v>
      </c>
      <c r="G634" s="96">
        <v>162793700</v>
      </c>
      <c r="H634" s="95"/>
      <c r="I634" s="81">
        <f ca="1">IFERROR(__xludf.DUMMYFUNCTION("""COMPUTED_VALUE"""),2020)</f>
        <v>2020</v>
      </c>
      <c r="J634" s="82" t="str">
        <f ca="1">IFERROR(__xludf.DUMMYFUNCTION("""COMPUTED_VALUE"""),"Mexico")</f>
        <v>Mexico</v>
      </c>
      <c r="K634" s="83">
        <f ca="1">IFERROR(
  SUMIFS(
    'New Backfilled Data'!G:G,
    'New Backfilled Data'!A:A, I634,
    'New Backfilled Data'!D:D, J634,
    'New Backfilled Data'!E:E, "Online"
  ) /
  SUMIFS(
    'New Backfilled Data'!G:G,
    'New Backfilled Data'!A:A, I634,
    'New Backfilled Data'!D:D, J634
  ),
  ""
)</f>
        <v>0.4252848794145197</v>
      </c>
      <c r="L634" s="84"/>
      <c r="M634" s="84"/>
    </row>
    <row r="635" spans="1:13" ht="17" x14ac:dyDescent="0.2">
      <c r="A635" s="91">
        <v>2010</v>
      </c>
      <c r="B635" s="92" t="s">
        <v>66</v>
      </c>
      <c r="C635" s="92" t="s">
        <v>4</v>
      </c>
      <c r="D635" s="92" t="s">
        <v>13</v>
      </c>
      <c r="E635" s="92" t="s">
        <v>69</v>
      </c>
      <c r="F635" s="92" t="s">
        <v>70</v>
      </c>
      <c r="G635" s="93">
        <v>1504382509</v>
      </c>
      <c r="H635" s="92"/>
      <c r="I635" s="87">
        <f ca="1">IFERROR(__xludf.DUMMYFUNCTION("""COMPUTED_VALUE"""),2020)</f>
        <v>2020</v>
      </c>
      <c r="J635" s="88" t="str">
        <f ca="1">IFERROR(__xludf.DUMMYFUNCTION("""COMPUTED_VALUE"""),"Egypt")</f>
        <v>Egypt</v>
      </c>
      <c r="K635" s="89">
        <f ca="1">IFERROR(
  SUMIFS(
    'New Backfilled Data'!G:G,
    'New Backfilled Data'!A:A, I635,
    'New Backfilled Data'!D:D, J635,
    'New Backfilled Data'!E:E, "Online"
  ) /
  SUMIFS(
    'New Backfilled Data'!G:G,
    'New Backfilled Data'!A:A, I635,
    'New Backfilled Data'!D:D, J635
  ),
  ""
)</f>
        <v>0.32798759066084432</v>
      </c>
      <c r="L635" s="90"/>
      <c r="M635" s="90"/>
    </row>
    <row r="636" spans="1:13" ht="17" x14ac:dyDescent="0.2">
      <c r="A636" s="94">
        <v>2010</v>
      </c>
      <c r="B636" s="95" t="s">
        <v>66</v>
      </c>
      <c r="C636" s="95" t="s">
        <v>4</v>
      </c>
      <c r="D636" s="95" t="s">
        <v>14</v>
      </c>
      <c r="E636" s="95" t="s">
        <v>67</v>
      </c>
      <c r="F636" s="95" t="s">
        <v>67</v>
      </c>
      <c r="G636" s="96">
        <v>5436968346</v>
      </c>
      <c r="H636" s="95"/>
      <c r="I636" s="81">
        <f ca="1">IFERROR(__xludf.DUMMYFUNCTION("""COMPUTED_VALUE"""),2020)</f>
        <v>2020</v>
      </c>
      <c r="J636" s="82" t="str">
        <f ca="1">IFERROR(__xludf.DUMMYFUNCTION("""COMPUTED_VALUE"""),"Qatar")</f>
        <v>Qatar</v>
      </c>
      <c r="K636" s="83">
        <f ca="1">IFERROR(
  SUMIFS(
    'New Backfilled Data'!G:G,
    'New Backfilled Data'!A:A, I636,
    'New Backfilled Data'!D:D, J636,
    'New Backfilled Data'!E:E, "Online"
  ) /
  SUMIFS(
    'New Backfilled Data'!G:G,
    'New Backfilled Data'!A:A, I636,
    'New Backfilled Data'!D:D, J636
  ),
  ""
)</f>
        <v>0.37037121495748104</v>
      </c>
      <c r="L636" s="84"/>
      <c r="M636" s="84"/>
    </row>
    <row r="637" spans="1:13" ht="34" x14ac:dyDescent="0.2">
      <c r="A637" s="91">
        <v>2010</v>
      </c>
      <c r="B637" s="92" t="s">
        <v>66</v>
      </c>
      <c r="C637" s="92" t="s">
        <v>4</v>
      </c>
      <c r="D637" s="92" t="s">
        <v>14</v>
      </c>
      <c r="E637" s="92" t="s">
        <v>69</v>
      </c>
      <c r="F637" s="92" t="s">
        <v>71</v>
      </c>
      <c r="G637" s="93">
        <v>139610352</v>
      </c>
      <c r="H637" s="92"/>
      <c r="I637" s="87">
        <f ca="1">IFERROR(__xludf.DUMMYFUNCTION("""COMPUTED_VALUE"""),2020)</f>
        <v>2020</v>
      </c>
      <c r="J637" s="88" t="str">
        <f ca="1">IFERROR(__xludf.DUMMYFUNCTION("""COMPUTED_VALUE"""),"Rest of Middle East")</f>
        <v>Rest of Middle East</v>
      </c>
      <c r="K637" s="89">
        <f ca="1">IFERROR(
  SUMIFS(
    'New Backfilled Data'!G:G,
    'New Backfilled Data'!A:A, I637,
    'New Backfilled Data'!D:D, J637,
    'New Backfilled Data'!E:E, "Online"
  ) /
  SUMIFS(
    'New Backfilled Data'!G:G,
    'New Backfilled Data'!A:A, I637,
    'New Backfilled Data'!D:D, J637
  ),
  ""
)</f>
        <v>0.34595886844019141</v>
      </c>
      <c r="L637" s="90"/>
      <c r="M637" s="90"/>
    </row>
    <row r="638" spans="1:13" ht="17" x14ac:dyDescent="0.2">
      <c r="A638" s="94">
        <v>2010</v>
      </c>
      <c r="B638" s="95" t="s">
        <v>66</v>
      </c>
      <c r="C638" s="95" t="s">
        <v>4</v>
      </c>
      <c r="D638" s="95" t="s">
        <v>14</v>
      </c>
      <c r="E638" s="95" t="s">
        <v>69</v>
      </c>
      <c r="F638" s="95" t="s">
        <v>70</v>
      </c>
      <c r="G638" s="96">
        <v>502693209</v>
      </c>
      <c r="H638" s="95"/>
      <c r="I638" s="81">
        <f ca="1">IFERROR(__xludf.DUMMYFUNCTION("""COMPUTED_VALUE"""),2020)</f>
        <v>2020</v>
      </c>
      <c r="J638" s="82" t="str">
        <f ca="1">IFERROR(__xludf.DUMMYFUNCTION("""COMPUTED_VALUE"""),"Saudi Arabia")</f>
        <v>Saudi Arabia</v>
      </c>
      <c r="K638" s="83">
        <f ca="1">IFERROR(
  SUMIFS(
    'New Backfilled Data'!G:G,
    'New Backfilled Data'!A:A, I638,
    'New Backfilled Data'!D:D, J638,
    'New Backfilled Data'!E:E, "Online"
  ) /
  SUMIFS(
    'New Backfilled Data'!G:G,
    'New Backfilled Data'!A:A, I638,
    'New Backfilled Data'!D:D, J638
  ),
  ""
)</f>
        <v>0.39404705080043739</v>
      </c>
      <c r="L638" s="84"/>
      <c r="M638" s="84"/>
    </row>
    <row r="639" spans="1:13" ht="17" x14ac:dyDescent="0.2">
      <c r="A639" s="91">
        <v>2010</v>
      </c>
      <c r="B639" s="92" t="s">
        <v>66</v>
      </c>
      <c r="C639" s="92" t="s">
        <v>4</v>
      </c>
      <c r="D639" s="92" t="s">
        <v>15</v>
      </c>
      <c r="E639" s="92" t="s">
        <v>67</v>
      </c>
      <c r="F639" s="92" t="s">
        <v>67</v>
      </c>
      <c r="G639" s="93">
        <v>8480522588</v>
      </c>
      <c r="H639" s="92"/>
      <c r="I639" s="87">
        <f ca="1">IFERROR(__xludf.DUMMYFUNCTION("""COMPUTED_VALUE"""),2020)</f>
        <v>2020</v>
      </c>
      <c r="J639" s="88" t="str">
        <f ca="1">IFERROR(__xludf.DUMMYFUNCTION("""COMPUTED_VALUE"""),"U.A.E.")</f>
        <v>U.A.E.</v>
      </c>
      <c r="K639" s="89">
        <f ca="1">IFERROR(
  SUMIFS(
    'New Backfilled Data'!G:G,
    'New Backfilled Data'!A:A, I639,
    'New Backfilled Data'!D:D, J639,
    'New Backfilled Data'!E:E, "Online"
  ) /
  SUMIFS(
    'New Backfilled Data'!G:G,
    'New Backfilled Data'!A:A, I639,
    'New Backfilled Data'!D:D, J639
  ),
  ""
)</f>
        <v>0.4450395168526266</v>
      </c>
      <c r="L639" s="90"/>
      <c r="M639" s="90"/>
    </row>
    <row r="640" spans="1:13" ht="17" x14ac:dyDescent="0.2">
      <c r="A640" s="94">
        <v>2010</v>
      </c>
      <c r="B640" s="95" t="s">
        <v>66</v>
      </c>
      <c r="C640" s="95" t="s">
        <v>4</v>
      </c>
      <c r="D640" s="95" t="s">
        <v>15</v>
      </c>
      <c r="E640" s="95" t="s">
        <v>69</v>
      </c>
      <c r="F640" s="95" t="s">
        <v>71</v>
      </c>
      <c r="G640" s="96">
        <v>691485466</v>
      </c>
      <c r="H640" s="95"/>
      <c r="I640" s="81">
        <f ca="1">IFERROR(__xludf.DUMMYFUNCTION("""COMPUTED_VALUE"""),2020)</f>
        <v>2020</v>
      </c>
      <c r="J640" s="82" t="str">
        <f ca="1">IFERROR(__xludf.DUMMYFUNCTION("""COMPUTED_VALUE"""),"Canada")</f>
        <v>Canada</v>
      </c>
      <c r="K640" s="83">
        <f ca="1">IFERROR(
  SUMIFS(
    'New Backfilled Data'!G:G,
    'New Backfilled Data'!A:A, I640,
    'New Backfilled Data'!D:D, J640,
    'New Backfilled Data'!E:E, "Online"
  ) /
  SUMIFS(
    'New Backfilled Data'!G:G,
    'New Backfilled Data'!A:A, I640,
    'New Backfilled Data'!D:D, J640
  ),
  ""
)</f>
        <v>0.51569927430781271</v>
      </c>
      <c r="L640" s="84"/>
      <c r="M640" s="84"/>
    </row>
    <row r="641" spans="1:13" ht="17" x14ac:dyDescent="0.2">
      <c r="A641" s="91">
        <v>2010</v>
      </c>
      <c r="B641" s="92" t="s">
        <v>66</v>
      </c>
      <c r="C641" s="92" t="s">
        <v>4</v>
      </c>
      <c r="D641" s="92" t="s">
        <v>15</v>
      </c>
      <c r="E641" s="92" t="s">
        <v>69</v>
      </c>
      <c r="F641" s="92" t="s">
        <v>70</v>
      </c>
      <c r="G641" s="93">
        <v>939270477</v>
      </c>
      <c r="H641" s="92"/>
      <c r="I641" s="87">
        <f ca="1">IFERROR(__xludf.DUMMYFUNCTION("""COMPUTED_VALUE"""),2020)</f>
        <v>2020</v>
      </c>
      <c r="J641" s="88" t="str">
        <f ca="1">IFERROR(__xludf.DUMMYFUNCTION("""COMPUTED_VALUE"""),"U.S.")</f>
        <v>U.S.</v>
      </c>
      <c r="K641" s="89">
        <f ca="1">IFERROR(
  SUMIFS(
    'New Backfilled Data'!G:G,
    'New Backfilled Data'!A:A, I641,
    'New Backfilled Data'!D:D, J641,
    'New Backfilled Data'!E:E, "Online"
  ) /
  SUMIFS(
    'New Backfilled Data'!G:G,
    'New Backfilled Data'!A:A, I641,
    'New Backfilled Data'!D:D, J641
  ),
  ""
)</f>
        <v>0.57842441781483978</v>
      </c>
      <c r="L641" s="90"/>
      <c r="M641" s="90"/>
    </row>
    <row r="642" spans="1:13" ht="34" x14ac:dyDescent="0.2">
      <c r="A642" s="94">
        <v>2010</v>
      </c>
      <c r="B642" s="95" t="s">
        <v>66</v>
      </c>
      <c r="C642" s="95" t="s">
        <v>17</v>
      </c>
      <c r="D642" s="95" t="s">
        <v>16</v>
      </c>
      <c r="E642" s="95" t="s">
        <v>67</v>
      </c>
      <c r="F642" s="95" t="s">
        <v>67</v>
      </c>
      <c r="G642" s="96">
        <v>1227998788</v>
      </c>
      <c r="H642" s="95"/>
      <c r="I642" s="81">
        <f ca="1">IFERROR(__xludf.DUMMYFUNCTION("""COMPUTED_VALUE"""),2021)</f>
        <v>2021</v>
      </c>
      <c r="J642" s="82" t="str">
        <f ca="1">IFERROR(__xludf.DUMMYFUNCTION("""COMPUTED_VALUE"""),"Australia-New Zealand")</f>
        <v>Australia-New Zealand</v>
      </c>
      <c r="K642" s="83">
        <f ca="1">IFERROR(
  SUMIFS(
    'New Backfilled Data'!G:G,
    'New Backfilled Data'!A:A, I642,
    'New Backfilled Data'!D:D, J642,
    'New Backfilled Data'!E:E, "Online"
  ) /
  SUMIFS(
    'New Backfilled Data'!G:G,
    'New Backfilled Data'!A:A, I642,
    'New Backfilled Data'!D:D, J642
  ),
  ""
)</f>
        <v>0.54473702841247362</v>
      </c>
      <c r="L642" s="84"/>
      <c r="M642" s="84"/>
    </row>
    <row r="643" spans="1:13" ht="17" x14ac:dyDescent="0.2">
      <c r="A643" s="91">
        <v>2010</v>
      </c>
      <c r="B643" s="92" t="s">
        <v>66</v>
      </c>
      <c r="C643" s="92" t="s">
        <v>17</v>
      </c>
      <c r="D643" s="92" t="s">
        <v>16</v>
      </c>
      <c r="E643" s="92" t="s">
        <v>69</v>
      </c>
      <c r="F643" s="92" t="s">
        <v>71</v>
      </c>
      <c r="G643" s="93">
        <v>31620237</v>
      </c>
      <c r="H643" s="92"/>
      <c r="I643" s="87">
        <f ca="1">IFERROR(__xludf.DUMMYFUNCTION("""COMPUTED_VALUE"""),2021)</f>
        <v>2021</v>
      </c>
      <c r="J643" s="88" t="str">
        <f ca="1">IFERROR(__xludf.DUMMYFUNCTION("""COMPUTED_VALUE"""),"China")</f>
        <v>China</v>
      </c>
      <c r="K643" s="89">
        <f ca="1">IFERROR(
  SUMIFS(
    'New Backfilled Data'!G:G,
    'New Backfilled Data'!A:A, I643,
    'New Backfilled Data'!D:D, J643,
    'New Backfilled Data'!E:E, "Online"
  ) /
  SUMIFS(
    'New Backfilled Data'!G:G,
    'New Backfilled Data'!A:A, I643,
    'New Backfilled Data'!D:D, J643
  ),
  ""
)</f>
        <v>0.6472991037987007</v>
      </c>
      <c r="L643" s="90"/>
      <c r="M643" s="90"/>
    </row>
    <row r="644" spans="1:13" ht="17" x14ac:dyDescent="0.2">
      <c r="A644" s="94">
        <v>2010</v>
      </c>
      <c r="B644" s="95" t="s">
        <v>66</v>
      </c>
      <c r="C644" s="95" t="s">
        <v>17</v>
      </c>
      <c r="D644" s="95" t="s">
        <v>16</v>
      </c>
      <c r="E644" s="95" t="s">
        <v>69</v>
      </c>
      <c r="F644" s="95" t="s">
        <v>70</v>
      </c>
      <c r="G644" s="96">
        <v>119173464</v>
      </c>
      <c r="H644" s="95"/>
      <c r="I644" s="81">
        <f ca="1">IFERROR(__xludf.DUMMYFUNCTION("""COMPUTED_VALUE"""),2021)</f>
        <v>2021</v>
      </c>
      <c r="J644" s="82" t="str">
        <f ca="1">IFERROR(__xludf.DUMMYFUNCTION("""COMPUTED_VALUE"""),"Hong Kong")</f>
        <v>Hong Kong</v>
      </c>
      <c r="K644" s="83">
        <f ca="1">IFERROR(
  SUMIFS(
    'New Backfilled Data'!G:G,
    'New Backfilled Data'!A:A, I644,
    'New Backfilled Data'!D:D, J644,
    'New Backfilled Data'!E:E, "Online"
  ) /
  SUMIFS(
    'New Backfilled Data'!G:G,
    'New Backfilled Data'!A:A, I644,
    'New Backfilled Data'!D:D, J644
  ),
  ""
)</f>
        <v>0.25966607875630032</v>
      </c>
      <c r="L644" s="84"/>
      <c r="M644" s="84"/>
    </row>
    <row r="645" spans="1:13" ht="17" x14ac:dyDescent="0.2">
      <c r="A645" s="91">
        <v>2010</v>
      </c>
      <c r="B645" s="92" t="s">
        <v>66</v>
      </c>
      <c r="C645" s="92" t="s">
        <v>17</v>
      </c>
      <c r="D645" s="92" t="s">
        <v>18</v>
      </c>
      <c r="E645" s="92" t="s">
        <v>67</v>
      </c>
      <c r="F645" s="92" t="s">
        <v>67</v>
      </c>
      <c r="G645" s="93">
        <v>2460444226</v>
      </c>
      <c r="H645" s="92"/>
      <c r="I645" s="87">
        <f ca="1">IFERROR(__xludf.DUMMYFUNCTION("""COMPUTED_VALUE"""),2021)</f>
        <v>2021</v>
      </c>
      <c r="J645" s="88" t="str">
        <f ca="1">IFERROR(__xludf.DUMMYFUNCTION("""COMPUTED_VALUE"""),"India")</f>
        <v>India</v>
      </c>
      <c r="K645" s="89">
        <f ca="1">IFERROR(
  SUMIFS(
    'New Backfilled Data'!G:G,
    'New Backfilled Data'!A:A, I645,
    'New Backfilled Data'!D:D, J645,
    'New Backfilled Data'!E:E, "Online"
  ) /
  SUMIFS(
    'New Backfilled Data'!G:G,
    'New Backfilled Data'!A:A, I645,
    'New Backfilled Data'!D:D, J645
  ),
  ""
)</f>
        <v>0.53884724080522395</v>
      </c>
      <c r="L645" s="90"/>
      <c r="M645" s="90"/>
    </row>
    <row r="646" spans="1:13" ht="17" x14ac:dyDescent="0.2">
      <c r="A646" s="94">
        <v>2010</v>
      </c>
      <c r="B646" s="95" t="s">
        <v>66</v>
      </c>
      <c r="C646" s="95" t="s">
        <v>17</v>
      </c>
      <c r="D646" s="95" t="s">
        <v>18</v>
      </c>
      <c r="E646" s="95" t="s">
        <v>69</v>
      </c>
      <c r="F646" s="95" t="s">
        <v>71</v>
      </c>
      <c r="G646" s="96">
        <v>324042071</v>
      </c>
      <c r="H646" s="95"/>
      <c r="I646" s="81">
        <f ca="1">IFERROR(__xludf.DUMMYFUNCTION("""COMPUTED_VALUE"""),2021)</f>
        <v>2021</v>
      </c>
      <c r="J646" s="82" t="str">
        <f ca="1">IFERROR(__xludf.DUMMYFUNCTION("""COMPUTED_VALUE"""),"Indonesia")</f>
        <v>Indonesia</v>
      </c>
      <c r="K646" s="83">
        <f ca="1">IFERROR(
  SUMIFS(
    'New Backfilled Data'!G:G,
    'New Backfilled Data'!A:A, I646,
    'New Backfilled Data'!D:D, J646,
    'New Backfilled Data'!E:E, "Online"
  ) /
  SUMIFS(
    'New Backfilled Data'!G:G,
    'New Backfilled Data'!A:A, I646,
    'New Backfilled Data'!D:D, J646
  ),
  ""
)</f>
        <v>0.45017408890976618</v>
      </c>
      <c r="L646" s="84"/>
      <c r="M646" s="84"/>
    </row>
    <row r="647" spans="1:13" ht="17" x14ac:dyDescent="0.2">
      <c r="A647" s="91">
        <v>2010</v>
      </c>
      <c r="B647" s="92" t="s">
        <v>66</v>
      </c>
      <c r="C647" s="92" t="s">
        <v>17</v>
      </c>
      <c r="D647" s="92" t="s">
        <v>18</v>
      </c>
      <c r="E647" s="92" t="s">
        <v>69</v>
      </c>
      <c r="F647" s="92" t="s">
        <v>70</v>
      </c>
      <c r="G647" s="93">
        <v>293314828</v>
      </c>
      <c r="H647" s="92"/>
      <c r="I647" s="87">
        <f ca="1">IFERROR(__xludf.DUMMYFUNCTION("""COMPUTED_VALUE"""),2021)</f>
        <v>2021</v>
      </c>
      <c r="J647" s="88" t="str">
        <f ca="1">IFERROR(__xludf.DUMMYFUNCTION("""COMPUTED_VALUE"""),"Japan")</f>
        <v>Japan</v>
      </c>
      <c r="K647" s="89">
        <f ca="1">IFERROR(
  SUMIFS(
    'New Backfilled Data'!G:G,
    'New Backfilled Data'!A:A, I647,
    'New Backfilled Data'!D:D, J647,
    'New Backfilled Data'!E:E, "Online"
  ) /
  SUMIFS(
    'New Backfilled Data'!G:G,
    'New Backfilled Data'!A:A, I647,
    'New Backfilled Data'!D:D, J647
  ),
  ""
)</f>
        <v>0.496449214989655</v>
      </c>
      <c r="L647" s="90"/>
      <c r="M647" s="90"/>
    </row>
    <row r="648" spans="1:13" ht="17" x14ac:dyDescent="0.2">
      <c r="A648" s="94">
        <v>2010</v>
      </c>
      <c r="B648" s="95" t="s">
        <v>66</v>
      </c>
      <c r="C648" s="95" t="s">
        <v>17</v>
      </c>
      <c r="D648" s="95" t="s">
        <v>19</v>
      </c>
      <c r="E648" s="95" t="s">
        <v>67</v>
      </c>
      <c r="F648" s="95" t="s">
        <v>67</v>
      </c>
      <c r="G648" s="96">
        <v>7856930286</v>
      </c>
      <c r="H648" s="95"/>
      <c r="I648" s="81">
        <f ca="1">IFERROR(__xludf.DUMMYFUNCTION("""COMPUTED_VALUE"""),2021)</f>
        <v>2021</v>
      </c>
      <c r="J648" s="82" t="str">
        <f ca="1">IFERROR(__xludf.DUMMYFUNCTION("""COMPUTED_VALUE"""),"Macau")</f>
        <v>Macau</v>
      </c>
      <c r="K648" s="83">
        <f ca="1">IFERROR(
  SUMIFS(
    'New Backfilled Data'!G:G,
    'New Backfilled Data'!A:A, I648,
    'New Backfilled Data'!D:D, J648,
    'New Backfilled Data'!E:E, "Online"
  ) /
  SUMIFS(
    'New Backfilled Data'!G:G,
    'New Backfilled Data'!A:A, I648,
    'New Backfilled Data'!D:D, J648
  ),
  ""
)</f>
        <v>0.43399999947823875</v>
      </c>
      <c r="L648" s="84"/>
      <c r="M648" s="84"/>
    </row>
    <row r="649" spans="1:13" ht="17" x14ac:dyDescent="0.2">
      <c r="A649" s="91">
        <v>2010</v>
      </c>
      <c r="B649" s="92" t="s">
        <v>66</v>
      </c>
      <c r="C649" s="92" t="s">
        <v>17</v>
      </c>
      <c r="D649" s="92" t="s">
        <v>19</v>
      </c>
      <c r="E649" s="92" t="s">
        <v>69</v>
      </c>
      <c r="F649" s="92" t="s">
        <v>71</v>
      </c>
      <c r="G649" s="93">
        <v>610517373</v>
      </c>
      <c r="H649" s="92"/>
      <c r="I649" s="87">
        <f ca="1">IFERROR(__xludf.DUMMYFUNCTION("""COMPUTED_VALUE"""),2021)</f>
        <v>2021</v>
      </c>
      <c r="J649" s="88" t="str">
        <f ca="1">IFERROR(__xludf.DUMMYFUNCTION("""COMPUTED_VALUE"""),"Malaysia")</f>
        <v>Malaysia</v>
      </c>
      <c r="K649" s="89">
        <f ca="1">IFERROR(
  SUMIFS(
    'New Backfilled Data'!G:G,
    'New Backfilled Data'!A:A, I649,
    'New Backfilled Data'!D:D, J649,
    'New Backfilled Data'!E:E, "Online"
  ) /
  SUMIFS(
    'New Backfilled Data'!G:G,
    'New Backfilled Data'!A:A, I649,
    'New Backfilled Data'!D:D, J649
  ),
  ""
)</f>
        <v>0.43026928186545366</v>
      </c>
      <c r="L649" s="90"/>
      <c r="M649" s="90"/>
    </row>
    <row r="650" spans="1:13" ht="17" x14ac:dyDescent="0.2">
      <c r="A650" s="94">
        <v>2010</v>
      </c>
      <c r="B650" s="95" t="s">
        <v>66</v>
      </c>
      <c r="C650" s="95" t="s">
        <v>17</v>
      </c>
      <c r="D650" s="95" t="s">
        <v>19</v>
      </c>
      <c r="E650" s="95" t="s">
        <v>69</v>
      </c>
      <c r="F650" s="95" t="s">
        <v>70</v>
      </c>
      <c r="G650" s="96">
        <v>1537555628</v>
      </c>
      <c r="H650" s="95"/>
      <c r="I650" s="81">
        <f ca="1">IFERROR(__xludf.DUMMYFUNCTION("""COMPUTED_VALUE"""),2021)</f>
        <v>2021</v>
      </c>
      <c r="J650" s="82" t="str">
        <f ca="1">IFERROR(__xludf.DUMMYFUNCTION("""COMPUTED_VALUE"""),"Singapore")</f>
        <v>Singapore</v>
      </c>
      <c r="K650" s="83">
        <f ca="1">IFERROR(
  SUMIFS(
    'New Backfilled Data'!G:G,
    'New Backfilled Data'!A:A, I650,
    'New Backfilled Data'!D:D, J650,
    'New Backfilled Data'!E:E, "Online"
  ) /
  SUMIFS(
    'New Backfilled Data'!G:G,
    'New Backfilled Data'!A:A, I650,
    'New Backfilled Data'!D:D, J650
  ),
  ""
)</f>
        <v>0.55919569579105233</v>
      </c>
      <c r="L650" s="84"/>
      <c r="M650" s="84"/>
    </row>
    <row r="651" spans="1:13" ht="17" x14ac:dyDescent="0.2">
      <c r="A651" s="91">
        <v>2010</v>
      </c>
      <c r="B651" s="92" t="s">
        <v>66</v>
      </c>
      <c r="C651" s="92" t="s">
        <v>17</v>
      </c>
      <c r="D651" s="92" t="s">
        <v>20</v>
      </c>
      <c r="E651" s="92" t="s">
        <v>67</v>
      </c>
      <c r="F651" s="92" t="s">
        <v>67</v>
      </c>
      <c r="G651" s="93">
        <v>2047706721</v>
      </c>
      <c r="H651" s="92"/>
      <c r="I651" s="87">
        <f ca="1">IFERROR(__xludf.DUMMYFUNCTION("""COMPUTED_VALUE"""),2021)</f>
        <v>2021</v>
      </c>
      <c r="J651" s="88" t="str">
        <f ca="1">IFERROR(__xludf.DUMMYFUNCTION("""COMPUTED_VALUE"""),"South Korea")</f>
        <v>South Korea</v>
      </c>
      <c r="K651" s="89">
        <f ca="1">IFERROR(
  SUMIFS(
    'New Backfilled Data'!G:G,
    'New Backfilled Data'!A:A, I651,
    'New Backfilled Data'!D:D, J651,
    'New Backfilled Data'!E:E, "Online"
  ) /
  SUMIFS(
    'New Backfilled Data'!G:G,
    'New Backfilled Data'!A:A, I651,
    'New Backfilled Data'!D:D, J651
  ),
  ""
)</f>
        <v>0.56629945557286232</v>
      </c>
      <c r="L651" s="90"/>
      <c r="M651" s="90"/>
    </row>
    <row r="652" spans="1:13" ht="17" x14ac:dyDescent="0.2">
      <c r="A652" s="94">
        <v>2010</v>
      </c>
      <c r="B652" s="95" t="s">
        <v>66</v>
      </c>
      <c r="C652" s="95" t="s">
        <v>17</v>
      </c>
      <c r="D652" s="95" t="s">
        <v>20</v>
      </c>
      <c r="E652" s="95" t="s">
        <v>69</v>
      </c>
      <c r="F652" s="95" t="s">
        <v>71</v>
      </c>
      <c r="G652" s="96">
        <v>124636931</v>
      </c>
      <c r="H652" s="95"/>
      <c r="I652" s="81">
        <f ca="1">IFERROR(__xludf.DUMMYFUNCTION("""COMPUTED_VALUE"""),2021)</f>
        <v>2021</v>
      </c>
      <c r="J652" s="82" t="str">
        <f ca="1">IFERROR(__xludf.DUMMYFUNCTION("""COMPUTED_VALUE"""),"Taiwan")</f>
        <v>Taiwan</v>
      </c>
      <c r="K652" s="83">
        <f ca="1">IFERROR(
  SUMIFS(
    'New Backfilled Data'!G:G,
    'New Backfilled Data'!A:A, I652,
    'New Backfilled Data'!D:D, J652,
    'New Backfilled Data'!E:E, "Online"
  ) /
  SUMIFS(
    'New Backfilled Data'!G:G,
    'New Backfilled Data'!A:A, I652,
    'New Backfilled Data'!D:D, J652
  ),
  ""
)</f>
        <v>0.51548989683730162</v>
      </c>
      <c r="L652" s="84"/>
      <c r="M652" s="84"/>
    </row>
    <row r="653" spans="1:13" ht="17" x14ac:dyDescent="0.2">
      <c r="A653" s="91">
        <v>2010</v>
      </c>
      <c r="B653" s="92" t="s">
        <v>66</v>
      </c>
      <c r="C653" s="92" t="s">
        <v>17</v>
      </c>
      <c r="D653" s="92" t="s">
        <v>20</v>
      </c>
      <c r="E653" s="92" t="s">
        <v>69</v>
      </c>
      <c r="F653" s="92" t="s">
        <v>70</v>
      </c>
      <c r="G653" s="93">
        <v>453824158</v>
      </c>
      <c r="H653" s="92"/>
      <c r="I653" s="87">
        <f ca="1">IFERROR(__xludf.DUMMYFUNCTION("""COMPUTED_VALUE"""),2021)</f>
        <v>2021</v>
      </c>
      <c r="J653" s="88" t="str">
        <f ca="1">IFERROR(__xludf.DUMMYFUNCTION("""COMPUTED_VALUE"""),"Thailand")</f>
        <v>Thailand</v>
      </c>
      <c r="K653" s="89">
        <f ca="1">IFERROR(
  SUMIFS(
    'New Backfilled Data'!G:G,
    'New Backfilled Data'!A:A, I653,
    'New Backfilled Data'!D:D, J653,
    'New Backfilled Data'!E:E, "Online"
  ) /
  SUMIFS(
    'New Backfilled Data'!G:G,
    'New Backfilled Data'!A:A, I653,
    'New Backfilled Data'!D:D, J653
  ),
  ""
)</f>
        <v>0.47229919600191494</v>
      </c>
      <c r="L653" s="90"/>
      <c r="M653" s="90"/>
    </row>
    <row r="654" spans="1:13" ht="17" x14ac:dyDescent="0.2">
      <c r="A654" s="94">
        <v>2010</v>
      </c>
      <c r="B654" s="95" t="s">
        <v>66</v>
      </c>
      <c r="C654" s="95" t="s">
        <v>17</v>
      </c>
      <c r="D654" s="95" t="s">
        <v>21</v>
      </c>
      <c r="E654" s="95" t="s">
        <v>67</v>
      </c>
      <c r="F654" s="95" t="s">
        <v>67</v>
      </c>
      <c r="G654" s="96">
        <v>3563694822</v>
      </c>
      <c r="H654" s="95"/>
      <c r="I654" s="81">
        <f ca="1">IFERROR(__xludf.DUMMYFUNCTION("""COMPUTED_VALUE"""),2021)</f>
        <v>2021</v>
      </c>
      <c r="J654" s="82" t="str">
        <f ca="1">IFERROR(__xludf.DUMMYFUNCTION("""COMPUTED_VALUE"""),"Bulgaria")</f>
        <v>Bulgaria</v>
      </c>
      <c r="K654" s="83">
        <f ca="1">IFERROR(
  SUMIFS(
    'New Backfilled Data'!G:G,
    'New Backfilled Data'!A:A, I654,
    'New Backfilled Data'!D:D, J654,
    'New Backfilled Data'!E:E, "Online"
  ) /
  SUMIFS(
    'New Backfilled Data'!G:G,
    'New Backfilled Data'!A:A, I654,
    'New Backfilled Data'!D:D, J654
  ),
  ""
)</f>
        <v>0.41550093322046616</v>
      </c>
      <c r="L654" s="84"/>
      <c r="M654" s="84"/>
    </row>
    <row r="655" spans="1:13" ht="17" x14ac:dyDescent="0.2">
      <c r="A655" s="91">
        <v>2010</v>
      </c>
      <c r="B655" s="92" t="s">
        <v>66</v>
      </c>
      <c r="C655" s="92" t="s">
        <v>17</v>
      </c>
      <c r="D655" s="92" t="s">
        <v>21</v>
      </c>
      <c r="E655" s="92" t="s">
        <v>69</v>
      </c>
      <c r="F655" s="92" t="s">
        <v>71</v>
      </c>
      <c r="G655" s="93">
        <v>257363770</v>
      </c>
      <c r="H655" s="92"/>
      <c r="I655" s="87">
        <f ca="1">IFERROR(__xludf.DUMMYFUNCTION("""COMPUTED_VALUE"""),2021)</f>
        <v>2021</v>
      </c>
      <c r="J655" s="88" t="str">
        <f ca="1">IFERROR(__xludf.DUMMYFUNCTION("""COMPUTED_VALUE"""),"Czech Republic")</f>
        <v>Czech Republic</v>
      </c>
      <c r="K655" s="89">
        <f ca="1">IFERROR(
  SUMIFS(
    'New Backfilled Data'!G:G,
    'New Backfilled Data'!A:A, I655,
    'New Backfilled Data'!D:D, J655,
    'New Backfilled Data'!E:E, "Online"
  ) /
  SUMIFS(
    'New Backfilled Data'!G:G,
    'New Backfilled Data'!A:A, I655,
    'New Backfilled Data'!D:D, J655
  ),
  ""
)</f>
        <v>0.57907485442698603</v>
      </c>
      <c r="L655" s="90"/>
      <c r="M655" s="90"/>
    </row>
    <row r="656" spans="1:13" ht="17" x14ac:dyDescent="0.2">
      <c r="A656" s="94">
        <v>2010</v>
      </c>
      <c r="B656" s="95" t="s">
        <v>66</v>
      </c>
      <c r="C656" s="95" t="s">
        <v>17</v>
      </c>
      <c r="D656" s="95" t="s">
        <v>21</v>
      </c>
      <c r="E656" s="95" t="s">
        <v>69</v>
      </c>
      <c r="F656" s="95" t="s">
        <v>70</v>
      </c>
      <c r="G656" s="96">
        <v>562542374</v>
      </c>
      <c r="H656" s="95"/>
      <c r="I656" s="81">
        <f ca="1">IFERROR(__xludf.DUMMYFUNCTION("""COMPUTED_VALUE"""),2021)</f>
        <v>2021</v>
      </c>
      <c r="J656" s="82" t="str">
        <f ca="1">IFERROR(__xludf.DUMMYFUNCTION("""COMPUTED_VALUE"""),"Greece")</f>
        <v>Greece</v>
      </c>
      <c r="K656" s="83">
        <f ca="1">IFERROR(
  SUMIFS(
    'New Backfilled Data'!G:G,
    'New Backfilled Data'!A:A, I656,
    'New Backfilled Data'!D:D, J656,
    'New Backfilled Data'!E:E, "Online"
  ) /
  SUMIFS(
    'New Backfilled Data'!G:G,
    'New Backfilled Data'!A:A, I656,
    'New Backfilled Data'!D:D, J656
  ),
  ""
)</f>
        <v>0.46723676761970384</v>
      </c>
      <c r="L656" s="84"/>
      <c r="M656" s="84"/>
    </row>
    <row r="657" spans="1:13" ht="17" x14ac:dyDescent="0.2">
      <c r="A657" s="91">
        <v>2010</v>
      </c>
      <c r="B657" s="92" t="s">
        <v>66</v>
      </c>
      <c r="C657" s="92" t="s">
        <v>17</v>
      </c>
      <c r="D657" s="92" t="s">
        <v>22</v>
      </c>
      <c r="E657" s="92" t="s">
        <v>67</v>
      </c>
      <c r="F657" s="92" t="s">
        <v>67</v>
      </c>
      <c r="G657" s="93">
        <v>2557622593</v>
      </c>
      <c r="H657" s="92"/>
      <c r="I657" s="87">
        <f ca="1">IFERROR(__xludf.DUMMYFUNCTION("""COMPUTED_VALUE"""),2021)</f>
        <v>2021</v>
      </c>
      <c r="J657" s="88" t="str">
        <f ca="1">IFERROR(__xludf.DUMMYFUNCTION("""COMPUTED_VALUE"""),"Hungary")</f>
        <v>Hungary</v>
      </c>
      <c r="K657" s="89">
        <f ca="1">IFERROR(
  SUMIFS(
    'New Backfilled Data'!G:G,
    'New Backfilled Data'!A:A, I657,
    'New Backfilled Data'!D:D, J657,
    'New Backfilled Data'!E:E, "Online"
  ) /
  SUMIFS(
    'New Backfilled Data'!G:G,
    'New Backfilled Data'!A:A, I657,
    'New Backfilled Data'!D:D, J657
  ),
  ""
)</f>
        <v>0.83568165683818196</v>
      </c>
      <c r="L657" s="90"/>
      <c r="M657" s="90"/>
    </row>
    <row r="658" spans="1:13" ht="17" x14ac:dyDescent="0.2">
      <c r="A658" s="94">
        <v>2010</v>
      </c>
      <c r="B658" s="95" t="s">
        <v>66</v>
      </c>
      <c r="C658" s="95" t="s">
        <v>17</v>
      </c>
      <c r="D658" s="95" t="s">
        <v>22</v>
      </c>
      <c r="E658" s="95" t="s">
        <v>69</v>
      </c>
      <c r="F658" s="95" t="s">
        <v>71</v>
      </c>
      <c r="G658" s="96">
        <v>165637527</v>
      </c>
      <c r="H658" s="95"/>
      <c r="I658" s="81">
        <f ca="1">IFERROR(__xludf.DUMMYFUNCTION("""COMPUTED_VALUE"""),2021)</f>
        <v>2021</v>
      </c>
      <c r="J658" s="82" t="str">
        <f ca="1">IFERROR(__xludf.DUMMYFUNCTION("""COMPUTED_VALUE"""),"Poland")</f>
        <v>Poland</v>
      </c>
      <c r="K658" s="83">
        <f ca="1">IFERROR(
  SUMIFS(
    'New Backfilled Data'!G:G,
    'New Backfilled Data'!A:A, I658,
    'New Backfilled Data'!D:D, J658,
    'New Backfilled Data'!E:E, "Online"
  ) /
  SUMIFS(
    'New Backfilled Data'!G:G,
    'New Backfilled Data'!A:A, I658,
    'New Backfilled Data'!D:D, J658
  ),
  ""
)</f>
        <v>0.45910484862803908</v>
      </c>
      <c r="L658" s="84"/>
      <c r="M658" s="84"/>
    </row>
    <row r="659" spans="1:13" ht="34" x14ac:dyDescent="0.2">
      <c r="A659" s="91">
        <v>2010</v>
      </c>
      <c r="B659" s="92" t="s">
        <v>66</v>
      </c>
      <c r="C659" s="92" t="s">
        <v>17</v>
      </c>
      <c r="D659" s="92" t="s">
        <v>22</v>
      </c>
      <c r="E659" s="92" t="s">
        <v>69</v>
      </c>
      <c r="F659" s="92" t="s">
        <v>70</v>
      </c>
      <c r="G659" s="93">
        <v>211425645</v>
      </c>
      <c r="H659" s="92"/>
      <c r="I659" s="87">
        <f ca="1">IFERROR(__xludf.DUMMYFUNCTION("""COMPUTED_VALUE"""),2021)</f>
        <v>2021</v>
      </c>
      <c r="J659" s="88" t="str">
        <f ca="1">IFERROR(__xludf.DUMMYFUNCTION("""COMPUTED_VALUE"""),"Rest of Eastern Europe")</f>
        <v>Rest of Eastern Europe</v>
      </c>
      <c r="K659" s="89">
        <f ca="1">IFERROR(
  SUMIFS(
    'New Backfilled Data'!G:G,
    'New Backfilled Data'!A:A, I659,
    'New Backfilled Data'!D:D, J659,
    'New Backfilled Data'!E:E, "Online"
  ) /
  SUMIFS(
    'New Backfilled Data'!G:G,
    'New Backfilled Data'!A:A, I659,
    'New Backfilled Data'!D:D, J659
  ),
  ""
)</f>
        <v>0.566764470562369</v>
      </c>
      <c r="L659" s="90"/>
      <c r="M659" s="90"/>
    </row>
    <row r="660" spans="1:13" ht="17" x14ac:dyDescent="0.2">
      <c r="A660" s="94">
        <v>2010</v>
      </c>
      <c r="B660" s="95" t="s">
        <v>66</v>
      </c>
      <c r="C660" s="95" t="s">
        <v>17</v>
      </c>
      <c r="D660" s="95" t="s">
        <v>23</v>
      </c>
      <c r="E660" s="95" t="s">
        <v>67</v>
      </c>
      <c r="F660" s="95" t="s">
        <v>67</v>
      </c>
      <c r="G660" s="96">
        <v>2923169734</v>
      </c>
      <c r="H660" s="95"/>
      <c r="I660" s="81">
        <f ca="1">IFERROR(__xludf.DUMMYFUNCTION("""COMPUTED_VALUE"""),2021)</f>
        <v>2021</v>
      </c>
      <c r="J660" s="82" t="str">
        <f ca="1">IFERROR(__xludf.DUMMYFUNCTION("""COMPUTED_VALUE"""),"Romania")</f>
        <v>Romania</v>
      </c>
      <c r="K660" s="83">
        <f ca="1">IFERROR(
  SUMIFS(
    'New Backfilled Data'!G:G,
    'New Backfilled Data'!A:A, I660,
    'New Backfilled Data'!D:D, J660,
    'New Backfilled Data'!E:E, "Online"
  ) /
  SUMIFS(
    'New Backfilled Data'!G:G,
    'New Backfilled Data'!A:A, I660,
    'New Backfilled Data'!D:D, J660
  ),
  ""
)</f>
        <v>0.48076108016306796</v>
      </c>
      <c r="L660" s="84"/>
      <c r="M660" s="84"/>
    </row>
    <row r="661" spans="1:13" ht="17" x14ac:dyDescent="0.2">
      <c r="A661" s="91">
        <v>2010</v>
      </c>
      <c r="B661" s="92" t="s">
        <v>66</v>
      </c>
      <c r="C661" s="92" t="s">
        <v>17</v>
      </c>
      <c r="D661" s="92" t="s">
        <v>23</v>
      </c>
      <c r="E661" s="92" t="s">
        <v>69</v>
      </c>
      <c r="F661" s="92" t="s">
        <v>71</v>
      </c>
      <c r="G661" s="93">
        <v>147715536</v>
      </c>
      <c r="H661" s="92"/>
      <c r="I661" s="87">
        <f ca="1">IFERROR(__xludf.DUMMYFUNCTION("""COMPUTED_VALUE"""),2021)</f>
        <v>2021</v>
      </c>
      <c r="J661" s="88" t="str">
        <f ca="1">IFERROR(__xludf.DUMMYFUNCTION("""COMPUTED_VALUE"""),"Russia")</f>
        <v>Russia</v>
      </c>
      <c r="K661" s="89">
        <f ca="1">IFERROR(
  SUMIFS(
    'New Backfilled Data'!G:G,
    'New Backfilled Data'!A:A, I661,
    'New Backfilled Data'!D:D, J661,
    'New Backfilled Data'!E:E, "Online"
  ) /
  SUMIFS(
    'New Backfilled Data'!G:G,
    'New Backfilled Data'!A:A, I661,
    'New Backfilled Data'!D:D, J661
  ),
  ""
)</f>
        <v>0.48731799673280607</v>
      </c>
      <c r="L661" s="90"/>
      <c r="M661" s="90"/>
    </row>
    <row r="662" spans="1:13" ht="17" x14ac:dyDescent="0.2">
      <c r="A662" s="94">
        <v>2010</v>
      </c>
      <c r="B662" s="95" t="s">
        <v>66</v>
      </c>
      <c r="C662" s="95" t="s">
        <v>17</v>
      </c>
      <c r="D662" s="95" t="s">
        <v>23</v>
      </c>
      <c r="E662" s="95" t="s">
        <v>69</v>
      </c>
      <c r="F662" s="95" t="s">
        <v>70</v>
      </c>
      <c r="G662" s="96">
        <v>341911857</v>
      </c>
      <c r="H662" s="95"/>
      <c r="I662" s="81">
        <f ca="1">IFERROR(__xludf.DUMMYFUNCTION("""COMPUTED_VALUE"""),2021)</f>
        <v>2021</v>
      </c>
      <c r="J662" s="82" t="str">
        <f ca="1">IFERROR(__xludf.DUMMYFUNCTION("""COMPUTED_VALUE"""),"Ukraine")</f>
        <v>Ukraine</v>
      </c>
      <c r="K662" s="83">
        <f ca="1">IFERROR(
  SUMIFS(
    'New Backfilled Data'!G:G,
    'New Backfilled Data'!A:A, I662,
    'New Backfilled Data'!D:D, J662,
    'New Backfilled Data'!E:E, "Online"
  ) /
  SUMIFS(
    'New Backfilled Data'!G:G,
    'New Backfilled Data'!A:A, I662,
    'New Backfilled Data'!D:D, J662
  ),
  ""
)</f>
        <v>0.40307478889516496</v>
      </c>
      <c r="L662" s="84"/>
      <c r="M662" s="84"/>
    </row>
    <row r="663" spans="1:13" ht="17" x14ac:dyDescent="0.2">
      <c r="A663" s="91">
        <v>2010</v>
      </c>
      <c r="B663" s="92" t="s">
        <v>66</v>
      </c>
      <c r="C663" s="92" t="s">
        <v>17</v>
      </c>
      <c r="D663" s="92" t="s">
        <v>24</v>
      </c>
      <c r="E663" s="92" t="s">
        <v>67</v>
      </c>
      <c r="F663" s="92" t="s">
        <v>67</v>
      </c>
      <c r="G663" s="93">
        <v>36946881806</v>
      </c>
      <c r="H663" s="92"/>
      <c r="I663" s="87">
        <f ca="1">IFERROR(__xludf.DUMMYFUNCTION("""COMPUTED_VALUE"""),2021)</f>
        <v>2021</v>
      </c>
      <c r="J663" s="88" t="str">
        <f ca="1">IFERROR(__xludf.DUMMYFUNCTION("""COMPUTED_VALUE"""),"France")</f>
        <v>France</v>
      </c>
      <c r="K663" s="89">
        <f ca="1">IFERROR(
  SUMIFS(
    'New Backfilled Data'!G:G,
    'New Backfilled Data'!A:A, I663,
    'New Backfilled Data'!D:D, J663,
    'New Backfilled Data'!E:E, "Online"
  ) /
  SUMIFS(
    'New Backfilled Data'!G:G,
    'New Backfilled Data'!A:A, I663,
    'New Backfilled Data'!D:D, J663
  ),
  ""
)</f>
        <v>0.47317790296896256</v>
      </c>
      <c r="L663" s="90"/>
      <c r="M663" s="90"/>
    </row>
    <row r="664" spans="1:13" ht="17" x14ac:dyDescent="0.2">
      <c r="A664" s="94">
        <v>2010</v>
      </c>
      <c r="B664" s="95" t="s">
        <v>66</v>
      </c>
      <c r="C664" s="95" t="s">
        <v>17</v>
      </c>
      <c r="D664" s="95" t="s">
        <v>24</v>
      </c>
      <c r="E664" s="95" t="s">
        <v>69</v>
      </c>
      <c r="F664" s="95" t="s">
        <v>71</v>
      </c>
      <c r="G664" s="96">
        <v>1543939532</v>
      </c>
      <c r="H664" s="95"/>
      <c r="I664" s="81">
        <f ca="1">IFERROR(__xludf.DUMMYFUNCTION("""COMPUTED_VALUE"""),2021)</f>
        <v>2021</v>
      </c>
      <c r="J664" s="82" t="str">
        <f ca="1">IFERROR(__xludf.DUMMYFUNCTION("""COMPUTED_VALUE"""),"Germany")</f>
        <v>Germany</v>
      </c>
      <c r="K664" s="83">
        <f ca="1">IFERROR(
  SUMIFS(
    'New Backfilled Data'!G:G,
    'New Backfilled Data'!A:A, I664,
    'New Backfilled Data'!D:D, J664,
    'New Backfilled Data'!E:E, "Online"
  ) /
  SUMIFS(
    'New Backfilled Data'!G:G,
    'New Backfilled Data'!A:A, I664,
    'New Backfilled Data'!D:D, J664
  ),
  ""
)</f>
        <v>0.5590341454827642</v>
      </c>
      <c r="L664" s="84"/>
      <c r="M664" s="84"/>
    </row>
    <row r="665" spans="1:13" ht="17" x14ac:dyDescent="0.2">
      <c r="A665" s="91">
        <v>2010</v>
      </c>
      <c r="B665" s="92" t="s">
        <v>66</v>
      </c>
      <c r="C665" s="92" t="s">
        <v>17</v>
      </c>
      <c r="D665" s="92" t="s">
        <v>24</v>
      </c>
      <c r="E665" s="92" t="s">
        <v>69</v>
      </c>
      <c r="F665" s="92" t="s">
        <v>70</v>
      </c>
      <c r="G665" s="93">
        <v>1883048606</v>
      </c>
      <c r="H665" s="92"/>
      <c r="I665" s="87">
        <f ca="1">IFERROR(__xludf.DUMMYFUNCTION("""COMPUTED_VALUE"""),2021)</f>
        <v>2021</v>
      </c>
      <c r="J665" s="88" t="str">
        <f ca="1">IFERROR(__xludf.DUMMYFUNCTION("""COMPUTED_VALUE"""),"Italy")</f>
        <v>Italy</v>
      </c>
      <c r="K665" s="89">
        <f ca="1">IFERROR(
  SUMIFS(
    'New Backfilled Data'!G:G,
    'New Backfilled Data'!A:A, I665,
    'New Backfilled Data'!D:D, J665,
    'New Backfilled Data'!E:E, "Online"
  ) /
  SUMIFS(
    'New Backfilled Data'!G:G,
    'New Backfilled Data'!A:A, I665,
    'New Backfilled Data'!D:D, J665
  ),
  ""
)</f>
        <v>0.51108163819255403</v>
      </c>
      <c r="L665" s="90"/>
      <c r="M665" s="90"/>
    </row>
    <row r="666" spans="1:13" ht="17" x14ac:dyDescent="0.2">
      <c r="A666" s="94">
        <v>2010</v>
      </c>
      <c r="B666" s="95" t="s">
        <v>66</v>
      </c>
      <c r="C666" s="95" t="s">
        <v>17</v>
      </c>
      <c r="D666" s="95" t="s">
        <v>25</v>
      </c>
      <c r="E666" s="95" t="s">
        <v>67</v>
      </c>
      <c r="F666" s="95" t="s">
        <v>67</v>
      </c>
      <c r="G666" s="96">
        <v>3188267735</v>
      </c>
      <c r="H666" s="95"/>
      <c r="I666" s="81">
        <f ca="1">IFERROR(__xludf.DUMMYFUNCTION("""COMPUTED_VALUE"""),2021)</f>
        <v>2021</v>
      </c>
      <c r="J666" s="82" t="str">
        <f ca="1">IFERROR(__xludf.DUMMYFUNCTION("""COMPUTED_VALUE"""),"Rest of Europe")</f>
        <v>Rest of Europe</v>
      </c>
      <c r="K666" s="83">
        <f ca="1">IFERROR(
  SUMIFS(
    'New Backfilled Data'!G:G,
    'New Backfilled Data'!A:A, I666,
    'New Backfilled Data'!D:D, J666,
    'New Backfilled Data'!E:E, "Online"
  ) /
  SUMIFS(
    'New Backfilled Data'!G:G,
    'New Backfilled Data'!A:A, I666,
    'New Backfilled Data'!D:D, J666
  ),
  ""
)</f>
        <v>0.57992485635728663</v>
      </c>
      <c r="L666" s="84"/>
      <c r="M666" s="84"/>
    </row>
    <row r="667" spans="1:13" ht="17" x14ac:dyDescent="0.2">
      <c r="A667" s="91">
        <v>2010</v>
      </c>
      <c r="B667" s="92" t="s">
        <v>66</v>
      </c>
      <c r="C667" s="92" t="s">
        <v>17</v>
      </c>
      <c r="D667" s="92" t="s">
        <v>25</v>
      </c>
      <c r="E667" s="92" t="s">
        <v>69</v>
      </c>
      <c r="F667" s="92" t="s">
        <v>71</v>
      </c>
      <c r="G667" s="93">
        <v>220605094</v>
      </c>
      <c r="H667" s="92"/>
      <c r="I667" s="87">
        <f ca="1">IFERROR(__xludf.DUMMYFUNCTION("""COMPUTED_VALUE"""),2021)</f>
        <v>2021</v>
      </c>
      <c r="J667" s="88" t="str">
        <f ca="1">IFERROR(__xludf.DUMMYFUNCTION("""COMPUTED_VALUE"""),"Scandinavia")</f>
        <v>Scandinavia</v>
      </c>
      <c r="K667" s="89">
        <f ca="1">IFERROR(
  SUMIFS(
    'New Backfilled Data'!G:G,
    'New Backfilled Data'!A:A, I667,
    'New Backfilled Data'!D:D, J667,
    'New Backfilled Data'!E:E, "Online"
  ) /
  SUMIFS(
    'New Backfilled Data'!G:G,
    'New Backfilled Data'!A:A, I667,
    'New Backfilled Data'!D:D, J667
  ),
  ""
)</f>
        <v>0.68554849511905935</v>
      </c>
      <c r="L667" s="90"/>
      <c r="M667" s="90"/>
    </row>
    <row r="668" spans="1:13" ht="17" x14ac:dyDescent="0.2">
      <c r="A668" s="94">
        <v>2010</v>
      </c>
      <c r="B668" s="95" t="s">
        <v>66</v>
      </c>
      <c r="C668" s="95" t="s">
        <v>17</v>
      </c>
      <c r="D668" s="95" t="s">
        <v>25</v>
      </c>
      <c r="E668" s="95" t="s">
        <v>69</v>
      </c>
      <c r="F668" s="95" t="s">
        <v>70</v>
      </c>
      <c r="G668" s="96">
        <v>334949925</v>
      </c>
      <c r="H668" s="95"/>
      <c r="I668" s="81">
        <f ca="1">IFERROR(__xludf.DUMMYFUNCTION("""COMPUTED_VALUE"""),2021)</f>
        <v>2021</v>
      </c>
      <c r="J668" s="82" t="str">
        <f ca="1">IFERROR(__xludf.DUMMYFUNCTION("""COMPUTED_VALUE"""),"Spain")</f>
        <v>Spain</v>
      </c>
      <c r="K668" s="83">
        <f ca="1">IFERROR(
  SUMIFS(
    'New Backfilled Data'!G:G,
    'New Backfilled Data'!A:A, I668,
    'New Backfilled Data'!D:D, J668,
    'New Backfilled Data'!E:E, "Online"
  ) /
  SUMIFS(
    'New Backfilled Data'!G:G,
    'New Backfilled Data'!A:A, I668,
    'New Backfilled Data'!D:D, J668
  ),
  ""
)</f>
        <v>0.53910237386058135</v>
      </c>
      <c r="L668" s="84"/>
      <c r="M668" s="84"/>
    </row>
    <row r="669" spans="1:13" ht="17" x14ac:dyDescent="0.2">
      <c r="A669" s="91">
        <v>2010</v>
      </c>
      <c r="B669" s="92" t="s">
        <v>66</v>
      </c>
      <c r="C669" s="92" t="s">
        <v>27</v>
      </c>
      <c r="D669" s="92" t="s">
        <v>26</v>
      </c>
      <c r="E669" s="92" t="s">
        <v>67</v>
      </c>
      <c r="F669" s="92" t="s">
        <v>67</v>
      </c>
      <c r="G669" s="93">
        <v>35412326588</v>
      </c>
      <c r="H669" s="92"/>
      <c r="I669" s="87">
        <f ca="1">IFERROR(__xludf.DUMMYFUNCTION("""COMPUTED_VALUE"""),2021)</f>
        <v>2021</v>
      </c>
      <c r="J669" s="88" t="str">
        <f ca="1">IFERROR(__xludf.DUMMYFUNCTION("""COMPUTED_VALUE"""),"U.K.")</f>
        <v>U.K.</v>
      </c>
      <c r="K669" s="89">
        <f ca="1">IFERROR(
  SUMIFS(
    'New Backfilled Data'!G:G,
    'New Backfilled Data'!A:A, I669,
    'New Backfilled Data'!D:D, J669,
    'New Backfilled Data'!E:E, "Online"
  ) /
  SUMIFS(
    'New Backfilled Data'!G:G,
    'New Backfilled Data'!A:A, I669,
    'New Backfilled Data'!D:D, J669
  ),
  ""
)</f>
        <v>0.72409599006099779</v>
      </c>
      <c r="L669" s="90"/>
      <c r="M669" s="90"/>
    </row>
    <row r="670" spans="1:13" ht="17" x14ac:dyDescent="0.2">
      <c r="A670" s="94">
        <v>2010</v>
      </c>
      <c r="B670" s="95" t="s">
        <v>66</v>
      </c>
      <c r="C670" s="95" t="s">
        <v>27</v>
      </c>
      <c r="D670" s="95" t="s">
        <v>26</v>
      </c>
      <c r="E670" s="95" t="s">
        <v>69</v>
      </c>
      <c r="F670" s="95" t="s">
        <v>71</v>
      </c>
      <c r="G670" s="96">
        <v>6135502759</v>
      </c>
      <c r="H670" s="95"/>
      <c r="I670" s="81">
        <f ca="1">IFERROR(__xludf.DUMMYFUNCTION("""COMPUTED_VALUE"""),2021)</f>
        <v>2021</v>
      </c>
      <c r="J670" s="82" t="str">
        <f ca="1">IFERROR(__xludf.DUMMYFUNCTION("""COMPUTED_VALUE"""),"Argentina")</f>
        <v>Argentina</v>
      </c>
      <c r="K670" s="83">
        <f ca="1">IFERROR(
  SUMIFS(
    'New Backfilled Data'!G:G,
    'New Backfilled Data'!A:A, I670,
    'New Backfilled Data'!D:D, J670,
    'New Backfilled Data'!E:E, "Online"
  ) /
  SUMIFS(
    'New Backfilled Data'!G:G,
    'New Backfilled Data'!A:A, I670,
    'New Backfilled Data'!D:D, J670
  ),
  ""
)</f>
        <v>0.35200000006218995</v>
      </c>
      <c r="L670" s="84"/>
      <c r="M670" s="84"/>
    </row>
    <row r="671" spans="1:13" ht="17" x14ac:dyDescent="0.2">
      <c r="A671" s="91">
        <v>2010</v>
      </c>
      <c r="B671" s="92" t="s">
        <v>66</v>
      </c>
      <c r="C671" s="92" t="s">
        <v>27</v>
      </c>
      <c r="D671" s="92" t="s">
        <v>26</v>
      </c>
      <c r="E671" s="92" t="s">
        <v>69</v>
      </c>
      <c r="F671" s="92" t="s">
        <v>70</v>
      </c>
      <c r="G671" s="93">
        <v>10339979375</v>
      </c>
      <c r="H671" s="92"/>
      <c r="I671" s="87">
        <f ca="1">IFERROR(__xludf.DUMMYFUNCTION("""COMPUTED_VALUE"""),2021)</f>
        <v>2021</v>
      </c>
      <c r="J671" s="88" t="str">
        <f ca="1">IFERROR(__xludf.DUMMYFUNCTION("""COMPUTED_VALUE"""),"Brazil")</f>
        <v>Brazil</v>
      </c>
      <c r="K671" s="89">
        <f ca="1">IFERROR(
  SUMIFS(
    'New Backfilled Data'!G:G,
    'New Backfilled Data'!A:A, I671,
    'New Backfilled Data'!D:D, J671,
    'New Backfilled Data'!E:E, "Online"
  ) /
  SUMIFS(
    'New Backfilled Data'!G:G,
    'New Backfilled Data'!A:A, I671,
    'New Backfilled Data'!D:D, J671
  ),
  ""
)</f>
        <v>0.47365074407948926</v>
      </c>
      <c r="L671" s="90"/>
      <c r="M671" s="90"/>
    </row>
    <row r="672" spans="1:13" ht="17" x14ac:dyDescent="0.2">
      <c r="A672" s="94">
        <v>2010</v>
      </c>
      <c r="B672" s="95" t="s">
        <v>66</v>
      </c>
      <c r="C672" s="95" t="s">
        <v>27</v>
      </c>
      <c r="D672" s="95" t="s">
        <v>28</v>
      </c>
      <c r="E672" s="95" t="s">
        <v>67</v>
      </c>
      <c r="F672" s="95" t="s">
        <v>67</v>
      </c>
      <c r="G672" s="96">
        <v>46374265997</v>
      </c>
      <c r="H672" s="95"/>
      <c r="I672" s="81">
        <f ca="1">IFERROR(__xludf.DUMMYFUNCTION("""COMPUTED_VALUE"""),2021)</f>
        <v>2021</v>
      </c>
      <c r="J672" s="82" t="str">
        <f ca="1">IFERROR(__xludf.DUMMYFUNCTION("""COMPUTED_VALUE"""),"Chile")</f>
        <v>Chile</v>
      </c>
      <c r="K672" s="83">
        <f ca="1">IFERROR(
  SUMIFS(
    'New Backfilled Data'!G:G,
    'New Backfilled Data'!A:A, I672,
    'New Backfilled Data'!D:D, J672,
    'New Backfilled Data'!E:E, "Online"
  ) /
  SUMIFS(
    'New Backfilled Data'!G:G,
    'New Backfilled Data'!A:A, I672,
    'New Backfilled Data'!D:D, J672
  ),
  ""
)</f>
        <v>0.43178925211211844</v>
      </c>
      <c r="L672" s="84"/>
      <c r="M672" s="84"/>
    </row>
    <row r="673" spans="1:13" ht="17" x14ac:dyDescent="0.2">
      <c r="A673" s="91">
        <v>2010</v>
      </c>
      <c r="B673" s="92" t="s">
        <v>66</v>
      </c>
      <c r="C673" s="92" t="s">
        <v>27</v>
      </c>
      <c r="D673" s="92" t="s">
        <v>28</v>
      </c>
      <c r="E673" s="92" t="s">
        <v>69</v>
      </c>
      <c r="F673" s="92" t="s">
        <v>71</v>
      </c>
      <c r="G673" s="93">
        <v>9212441144</v>
      </c>
      <c r="H673" s="92"/>
      <c r="I673" s="87">
        <f ca="1">IFERROR(__xludf.DUMMYFUNCTION("""COMPUTED_VALUE"""),2021)</f>
        <v>2021</v>
      </c>
      <c r="J673" s="88" t="str">
        <f ca="1">IFERROR(__xludf.DUMMYFUNCTION("""COMPUTED_VALUE"""),"Colombia")</f>
        <v>Colombia</v>
      </c>
      <c r="K673" s="89">
        <f ca="1">IFERROR(
  SUMIFS(
    'New Backfilled Data'!G:G,
    'New Backfilled Data'!A:A, I673,
    'New Backfilled Data'!D:D, J673,
    'New Backfilled Data'!E:E, "Online"
  ) /
  SUMIFS(
    'New Backfilled Data'!G:G,
    'New Backfilled Data'!A:A, I673,
    'New Backfilled Data'!D:D, J673
  ),
  ""
)</f>
        <v>0.42354399978902441</v>
      </c>
      <c r="L673" s="90"/>
      <c r="M673" s="90"/>
    </row>
    <row r="674" spans="1:13" ht="17" x14ac:dyDescent="0.2">
      <c r="A674" s="94">
        <v>2010</v>
      </c>
      <c r="B674" s="95" t="s">
        <v>66</v>
      </c>
      <c r="C674" s="95" t="s">
        <v>27</v>
      </c>
      <c r="D674" s="95" t="s">
        <v>28</v>
      </c>
      <c r="E674" s="95" t="s">
        <v>69</v>
      </c>
      <c r="F674" s="95" t="s">
        <v>70</v>
      </c>
      <c r="G674" s="96">
        <v>10708608717</v>
      </c>
      <c r="H674" s="95"/>
      <c r="I674" s="81">
        <f ca="1">IFERROR(__xludf.DUMMYFUNCTION("""COMPUTED_VALUE"""),2021)</f>
        <v>2021</v>
      </c>
      <c r="J674" s="82" t="str">
        <f ca="1">IFERROR(__xludf.DUMMYFUNCTION("""COMPUTED_VALUE"""),"Mexico")</f>
        <v>Mexico</v>
      </c>
      <c r="K674" s="83">
        <f ca="1">IFERROR(
  SUMIFS(
    'New Backfilled Data'!G:G,
    'New Backfilled Data'!A:A, I674,
    'New Backfilled Data'!D:D, J674,
    'New Backfilled Data'!E:E, "Online"
  ) /
  SUMIFS(
    'New Backfilled Data'!G:G,
    'New Backfilled Data'!A:A, I674,
    'New Backfilled Data'!D:D, J674
  ),
  ""
)</f>
        <v>0.46145610647529545</v>
      </c>
      <c r="L674" s="84"/>
      <c r="M674" s="84"/>
    </row>
    <row r="675" spans="1:13" ht="17" x14ac:dyDescent="0.2">
      <c r="A675" s="91">
        <v>2010</v>
      </c>
      <c r="B675" s="92" t="s">
        <v>66</v>
      </c>
      <c r="C675" s="92" t="s">
        <v>27</v>
      </c>
      <c r="D675" s="92" t="s">
        <v>29</v>
      </c>
      <c r="E675" s="92" t="s">
        <v>67</v>
      </c>
      <c r="F675" s="92" t="s">
        <v>67</v>
      </c>
      <c r="G675" s="93">
        <v>19447573551</v>
      </c>
      <c r="H675" s="92"/>
      <c r="I675" s="87">
        <f ca="1">IFERROR(__xludf.DUMMYFUNCTION("""COMPUTED_VALUE"""),2021)</f>
        <v>2021</v>
      </c>
      <c r="J675" s="88" t="str">
        <f ca="1">IFERROR(__xludf.DUMMYFUNCTION("""COMPUTED_VALUE"""),"Egypt")</f>
        <v>Egypt</v>
      </c>
      <c r="K675" s="89">
        <f ca="1">IFERROR(
  SUMIFS(
    'New Backfilled Data'!G:G,
    'New Backfilled Data'!A:A, I675,
    'New Backfilled Data'!D:D, J675,
    'New Backfilled Data'!E:E, "Online"
  ) /
  SUMIFS(
    'New Backfilled Data'!G:G,
    'New Backfilled Data'!A:A, I675,
    'New Backfilled Data'!D:D, J675
  ),
  ""
)</f>
        <v>0.31548279518332284</v>
      </c>
      <c r="L675" s="90"/>
      <c r="M675" s="90"/>
    </row>
    <row r="676" spans="1:13" ht="17" x14ac:dyDescent="0.2">
      <c r="A676" s="94">
        <v>2010</v>
      </c>
      <c r="B676" s="95" t="s">
        <v>66</v>
      </c>
      <c r="C676" s="95" t="s">
        <v>27</v>
      </c>
      <c r="D676" s="95" t="s">
        <v>29</v>
      </c>
      <c r="E676" s="95" t="s">
        <v>69</v>
      </c>
      <c r="F676" s="95" t="s">
        <v>71</v>
      </c>
      <c r="G676" s="96">
        <v>3181491005</v>
      </c>
      <c r="H676" s="95"/>
      <c r="I676" s="81">
        <f ca="1">IFERROR(__xludf.DUMMYFUNCTION("""COMPUTED_VALUE"""),2021)</f>
        <v>2021</v>
      </c>
      <c r="J676" s="82" t="str">
        <f ca="1">IFERROR(__xludf.DUMMYFUNCTION("""COMPUTED_VALUE"""),"Qatar")</f>
        <v>Qatar</v>
      </c>
      <c r="K676" s="83">
        <f ca="1">IFERROR(
  SUMIFS(
    'New Backfilled Data'!G:G,
    'New Backfilled Data'!A:A, I676,
    'New Backfilled Data'!D:D, J676,
    'New Backfilled Data'!E:E, "Online"
  ) /
  SUMIFS(
    'New Backfilled Data'!G:G,
    'New Backfilled Data'!A:A, I676,
    'New Backfilled Data'!D:D, J676
  ),
  ""
)</f>
        <v>0.39288384851054758</v>
      </c>
      <c r="L676" s="84"/>
      <c r="M676" s="84"/>
    </row>
    <row r="677" spans="1:13" ht="34" x14ac:dyDescent="0.2">
      <c r="A677" s="91">
        <v>2010</v>
      </c>
      <c r="B677" s="92" t="s">
        <v>66</v>
      </c>
      <c r="C677" s="92" t="s">
        <v>27</v>
      </c>
      <c r="D677" s="92" t="s">
        <v>29</v>
      </c>
      <c r="E677" s="92" t="s">
        <v>69</v>
      </c>
      <c r="F677" s="92" t="s">
        <v>70</v>
      </c>
      <c r="G677" s="93">
        <v>2739381555</v>
      </c>
      <c r="H677" s="92"/>
      <c r="I677" s="87">
        <f ca="1">IFERROR(__xludf.DUMMYFUNCTION("""COMPUTED_VALUE"""),2021)</f>
        <v>2021</v>
      </c>
      <c r="J677" s="88" t="str">
        <f ca="1">IFERROR(__xludf.DUMMYFUNCTION("""COMPUTED_VALUE"""),"Rest of Middle East")</f>
        <v>Rest of Middle East</v>
      </c>
      <c r="K677" s="89">
        <f ca="1">IFERROR(
  SUMIFS(
    'New Backfilled Data'!G:G,
    'New Backfilled Data'!A:A, I677,
    'New Backfilled Data'!D:D, J677,
    'New Backfilled Data'!E:E, "Online"
  ) /
  SUMIFS(
    'New Backfilled Data'!G:G,
    'New Backfilled Data'!A:A, I677,
    'New Backfilled Data'!D:D, J677
  ),
  ""
)</f>
        <v>0.36934884873782314</v>
      </c>
      <c r="L677" s="90"/>
      <c r="M677" s="90"/>
    </row>
    <row r="678" spans="1:13" ht="17" x14ac:dyDescent="0.2">
      <c r="A678" s="94">
        <v>2010</v>
      </c>
      <c r="B678" s="95" t="s">
        <v>66</v>
      </c>
      <c r="C678" s="95" t="s">
        <v>27</v>
      </c>
      <c r="D678" s="95" t="s">
        <v>30</v>
      </c>
      <c r="E678" s="95" t="s">
        <v>67</v>
      </c>
      <c r="F678" s="95" t="s">
        <v>67</v>
      </c>
      <c r="G678" s="96">
        <v>40026341293</v>
      </c>
      <c r="H678" s="95"/>
      <c r="I678" s="81">
        <f ca="1">IFERROR(__xludf.DUMMYFUNCTION("""COMPUTED_VALUE"""),2021)</f>
        <v>2021</v>
      </c>
      <c r="J678" s="82" t="str">
        <f ca="1">IFERROR(__xludf.DUMMYFUNCTION("""COMPUTED_VALUE"""),"Saudi Arabia")</f>
        <v>Saudi Arabia</v>
      </c>
      <c r="K678" s="83">
        <f ca="1">IFERROR(
  SUMIFS(
    'New Backfilled Data'!G:G,
    'New Backfilled Data'!A:A, I678,
    'New Backfilled Data'!D:D, J678,
    'New Backfilled Data'!E:E, "Online"
  ) /
  SUMIFS(
    'New Backfilled Data'!G:G,
    'New Backfilled Data'!A:A, I678,
    'New Backfilled Data'!D:D, J678
  ),
  ""
)</f>
        <v>0.40530549519522585</v>
      </c>
      <c r="L678" s="84"/>
      <c r="M678" s="84"/>
    </row>
    <row r="679" spans="1:13" ht="17" x14ac:dyDescent="0.2">
      <c r="A679" s="91">
        <v>2010</v>
      </c>
      <c r="B679" s="92" t="s">
        <v>66</v>
      </c>
      <c r="C679" s="92" t="s">
        <v>27</v>
      </c>
      <c r="D679" s="92" t="s">
        <v>30</v>
      </c>
      <c r="E679" s="92" t="s">
        <v>69</v>
      </c>
      <c r="F679" s="92" t="s">
        <v>71</v>
      </c>
      <c r="G679" s="93">
        <v>5134768729</v>
      </c>
      <c r="H679" s="92"/>
      <c r="I679" s="87">
        <f ca="1">IFERROR(__xludf.DUMMYFUNCTION("""COMPUTED_VALUE"""),2021)</f>
        <v>2021</v>
      </c>
      <c r="J679" s="88" t="str">
        <f ca="1">IFERROR(__xludf.DUMMYFUNCTION("""COMPUTED_VALUE"""),"U.A.E.")</f>
        <v>U.A.E.</v>
      </c>
      <c r="K679" s="89">
        <f ca="1">IFERROR(
  SUMIFS(
    'New Backfilled Data'!G:G,
    'New Backfilled Data'!A:A, I679,
    'New Backfilled Data'!D:D, J679,
    'New Backfilled Data'!E:E, "Online"
  ) /
  SUMIFS(
    'New Backfilled Data'!G:G,
    'New Backfilled Data'!A:A, I679,
    'New Backfilled Data'!D:D, J679
  ),
  ""
)</f>
        <v>0.45590749457346424</v>
      </c>
      <c r="L679" s="90"/>
      <c r="M679" s="90"/>
    </row>
    <row r="680" spans="1:13" ht="17" x14ac:dyDescent="0.2">
      <c r="A680" s="94">
        <v>2010</v>
      </c>
      <c r="B680" s="95" t="s">
        <v>66</v>
      </c>
      <c r="C680" s="95" t="s">
        <v>27</v>
      </c>
      <c r="D680" s="95" t="s">
        <v>30</v>
      </c>
      <c r="E680" s="95" t="s">
        <v>69</v>
      </c>
      <c r="F680" s="95" t="s">
        <v>70</v>
      </c>
      <c r="G680" s="96">
        <v>9167428019</v>
      </c>
      <c r="H680" s="95"/>
      <c r="I680" s="81">
        <f ca="1">IFERROR(__xludf.DUMMYFUNCTION("""COMPUTED_VALUE"""),2021)</f>
        <v>2021</v>
      </c>
      <c r="J680" s="82" t="str">
        <f ca="1">IFERROR(__xludf.DUMMYFUNCTION("""COMPUTED_VALUE"""),"Canada")</f>
        <v>Canada</v>
      </c>
      <c r="K680" s="83">
        <f ca="1">IFERROR(
  SUMIFS(
    'New Backfilled Data'!G:G,
    'New Backfilled Data'!A:A, I680,
    'New Backfilled Data'!D:D, J680,
    'New Backfilled Data'!E:E, "Online"
  ) /
  SUMIFS(
    'New Backfilled Data'!G:G,
    'New Backfilled Data'!A:A, I680,
    'New Backfilled Data'!D:D, J680
  ),
  ""
)</f>
        <v>0.5517610448827508</v>
      </c>
      <c r="L680" s="84"/>
      <c r="M680" s="84"/>
    </row>
    <row r="681" spans="1:13" ht="17" x14ac:dyDescent="0.2">
      <c r="A681" s="91">
        <v>2010</v>
      </c>
      <c r="B681" s="92" t="s">
        <v>66</v>
      </c>
      <c r="C681" s="92" t="s">
        <v>27</v>
      </c>
      <c r="D681" s="92" t="s">
        <v>31</v>
      </c>
      <c r="E681" s="92" t="s">
        <v>67</v>
      </c>
      <c r="F681" s="92" t="s">
        <v>67</v>
      </c>
      <c r="G681" s="93">
        <v>10691865773</v>
      </c>
      <c r="H681" s="92"/>
      <c r="I681" s="87">
        <f ca="1">IFERROR(__xludf.DUMMYFUNCTION("""COMPUTED_VALUE"""),2021)</f>
        <v>2021</v>
      </c>
      <c r="J681" s="88" t="str">
        <f ca="1">IFERROR(__xludf.DUMMYFUNCTION("""COMPUTED_VALUE"""),"U.S.")</f>
        <v>U.S.</v>
      </c>
      <c r="K681" s="89">
        <f ca="1">IFERROR(
  SUMIFS(
    'New Backfilled Data'!G:G,
    'New Backfilled Data'!A:A, I681,
    'New Backfilled Data'!D:D, J681,
    'New Backfilled Data'!E:E, "Online"
  ) /
  SUMIFS(
    'New Backfilled Data'!G:G,
    'New Backfilled Data'!A:A, I681,
    'New Backfilled Data'!D:D, J681
  ),
  ""
)</f>
        <v>0.65363457770117517</v>
      </c>
      <c r="L681" s="90"/>
      <c r="M681" s="90"/>
    </row>
    <row r="682" spans="1:13" ht="34" x14ac:dyDescent="0.2">
      <c r="A682" s="94">
        <v>2010</v>
      </c>
      <c r="B682" s="95" t="s">
        <v>66</v>
      </c>
      <c r="C682" s="95" t="s">
        <v>27</v>
      </c>
      <c r="D682" s="95" t="s">
        <v>31</v>
      </c>
      <c r="E682" s="95" t="s">
        <v>69</v>
      </c>
      <c r="F682" s="95" t="s">
        <v>71</v>
      </c>
      <c r="G682" s="96">
        <v>2186054383</v>
      </c>
      <c r="H682" s="95"/>
      <c r="I682" s="81">
        <f ca="1">IFERROR(__xludf.DUMMYFUNCTION("""COMPUTED_VALUE"""),2022)</f>
        <v>2022</v>
      </c>
      <c r="J682" s="82" t="str">
        <f ca="1">IFERROR(__xludf.DUMMYFUNCTION("""COMPUTED_VALUE"""),"Australia-New Zealand")</f>
        <v>Australia-New Zealand</v>
      </c>
      <c r="K682" s="83">
        <f ca="1">IFERROR(
  SUMIFS(
    'New Backfilled Data'!G:G,
    'New Backfilled Data'!A:A, I682,
    'New Backfilled Data'!D:D, J682,
    'New Backfilled Data'!E:E, "Online"
  ) /
  SUMIFS(
    'New Backfilled Data'!G:G,
    'New Backfilled Data'!A:A, I682,
    'New Backfilled Data'!D:D, J682
  ),
  ""
)</f>
        <v>0.55750170421282197</v>
      </c>
      <c r="L682" s="84"/>
      <c r="M682" s="84"/>
    </row>
    <row r="683" spans="1:13" ht="17" x14ac:dyDescent="0.2">
      <c r="A683" s="91">
        <v>2010</v>
      </c>
      <c r="B683" s="92" t="s">
        <v>66</v>
      </c>
      <c r="C683" s="92" t="s">
        <v>27</v>
      </c>
      <c r="D683" s="92" t="s">
        <v>31</v>
      </c>
      <c r="E683" s="92" t="s">
        <v>69</v>
      </c>
      <c r="F683" s="92" t="s">
        <v>70</v>
      </c>
      <c r="G683" s="93">
        <v>4762986136</v>
      </c>
      <c r="H683" s="92"/>
      <c r="I683" s="87">
        <f ca="1">IFERROR(__xludf.DUMMYFUNCTION("""COMPUTED_VALUE"""),2022)</f>
        <v>2022</v>
      </c>
      <c r="J683" s="88" t="str">
        <f ca="1">IFERROR(__xludf.DUMMYFUNCTION("""COMPUTED_VALUE"""),"China")</f>
        <v>China</v>
      </c>
      <c r="K683" s="89">
        <f ca="1">IFERROR(
  SUMIFS(
    'New Backfilled Data'!G:G,
    'New Backfilled Data'!A:A, I683,
    'New Backfilled Data'!D:D, J683,
    'New Backfilled Data'!E:E, "Online"
  ) /
  SUMIFS(
    'New Backfilled Data'!G:G,
    'New Backfilled Data'!A:A, I683,
    'New Backfilled Data'!D:D, J683
  ),
  ""
)</f>
        <v>0.67588400234046375</v>
      </c>
      <c r="L683" s="90"/>
      <c r="M683" s="90"/>
    </row>
    <row r="684" spans="1:13" ht="17" x14ac:dyDescent="0.2">
      <c r="A684" s="94">
        <v>2010</v>
      </c>
      <c r="B684" s="95" t="s">
        <v>66</v>
      </c>
      <c r="C684" s="95" t="s">
        <v>27</v>
      </c>
      <c r="D684" s="95" t="s">
        <v>32</v>
      </c>
      <c r="E684" s="95" t="s">
        <v>67</v>
      </c>
      <c r="F684" s="95" t="s">
        <v>67</v>
      </c>
      <c r="G684" s="96">
        <v>19779559586</v>
      </c>
      <c r="H684" s="95"/>
      <c r="I684" s="81">
        <f ca="1">IFERROR(__xludf.DUMMYFUNCTION("""COMPUTED_VALUE"""),2022)</f>
        <v>2022</v>
      </c>
      <c r="J684" s="82" t="str">
        <f ca="1">IFERROR(__xludf.DUMMYFUNCTION("""COMPUTED_VALUE"""),"Hong Kong")</f>
        <v>Hong Kong</v>
      </c>
      <c r="K684" s="83">
        <f ca="1">IFERROR(
  SUMIFS(
    'New Backfilled Data'!G:G,
    'New Backfilled Data'!A:A, I684,
    'New Backfilled Data'!D:D, J684,
    'New Backfilled Data'!E:E, "Online"
  ) /
  SUMIFS(
    'New Backfilled Data'!G:G,
    'New Backfilled Data'!A:A, I684,
    'New Backfilled Data'!D:D, J684
  ),
  ""
)</f>
        <v>0.28863658808137482</v>
      </c>
      <c r="L684" s="84"/>
      <c r="M684" s="84"/>
    </row>
    <row r="685" spans="1:13" ht="17" x14ac:dyDescent="0.2">
      <c r="A685" s="91">
        <v>2010</v>
      </c>
      <c r="B685" s="92" t="s">
        <v>66</v>
      </c>
      <c r="C685" s="92" t="s">
        <v>27</v>
      </c>
      <c r="D685" s="92" t="s">
        <v>32</v>
      </c>
      <c r="E685" s="92" t="s">
        <v>69</v>
      </c>
      <c r="F685" s="92" t="s">
        <v>71</v>
      </c>
      <c r="G685" s="93">
        <v>3754768293</v>
      </c>
      <c r="H685" s="92"/>
      <c r="I685" s="87">
        <f ca="1">IFERROR(__xludf.DUMMYFUNCTION("""COMPUTED_VALUE"""),2022)</f>
        <v>2022</v>
      </c>
      <c r="J685" s="88" t="str">
        <f ca="1">IFERROR(__xludf.DUMMYFUNCTION("""COMPUTED_VALUE"""),"India")</f>
        <v>India</v>
      </c>
      <c r="K685" s="89">
        <f ca="1">IFERROR(
  SUMIFS(
    'New Backfilled Data'!G:G,
    'New Backfilled Data'!A:A, I685,
    'New Backfilled Data'!D:D, J685,
    'New Backfilled Data'!E:E, "Online"
  ) /
  SUMIFS(
    'New Backfilled Data'!G:G,
    'New Backfilled Data'!A:A, I685,
    'New Backfilled Data'!D:D, J685
  ),
  ""
)</f>
        <v>0.54092879492650725</v>
      </c>
      <c r="L685" s="90"/>
      <c r="M685" s="90"/>
    </row>
    <row r="686" spans="1:13" ht="17" x14ac:dyDescent="0.2">
      <c r="A686" s="94">
        <v>2010</v>
      </c>
      <c r="B686" s="95" t="s">
        <v>66</v>
      </c>
      <c r="C686" s="95" t="s">
        <v>27</v>
      </c>
      <c r="D686" s="95" t="s">
        <v>32</v>
      </c>
      <c r="E686" s="95" t="s">
        <v>69</v>
      </c>
      <c r="F686" s="95" t="s">
        <v>70</v>
      </c>
      <c r="G686" s="96">
        <v>2774385566</v>
      </c>
      <c r="H686" s="95"/>
      <c r="I686" s="81">
        <f ca="1">IFERROR(__xludf.DUMMYFUNCTION("""COMPUTED_VALUE"""),2022)</f>
        <v>2022</v>
      </c>
      <c r="J686" s="82" t="str">
        <f ca="1">IFERROR(__xludf.DUMMYFUNCTION("""COMPUTED_VALUE"""),"Indonesia")</f>
        <v>Indonesia</v>
      </c>
      <c r="K686" s="83">
        <f ca="1">IFERROR(
  SUMIFS(
    'New Backfilled Data'!G:G,
    'New Backfilled Data'!A:A, I686,
    'New Backfilled Data'!D:D, J686,
    'New Backfilled Data'!E:E, "Online"
  ) /
  SUMIFS(
    'New Backfilled Data'!G:G,
    'New Backfilled Data'!A:A, I686,
    'New Backfilled Data'!D:D, J686
  ),
  ""
)</f>
        <v>0.53842316453923544</v>
      </c>
      <c r="L686" s="84"/>
      <c r="M686" s="84"/>
    </row>
    <row r="687" spans="1:13" ht="17" x14ac:dyDescent="0.2">
      <c r="A687" s="91">
        <v>2010</v>
      </c>
      <c r="B687" s="92" t="s">
        <v>66</v>
      </c>
      <c r="C687" s="92" t="s">
        <v>27</v>
      </c>
      <c r="D687" s="92" t="s">
        <v>33</v>
      </c>
      <c r="E687" s="92" t="s">
        <v>67</v>
      </c>
      <c r="F687" s="92" t="s">
        <v>67</v>
      </c>
      <c r="G687" s="93">
        <v>36128371211</v>
      </c>
      <c r="H687" s="92"/>
      <c r="I687" s="87">
        <f ca="1">IFERROR(__xludf.DUMMYFUNCTION("""COMPUTED_VALUE"""),2022)</f>
        <v>2022</v>
      </c>
      <c r="J687" s="88" t="str">
        <f ca="1">IFERROR(__xludf.DUMMYFUNCTION("""COMPUTED_VALUE"""),"Japan")</f>
        <v>Japan</v>
      </c>
      <c r="K687" s="89">
        <f ca="1">IFERROR(
  SUMIFS(
    'New Backfilled Data'!G:G,
    'New Backfilled Data'!A:A, I687,
    'New Backfilled Data'!D:D, J687,
    'New Backfilled Data'!E:E, "Online"
  ) /
  SUMIFS(
    'New Backfilled Data'!G:G,
    'New Backfilled Data'!A:A, I687,
    'New Backfilled Data'!D:D, J687
  ),
  ""
)</f>
        <v>0.52830580113967907</v>
      </c>
      <c r="L687" s="90"/>
      <c r="M687" s="90"/>
    </row>
    <row r="688" spans="1:13" ht="17" x14ac:dyDescent="0.2">
      <c r="A688" s="94">
        <v>2010</v>
      </c>
      <c r="B688" s="95" t="s">
        <v>66</v>
      </c>
      <c r="C688" s="95" t="s">
        <v>27</v>
      </c>
      <c r="D688" s="95" t="s">
        <v>33</v>
      </c>
      <c r="E688" s="95" t="s">
        <v>69</v>
      </c>
      <c r="F688" s="95" t="s">
        <v>71</v>
      </c>
      <c r="G688" s="96">
        <v>5538920736</v>
      </c>
      <c r="H688" s="95"/>
      <c r="I688" s="81">
        <f ca="1">IFERROR(__xludf.DUMMYFUNCTION("""COMPUTED_VALUE"""),2022)</f>
        <v>2022</v>
      </c>
      <c r="J688" s="82" t="str">
        <f ca="1">IFERROR(__xludf.DUMMYFUNCTION("""COMPUTED_VALUE"""),"Macau")</f>
        <v>Macau</v>
      </c>
      <c r="K688" s="83">
        <f ca="1">IFERROR(
  SUMIFS(
    'New Backfilled Data'!G:G,
    'New Backfilled Data'!A:A, I688,
    'New Backfilled Data'!D:D, J688,
    'New Backfilled Data'!E:E, "Online"
  ) /
  SUMIFS(
    'New Backfilled Data'!G:G,
    'New Backfilled Data'!A:A, I688,
    'New Backfilled Data'!D:D, J688
  ),
  ""
)</f>
        <v>0.5</v>
      </c>
      <c r="L688" s="84"/>
      <c r="M688" s="84"/>
    </row>
    <row r="689" spans="1:13" ht="17" x14ac:dyDescent="0.2">
      <c r="A689" s="91">
        <v>2010</v>
      </c>
      <c r="B689" s="92" t="s">
        <v>66</v>
      </c>
      <c r="C689" s="92" t="s">
        <v>27</v>
      </c>
      <c r="D689" s="92" t="s">
        <v>33</v>
      </c>
      <c r="E689" s="92" t="s">
        <v>69</v>
      </c>
      <c r="F689" s="92" t="s">
        <v>70</v>
      </c>
      <c r="G689" s="93">
        <v>14580896780</v>
      </c>
      <c r="H689" s="92"/>
      <c r="I689" s="87">
        <f ca="1">IFERROR(__xludf.DUMMYFUNCTION("""COMPUTED_VALUE"""),2022)</f>
        <v>2022</v>
      </c>
      <c r="J689" s="88" t="str">
        <f ca="1">IFERROR(__xludf.DUMMYFUNCTION("""COMPUTED_VALUE"""),"Malaysia")</f>
        <v>Malaysia</v>
      </c>
      <c r="K689" s="89">
        <f ca="1">IFERROR(
  SUMIFS(
    'New Backfilled Data'!G:G,
    'New Backfilled Data'!A:A, I689,
    'New Backfilled Data'!D:D, J689,
    'New Backfilled Data'!E:E, "Online"
  ) /
  SUMIFS(
    'New Backfilled Data'!G:G,
    'New Backfilled Data'!A:A, I689,
    'New Backfilled Data'!D:D, J689
  ),
  ""
)</f>
        <v>0.5551224895790714</v>
      </c>
      <c r="L689" s="90"/>
      <c r="M689" s="90"/>
    </row>
    <row r="690" spans="1:13" ht="17" x14ac:dyDescent="0.2">
      <c r="A690" s="94">
        <v>2010</v>
      </c>
      <c r="B690" s="95" t="s">
        <v>66</v>
      </c>
      <c r="C690" s="95" t="s">
        <v>35</v>
      </c>
      <c r="D690" s="95" t="s">
        <v>34</v>
      </c>
      <c r="E690" s="95" t="s">
        <v>67</v>
      </c>
      <c r="F690" s="95" t="s">
        <v>67</v>
      </c>
      <c r="G690" s="96">
        <v>8902994517</v>
      </c>
      <c r="H690" s="95"/>
      <c r="I690" s="81">
        <f ca="1">IFERROR(__xludf.DUMMYFUNCTION("""COMPUTED_VALUE"""),2022)</f>
        <v>2022</v>
      </c>
      <c r="J690" s="82" t="str">
        <f ca="1">IFERROR(__xludf.DUMMYFUNCTION("""COMPUTED_VALUE"""),"Singapore")</f>
        <v>Singapore</v>
      </c>
      <c r="K690" s="83">
        <f ca="1">IFERROR(
  SUMIFS(
    'New Backfilled Data'!G:G,
    'New Backfilled Data'!A:A, I690,
    'New Backfilled Data'!D:D, J690,
    'New Backfilled Data'!E:E, "Online"
  ) /
  SUMIFS(
    'New Backfilled Data'!G:G,
    'New Backfilled Data'!A:A, I690,
    'New Backfilled Data'!D:D, J690
  ),
  ""
)</f>
        <v>0.6250838862544823</v>
      </c>
      <c r="L690" s="84"/>
      <c r="M690" s="84"/>
    </row>
    <row r="691" spans="1:13" ht="17" x14ac:dyDescent="0.2">
      <c r="A691" s="91">
        <v>2010</v>
      </c>
      <c r="B691" s="92" t="s">
        <v>66</v>
      </c>
      <c r="C691" s="92" t="s">
        <v>35</v>
      </c>
      <c r="D691" s="92" t="s">
        <v>34</v>
      </c>
      <c r="E691" s="92" t="s">
        <v>69</v>
      </c>
      <c r="F691" s="92" t="s">
        <v>71</v>
      </c>
      <c r="G691" s="93">
        <v>343290774</v>
      </c>
      <c r="H691" s="92"/>
      <c r="I691" s="87">
        <f ca="1">IFERROR(__xludf.DUMMYFUNCTION("""COMPUTED_VALUE"""),2022)</f>
        <v>2022</v>
      </c>
      <c r="J691" s="88" t="str">
        <f ca="1">IFERROR(__xludf.DUMMYFUNCTION("""COMPUTED_VALUE"""),"South Korea")</f>
        <v>South Korea</v>
      </c>
      <c r="K691" s="89">
        <f ca="1">IFERROR(
  SUMIFS(
    'New Backfilled Data'!G:G,
    'New Backfilled Data'!A:A, I691,
    'New Backfilled Data'!D:D, J691,
    'New Backfilled Data'!E:E, "Online"
  ) /
  SUMIFS(
    'New Backfilled Data'!G:G,
    'New Backfilled Data'!A:A, I691,
    'New Backfilled Data'!D:D, J691
  ),
  ""
)</f>
        <v>0.53122515543233217</v>
      </c>
      <c r="L691" s="90"/>
      <c r="M691" s="90"/>
    </row>
    <row r="692" spans="1:13" ht="17" x14ac:dyDescent="0.2">
      <c r="A692" s="94">
        <v>2010</v>
      </c>
      <c r="B692" s="95" t="s">
        <v>66</v>
      </c>
      <c r="C692" s="95" t="s">
        <v>35</v>
      </c>
      <c r="D692" s="95" t="s">
        <v>34</v>
      </c>
      <c r="E692" s="95" t="s">
        <v>69</v>
      </c>
      <c r="F692" s="95" t="s">
        <v>70</v>
      </c>
      <c r="G692" s="96">
        <v>283161776</v>
      </c>
      <c r="H692" s="95"/>
      <c r="I692" s="81">
        <f ca="1">IFERROR(__xludf.DUMMYFUNCTION("""COMPUTED_VALUE"""),2022)</f>
        <v>2022</v>
      </c>
      <c r="J692" s="82" t="str">
        <f ca="1">IFERROR(__xludf.DUMMYFUNCTION("""COMPUTED_VALUE"""),"Taiwan")</f>
        <v>Taiwan</v>
      </c>
      <c r="K692" s="83">
        <f ca="1">IFERROR(
  SUMIFS(
    'New Backfilled Data'!G:G,
    'New Backfilled Data'!A:A, I692,
    'New Backfilled Data'!D:D, J692,
    'New Backfilled Data'!E:E, "Online"
  ) /
  SUMIFS(
    'New Backfilled Data'!G:G,
    'New Backfilled Data'!A:A, I692,
    'New Backfilled Data'!D:D, J692
  ),
  ""
)</f>
        <v>0.45871786855254371</v>
      </c>
      <c r="L692" s="84"/>
      <c r="M692" s="84"/>
    </row>
    <row r="693" spans="1:13" ht="17" x14ac:dyDescent="0.2">
      <c r="A693" s="91">
        <v>2010</v>
      </c>
      <c r="B693" s="92" t="s">
        <v>66</v>
      </c>
      <c r="C693" s="92" t="s">
        <v>35</v>
      </c>
      <c r="D693" s="92" t="s">
        <v>36</v>
      </c>
      <c r="E693" s="92" t="s">
        <v>67</v>
      </c>
      <c r="F693" s="92" t="s">
        <v>67</v>
      </c>
      <c r="G693" s="93">
        <v>36381376893</v>
      </c>
      <c r="H693" s="92"/>
      <c r="I693" s="87">
        <f ca="1">IFERROR(__xludf.DUMMYFUNCTION("""COMPUTED_VALUE"""),2022)</f>
        <v>2022</v>
      </c>
      <c r="J693" s="88" t="str">
        <f ca="1">IFERROR(__xludf.DUMMYFUNCTION("""COMPUTED_VALUE"""),"Thailand")</f>
        <v>Thailand</v>
      </c>
      <c r="K693" s="89">
        <f ca="1">IFERROR(
  SUMIFS(
    'New Backfilled Data'!G:G,
    'New Backfilled Data'!A:A, I693,
    'New Backfilled Data'!D:D, J693,
    'New Backfilled Data'!E:E, "Online"
  ) /
  SUMIFS(
    'New Backfilled Data'!G:G,
    'New Backfilled Data'!A:A, I693,
    'New Backfilled Data'!D:D, J693
  ),
  ""
)</f>
        <v>0.50810140423399808</v>
      </c>
      <c r="L693" s="90"/>
      <c r="M693" s="90"/>
    </row>
    <row r="694" spans="1:13" ht="17" x14ac:dyDescent="0.2">
      <c r="A694" s="94">
        <v>2010</v>
      </c>
      <c r="B694" s="95" t="s">
        <v>66</v>
      </c>
      <c r="C694" s="95" t="s">
        <v>35</v>
      </c>
      <c r="D694" s="95" t="s">
        <v>36</v>
      </c>
      <c r="E694" s="95" t="s">
        <v>69</v>
      </c>
      <c r="F694" s="95" t="s">
        <v>71</v>
      </c>
      <c r="G694" s="96">
        <v>3551632264</v>
      </c>
      <c r="H694" s="95"/>
      <c r="I694" s="81">
        <f ca="1">IFERROR(__xludf.DUMMYFUNCTION("""COMPUTED_VALUE"""),2022)</f>
        <v>2022</v>
      </c>
      <c r="J694" s="82" t="str">
        <f ca="1">IFERROR(__xludf.DUMMYFUNCTION("""COMPUTED_VALUE"""),"Bulgaria")</f>
        <v>Bulgaria</v>
      </c>
      <c r="K694" s="83">
        <f ca="1">IFERROR(
  SUMIFS(
    'New Backfilled Data'!G:G,
    'New Backfilled Data'!A:A, I694,
    'New Backfilled Data'!D:D, J694,
    'New Backfilled Data'!E:E, "Online"
  ) /
  SUMIFS(
    'New Backfilled Data'!G:G,
    'New Backfilled Data'!A:A, I694,
    'New Backfilled Data'!D:D, J694
  ),
  ""
)</f>
        <v>0.44094382286979994</v>
      </c>
      <c r="L694" s="84"/>
      <c r="M694" s="84"/>
    </row>
    <row r="695" spans="1:13" ht="17" x14ac:dyDescent="0.2">
      <c r="A695" s="91">
        <v>2010</v>
      </c>
      <c r="B695" s="92" t="s">
        <v>66</v>
      </c>
      <c r="C695" s="92" t="s">
        <v>35</v>
      </c>
      <c r="D695" s="92" t="s">
        <v>36</v>
      </c>
      <c r="E695" s="92" t="s">
        <v>69</v>
      </c>
      <c r="F695" s="92" t="s">
        <v>70</v>
      </c>
      <c r="G695" s="93">
        <v>1698245736</v>
      </c>
      <c r="H695" s="92"/>
      <c r="I695" s="87">
        <f ca="1">IFERROR(__xludf.DUMMYFUNCTION("""COMPUTED_VALUE"""),2022)</f>
        <v>2022</v>
      </c>
      <c r="J695" s="88" t="str">
        <f ca="1">IFERROR(__xludf.DUMMYFUNCTION("""COMPUTED_VALUE"""),"Czech Republic")</f>
        <v>Czech Republic</v>
      </c>
      <c r="K695" s="89">
        <f ca="1">IFERROR(
  SUMIFS(
    'New Backfilled Data'!G:G,
    'New Backfilled Data'!A:A, I695,
    'New Backfilled Data'!D:D, J695,
    'New Backfilled Data'!E:E, "Online"
  ) /
  SUMIFS(
    'New Backfilled Data'!G:G,
    'New Backfilled Data'!A:A, I695,
    'New Backfilled Data'!D:D, J695
  ),
  ""
)</f>
        <v>0.62064301143049672</v>
      </c>
      <c r="L695" s="90"/>
      <c r="M695" s="90"/>
    </row>
    <row r="696" spans="1:13" ht="17" x14ac:dyDescent="0.2">
      <c r="A696" s="94">
        <v>2010</v>
      </c>
      <c r="B696" s="95" t="s">
        <v>66</v>
      </c>
      <c r="C696" s="95" t="s">
        <v>35</v>
      </c>
      <c r="D696" s="95" t="s">
        <v>37</v>
      </c>
      <c r="E696" s="95" t="s">
        <v>67</v>
      </c>
      <c r="F696" s="95" t="s">
        <v>67</v>
      </c>
      <c r="G696" s="96">
        <v>3885552614</v>
      </c>
      <c r="H696" s="95"/>
      <c r="I696" s="81">
        <f ca="1">IFERROR(__xludf.DUMMYFUNCTION("""COMPUTED_VALUE"""),2022)</f>
        <v>2022</v>
      </c>
      <c r="J696" s="82" t="str">
        <f ca="1">IFERROR(__xludf.DUMMYFUNCTION("""COMPUTED_VALUE"""),"Greece")</f>
        <v>Greece</v>
      </c>
      <c r="K696" s="83">
        <f ca="1">IFERROR(
  SUMIFS(
    'New Backfilled Data'!G:G,
    'New Backfilled Data'!A:A, I696,
    'New Backfilled Data'!D:D, J696,
    'New Backfilled Data'!E:E, "Online"
  ) /
  SUMIFS(
    'New Backfilled Data'!G:G,
    'New Backfilled Data'!A:A, I696,
    'New Backfilled Data'!D:D, J696
  ),
  ""
)</f>
        <v>0.49653865830073696</v>
      </c>
      <c r="L696" s="84"/>
      <c r="M696" s="84"/>
    </row>
    <row r="697" spans="1:13" ht="17" x14ac:dyDescent="0.2">
      <c r="A697" s="91">
        <v>2010</v>
      </c>
      <c r="B697" s="92" t="s">
        <v>66</v>
      </c>
      <c r="C697" s="92" t="s">
        <v>35</v>
      </c>
      <c r="D697" s="92" t="s">
        <v>37</v>
      </c>
      <c r="E697" s="92" t="s">
        <v>69</v>
      </c>
      <c r="F697" s="92" t="s">
        <v>71</v>
      </c>
      <c r="G697" s="93">
        <v>276741957</v>
      </c>
      <c r="H697" s="92"/>
      <c r="I697" s="87">
        <f ca="1">IFERROR(__xludf.DUMMYFUNCTION("""COMPUTED_VALUE"""),2022)</f>
        <v>2022</v>
      </c>
      <c r="J697" s="88" t="str">
        <f ca="1">IFERROR(__xludf.DUMMYFUNCTION("""COMPUTED_VALUE"""),"Hungary")</f>
        <v>Hungary</v>
      </c>
      <c r="K697" s="89">
        <f ca="1">IFERROR(
  SUMIFS(
    'New Backfilled Data'!G:G,
    'New Backfilled Data'!A:A, I697,
    'New Backfilled Data'!D:D, J697,
    'New Backfilled Data'!E:E, "Online"
  ) /
  SUMIFS(
    'New Backfilled Data'!G:G,
    'New Backfilled Data'!A:A, I697,
    'New Backfilled Data'!D:D, J697
  ),
  ""
)</f>
        <v>0.89465047644982898</v>
      </c>
      <c r="L697" s="90"/>
      <c r="M697" s="90"/>
    </row>
    <row r="698" spans="1:13" ht="17" x14ac:dyDescent="0.2">
      <c r="A698" s="94">
        <v>2010</v>
      </c>
      <c r="B698" s="95" t="s">
        <v>66</v>
      </c>
      <c r="C698" s="95" t="s">
        <v>35</v>
      </c>
      <c r="D698" s="95" t="s">
        <v>37</v>
      </c>
      <c r="E698" s="95" t="s">
        <v>69</v>
      </c>
      <c r="F698" s="95" t="s">
        <v>70</v>
      </c>
      <c r="G698" s="96">
        <v>669491411</v>
      </c>
      <c r="H698" s="95"/>
      <c r="I698" s="81">
        <f ca="1">IFERROR(__xludf.DUMMYFUNCTION("""COMPUTED_VALUE"""),2022)</f>
        <v>2022</v>
      </c>
      <c r="J698" s="82" t="str">
        <f ca="1">IFERROR(__xludf.DUMMYFUNCTION("""COMPUTED_VALUE"""),"Poland")</f>
        <v>Poland</v>
      </c>
      <c r="K698" s="83">
        <f ca="1">IFERROR(
  SUMIFS(
    'New Backfilled Data'!G:G,
    'New Backfilled Data'!A:A, I698,
    'New Backfilled Data'!D:D, J698,
    'New Backfilled Data'!E:E, "Online"
  ) /
  SUMIFS(
    'New Backfilled Data'!G:G,
    'New Backfilled Data'!A:A, I698,
    'New Backfilled Data'!D:D, J698
  ),
  ""
)</f>
        <v>0.5123114435131082</v>
      </c>
      <c r="L698" s="84"/>
      <c r="M698" s="84"/>
    </row>
    <row r="699" spans="1:13" ht="34" x14ac:dyDescent="0.2">
      <c r="A699" s="91">
        <v>2010</v>
      </c>
      <c r="B699" s="92" t="s">
        <v>66</v>
      </c>
      <c r="C699" s="92" t="s">
        <v>35</v>
      </c>
      <c r="D699" s="92" t="s">
        <v>38</v>
      </c>
      <c r="E699" s="92" t="s">
        <v>67</v>
      </c>
      <c r="F699" s="92" t="s">
        <v>67</v>
      </c>
      <c r="G699" s="93">
        <v>8251034761</v>
      </c>
      <c r="H699" s="92"/>
      <c r="I699" s="87">
        <f ca="1">IFERROR(__xludf.DUMMYFUNCTION("""COMPUTED_VALUE"""),2022)</f>
        <v>2022</v>
      </c>
      <c r="J699" s="88" t="str">
        <f ca="1">IFERROR(__xludf.DUMMYFUNCTION("""COMPUTED_VALUE"""),"Rest of Eastern Europe")</f>
        <v>Rest of Eastern Europe</v>
      </c>
      <c r="K699" s="89">
        <f ca="1">IFERROR(
  SUMIFS(
    'New Backfilled Data'!G:G,
    'New Backfilled Data'!A:A, I699,
    'New Backfilled Data'!D:D, J699,
    'New Backfilled Data'!E:E, "Online"
  ) /
  SUMIFS(
    'New Backfilled Data'!G:G,
    'New Backfilled Data'!A:A, I699,
    'New Backfilled Data'!D:D, J699
  ),
  ""
)</f>
        <v>0.60633885200455706</v>
      </c>
      <c r="L699" s="90"/>
      <c r="M699" s="90"/>
    </row>
    <row r="700" spans="1:13" ht="17" x14ac:dyDescent="0.2">
      <c r="A700" s="94">
        <v>2010</v>
      </c>
      <c r="B700" s="95" t="s">
        <v>66</v>
      </c>
      <c r="C700" s="95" t="s">
        <v>35</v>
      </c>
      <c r="D700" s="95" t="s">
        <v>38</v>
      </c>
      <c r="E700" s="95" t="s">
        <v>69</v>
      </c>
      <c r="F700" s="95" t="s">
        <v>71</v>
      </c>
      <c r="G700" s="96">
        <v>545397506</v>
      </c>
      <c r="H700" s="95"/>
      <c r="I700" s="81">
        <f ca="1">IFERROR(__xludf.DUMMYFUNCTION("""COMPUTED_VALUE"""),2022)</f>
        <v>2022</v>
      </c>
      <c r="J700" s="82" t="str">
        <f ca="1">IFERROR(__xludf.DUMMYFUNCTION("""COMPUTED_VALUE"""),"Romania")</f>
        <v>Romania</v>
      </c>
      <c r="K700" s="83">
        <f ca="1">IFERROR(
  SUMIFS(
    'New Backfilled Data'!G:G,
    'New Backfilled Data'!A:A, I700,
    'New Backfilled Data'!D:D, J700,
    'New Backfilled Data'!E:E, "Online"
  ) /
  SUMIFS(
    'New Backfilled Data'!G:G,
    'New Backfilled Data'!A:A, I700,
    'New Backfilled Data'!D:D, J700
  ),
  ""
)</f>
        <v>0.51547382777734641</v>
      </c>
      <c r="L700" s="84"/>
      <c r="M700" s="84"/>
    </row>
    <row r="701" spans="1:13" ht="17" x14ac:dyDescent="0.2">
      <c r="A701" s="91">
        <v>2010</v>
      </c>
      <c r="B701" s="92" t="s">
        <v>66</v>
      </c>
      <c r="C701" s="92" t="s">
        <v>35</v>
      </c>
      <c r="D701" s="92" t="s">
        <v>38</v>
      </c>
      <c r="E701" s="92" t="s">
        <v>69</v>
      </c>
      <c r="F701" s="92" t="s">
        <v>70</v>
      </c>
      <c r="G701" s="93">
        <v>437251035</v>
      </c>
      <c r="H701" s="92"/>
      <c r="I701" s="87">
        <f ca="1">IFERROR(__xludf.DUMMYFUNCTION("""COMPUTED_VALUE"""),2022)</f>
        <v>2022</v>
      </c>
      <c r="J701" s="88" t="str">
        <f ca="1">IFERROR(__xludf.DUMMYFUNCTION("""COMPUTED_VALUE"""),"Russia")</f>
        <v>Russia</v>
      </c>
      <c r="K701" s="89">
        <f ca="1">IFERROR(
  SUMIFS(
    'New Backfilled Data'!G:G,
    'New Backfilled Data'!A:A, I701,
    'New Backfilled Data'!D:D, J701,
    'New Backfilled Data'!E:E, "Online"
  ) /
  SUMIFS(
    'New Backfilled Data'!G:G,
    'New Backfilled Data'!A:A, I701,
    'New Backfilled Data'!D:D, J701
  ),
  ""
)</f>
        <v>0.46494423661156858</v>
      </c>
      <c r="L701" s="90"/>
      <c r="M701" s="90"/>
    </row>
    <row r="702" spans="1:13" ht="17" x14ac:dyDescent="0.2">
      <c r="A702" s="94">
        <v>2010</v>
      </c>
      <c r="B702" s="95" t="s">
        <v>66</v>
      </c>
      <c r="C702" s="95" t="s">
        <v>35</v>
      </c>
      <c r="D702" s="95" t="s">
        <v>39</v>
      </c>
      <c r="E702" s="95" t="s">
        <v>67</v>
      </c>
      <c r="F702" s="95" t="s">
        <v>67</v>
      </c>
      <c r="G702" s="96">
        <v>18178414303</v>
      </c>
      <c r="H702" s="95"/>
      <c r="I702" s="81">
        <f ca="1">IFERROR(__xludf.DUMMYFUNCTION("""COMPUTED_VALUE"""),2022)</f>
        <v>2022</v>
      </c>
      <c r="J702" s="82" t="str">
        <f ca="1">IFERROR(__xludf.DUMMYFUNCTION("""COMPUTED_VALUE"""),"Ukraine")</f>
        <v>Ukraine</v>
      </c>
      <c r="K702" s="83" t="str">
        <f ca="1">IFERROR(
  SUMIFS(
    'New Backfilled Data'!G:G,
    'New Backfilled Data'!A:A, I702,
    'New Backfilled Data'!D:D, J702,
    'New Backfilled Data'!E:E, "Online"
  ) /
  SUMIFS(
    'New Backfilled Data'!G:G,
    'New Backfilled Data'!A:A, I702,
    'New Backfilled Data'!D:D, J702
  ),
  ""
)</f>
        <v/>
      </c>
      <c r="L702" s="84"/>
      <c r="M702" s="84"/>
    </row>
    <row r="703" spans="1:13" ht="17" x14ac:dyDescent="0.2">
      <c r="A703" s="91">
        <v>2010</v>
      </c>
      <c r="B703" s="92" t="s">
        <v>66</v>
      </c>
      <c r="C703" s="92" t="s">
        <v>35</v>
      </c>
      <c r="D703" s="92" t="s">
        <v>39</v>
      </c>
      <c r="E703" s="92" t="s">
        <v>69</v>
      </c>
      <c r="F703" s="92" t="s">
        <v>71</v>
      </c>
      <c r="G703" s="93">
        <v>2249232805</v>
      </c>
      <c r="H703" s="92"/>
      <c r="I703" s="87">
        <f ca="1">IFERROR(__xludf.DUMMYFUNCTION("""COMPUTED_VALUE"""),2022)</f>
        <v>2022</v>
      </c>
      <c r="J703" s="88" t="str">
        <f ca="1">IFERROR(__xludf.DUMMYFUNCTION("""COMPUTED_VALUE"""),"France")</f>
        <v>France</v>
      </c>
      <c r="K703" s="89">
        <f ca="1">IFERROR(
  SUMIFS(
    'New Backfilled Data'!G:G,
    'New Backfilled Data'!A:A, I703,
    'New Backfilled Data'!D:D, J703,
    'New Backfilled Data'!E:E, "Online"
  ) /
  SUMIFS(
    'New Backfilled Data'!G:G,
    'New Backfilled Data'!A:A, I703,
    'New Backfilled Data'!D:D, J703
  ),
  ""
)</f>
        <v>0.51752303361023788</v>
      </c>
      <c r="L703" s="90"/>
      <c r="M703" s="90"/>
    </row>
    <row r="704" spans="1:13" ht="17" x14ac:dyDescent="0.2">
      <c r="A704" s="94">
        <v>2010</v>
      </c>
      <c r="B704" s="95" t="s">
        <v>66</v>
      </c>
      <c r="C704" s="95" t="s">
        <v>35</v>
      </c>
      <c r="D704" s="95" t="s">
        <v>39</v>
      </c>
      <c r="E704" s="95" t="s">
        <v>69</v>
      </c>
      <c r="F704" s="95" t="s">
        <v>70</v>
      </c>
      <c r="G704" s="96">
        <v>1267043873</v>
      </c>
      <c r="H704" s="95"/>
      <c r="I704" s="81">
        <f ca="1">IFERROR(__xludf.DUMMYFUNCTION("""COMPUTED_VALUE"""),2022)</f>
        <v>2022</v>
      </c>
      <c r="J704" s="82" t="str">
        <f ca="1">IFERROR(__xludf.DUMMYFUNCTION("""COMPUTED_VALUE"""),"Germany")</f>
        <v>Germany</v>
      </c>
      <c r="K704" s="83">
        <f ca="1">IFERROR(
  SUMIFS(
    'New Backfilled Data'!G:G,
    'New Backfilled Data'!A:A, I704,
    'New Backfilled Data'!D:D, J704,
    'New Backfilled Data'!E:E, "Online"
  ) /
  SUMIFS(
    'New Backfilled Data'!G:G,
    'New Backfilled Data'!A:A, I704,
    'New Backfilled Data'!D:D, J704
  ),
  ""
)</f>
        <v>0.58857488002971259</v>
      </c>
      <c r="L704" s="84"/>
      <c r="M704" s="84"/>
    </row>
    <row r="705" spans="1:13" ht="17" x14ac:dyDescent="0.2">
      <c r="A705" s="91">
        <v>2010</v>
      </c>
      <c r="B705" s="92" t="s">
        <v>66</v>
      </c>
      <c r="C705" s="92" t="s">
        <v>41</v>
      </c>
      <c r="D705" s="92" t="s">
        <v>40</v>
      </c>
      <c r="E705" s="92" t="s">
        <v>67</v>
      </c>
      <c r="F705" s="92" t="s">
        <v>67</v>
      </c>
      <c r="G705" s="93">
        <v>7808305519</v>
      </c>
      <c r="H705" s="92"/>
      <c r="I705" s="87">
        <f ca="1">IFERROR(__xludf.DUMMYFUNCTION("""COMPUTED_VALUE"""),2022)</f>
        <v>2022</v>
      </c>
      <c r="J705" s="88" t="str">
        <f ca="1">IFERROR(__xludf.DUMMYFUNCTION("""COMPUTED_VALUE"""),"Italy")</f>
        <v>Italy</v>
      </c>
      <c r="K705" s="89">
        <f ca="1">IFERROR(
  SUMIFS(
    'New Backfilled Data'!G:G,
    'New Backfilled Data'!A:A, I705,
    'New Backfilled Data'!D:D, J705,
    'New Backfilled Data'!E:E, "Online"
  ) /
  SUMIFS(
    'New Backfilled Data'!G:G,
    'New Backfilled Data'!A:A, I705,
    'New Backfilled Data'!D:D, J705
  ),
  ""
)</f>
        <v>0.53521874334421227</v>
      </c>
      <c r="L705" s="90"/>
      <c r="M705" s="90"/>
    </row>
    <row r="706" spans="1:13" ht="17" x14ac:dyDescent="0.2">
      <c r="A706" s="94">
        <v>2010</v>
      </c>
      <c r="B706" s="95" t="s">
        <v>66</v>
      </c>
      <c r="C706" s="95" t="s">
        <v>41</v>
      </c>
      <c r="D706" s="95" t="s">
        <v>40</v>
      </c>
      <c r="E706" s="95" t="s">
        <v>69</v>
      </c>
      <c r="F706" s="95" t="s">
        <v>71</v>
      </c>
      <c r="G706" s="96">
        <v>333825164</v>
      </c>
      <c r="H706" s="95"/>
      <c r="I706" s="81">
        <f ca="1">IFERROR(__xludf.DUMMYFUNCTION("""COMPUTED_VALUE"""),2022)</f>
        <v>2022</v>
      </c>
      <c r="J706" s="82" t="str">
        <f ca="1">IFERROR(__xludf.DUMMYFUNCTION("""COMPUTED_VALUE"""),"Rest of Europe")</f>
        <v>Rest of Europe</v>
      </c>
      <c r="K706" s="83">
        <f ca="1">IFERROR(
  SUMIFS(
    'New Backfilled Data'!G:G,
    'New Backfilled Data'!A:A, I706,
    'New Backfilled Data'!D:D, J706,
    'New Backfilled Data'!E:E, "Online"
  ) /
  SUMIFS(
    'New Backfilled Data'!G:G,
    'New Backfilled Data'!A:A, I706,
    'New Backfilled Data'!D:D, J706
  ),
  ""
)</f>
        <v>0.62643953779604999</v>
      </c>
      <c r="L706" s="84"/>
      <c r="M706" s="84"/>
    </row>
    <row r="707" spans="1:13" ht="17" x14ac:dyDescent="0.2">
      <c r="A707" s="91">
        <v>2010</v>
      </c>
      <c r="B707" s="92" t="s">
        <v>66</v>
      </c>
      <c r="C707" s="92" t="s">
        <v>41</v>
      </c>
      <c r="D707" s="92" t="s">
        <v>40</v>
      </c>
      <c r="E707" s="92" t="s">
        <v>69</v>
      </c>
      <c r="F707" s="92" t="s">
        <v>70</v>
      </c>
      <c r="G707" s="93">
        <v>256551398</v>
      </c>
      <c r="H707" s="92"/>
      <c r="I707" s="87">
        <f ca="1">IFERROR(__xludf.DUMMYFUNCTION("""COMPUTED_VALUE"""),2022)</f>
        <v>2022</v>
      </c>
      <c r="J707" s="88" t="str">
        <f ca="1">IFERROR(__xludf.DUMMYFUNCTION("""COMPUTED_VALUE"""),"Scandinavia")</f>
        <v>Scandinavia</v>
      </c>
      <c r="K707" s="89">
        <f ca="1">IFERROR(
  SUMIFS(
    'New Backfilled Data'!G:G,
    'New Backfilled Data'!A:A, I707,
    'New Backfilled Data'!D:D, J707,
    'New Backfilled Data'!E:E, "Online"
  ) /
  SUMIFS(
    'New Backfilled Data'!G:G,
    'New Backfilled Data'!A:A, I707,
    'New Backfilled Data'!D:D, J707
  ),
  ""
)</f>
        <v>0.76384074794584089</v>
      </c>
      <c r="L707" s="90"/>
      <c r="M707" s="90"/>
    </row>
    <row r="708" spans="1:13" ht="17" x14ac:dyDescent="0.2">
      <c r="A708" s="94">
        <v>2010</v>
      </c>
      <c r="B708" s="95" t="s">
        <v>66</v>
      </c>
      <c r="C708" s="95" t="s">
        <v>41</v>
      </c>
      <c r="D708" s="95" t="s">
        <v>42</v>
      </c>
      <c r="E708" s="95" t="s">
        <v>67</v>
      </c>
      <c r="F708" s="95" t="s">
        <v>67</v>
      </c>
      <c r="G708" s="96">
        <v>4519936718</v>
      </c>
      <c r="H708" s="95"/>
      <c r="I708" s="81">
        <f ca="1">IFERROR(__xludf.DUMMYFUNCTION("""COMPUTED_VALUE"""),2022)</f>
        <v>2022</v>
      </c>
      <c r="J708" s="82" t="str">
        <f ca="1">IFERROR(__xludf.DUMMYFUNCTION("""COMPUTED_VALUE"""),"Spain")</f>
        <v>Spain</v>
      </c>
      <c r="K708" s="83">
        <f ca="1">IFERROR(
  SUMIFS(
    'New Backfilled Data'!G:G,
    'New Backfilled Data'!A:A, I708,
    'New Backfilled Data'!D:D, J708,
    'New Backfilled Data'!E:E, "Online"
  ) /
  SUMIFS(
    'New Backfilled Data'!G:G,
    'New Backfilled Data'!A:A, I708,
    'New Backfilled Data'!D:D, J708
  ),
  ""
)</f>
        <v>0.58036134847896514</v>
      </c>
      <c r="L708" s="84"/>
      <c r="M708" s="84"/>
    </row>
    <row r="709" spans="1:13" ht="17" x14ac:dyDescent="0.2">
      <c r="A709" s="91">
        <v>2010</v>
      </c>
      <c r="B709" s="92" t="s">
        <v>66</v>
      </c>
      <c r="C709" s="92" t="s">
        <v>41</v>
      </c>
      <c r="D709" s="92" t="s">
        <v>42</v>
      </c>
      <c r="E709" s="92" t="s">
        <v>69</v>
      </c>
      <c r="F709" s="92" t="s">
        <v>71</v>
      </c>
      <c r="G709" s="93">
        <v>379931276</v>
      </c>
      <c r="H709" s="92"/>
      <c r="I709" s="87">
        <f ca="1">IFERROR(__xludf.DUMMYFUNCTION("""COMPUTED_VALUE"""),2022)</f>
        <v>2022</v>
      </c>
      <c r="J709" s="88" t="str">
        <f ca="1">IFERROR(__xludf.DUMMYFUNCTION("""COMPUTED_VALUE"""),"U.K.")</f>
        <v>U.K.</v>
      </c>
      <c r="K709" s="89">
        <f ca="1">IFERROR(
  SUMIFS(
    'New Backfilled Data'!G:G,
    'New Backfilled Data'!A:A, I709,
    'New Backfilled Data'!D:D, J709,
    'New Backfilled Data'!E:E, "Online"
  ) /
  SUMIFS(
    'New Backfilled Data'!G:G,
    'New Backfilled Data'!A:A, I709,
    'New Backfilled Data'!D:D, J709
  ),
  ""
)</f>
        <v>0.81466501978331651</v>
      </c>
      <c r="L709" s="90"/>
      <c r="M709" s="90"/>
    </row>
    <row r="710" spans="1:13" ht="17" x14ac:dyDescent="0.2">
      <c r="A710" s="94">
        <v>2010</v>
      </c>
      <c r="B710" s="95" t="s">
        <v>66</v>
      </c>
      <c r="C710" s="95" t="s">
        <v>41</v>
      </c>
      <c r="D710" s="95" t="s">
        <v>42</v>
      </c>
      <c r="E710" s="95" t="s">
        <v>69</v>
      </c>
      <c r="F710" s="95" t="s">
        <v>70</v>
      </c>
      <c r="G710" s="96">
        <v>500010078</v>
      </c>
      <c r="H710" s="95"/>
      <c r="I710" s="81">
        <f ca="1">IFERROR(__xludf.DUMMYFUNCTION("""COMPUTED_VALUE"""),2022)</f>
        <v>2022</v>
      </c>
      <c r="J710" s="82" t="str">
        <f ca="1">IFERROR(__xludf.DUMMYFUNCTION("""COMPUTED_VALUE"""),"Argentina")</f>
        <v>Argentina</v>
      </c>
      <c r="K710" s="83">
        <f ca="1">IFERROR(
  SUMIFS(
    'New Backfilled Data'!G:G,
    'New Backfilled Data'!A:A, I710,
    'New Backfilled Data'!D:D, J710,
    'New Backfilled Data'!E:E, "Online"
  ) /
  SUMIFS(
    'New Backfilled Data'!G:G,
    'New Backfilled Data'!A:A, I710,
    'New Backfilled Data'!D:D, J710
  ),
  ""
)</f>
        <v>0.38673267322328797</v>
      </c>
      <c r="L710" s="84"/>
      <c r="M710" s="84"/>
    </row>
    <row r="711" spans="1:13" ht="17" x14ac:dyDescent="0.2">
      <c r="A711" s="91">
        <v>2010</v>
      </c>
      <c r="B711" s="92" t="s">
        <v>66</v>
      </c>
      <c r="C711" s="92" t="s">
        <v>41</v>
      </c>
      <c r="D711" s="92" t="s">
        <v>43</v>
      </c>
      <c r="E711" s="92" t="s">
        <v>67</v>
      </c>
      <c r="F711" s="92" t="s">
        <v>67</v>
      </c>
      <c r="G711" s="93">
        <v>7092207949</v>
      </c>
      <c r="H711" s="92"/>
      <c r="I711" s="87">
        <f ca="1">IFERROR(__xludf.DUMMYFUNCTION("""COMPUTED_VALUE"""),2022)</f>
        <v>2022</v>
      </c>
      <c r="J711" s="88" t="str">
        <f ca="1">IFERROR(__xludf.DUMMYFUNCTION("""COMPUTED_VALUE"""),"Brazil")</f>
        <v>Brazil</v>
      </c>
      <c r="K711" s="89">
        <f ca="1">IFERROR(
  SUMIFS(
    'New Backfilled Data'!G:G,
    'New Backfilled Data'!A:A, I711,
    'New Backfilled Data'!D:D, J711,
    'New Backfilled Data'!E:E, "Online"
  ) /
  SUMIFS(
    'New Backfilled Data'!G:G,
    'New Backfilled Data'!A:A, I711,
    'New Backfilled Data'!D:D, J711
  ),
  ""
)</f>
        <v>0.48628978864899403</v>
      </c>
      <c r="L711" s="90"/>
      <c r="M711" s="90"/>
    </row>
    <row r="712" spans="1:13" ht="17" x14ac:dyDescent="0.2">
      <c r="A712" s="94">
        <v>2010</v>
      </c>
      <c r="B712" s="95" t="s">
        <v>66</v>
      </c>
      <c r="C712" s="95" t="s">
        <v>41</v>
      </c>
      <c r="D712" s="95" t="s">
        <v>43</v>
      </c>
      <c r="E712" s="95" t="s">
        <v>69</v>
      </c>
      <c r="F712" s="95" t="s">
        <v>71</v>
      </c>
      <c r="G712" s="96">
        <v>394181842</v>
      </c>
      <c r="H712" s="95"/>
      <c r="I712" s="81">
        <f ca="1">IFERROR(__xludf.DUMMYFUNCTION("""COMPUTED_VALUE"""),2022)</f>
        <v>2022</v>
      </c>
      <c r="J712" s="82" t="str">
        <f ca="1">IFERROR(__xludf.DUMMYFUNCTION("""COMPUTED_VALUE"""),"Chile")</f>
        <v>Chile</v>
      </c>
      <c r="K712" s="83">
        <f ca="1">IFERROR(
  SUMIFS(
    'New Backfilled Data'!G:G,
    'New Backfilled Data'!A:A, I712,
    'New Backfilled Data'!D:D, J712,
    'New Backfilled Data'!E:E, "Online"
  ) /
  SUMIFS(
    'New Backfilled Data'!G:G,
    'New Backfilled Data'!A:A, I712,
    'New Backfilled Data'!D:D, J712
  ),
  ""
)</f>
        <v>0.45223275271368318</v>
      </c>
      <c r="L712" s="84"/>
      <c r="M712" s="84"/>
    </row>
    <row r="713" spans="1:13" ht="17" x14ac:dyDescent="0.2">
      <c r="A713" s="91">
        <v>2010</v>
      </c>
      <c r="B713" s="92" t="s">
        <v>66</v>
      </c>
      <c r="C713" s="92" t="s">
        <v>41</v>
      </c>
      <c r="D713" s="92" t="s">
        <v>43</v>
      </c>
      <c r="E713" s="92" t="s">
        <v>69</v>
      </c>
      <c r="F713" s="92" t="s">
        <v>70</v>
      </c>
      <c r="G713" s="93">
        <v>376106394</v>
      </c>
      <c r="H713" s="92"/>
      <c r="I713" s="87">
        <f ca="1">IFERROR(__xludf.DUMMYFUNCTION("""COMPUTED_VALUE"""),2022)</f>
        <v>2022</v>
      </c>
      <c r="J713" s="88" t="str">
        <f ca="1">IFERROR(__xludf.DUMMYFUNCTION("""COMPUTED_VALUE"""),"Colombia")</f>
        <v>Colombia</v>
      </c>
      <c r="K713" s="89">
        <f ca="1">IFERROR(
  SUMIFS(
    'New Backfilled Data'!G:G,
    'New Backfilled Data'!A:A, I713,
    'New Backfilled Data'!D:D, J713,
    'New Backfilled Data'!E:E, "Online"
  ) /
  SUMIFS(
    'New Backfilled Data'!G:G,
    'New Backfilled Data'!A:A, I713,
    'New Backfilled Data'!D:D, J713
  ),
  ""
)</f>
        <v>0.43382252263588406</v>
      </c>
      <c r="L713" s="90"/>
      <c r="M713" s="90"/>
    </row>
    <row r="714" spans="1:13" ht="17" x14ac:dyDescent="0.2">
      <c r="A714" s="94">
        <v>2010</v>
      </c>
      <c r="B714" s="95" t="s">
        <v>66</v>
      </c>
      <c r="C714" s="95" t="s">
        <v>41</v>
      </c>
      <c r="D714" s="95" t="s">
        <v>44</v>
      </c>
      <c r="E714" s="95" t="s">
        <v>67</v>
      </c>
      <c r="F714" s="95" t="s">
        <v>67</v>
      </c>
      <c r="G714" s="96">
        <v>8400272164</v>
      </c>
      <c r="H714" s="95"/>
      <c r="I714" s="81">
        <f ca="1">IFERROR(__xludf.DUMMYFUNCTION("""COMPUTED_VALUE"""),2022)</f>
        <v>2022</v>
      </c>
      <c r="J714" s="82" t="str">
        <f ca="1">IFERROR(__xludf.DUMMYFUNCTION("""COMPUTED_VALUE"""),"Mexico")</f>
        <v>Mexico</v>
      </c>
      <c r="K714" s="83">
        <f ca="1">IFERROR(
  SUMIFS(
    'New Backfilled Data'!G:G,
    'New Backfilled Data'!A:A, I714,
    'New Backfilled Data'!D:D, J714,
    'New Backfilled Data'!E:E, "Online"
  ) /
  SUMIFS(
    'New Backfilled Data'!G:G,
    'New Backfilled Data'!A:A, I714,
    'New Backfilled Data'!D:D, J714
  ),
  ""
)</f>
        <v>0.47420103022199517</v>
      </c>
      <c r="L714" s="84"/>
      <c r="M714" s="84"/>
    </row>
    <row r="715" spans="1:13" ht="17" x14ac:dyDescent="0.2">
      <c r="A715" s="91">
        <v>2010</v>
      </c>
      <c r="B715" s="92" t="s">
        <v>66</v>
      </c>
      <c r="C715" s="92" t="s">
        <v>41</v>
      </c>
      <c r="D715" s="92" t="s">
        <v>44</v>
      </c>
      <c r="E715" s="92" t="s">
        <v>69</v>
      </c>
      <c r="F715" s="92" t="s">
        <v>71</v>
      </c>
      <c r="G715" s="93">
        <v>690684189</v>
      </c>
      <c r="H715" s="92"/>
      <c r="I715" s="87">
        <f ca="1">IFERROR(__xludf.DUMMYFUNCTION("""COMPUTED_VALUE"""),2022)</f>
        <v>2022</v>
      </c>
      <c r="J715" s="88" t="str">
        <f ca="1">IFERROR(__xludf.DUMMYFUNCTION("""COMPUTED_VALUE"""),"Egypt")</f>
        <v>Egypt</v>
      </c>
      <c r="K715" s="89">
        <f ca="1">IFERROR(
  SUMIFS(
    'New Backfilled Data'!G:G,
    'New Backfilled Data'!A:A, I715,
    'New Backfilled Data'!D:D, J715,
    'New Backfilled Data'!E:E, "Online"
  ) /
  SUMIFS(
    'New Backfilled Data'!G:G,
    'New Backfilled Data'!A:A, I715,
    'New Backfilled Data'!D:D, J715
  ),
  ""
)</f>
        <v>0.34940348959515311</v>
      </c>
      <c r="L715" s="90"/>
      <c r="M715" s="90"/>
    </row>
    <row r="716" spans="1:13" ht="17" x14ac:dyDescent="0.2">
      <c r="A716" s="94">
        <v>2010</v>
      </c>
      <c r="B716" s="95" t="s">
        <v>66</v>
      </c>
      <c r="C716" s="95" t="s">
        <v>41</v>
      </c>
      <c r="D716" s="95" t="s">
        <v>44</v>
      </c>
      <c r="E716" s="95" t="s">
        <v>69</v>
      </c>
      <c r="F716" s="95" t="s">
        <v>70</v>
      </c>
      <c r="G716" s="96">
        <v>488095794</v>
      </c>
      <c r="H716" s="95"/>
      <c r="I716" s="81">
        <f ca="1">IFERROR(__xludf.DUMMYFUNCTION("""COMPUTED_VALUE"""),2022)</f>
        <v>2022</v>
      </c>
      <c r="J716" s="82" t="str">
        <f ca="1">IFERROR(__xludf.DUMMYFUNCTION("""COMPUTED_VALUE"""),"Qatar")</f>
        <v>Qatar</v>
      </c>
      <c r="K716" s="83">
        <f ca="1">IFERROR(
  SUMIFS(
    'New Backfilled Data'!G:G,
    'New Backfilled Data'!A:A, I716,
    'New Backfilled Data'!D:D, J716,
    'New Backfilled Data'!E:E, "Online"
  ) /
  SUMIFS(
    'New Backfilled Data'!G:G,
    'New Backfilled Data'!A:A, I716,
    'New Backfilled Data'!D:D, J716
  ),
  ""
)</f>
        <v>0.42476649094801266</v>
      </c>
      <c r="L716" s="84"/>
      <c r="M716" s="84"/>
    </row>
    <row r="717" spans="1:13" ht="34" x14ac:dyDescent="0.2">
      <c r="A717" s="91">
        <v>2010</v>
      </c>
      <c r="B717" s="92" t="s">
        <v>66</v>
      </c>
      <c r="C717" s="92" t="s">
        <v>41</v>
      </c>
      <c r="D717" s="92" t="s">
        <v>45</v>
      </c>
      <c r="E717" s="92" t="s">
        <v>67</v>
      </c>
      <c r="F717" s="92" t="s">
        <v>67</v>
      </c>
      <c r="G717" s="93">
        <v>18982464995</v>
      </c>
      <c r="H717" s="92"/>
      <c r="I717" s="87">
        <f ca="1">IFERROR(__xludf.DUMMYFUNCTION("""COMPUTED_VALUE"""),2022)</f>
        <v>2022</v>
      </c>
      <c r="J717" s="88" t="str">
        <f ca="1">IFERROR(__xludf.DUMMYFUNCTION("""COMPUTED_VALUE"""),"Rest of Middle East")</f>
        <v>Rest of Middle East</v>
      </c>
      <c r="K717" s="89">
        <f ca="1">IFERROR(
  SUMIFS(
    'New Backfilled Data'!G:G,
    'New Backfilled Data'!A:A, I717,
    'New Backfilled Data'!D:D, J717,
    'New Backfilled Data'!E:E, "Online"
  ) /
  SUMIFS(
    'New Backfilled Data'!G:G,
    'New Backfilled Data'!A:A, I717,
    'New Backfilled Data'!D:D, J717
  ),
  ""
)</f>
        <v>0.39772906532630681</v>
      </c>
      <c r="L717" s="90"/>
      <c r="M717" s="90"/>
    </row>
    <row r="718" spans="1:13" ht="17" x14ac:dyDescent="0.2">
      <c r="A718" s="94">
        <v>2010</v>
      </c>
      <c r="B718" s="95" t="s">
        <v>66</v>
      </c>
      <c r="C718" s="95" t="s">
        <v>41</v>
      </c>
      <c r="D718" s="95" t="s">
        <v>45</v>
      </c>
      <c r="E718" s="95" t="s">
        <v>69</v>
      </c>
      <c r="F718" s="95" t="s">
        <v>71</v>
      </c>
      <c r="G718" s="96">
        <v>1873603193</v>
      </c>
      <c r="H718" s="95"/>
      <c r="I718" s="81">
        <f ca="1">IFERROR(__xludf.DUMMYFUNCTION("""COMPUTED_VALUE"""),2022)</f>
        <v>2022</v>
      </c>
      <c r="J718" s="82" t="str">
        <f ca="1">IFERROR(__xludf.DUMMYFUNCTION("""COMPUTED_VALUE"""),"Saudi Arabia")</f>
        <v>Saudi Arabia</v>
      </c>
      <c r="K718" s="83">
        <f ca="1">IFERROR(
  SUMIFS(
    'New Backfilled Data'!G:G,
    'New Backfilled Data'!A:A, I718,
    'New Backfilled Data'!D:D, J718,
    'New Backfilled Data'!E:E, "Online"
  ) /
  SUMIFS(
    'New Backfilled Data'!G:G,
    'New Backfilled Data'!A:A, I718,
    'New Backfilled Data'!D:D, J718
  ),
  ""
)</f>
        <v>0.4356887461235468</v>
      </c>
      <c r="L718" s="84"/>
      <c r="M718" s="84"/>
    </row>
    <row r="719" spans="1:13" ht="17" x14ac:dyDescent="0.2">
      <c r="A719" s="91">
        <v>2010</v>
      </c>
      <c r="B719" s="92" t="s">
        <v>66</v>
      </c>
      <c r="C719" s="92" t="s">
        <v>41</v>
      </c>
      <c r="D719" s="92" t="s">
        <v>45</v>
      </c>
      <c r="E719" s="92" t="s">
        <v>69</v>
      </c>
      <c r="F719" s="92" t="s">
        <v>70</v>
      </c>
      <c r="G719" s="93">
        <v>2191097795</v>
      </c>
      <c r="H719" s="92"/>
      <c r="I719" s="87">
        <f ca="1">IFERROR(__xludf.DUMMYFUNCTION("""COMPUTED_VALUE"""),2022)</f>
        <v>2022</v>
      </c>
      <c r="J719" s="88" t="str">
        <f ca="1">IFERROR(__xludf.DUMMYFUNCTION("""COMPUTED_VALUE"""),"U.A.E.")</f>
        <v>U.A.E.</v>
      </c>
      <c r="K719" s="89">
        <f ca="1">IFERROR(
  SUMIFS(
    'New Backfilled Data'!G:G,
    'New Backfilled Data'!A:A, I719,
    'New Backfilled Data'!D:D, J719,
    'New Backfilled Data'!E:E, "Online"
  ) /
  SUMIFS(
    'New Backfilled Data'!G:G,
    'New Backfilled Data'!A:A, I719,
    'New Backfilled Data'!D:D, J719
  ),
  ""
)</f>
        <v>0.45576990128023426</v>
      </c>
      <c r="L719" s="90"/>
      <c r="M719" s="90"/>
    </row>
    <row r="720" spans="1:13" ht="17" x14ac:dyDescent="0.2">
      <c r="A720" s="94">
        <v>2010</v>
      </c>
      <c r="B720" s="95" t="s">
        <v>66</v>
      </c>
      <c r="C720" s="95" t="s">
        <v>47</v>
      </c>
      <c r="D720" s="95" t="s">
        <v>46</v>
      </c>
      <c r="E720" s="95" t="s">
        <v>67</v>
      </c>
      <c r="F720" s="95" t="s">
        <v>67</v>
      </c>
      <c r="G720" s="96">
        <v>18007820739</v>
      </c>
      <c r="H720" s="95"/>
      <c r="I720" s="81">
        <f ca="1">IFERROR(__xludf.DUMMYFUNCTION("""COMPUTED_VALUE"""),2022)</f>
        <v>2022</v>
      </c>
      <c r="J720" s="82" t="str">
        <f ca="1">IFERROR(__xludf.DUMMYFUNCTION("""COMPUTED_VALUE"""),"Canada")</f>
        <v>Canada</v>
      </c>
      <c r="K720" s="83">
        <f ca="1">IFERROR(
  SUMIFS(
    'New Backfilled Data'!G:G,
    'New Backfilled Data'!A:A, I720,
    'New Backfilled Data'!D:D, J720,
    'New Backfilled Data'!E:E, "Online"
  ) /
  SUMIFS(
    'New Backfilled Data'!G:G,
    'New Backfilled Data'!A:A, I720,
    'New Backfilled Data'!D:D, J720
  ),
  ""
)</f>
        <v>0.59938093465317432</v>
      </c>
      <c r="L720" s="84"/>
      <c r="M720" s="84"/>
    </row>
    <row r="721" spans="1:13" ht="17" x14ac:dyDescent="0.2">
      <c r="A721" s="91">
        <v>2010</v>
      </c>
      <c r="B721" s="92" t="s">
        <v>66</v>
      </c>
      <c r="C721" s="92" t="s">
        <v>47</v>
      </c>
      <c r="D721" s="92" t="s">
        <v>46</v>
      </c>
      <c r="E721" s="92" t="s">
        <v>69</v>
      </c>
      <c r="F721" s="92" t="s">
        <v>71</v>
      </c>
      <c r="G721" s="93">
        <v>2959193996</v>
      </c>
      <c r="H721" s="92"/>
      <c r="I721" s="87">
        <f ca="1">IFERROR(__xludf.DUMMYFUNCTION("""COMPUTED_VALUE"""),2022)</f>
        <v>2022</v>
      </c>
      <c r="J721" s="88" t="str">
        <f ca="1">IFERROR(__xludf.DUMMYFUNCTION("""COMPUTED_VALUE"""),"U.S.")</f>
        <v>U.S.</v>
      </c>
      <c r="K721" s="89">
        <f ca="1">IFERROR(
  SUMIFS(
    'New Backfilled Data'!G:G,
    'New Backfilled Data'!A:A, I721,
    'New Backfilled Data'!D:D, J721,
    'New Backfilled Data'!E:E, "Online"
  ) /
  SUMIFS(
    'New Backfilled Data'!G:G,
    'New Backfilled Data'!A:A, I721,
    'New Backfilled Data'!D:D, J721
  ),
  ""
)</f>
        <v>0.63046506332423335</v>
      </c>
      <c r="L721" s="90"/>
      <c r="M721" s="90"/>
    </row>
    <row r="722" spans="1:13" ht="34" x14ac:dyDescent="0.2">
      <c r="A722" s="94">
        <v>2010</v>
      </c>
      <c r="B722" s="95" t="s">
        <v>66</v>
      </c>
      <c r="C722" s="95" t="s">
        <v>47</v>
      </c>
      <c r="D722" s="95" t="s">
        <v>46</v>
      </c>
      <c r="E722" s="95" t="s">
        <v>69</v>
      </c>
      <c r="F722" s="95" t="s">
        <v>70</v>
      </c>
      <c r="G722" s="96">
        <v>7249438832</v>
      </c>
      <c r="H722" s="95"/>
      <c r="I722" s="81">
        <f ca="1">IFERROR(__xludf.DUMMYFUNCTION("""COMPUTED_VALUE"""),2023)</f>
        <v>2023</v>
      </c>
      <c r="J722" s="82" t="str">
        <f ca="1">IFERROR(__xludf.DUMMYFUNCTION("""COMPUTED_VALUE"""),"Australia-New Zealand")</f>
        <v>Australia-New Zealand</v>
      </c>
      <c r="K722" s="83">
        <f ca="1">IFERROR(
  SUMIFS(
    'New Backfilled Data'!G:G,
    'New Backfilled Data'!A:A, I722,
    'New Backfilled Data'!D:D, J722,
    'New Backfilled Data'!E:E, "Online"
  ) /
  SUMIFS(
    'New Backfilled Data'!G:G,
    'New Backfilled Data'!A:A, I722,
    'New Backfilled Data'!D:D, J722
  ),
  ""
)</f>
        <v>0.57488592855661036</v>
      </c>
      <c r="L722" s="84"/>
      <c r="M722" s="84"/>
    </row>
    <row r="723" spans="1:13" ht="17" x14ac:dyDescent="0.2">
      <c r="A723" s="91">
        <v>2010</v>
      </c>
      <c r="B723" s="92" t="s">
        <v>66</v>
      </c>
      <c r="C723" s="92" t="s">
        <v>47</v>
      </c>
      <c r="D723" s="92" t="s">
        <v>48</v>
      </c>
      <c r="E723" s="92" t="s">
        <v>72</v>
      </c>
      <c r="F723" s="92" t="s">
        <v>73</v>
      </c>
      <c r="G723" s="93">
        <v>75134356391</v>
      </c>
      <c r="H723" s="92"/>
      <c r="I723" s="87">
        <f ca="1">IFERROR(__xludf.DUMMYFUNCTION("""COMPUTED_VALUE"""),2023)</f>
        <v>2023</v>
      </c>
      <c r="J723" s="88" t="str">
        <f ca="1">IFERROR(__xludf.DUMMYFUNCTION("""COMPUTED_VALUE"""),"China")</f>
        <v>China</v>
      </c>
      <c r="K723" s="89">
        <f ca="1">IFERROR(
  SUMIFS(
    'New Backfilled Data'!G:G,
    'New Backfilled Data'!A:A, I723,
    'New Backfilled Data'!D:D, J723,
    'New Backfilled Data'!E:E, "Online"
  ) /
  SUMIFS(
    'New Backfilled Data'!G:G,
    'New Backfilled Data'!A:A, I723,
    'New Backfilled Data'!D:D, J723
  ),
  ""
)</f>
        <v>0.70794602104962423</v>
      </c>
      <c r="L723" s="90"/>
      <c r="M723" s="90"/>
    </row>
    <row r="724" spans="1:13" ht="17" x14ac:dyDescent="0.2">
      <c r="A724" s="94">
        <v>2010</v>
      </c>
      <c r="B724" s="95" t="s">
        <v>66</v>
      </c>
      <c r="C724" s="95" t="s">
        <v>47</v>
      </c>
      <c r="D724" s="95" t="s">
        <v>48</v>
      </c>
      <c r="E724" s="95" t="s">
        <v>67</v>
      </c>
      <c r="F724" s="95" t="s">
        <v>74</v>
      </c>
      <c r="G724" s="96">
        <v>79571855811</v>
      </c>
      <c r="H724" s="95"/>
      <c r="I724" s="81">
        <f ca="1">IFERROR(__xludf.DUMMYFUNCTION("""COMPUTED_VALUE"""),2023)</f>
        <v>2023</v>
      </c>
      <c r="J724" s="82" t="str">
        <f ca="1">IFERROR(__xludf.DUMMYFUNCTION("""COMPUTED_VALUE"""),"Hong Kong")</f>
        <v>Hong Kong</v>
      </c>
      <c r="K724" s="83">
        <f ca="1">IFERROR(
  SUMIFS(
    'New Backfilled Data'!G:G,
    'New Backfilled Data'!A:A, I724,
    'New Backfilled Data'!D:D, J724,
    'New Backfilled Data'!E:E, "Online"
  ) /
  SUMIFS(
    'New Backfilled Data'!G:G,
    'New Backfilled Data'!A:A, I724,
    'New Backfilled Data'!D:D, J724
  ),
  ""
)</f>
        <v>0.36534098075031729</v>
      </c>
      <c r="L724" s="84"/>
      <c r="M724" s="84"/>
    </row>
    <row r="725" spans="1:13" ht="17" x14ac:dyDescent="0.2">
      <c r="A725" s="91">
        <v>2010</v>
      </c>
      <c r="B725" s="92" t="s">
        <v>66</v>
      </c>
      <c r="C725" s="92" t="s">
        <v>47</v>
      </c>
      <c r="D725" s="92" t="s">
        <v>48</v>
      </c>
      <c r="E725" s="92" t="s">
        <v>69</v>
      </c>
      <c r="F725" s="92" t="s">
        <v>71</v>
      </c>
      <c r="G725" s="93">
        <v>39475235412</v>
      </c>
      <c r="H725" s="92"/>
      <c r="I725" s="87">
        <f ca="1">IFERROR(__xludf.DUMMYFUNCTION("""COMPUTED_VALUE"""),2023)</f>
        <v>2023</v>
      </c>
      <c r="J725" s="88" t="str">
        <f ca="1">IFERROR(__xludf.DUMMYFUNCTION("""COMPUTED_VALUE"""),"India")</f>
        <v>India</v>
      </c>
      <c r="K725" s="89">
        <f ca="1">IFERROR(
  SUMIFS(
    'New Backfilled Data'!G:G,
    'New Backfilled Data'!A:A, I725,
    'New Backfilled Data'!D:D, J725,
    'New Backfilled Data'!E:E, "Online"
  ) /
  SUMIFS(
    'New Backfilled Data'!G:G,
    'New Backfilled Data'!A:A, I725,
    'New Backfilled Data'!D:D, J725
  ),
  ""
)</f>
        <v>0.55265285401211128</v>
      </c>
      <c r="L725" s="90"/>
      <c r="M725" s="90"/>
    </row>
    <row r="726" spans="1:13" ht="17" x14ac:dyDescent="0.2">
      <c r="A726" s="94">
        <v>2010</v>
      </c>
      <c r="B726" s="95" t="s">
        <v>66</v>
      </c>
      <c r="C726" s="95" t="s">
        <v>47</v>
      </c>
      <c r="D726" s="95" t="s">
        <v>48</v>
      </c>
      <c r="E726" s="95" t="s">
        <v>69</v>
      </c>
      <c r="F726" s="95" t="s">
        <v>70</v>
      </c>
      <c r="G726" s="96">
        <v>60524135029</v>
      </c>
      <c r="H726" s="95"/>
      <c r="I726" s="81">
        <f ca="1">IFERROR(__xludf.DUMMYFUNCTION("""COMPUTED_VALUE"""),2023)</f>
        <v>2023</v>
      </c>
      <c r="J726" s="82" t="str">
        <f ca="1">IFERROR(__xludf.DUMMYFUNCTION("""COMPUTED_VALUE"""),"Indonesia")</f>
        <v>Indonesia</v>
      </c>
      <c r="K726" s="83">
        <f ca="1">IFERROR(
  SUMIFS(
    'New Backfilled Data'!G:G,
    'New Backfilled Data'!A:A, I726,
    'New Backfilled Data'!D:D, J726,
    'New Backfilled Data'!E:E, "Online"
  ) /
  SUMIFS(
    'New Backfilled Data'!G:G,
    'New Backfilled Data'!A:A, I726,
    'New Backfilled Data'!D:D, J726
  ),
  ""
)</f>
        <v>0.58960835786825616</v>
      </c>
      <c r="L726" s="84"/>
      <c r="M726" s="84"/>
    </row>
    <row r="727" spans="1:13" ht="17" x14ac:dyDescent="0.2">
      <c r="A727" s="91">
        <v>2011</v>
      </c>
      <c r="B727" s="92" t="s">
        <v>66</v>
      </c>
      <c r="C727" s="92" t="s">
        <v>4</v>
      </c>
      <c r="D727" s="92" t="s">
        <v>3</v>
      </c>
      <c r="E727" s="92" t="s">
        <v>67</v>
      </c>
      <c r="F727" s="92" t="s">
        <v>67</v>
      </c>
      <c r="G727" s="93">
        <v>22366346924</v>
      </c>
      <c r="H727" s="92"/>
      <c r="I727" s="87">
        <f ca="1">IFERROR(__xludf.DUMMYFUNCTION("""COMPUTED_VALUE"""),2023)</f>
        <v>2023</v>
      </c>
      <c r="J727" s="88" t="str">
        <f ca="1">IFERROR(__xludf.DUMMYFUNCTION("""COMPUTED_VALUE"""),"Japan")</f>
        <v>Japan</v>
      </c>
      <c r="K727" s="89">
        <f ca="1">IFERROR(
  SUMIFS(
    'New Backfilled Data'!G:G,
    'New Backfilled Data'!A:A, I727,
    'New Backfilled Data'!D:D, J727,
    'New Backfilled Data'!E:E, "Online"
  ) /
  SUMIFS(
    'New Backfilled Data'!G:G,
    'New Backfilled Data'!A:A, I727,
    'New Backfilled Data'!D:D, J727
  ),
  ""
)</f>
        <v>0.5453209488915195</v>
      </c>
      <c r="L727" s="90"/>
      <c r="M727" s="90"/>
    </row>
    <row r="728" spans="1:13" ht="17" x14ac:dyDescent="0.2">
      <c r="A728" s="94">
        <v>2011</v>
      </c>
      <c r="B728" s="95" t="s">
        <v>66</v>
      </c>
      <c r="C728" s="95" t="s">
        <v>4</v>
      </c>
      <c r="D728" s="95" t="s">
        <v>3</v>
      </c>
      <c r="E728" s="95" t="s">
        <v>69</v>
      </c>
      <c r="F728" s="95" t="s">
        <v>71</v>
      </c>
      <c r="G728" s="96">
        <v>2277478998</v>
      </c>
      <c r="H728" s="95"/>
      <c r="I728" s="81">
        <f ca="1">IFERROR(__xludf.DUMMYFUNCTION("""COMPUTED_VALUE"""),2023)</f>
        <v>2023</v>
      </c>
      <c r="J728" s="82" t="str">
        <f ca="1">IFERROR(__xludf.DUMMYFUNCTION("""COMPUTED_VALUE"""),"Macau")</f>
        <v>Macau</v>
      </c>
      <c r="K728" s="83">
        <f ca="1">IFERROR(
  SUMIFS(
    'New Backfilled Data'!G:G,
    'New Backfilled Data'!A:A, I728,
    'New Backfilled Data'!D:D, J728,
    'New Backfilled Data'!E:E, "Online"
  ) /
  SUMIFS(
    'New Backfilled Data'!G:G,
    'New Backfilled Data'!A:A, I728,
    'New Backfilled Data'!D:D, J728
  ),
  ""
)</f>
        <v>0.56000000000000005</v>
      </c>
      <c r="L728" s="84"/>
      <c r="M728" s="84"/>
    </row>
    <row r="729" spans="1:13" ht="17" x14ac:dyDescent="0.2">
      <c r="A729" s="91">
        <v>2011</v>
      </c>
      <c r="B729" s="92" t="s">
        <v>66</v>
      </c>
      <c r="C729" s="92" t="s">
        <v>4</v>
      </c>
      <c r="D729" s="92" t="s">
        <v>3</v>
      </c>
      <c r="E729" s="92" t="s">
        <v>69</v>
      </c>
      <c r="F729" s="92" t="s">
        <v>70</v>
      </c>
      <c r="G729" s="93">
        <v>9063946259</v>
      </c>
      <c r="H729" s="92"/>
      <c r="I729" s="87">
        <f ca="1">IFERROR(__xludf.DUMMYFUNCTION("""COMPUTED_VALUE"""),2023)</f>
        <v>2023</v>
      </c>
      <c r="J729" s="88" t="str">
        <f ca="1">IFERROR(__xludf.DUMMYFUNCTION("""COMPUTED_VALUE"""),"Malaysia")</f>
        <v>Malaysia</v>
      </c>
      <c r="K729" s="89">
        <f ca="1">IFERROR(
  SUMIFS(
    'New Backfilled Data'!G:G,
    'New Backfilled Data'!A:A, I729,
    'New Backfilled Data'!D:D, J729,
    'New Backfilled Data'!E:E, "Online"
  ) /
  SUMIFS(
    'New Backfilled Data'!G:G,
    'New Backfilled Data'!A:A, I729,
    'New Backfilled Data'!D:D, J729
  ),
  ""
)</f>
        <v>0.65600563863681716</v>
      </c>
      <c r="L729" s="90"/>
      <c r="M729" s="90"/>
    </row>
    <row r="730" spans="1:13" ht="17" x14ac:dyDescent="0.2">
      <c r="A730" s="94">
        <v>2011</v>
      </c>
      <c r="B730" s="95" t="s">
        <v>66</v>
      </c>
      <c r="C730" s="95" t="s">
        <v>4</v>
      </c>
      <c r="D730" s="95" t="s">
        <v>5</v>
      </c>
      <c r="E730" s="95" t="s">
        <v>67</v>
      </c>
      <c r="F730" s="95" t="s">
        <v>67</v>
      </c>
      <c r="G730" s="96">
        <v>81210000567</v>
      </c>
      <c r="H730" s="95"/>
      <c r="I730" s="81">
        <f ca="1">IFERROR(__xludf.DUMMYFUNCTION("""COMPUTED_VALUE"""),2023)</f>
        <v>2023</v>
      </c>
      <c r="J730" s="82" t="str">
        <f ca="1">IFERROR(__xludf.DUMMYFUNCTION("""COMPUTED_VALUE"""),"Singapore")</f>
        <v>Singapore</v>
      </c>
      <c r="K730" s="83">
        <f ca="1">IFERROR(
  SUMIFS(
    'New Backfilled Data'!G:G,
    'New Backfilled Data'!A:A, I730,
    'New Backfilled Data'!D:D, J730,
    'New Backfilled Data'!E:E, "Online"
  ) /
  SUMIFS(
    'New Backfilled Data'!G:G,
    'New Backfilled Data'!A:A, I730,
    'New Backfilled Data'!D:D, J730
  ),
  ""
)</f>
        <v>0.65768854245604369</v>
      </c>
      <c r="L730" s="84"/>
      <c r="M730" s="84"/>
    </row>
    <row r="731" spans="1:13" ht="17" x14ac:dyDescent="0.2">
      <c r="A731" s="91">
        <v>2011</v>
      </c>
      <c r="B731" s="92" t="s">
        <v>66</v>
      </c>
      <c r="C731" s="92" t="s">
        <v>4</v>
      </c>
      <c r="D731" s="92" t="s">
        <v>5</v>
      </c>
      <c r="E731" s="92" t="s">
        <v>69</v>
      </c>
      <c r="F731" s="92" t="s">
        <v>71</v>
      </c>
      <c r="G731" s="93">
        <v>5222680650</v>
      </c>
      <c r="H731" s="92"/>
      <c r="I731" s="87">
        <f ca="1">IFERROR(__xludf.DUMMYFUNCTION("""COMPUTED_VALUE"""),2023)</f>
        <v>2023</v>
      </c>
      <c r="J731" s="88" t="str">
        <f ca="1">IFERROR(__xludf.DUMMYFUNCTION("""COMPUTED_VALUE"""),"South Korea")</f>
        <v>South Korea</v>
      </c>
      <c r="K731" s="89">
        <f ca="1">IFERROR(
  SUMIFS(
    'New Backfilled Data'!G:G,
    'New Backfilled Data'!A:A, I731,
    'New Backfilled Data'!D:D, J731,
    'New Backfilled Data'!E:E, "Online"
  ) /
  SUMIFS(
    'New Backfilled Data'!G:G,
    'New Backfilled Data'!A:A, I731,
    'New Backfilled Data'!D:D, J731
  ),
  ""
)</f>
        <v>0.55578563712129903</v>
      </c>
      <c r="L731" s="90"/>
      <c r="M731" s="90"/>
    </row>
    <row r="732" spans="1:13" ht="17" x14ac:dyDescent="0.2">
      <c r="A732" s="94">
        <v>2011</v>
      </c>
      <c r="B732" s="95" t="s">
        <v>66</v>
      </c>
      <c r="C732" s="95" t="s">
        <v>4</v>
      </c>
      <c r="D732" s="95" t="s">
        <v>5</v>
      </c>
      <c r="E732" s="95" t="s">
        <v>69</v>
      </c>
      <c r="F732" s="95" t="s">
        <v>70</v>
      </c>
      <c r="G732" s="96">
        <v>4906485454</v>
      </c>
      <c r="H732" s="95"/>
      <c r="I732" s="81">
        <f ca="1">IFERROR(__xludf.DUMMYFUNCTION("""COMPUTED_VALUE"""),2023)</f>
        <v>2023</v>
      </c>
      <c r="J732" s="82" t="str">
        <f ca="1">IFERROR(__xludf.DUMMYFUNCTION("""COMPUTED_VALUE"""),"Taiwan")</f>
        <v>Taiwan</v>
      </c>
      <c r="K732" s="83">
        <f ca="1">IFERROR(
  SUMIFS(
    'New Backfilled Data'!G:G,
    'New Backfilled Data'!A:A, I732,
    'New Backfilled Data'!D:D, J732,
    'New Backfilled Data'!E:E, "Online"
  ) /
  SUMIFS(
    'New Backfilled Data'!G:G,
    'New Backfilled Data'!A:A, I732,
    'New Backfilled Data'!D:D, J732
  ),
  ""
)</f>
        <v>0.43884178151744685</v>
      </c>
      <c r="L732" s="84"/>
      <c r="M732" s="84"/>
    </row>
    <row r="733" spans="1:13" ht="17" x14ac:dyDescent="0.2">
      <c r="A733" s="91">
        <v>2011</v>
      </c>
      <c r="B733" s="92" t="s">
        <v>66</v>
      </c>
      <c r="C733" s="92" t="s">
        <v>4</v>
      </c>
      <c r="D733" s="92" t="s">
        <v>6</v>
      </c>
      <c r="E733" s="92" t="s">
        <v>67</v>
      </c>
      <c r="F733" s="92" t="s">
        <v>67</v>
      </c>
      <c r="G733" s="93">
        <v>12180633013</v>
      </c>
      <c r="H733" s="92"/>
      <c r="I733" s="87">
        <f ca="1">IFERROR(__xludf.DUMMYFUNCTION("""COMPUTED_VALUE"""),2023)</f>
        <v>2023</v>
      </c>
      <c r="J733" s="88" t="str">
        <f ca="1">IFERROR(__xludf.DUMMYFUNCTION("""COMPUTED_VALUE"""),"Thailand")</f>
        <v>Thailand</v>
      </c>
      <c r="K733" s="89">
        <f ca="1">IFERROR(
  SUMIFS(
    'New Backfilled Data'!G:G,
    'New Backfilled Data'!A:A, I733,
    'New Backfilled Data'!D:D, J733,
    'New Backfilled Data'!E:E, "Online"
  ) /
  SUMIFS(
    'New Backfilled Data'!G:G,
    'New Backfilled Data'!A:A, I733,
    'New Backfilled Data'!D:D, J733
  ),
  ""
)</f>
        <v>0.57074176420845246</v>
      </c>
      <c r="L733" s="90"/>
      <c r="M733" s="90"/>
    </row>
    <row r="734" spans="1:13" ht="17" x14ac:dyDescent="0.2">
      <c r="A734" s="94">
        <v>2011</v>
      </c>
      <c r="B734" s="95" t="s">
        <v>66</v>
      </c>
      <c r="C734" s="95" t="s">
        <v>4</v>
      </c>
      <c r="D734" s="95" t="s">
        <v>6</v>
      </c>
      <c r="E734" s="95" t="s">
        <v>69</v>
      </c>
      <c r="F734" s="95" t="s">
        <v>71</v>
      </c>
      <c r="G734" s="96">
        <v>221705046</v>
      </c>
      <c r="H734" s="95"/>
      <c r="I734" s="81">
        <f ca="1">IFERROR(__xludf.DUMMYFUNCTION("""COMPUTED_VALUE"""),2023)</f>
        <v>2023</v>
      </c>
      <c r="J734" s="82" t="str">
        <f ca="1">IFERROR(__xludf.DUMMYFUNCTION("""COMPUTED_VALUE"""),"Bulgaria")</f>
        <v>Bulgaria</v>
      </c>
      <c r="K734" s="83">
        <f ca="1">IFERROR(
  SUMIFS(
    'New Backfilled Data'!G:G,
    'New Backfilled Data'!A:A, I734,
    'New Backfilled Data'!D:D, J734,
    'New Backfilled Data'!E:E, "Online"
  ) /
  SUMIFS(
    'New Backfilled Data'!G:G,
    'New Backfilled Data'!A:A, I734,
    'New Backfilled Data'!D:D, J734
  ),
  ""
)</f>
        <v>0.46995984595032742</v>
      </c>
      <c r="L734" s="84"/>
      <c r="M734" s="84"/>
    </row>
    <row r="735" spans="1:13" ht="17" x14ac:dyDescent="0.2">
      <c r="A735" s="91">
        <v>2011</v>
      </c>
      <c r="B735" s="92" t="s">
        <v>66</v>
      </c>
      <c r="C735" s="92" t="s">
        <v>4</v>
      </c>
      <c r="D735" s="92" t="s">
        <v>6</v>
      </c>
      <c r="E735" s="92" t="s">
        <v>69</v>
      </c>
      <c r="F735" s="92" t="s">
        <v>70</v>
      </c>
      <c r="G735" s="93">
        <v>702064759</v>
      </c>
      <c r="H735" s="92"/>
      <c r="I735" s="87">
        <f ca="1">IFERROR(__xludf.DUMMYFUNCTION("""COMPUTED_VALUE"""),2023)</f>
        <v>2023</v>
      </c>
      <c r="J735" s="88" t="str">
        <f ca="1">IFERROR(__xludf.DUMMYFUNCTION("""COMPUTED_VALUE"""),"Czech Republic")</f>
        <v>Czech Republic</v>
      </c>
      <c r="K735" s="89">
        <f ca="1">IFERROR(
  SUMIFS(
    'New Backfilled Data'!G:G,
    'New Backfilled Data'!A:A, I735,
    'New Backfilled Data'!D:D, J735,
    'New Backfilled Data'!E:E, "Online"
  ) /
  SUMIFS(
    'New Backfilled Data'!G:G,
    'New Backfilled Data'!A:A, I735,
    'New Backfilled Data'!D:D, J735
  ),
  ""
)</f>
        <v>0.64363112624476737</v>
      </c>
      <c r="L735" s="90"/>
      <c r="M735" s="90"/>
    </row>
    <row r="736" spans="1:13" ht="17" x14ac:dyDescent="0.2">
      <c r="A736" s="94">
        <v>2011</v>
      </c>
      <c r="B736" s="95" t="s">
        <v>66</v>
      </c>
      <c r="C736" s="95" t="s">
        <v>4</v>
      </c>
      <c r="D736" s="95" t="s">
        <v>7</v>
      </c>
      <c r="E736" s="95" t="s">
        <v>67</v>
      </c>
      <c r="F736" s="95" t="s">
        <v>67</v>
      </c>
      <c r="G736" s="96">
        <v>16304676226</v>
      </c>
      <c r="H736" s="95"/>
      <c r="I736" s="81">
        <f ca="1">IFERROR(__xludf.DUMMYFUNCTION("""COMPUTED_VALUE"""),2023)</f>
        <v>2023</v>
      </c>
      <c r="J736" s="82" t="str">
        <f ca="1">IFERROR(__xludf.DUMMYFUNCTION("""COMPUTED_VALUE"""),"Greece")</f>
        <v>Greece</v>
      </c>
      <c r="K736" s="83">
        <f ca="1">IFERROR(
  SUMIFS(
    'New Backfilled Data'!G:G,
    'New Backfilled Data'!A:A, I736,
    'New Backfilled Data'!D:D, J736,
    'New Backfilled Data'!E:E, "Online"
  ) /
  SUMIFS(
    'New Backfilled Data'!G:G,
    'New Backfilled Data'!A:A, I736,
    'New Backfilled Data'!D:D, J736
  ),
  ""
)</f>
        <v>0.53189383591514039</v>
      </c>
      <c r="L736" s="84"/>
      <c r="M736" s="84"/>
    </row>
    <row r="737" spans="1:13" ht="17" x14ac:dyDescent="0.2">
      <c r="A737" s="91">
        <v>2011</v>
      </c>
      <c r="B737" s="92" t="s">
        <v>66</v>
      </c>
      <c r="C737" s="92" t="s">
        <v>4</v>
      </c>
      <c r="D737" s="92" t="s">
        <v>7</v>
      </c>
      <c r="E737" s="92" t="s">
        <v>69</v>
      </c>
      <c r="F737" s="92" t="s">
        <v>71</v>
      </c>
      <c r="G737" s="93">
        <v>2348195969</v>
      </c>
      <c r="H737" s="92"/>
      <c r="I737" s="87">
        <f ca="1">IFERROR(__xludf.DUMMYFUNCTION("""COMPUTED_VALUE"""),2023)</f>
        <v>2023</v>
      </c>
      <c r="J737" s="88" t="str">
        <f ca="1">IFERROR(__xludf.DUMMYFUNCTION("""COMPUTED_VALUE"""),"Hungary")</f>
        <v>Hungary</v>
      </c>
      <c r="K737" s="89">
        <f ca="1">IFERROR(
  SUMIFS(
    'New Backfilled Data'!G:G,
    'New Backfilled Data'!A:A, I737,
    'New Backfilled Data'!D:D, J737,
    'New Backfilled Data'!E:E, "Online"
  ) /
  SUMIFS(
    'New Backfilled Data'!G:G,
    'New Backfilled Data'!A:A, I737,
    'New Backfilled Data'!D:D, J737
  ),
  ""
)</f>
        <v>0.91414360383450821</v>
      </c>
      <c r="L737" s="90"/>
      <c r="M737" s="90"/>
    </row>
    <row r="738" spans="1:13" ht="17" x14ac:dyDescent="0.2">
      <c r="A738" s="94">
        <v>2011</v>
      </c>
      <c r="B738" s="95" t="s">
        <v>66</v>
      </c>
      <c r="C738" s="95" t="s">
        <v>4</v>
      </c>
      <c r="D738" s="95" t="s">
        <v>7</v>
      </c>
      <c r="E738" s="95" t="s">
        <v>69</v>
      </c>
      <c r="F738" s="95" t="s">
        <v>70</v>
      </c>
      <c r="G738" s="96">
        <v>3784515991</v>
      </c>
      <c r="H738" s="95"/>
      <c r="I738" s="81">
        <f ca="1">IFERROR(__xludf.DUMMYFUNCTION("""COMPUTED_VALUE"""),2023)</f>
        <v>2023</v>
      </c>
      <c r="J738" s="82" t="str">
        <f ca="1">IFERROR(__xludf.DUMMYFUNCTION("""COMPUTED_VALUE"""),"Poland")</f>
        <v>Poland</v>
      </c>
      <c r="K738" s="83">
        <f ca="1">IFERROR(
  SUMIFS(
    'New Backfilled Data'!G:G,
    'New Backfilled Data'!A:A, I738,
    'New Backfilled Data'!D:D, J738,
    'New Backfilled Data'!E:E, "Online"
  ) /
  SUMIFS(
    'New Backfilled Data'!G:G,
    'New Backfilled Data'!A:A, I738,
    'New Backfilled Data'!D:D, J738
  ),
  ""
)</f>
        <v>0.53444603757437126</v>
      </c>
      <c r="L738" s="84"/>
      <c r="M738" s="84"/>
    </row>
    <row r="739" spans="1:13" ht="34" x14ac:dyDescent="0.2">
      <c r="A739" s="91">
        <v>2011</v>
      </c>
      <c r="B739" s="92" t="s">
        <v>66</v>
      </c>
      <c r="C739" s="92" t="s">
        <v>4</v>
      </c>
      <c r="D739" s="92" t="s">
        <v>8</v>
      </c>
      <c r="E739" s="92" t="s">
        <v>67</v>
      </c>
      <c r="F739" s="92" t="s">
        <v>67</v>
      </c>
      <c r="G739" s="93">
        <v>9374836917</v>
      </c>
      <c r="H739" s="92"/>
      <c r="I739" s="87">
        <f ca="1">IFERROR(__xludf.DUMMYFUNCTION("""COMPUTED_VALUE"""),2023)</f>
        <v>2023</v>
      </c>
      <c r="J739" s="88" t="str">
        <f ca="1">IFERROR(__xludf.DUMMYFUNCTION("""COMPUTED_VALUE"""),"Rest of Eastern Europe")</f>
        <v>Rest of Eastern Europe</v>
      </c>
      <c r="K739" s="89">
        <f ca="1">IFERROR(
  SUMIFS(
    'New Backfilled Data'!G:G,
    'New Backfilled Data'!A:A, I739,
    'New Backfilled Data'!D:D, J739,
    'New Backfilled Data'!E:E, "Online"
  ) /
  SUMIFS(
    'New Backfilled Data'!G:G,
    'New Backfilled Data'!A:A, I739,
    'New Backfilled Data'!D:D, J739
  ),
  ""
)</f>
        <v>0.62870219933222082</v>
      </c>
      <c r="L739" s="90"/>
      <c r="M739" s="90"/>
    </row>
    <row r="740" spans="1:13" ht="17" x14ac:dyDescent="0.2">
      <c r="A740" s="94">
        <v>2011</v>
      </c>
      <c r="B740" s="95" t="s">
        <v>66</v>
      </c>
      <c r="C740" s="95" t="s">
        <v>4</v>
      </c>
      <c r="D740" s="95" t="s">
        <v>8</v>
      </c>
      <c r="E740" s="95" t="s">
        <v>69</v>
      </c>
      <c r="F740" s="95" t="s">
        <v>71</v>
      </c>
      <c r="G740" s="96">
        <v>101716833</v>
      </c>
      <c r="H740" s="95"/>
      <c r="I740" s="81">
        <f ca="1">IFERROR(__xludf.DUMMYFUNCTION("""COMPUTED_VALUE"""),2023)</f>
        <v>2023</v>
      </c>
      <c r="J740" s="82" t="str">
        <f ca="1">IFERROR(__xludf.DUMMYFUNCTION("""COMPUTED_VALUE"""),"Romania")</f>
        <v>Romania</v>
      </c>
      <c r="K740" s="83">
        <f ca="1">IFERROR(
  SUMIFS(
    'New Backfilled Data'!G:G,
    'New Backfilled Data'!A:A, I740,
    'New Backfilled Data'!D:D, J740,
    'New Backfilled Data'!E:E, "Online"
  ) /
  SUMIFS(
    'New Backfilled Data'!G:G,
    'New Backfilled Data'!A:A, I740,
    'New Backfilled Data'!D:D, J740
  ),
  ""
)</f>
        <v>0.54142525875543768</v>
      </c>
      <c r="L740" s="84"/>
      <c r="M740" s="84"/>
    </row>
    <row r="741" spans="1:13" ht="17" x14ac:dyDescent="0.2">
      <c r="A741" s="91">
        <v>2011</v>
      </c>
      <c r="B741" s="92" t="s">
        <v>66</v>
      </c>
      <c r="C741" s="92" t="s">
        <v>4</v>
      </c>
      <c r="D741" s="92" t="s">
        <v>8</v>
      </c>
      <c r="E741" s="92" t="s">
        <v>69</v>
      </c>
      <c r="F741" s="92" t="s">
        <v>70</v>
      </c>
      <c r="G741" s="93">
        <v>368242887</v>
      </c>
      <c r="H741" s="92"/>
      <c r="I741" s="87">
        <f ca="1">IFERROR(__xludf.DUMMYFUNCTION("""COMPUTED_VALUE"""),2023)</f>
        <v>2023</v>
      </c>
      <c r="J741" s="88" t="str">
        <f ca="1">IFERROR(__xludf.DUMMYFUNCTION("""COMPUTED_VALUE"""),"Russia")</f>
        <v>Russia</v>
      </c>
      <c r="K741" s="89">
        <f ca="1">IFERROR(
  SUMIFS(
    'New Backfilled Data'!G:G,
    'New Backfilled Data'!A:A, I741,
    'New Backfilled Data'!D:D, J741,
    'New Backfilled Data'!E:E, "Online"
  ) /
  SUMIFS(
    'New Backfilled Data'!G:G,
    'New Backfilled Data'!A:A, I741,
    'New Backfilled Data'!D:D, J741
  ),
  ""
)</f>
        <v>0.51153840896111447</v>
      </c>
      <c r="L741" s="90"/>
      <c r="M741" s="90"/>
    </row>
    <row r="742" spans="1:13" ht="17" x14ac:dyDescent="0.2">
      <c r="A742" s="94">
        <v>2011</v>
      </c>
      <c r="B742" s="95" t="s">
        <v>66</v>
      </c>
      <c r="C742" s="95" t="s">
        <v>4</v>
      </c>
      <c r="D742" s="95" t="s">
        <v>9</v>
      </c>
      <c r="E742" s="95" t="s">
        <v>67</v>
      </c>
      <c r="F742" s="95" t="s">
        <v>67</v>
      </c>
      <c r="G742" s="96">
        <v>76177898925</v>
      </c>
      <c r="H742" s="95"/>
      <c r="I742" s="81">
        <f ca="1">IFERROR(__xludf.DUMMYFUNCTION("""COMPUTED_VALUE"""),2023)</f>
        <v>2023</v>
      </c>
      <c r="J742" s="82" t="str">
        <f ca="1">IFERROR(__xludf.DUMMYFUNCTION("""COMPUTED_VALUE"""),"Ukraine")</f>
        <v>Ukraine</v>
      </c>
      <c r="K742" s="83" t="str">
        <f ca="1">IFERROR(
  SUMIFS(
    'New Backfilled Data'!G:G,
    'New Backfilled Data'!A:A, I742,
    'New Backfilled Data'!D:D, J742,
    'New Backfilled Data'!E:E, "Online"
  ) /
  SUMIFS(
    'New Backfilled Data'!G:G,
    'New Backfilled Data'!A:A, I742,
    'New Backfilled Data'!D:D, J742
  ),
  ""
)</f>
        <v/>
      </c>
      <c r="L742" s="84"/>
      <c r="M742" s="84"/>
    </row>
    <row r="743" spans="1:13" ht="17" x14ac:dyDescent="0.2">
      <c r="A743" s="91">
        <v>2011</v>
      </c>
      <c r="B743" s="92" t="s">
        <v>66</v>
      </c>
      <c r="C743" s="92" t="s">
        <v>4</v>
      </c>
      <c r="D743" s="92" t="s">
        <v>9</v>
      </c>
      <c r="E743" s="92" t="s">
        <v>69</v>
      </c>
      <c r="F743" s="92" t="s">
        <v>71</v>
      </c>
      <c r="G743" s="93">
        <v>9994370519</v>
      </c>
      <c r="H743" s="92"/>
      <c r="I743" s="87">
        <f ca="1">IFERROR(__xludf.DUMMYFUNCTION("""COMPUTED_VALUE"""),2023)</f>
        <v>2023</v>
      </c>
      <c r="J743" s="88" t="str">
        <f ca="1">IFERROR(__xludf.DUMMYFUNCTION("""COMPUTED_VALUE"""),"France")</f>
        <v>France</v>
      </c>
      <c r="K743" s="89">
        <f ca="1">IFERROR(
  SUMIFS(
    'New Backfilled Data'!G:G,
    'New Backfilled Data'!A:A, I743,
    'New Backfilled Data'!D:D, J743,
    'New Backfilled Data'!E:E, "Online"
  ) /
  SUMIFS(
    'New Backfilled Data'!G:G,
    'New Backfilled Data'!A:A, I743,
    'New Backfilled Data'!D:D, J743
  ),
  ""
)</f>
        <v>0.53545337173881158</v>
      </c>
      <c r="L743" s="90"/>
      <c r="M743" s="90"/>
    </row>
    <row r="744" spans="1:13" ht="17" x14ac:dyDescent="0.2">
      <c r="A744" s="94">
        <v>2011</v>
      </c>
      <c r="B744" s="95" t="s">
        <v>66</v>
      </c>
      <c r="C744" s="95" t="s">
        <v>4</v>
      </c>
      <c r="D744" s="95" t="s">
        <v>9</v>
      </c>
      <c r="E744" s="95" t="s">
        <v>69</v>
      </c>
      <c r="F744" s="95" t="s">
        <v>70</v>
      </c>
      <c r="G744" s="96">
        <v>18628014255</v>
      </c>
      <c r="H744" s="95"/>
      <c r="I744" s="81">
        <f ca="1">IFERROR(__xludf.DUMMYFUNCTION("""COMPUTED_VALUE"""),2023)</f>
        <v>2023</v>
      </c>
      <c r="J744" s="82" t="str">
        <f ca="1">IFERROR(__xludf.DUMMYFUNCTION("""COMPUTED_VALUE"""),"Germany")</f>
        <v>Germany</v>
      </c>
      <c r="K744" s="83">
        <f ca="1">IFERROR(
  SUMIFS(
    'New Backfilled Data'!G:G,
    'New Backfilled Data'!A:A, I744,
    'New Backfilled Data'!D:D, J744,
    'New Backfilled Data'!E:E, "Online"
  ) /
  SUMIFS(
    'New Backfilled Data'!G:G,
    'New Backfilled Data'!A:A, I744,
    'New Backfilled Data'!D:D, J744
  ),
  ""
)</f>
        <v>0.61159591751574061</v>
      </c>
      <c r="L744" s="84"/>
      <c r="M744" s="84"/>
    </row>
    <row r="745" spans="1:13" ht="17" x14ac:dyDescent="0.2">
      <c r="A745" s="91">
        <v>2011</v>
      </c>
      <c r="B745" s="92" t="s">
        <v>66</v>
      </c>
      <c r="C745" s="92" t="s">
        <v>4</v>
      </c>
      <c r="D745" s="92" t="s">
        <v>10</v>
      </c>
      <c r="E745" s="92" t="s">
        <v>67</v>
      </c>
      <c r="F745" s="92" t="s">
        <v>67</v>
      </c>
      <c r="G745" s="93">
        <v>751315571</v>
      </c>
      <c r="H745" s="92"/>
      <c r="I745" s="87">
        <f ca="1">IFERROR(__xludf.DUMMYFUNCTION("""COMPUTED_VALUE"""),2023)</f>
        <v>2023</v>
      </c>
      <c r="J745" s="88" t="str">
        <f ca="1">IFERROR(__xludf.DUMMYFUNCTION("""COMPUTED_VALUE"""),"Italy")</f>
        <v>Italy</v>
      </c>
      <c r="K745" s="89">
        <f ca="1">IFERROR(
  SUMIFS(
    'New Backfilled Data'!G:G,
    'New Backfilled Data'!A:A, I745,
    'New Backfilled Data'!D:D, J745,
    'New Backfilled Data'!E:E, "Online"
  ) /
  SUMIFS(
    'New Backfilled Data'!G:G,
    'New Backfilled Data'!A:A, I745,
    'New Backfilled Data'!D:D, J745
  ),
  ""
)</f>
        <v>0.54961299630817884</v>
      </c>
      <c r="L745" s="90"/>
      <c r="M745" s="90"/>
    </row>
    <row r="746" spans="1:13" ht="17" x14ac:dyDescent="0.2">
      <c r="A746" s="94">
        <v>2011</v>
      </c>
      <c r="B746" s="95" t="s">
        <v>66</v>
      </c>
      <c r="C746" s="95" t="s">
        <v>4</v>
      </c>
      <c r="D746" s="95" t="s">
        <v>10</v>
      </c>
      <c r="E746" s="95" t="s">
        <v>69</v>
      </c>
      <c r="F746" s="95" t="s">
        <v>71</v>
      </c>
      <c r="G746" s="96">
        <v>16077037</v>
      </c>
      <c r="H746" s="95"/>
      <c r="I746" s="81">
        <f ca="1">IFERROR(__xludf.DUMMYFUNCTION("""COMPUTED_VALUE"""),2023)</f>
        <v>2023</v>
      </c>
      <c r="J746" s="82" t="str">
        <f ca="1">IFERROR(__xludf.DUMMYFUNCTION("""COMPUTED_VALUE"""),"Rest of Europe")</f>
        <v>Rest of Europe</v>
      </c>
      <c r="K746" s="83">
        <f ca="1">IFERROR(
  SUMIFS(
    'New Backfilled Data'!G:G,
    'New Backfilled Data'!A:A, I746,
    'New Backfilled Data'!D:D, J746,
    'New Backfilled Data'!E:E, "Online"
  ) /
  SUMIFS(
    'New Backfilled Data'!G:G,
    'New Backfilled Data'!A:A, I746,
    'New Backfilled Data'!D:D, J746
  ),
  ""
)</f>
        <v>0.6577191266103487</v>
      </c>
      <c r="L746" s="84"/>
      <c r="M746" s="84"/>
    </row>
    <row r="747" spans="1:13" ht="17" x14ac:dyDescent="0.2">
      <c r="A747" s="91">
        <v>2011</v>
      </c>
      <c r="B747" s="92" t="s">
        <v>66</v>
      </c>
      <c r="C747" s="92" t="s">
        <v>4</v>
      </c>
      <c r="D747" s="92" t="s">
        <v>10</v>
      </c>
      <c r="E747" s="92" t="s">
        <v>69</v>
      </c>
      <c r="F747" s="92" t="s">
        <v>70</v>
      </c>
      <c r="G747" s="93">
        <v>8656866</v>
      </c>
      <c r="H747" s="92"/>
      <c r="I747" s="87">
        <f ca="1">IFERROR(__xludf.DUMMYFUNCTION("""COMPUTED_VALUE"""),2023)</f>
        <v>2023</v>
      </c>
      <c r="J747" s="88" t="str">
        <f ca="1">IFERROR(__xludf.DUMMYFUNCTION("""COMPUTED_VALUE"""),"Scandinavia")</f>
        <v>Scandinavia</v>
      </c>
      <c r="K747" s="89">
        <f ca="1">IFERROR(
  SUMIFS(
    'New Backfilled Data'!G:G,
    'New Backfilled Data'!A:A, I747,
    'New Backfilled Data'!D:D, J747,
    'New Backfilled Data'!E:E, "Online"
  ) /
  SUMIFS(
    'New Backfilled Data'!G:G,
    'New Backfilled Data'!A:A, I747,
    'New Backfilled Data'!D:D, J747
  ),
  ""
)</f>
        <v>0.77571371407185052</v>
      </c>
      <c r="L747" s="90"/>
      <c r="M747" s="90"/>
    </row>
    <row r="748" spans="1:13" ht="17" x14ac:dyDescent="0.2">
      <c r="A748" s="94">
        <v>2011</v>
      </c>
      <c r="B748" s="95" t="s">
        <v>66</v>
      </c>
      <c r="C748" s="95" t="s">
        <v>4</v>
      </c>
      <c r="D748" s="95" t="s">
        <v>11</v>
      </c>
      <c r="E748" s="95" t="s">
        <v>67</v>
      </c>
      <c r="F748" s="95" t="s">
        <v>67</v>
      </c>
      <c r="G748" s="96">
        <v>6002049351</v>
      </c>
      <c r="H748" s="95"/>
      <c r="I748" s="81">
        <f ca="1">IFERROR(__xludf.DUMMYFUNCTION("""COMPUTED_VALUE"""),2023)</f>
        <v>2023</v>
      </c>
      <c r="J748" s="82" t="str">
        <f ca="1">IFERROR(__xludf.DUMMYFUNCTION("""COMPUTED_VALUE"""),"Spain")</f>
        <v>Spain</v>
      </c>
      <c r="K748" s="83">
        <f ca="1">IFERROR(
  SUMIFS(
    'New Backfilled Data'!G:G,
    'New Backfilled Data'!A:A, I748,
    'New Backfilled Data'!D:D, J748,
    'New Backfilled Data'!E:E, "Online"
  ) /
  SUMIFS(
    'New Backfilled Data'!G:G,
    'New Backfilled Data'!A:A, I748,
    'New Backfilled Data'!D:D, J748
  ),
  ""
)</f>
        <v>0.59057548294871354</v>
      </c>
      <c r="L748" s="84"/>
      <c r="M748" s="84"/>
    </row>
    <row r="749" spans="1:13" ht="17" x14ac:dyDescent="0.2">
      <c r="A749" s="91">
        <v>2011</v>
      </c>
      <c r="B749" s="92" t="s">
        <v>66</v>
      </c>
      <c r="C749" s="92" t="s">
        <v>4</v>
      </c>
      <c r="D749" s="92" t="s">
        <v>11</v>
      </c>
      <c r="E749" s="92" t="s">
        <v>69</v>
      </c>
      <c r="F749" s="92" t="s">
        <v>71</v>
      </c>
      <c r="G749" s="93">
        <v>314493585</v>
      </c>
      <c r="H749" s="92"/>
      <c r="I749" s="87">
        <f ca="1">IFERROR(__xludf.DUMMYFUNCTION("""COMPUTED_VALUE"""),2023)</f>
        <v>2023</v>
      </c>
      <c r="J749" s="88" t="str">
        <f ca="1">IFERROR(__xludf.DUMMYFUNCTION("""COMPUTED_VALUE"""),"U.K.")</f>
        <v>U.K.</v>
      </c>
      <c r="K749" s="89">
        <f ca="1">IFERROR(
  SUMIFS(
    'New Backfilled Data'!G:G,
    'New Backfilled Data'!A:A, I749,
    'New Backfilled Data'!D:D, J749,
    'New Backfilled Data'!E:E, "Online"
  ) /
  SUMIFS(
    'New Backfilled Data'!G:G,
    'New Backfilled Data'!A:A, I749,
    'New Backfilled Data'!D:D, J749
  ),
  ""
)</f>
        <v>0.83234545951353156</v>
      </c>
      <c r="L749" s="90"/>
      <c r="M749" s="90"/>
    </row>
    <row r="750" spans="1:13" ht="17" x14ac:dyDescent="0.2">
      <c r="A750" s="94">
        <v>2011</v>
      </c>
      <c r="B750" s="95" t="s">
        <v>66</v>
      </c>
      <c r="C750" s="95" t="s">
        <v>4</v>
      </c>
      <c r="D750" s="95" t="s">
        <v>11</v>
      </c>
      <c r="E750" s="95" t="s">
        <v>69</v>
      </c>
      <c r="F750" s="95" t="s">
        <v>70</v>
      </c>
      <c r="G750" s="96">
        <v>2160808120</v>
      </c>
      <c r="H750" s="95"/>
      <c r="I750" s="81">
        <f ca="1">IFERROR(__xludf.DUMMYFUNCTION("""COMPUTED_VALUE"""),2023)</f>
        <v>2023</v>
      </c>
      <c r="J750" s="82" t="str">
        <f ca="1">IFERROR(__xludf.DUMMYFUNCTION("""COMPUTED_VALUE"""),"Argentina")</f>
        <v>Argentina</v>
      </c>
      <c r="K750" s="83">
        <f ca="1">IFERROR(
  SUMIFS(
    'New Backfilled Data'!G:G,
    'New Backfilled Data'!A:A, I750,
    'New Backfilled Data'!D:D, J750,
    'New Backfilled Data'!E:E, "Online"
  ) /
  SUMIFS(
    'New Backfilled Data'!G:G,
    'New Backfilled Data'!A:A, I750,
    'New Backfilled Data'!D:D, J750
  ),
  ""
)</f>
        <v>0.40137254898360059</v>
      </c>
      <c r="L750" s="84"/>
      <c r="M750" s="84"/>
    </row>
    <row r="751" spans="1:13" ht="17" x14ac:dyDescent="0.2">
      <c r="A751" s="91">
        <v>2011</v>
      </c>
      <c r="B751" s="92" t="s">
        <v>66</v>
      </c>
      <c r="C751" s="92" t="s">
        <v>4</v>
      </c>
      <c r="D751" s="92" t="s">
        <v>12</v>
      </c>
      <c r="E751" s="92" t="s">
        <v>67</v>
      </c>
      <c r="F751" s="92" t="s">
        <v>67</v>
      </c>
      <c r="G751" s="93">
        <v>7219185203</v>
      </c>
      <c r="H751" s="92"/>
      <c r="I751" s="87">
        <f ca="1">IFERROR(__xludf.DUMMYFUNCTION("""COMPUTED_VALUE"""),2023)</f>
        <v>2023</v>
      </c>
      <c r="J751" s="88" t="str">
        <f ca="1">IFERROR(__xludf.DUMMYFUNCTION("""COMPUTED_VALUE"""),"Brazil")</f>
        <v>Brazil</v>
      </c>
      <c r="K751" s="89">
        <f ca="1">IFERROR(
  SUMIFS(
    'New Backfilled Data'!G:G,
    'New Backfilled Data'!A:A, I751,
    'New Backfilled Data'!D:D, J751,
    'New Backfilled Data'!E:E, "Online"
  ) /
  SUMIFS(
    'New Backfilled Data'!G:G,
    'New Backfilled Data'!A:A, I751,
    'New Backfilled Data'!D:D, J751
  ),
  ""
)</f>
        <v>0.4870760475702125</v>
      </c>
      <c r="L751" s="90"/>
      <c r="M751" s="90"/>
    </row>
    <row r="752" spans="1:13" ht="17" x14ac:dyDescent="0.2">
      <c r="A752" s="94">
        <v>2011</v>
      </c>
      <c r="B752" s="95" t="s">
        <v>66</v>
      </c>
      <c r="C752" s="95" t="s">
        <v>4</v>
      </c>
      <c r="D752" s="95" t="s">
        <v>12</v>
      </c>
      <c r="E752" s="95" t="s">
        <v>69</v>
      </c>
      <c r="F752" s="95" t="s">
        <v>71</v>
      </c>
      <c r="G752" s="96">
        <v>498631836</v>
      </c>
      <c r="H752" s="95"/>
      <c r="I752" s="81">
        <f ca="1">IFERROR(__xludf.DUMMYFUNCTION("""COMPUTED_VALUE"""),2023)</f>
        <v>2023</v>
      </c>
      <c r="J752" s="82" t="str">
        <f ca="1">IFERROR(__xludf.DUMMYFUNCTION("""COMPUTED_VALUE"""),"Chile")</f>
        <v>Chile</v>
      </c>
      <c r="K752" s="83">
        <f ca="1">IFERROR(
  SUMIFS(
    'New Backfilled Data'!G:G,
    'New Backfilled Data'!A:A, I752,
    'New Backfilled Data'!D:D, J752,
    'New Backfilled Data'!E:E, "Online"
  ) /
  SUMIFS(
    'New Backfilled Data'!G:G,
    'New Backfilled Data'!A:A, I752,
    'New Backfilled Data'!D:D, J752
  ),
  ""
)</f>
        <v>0.48897152375003372</v>
      </c>
      <c r="L752" s="84"/>
      <c r="M752" s="84"/>
    </row>
    <row r="753" spans="1:13" ht="17" x14ac:dyDescent="0.2">
      <c r="A753" s="91">
        <v>2011</v>
      </c>
      <c r="B753" s="92" t="s">
        <v>66</v>
      </c>
      <c r="C753" s="92" t="s">
        <v>4</v>
      </c>
      <c r="D753" s="92" t="s">
        <v>12</v>
      </c>
      <c r="E753" s="92" t="s">
        <v>69</v>
      </c>
      <c r="F753" s="92" t="s">
        <v>70</v>
      </c>
      <c r="G753" s="93">
        <v>2042973865</v>
      </c>
      <c r="H753" s="92"/>
      <c r="I753" s="87">
        <f ca="1">IFERROR(__xludf.DUMMYFUNCTION("""COMPUTED_VALUE"""),2023)</f>
        <v>2023</v>
      </c>
      <c r="J753" s="88" t="str">
        <f ca="1">IFERROR(__xludf.DUMMYFUNCTION("""COMPUTED_VALUE"""),"Colombia")</f>
        <v>Colombia</v>
      </c>
      <c r="K753" s="89">
        <f ca="1">IFERROR(
  SUMIFS(
    'New Backfilled Data'!G:G,
    'New Backfilled Data'!A:A, I753,
    'New Backfilled Data'!D:D, J753,
    'New Backfilled Data'!E:E, "Online"
  ) /
  SUMIFS(
    'New Backfilled Data'!G:G,
    'New Backfilled Data'!A:A, I753,
    'New Backfilled Data'!D:D, J753
  ),
  ""
)</f>
        <v>0.43344582113886621</v>
      </c>
      <c r="L753" s="90"/>
      <c r="M753" s="90"/>
    </row>
    <row r="754" spans="1:13" ht="17" x14ac:dyDescent="0.2">
      <c r="A754" s="94">
        <v>2011</v>
      </c>
      <c r="B754" s="95" t="s">
        <v>66</v>
      </c>
      <c r="C754" s="95" t="s">
        <v>4</v>
      </c>
      <c r="D754" s="95" t="s">
        <v>13</v>
      </c>
      <c r="E754" s="95" t="s">
        <v>67</v>
      </c>
      <c r="F754" s="95" t="s">
        <v>67</v>
      </c>
      <c r="G754" s="96">
        <v>12022895752</v>
      </c>
      <c r="H754" s="95"/>
      <c r="I754" s="81">
        <f ca="1">IFERROR(__xludf.DUMMYFUNCTION("""COMPUTED_VALUE"""),2023)</f>
        <v>2023</v>
      </c>
      <c r="J754" s="82" t="str">
        <f ca="1">IFERROR(__xludf.DUMMYFUNCTION("""COMPUTED_VALUE"""),"Mexico")</f>
        <v>Mexico</v>
      </c>
      <c r="K754" s="83">
        <f ca="1">IFERROR(
  SUMIFS(
    'New Backfilled Data'!G:G,
    'New Backfilled Data'!A:A, I754,
    'New Backfilled Data'!D:D, J754,
    'New Backfilled Data'!E:E, "Online"
  ) /
  SUMIFS(
    'New Backfilled Data'!G:G,
    'New Backfilled Data'!A:A, I754,
    'New Backfilled Data'!D:D, J754
  ),
  ""
)</f>
        <v>0.48810328064857816</v>
      </c>
      <c r="L754" s="84"/>
      <c r="M754" s="84"/>
    </row>
    <row r="755" spans="1:13" ht="17" x14ac:dyDescent="0.2">
      <c r="A755" s="91">
        <v>2011</v>
      </c>
      <c r="B755" s="92" t="s">
        <v>66</v>
      </c>
      <c r="C755" s="92" t="s">
        <v>4</v>
      </c>
      <c r="D755" s="92" t="s">
        <v>13</v>
      </c>
      <c r="E755" s="92" t="s">
        <v>69</v>
      </c>
      <c r="F755" s="92" t="s">
        <v>71</v>
      </c>
      <c r="G755" s="93">
        <v>312731325</v>
      </c>
      <c r="H755" s="92"/>
      <c r="I755" s="87">
        <f ca="1">IFERROR(__xludf.DUMMYFUNCTION("""COMPUTED_VALUE"""),2023)</f>
        <v>2023</v>
      </c>
      <c r="J755" s="88" t="str">
        <f ca="1">IFERROR(__xludf.DUMMYFUNCTION("""COMPUTED_VALUE"""),"Egypt")</f>
        <v>Egypt</v>
      </c>
      <c r="K755" s="89">
        <f ca="1">IFERROR(
  SUMIFS(
    'New Backfilled Data'!G:G,
    'New Backfilled Data'!A:A, I755,
    'New Backfilled Data'!D:D, J755,
    'New Backfilled Data'!E:E, "Online"
  ) /
  SUMIFS(
    'New Backfilled Data'!G:G,
    'New Backfilled Data'!A:A, I755,
    'New Backfilled Data'!D:D, J755
  ),
  ""
)</f>
        <v>0.36639246088858479</v>
      </c>
      <c r="L755" s="90"/>
      <c r="M755" s="90"/>
    </row>
    <row r="756" spans="1:13" ht="17" x14ac:dyDescent="0.2">
      <c r="A756" s="94">
        <v>2011</v>
      </c>
      <c r="B756" s="95" t="s">
        <v>66</v>
      </c>
      <c r="C756" s="95" t="s">
        <v>4</v>
      </c>
      <c r="D756" s="95" t="s">
        <v>13</v>
      </c>
      <c r="E756" s="95" t="s">
        <v>69</v>
      </c>
      <c r="F756" s="95" t="s">
        <v>70</v>
      </c>
      <c r="G756" s="96">
        <v>2078398653</v>
      </c>
      <c r="H756" s="95"/>
      <c r="I756" s="81">
        <f ca="1">IFERROR(__xludf.DUMMYFUNCTION("""COMPUTED_VALUE"""),2023)</f>
        <v>2023</v>
      </c>
      <c r="J756" s="82" t="str">
        <f ca="1">IFERROR(__xludf.DUMMYFUNCTION("""COMPUTED_VALUE"""),"Qatar")</f>
        <v>Qatar</v>
      </c>
      <c r="K756" s="83">
        <f ca="1">IFERROR(
  SUMIFS(
    'New Backfilled Data'!G:G,
    'New Backfilled Data'!A:A, I756,
    'New Backfilled Data'!D:D, J756,
    'New Backfilled Data'!E:E, "Online"
  ) /
  SUMIFS(
    'New Backfilled Data'!G:G,
    'New Backfilled Data'!A:A, I756,
    'New Backfilled Data'!D:D, J756
  ),
  ""
)</f>
        <v>0.43965886928930764</v>
      </c>
      <c r="L756" s="84"/>
      <c r="M756" s="84"/>
    </row>
    <row r="757" spans="1:13" ht="34" x14ac:dyDescent="0.2">
      <c r="A757" s="91">
        <v>2011</v>
      </c>
      <c r="B757" s="92" t="s">
        <v>66</v>
      </c>
      <c r="C757" s="92" t="s">
        <v>4</v>
      </c>
      <c r="D757" s="92" t="s">
        <v>14</v>
      </c>
      <c r="E757" s="92" t="s">
        <v>67</v>
      </c>
      <c r="F757" s="92" t="s">
        <v>67</v>
      </c>
      <c r="G757" s="93">
        <v>6244067530</v>
      </c>
      <c r="H757" s="92"/>
      <c r="I757" s="87">
        <f ca="1">IFERROR(__xludf.DUMMYFUNCTION("""COMPUTED_VALUE"""),2023)</f>
        <v>2023</v>
      </c>
      <c r="J757" s="88" t="str">
        <f ca="1">IFERROR(__xludf.DUMMYFUNCTION("""COMPUTED_VALUE"""),"Rest of Middle East")</f>
        <v>Rest of Middle East</v>
      </c>
      <c r="K757" s="89">
        <f ca="1">IFERROR(
  SUMIFS(
    'New Backfilled Data'!G:G,
    'New Backfilled Data'!A:A, I757,
    'New Backfilled Data'!D:D, J757,
    'New Backfilled Data'!E:E, "Online"
  ) /
  SUMIFS(
    'New Backfilled Data'!G:G,
    'New Backfilled Data'!A:A, I757,
    'New Backfilled Data'!D:D, J757
  ),
  ""
)</f>
        <v>0.41279610790934224</v>
      </c>
      <c r="L757" s="90"/>
      <c r="M757" s="90"/>
    </row>
    <row r="758" spans="1:13" ht="17" x14ac:dyDescent="0.2">
      <c r="A758" s="94">
        <v>2011</v>
      </c>
      <c r="B758" s="95" t="s">
        <v>66</v>
      </c>
      <c r="C758" s="95" t="s">
        <v>4</v>
      </c>
      <c r="D758" s="95" t="s">
        <v>14</v>
      </c>
      <c r="E758" s="95" t="s">
        <v>69</v>
      </c>
      <c r="F758" s="95" t="s">
        <v>71</v>
      </c>
      <c r="G758" s="96">
        <v>186793512</v>
      </c>
      <c r="H758" s="95"/>
      <c r="I758" s="81">
        <f ca="1">IFERROR(__xludf.DUMMYFUNCTION("""COMPUTED_VALUE"""),2023)</f>
        <v>2023</v>
      </c>
      <c r="J758" s="82" t="str">
        <f ca="1">IFERROR(__xludf.DUMMYFUNCTION("""COMPUTED_VALUE"""),"Saudi Arabia")</f>
        <v>Saudi Arabia</v>
      </c>
      <c r="K758" s="83">
        <f ca="1">IFERROR(
  SUMIFS(
    'New Backfilled Data'!G:G,
    'New Backfilled Data'!A:A, I758,
    'New Backfilled Data'!D:D, J758,
    'New Backfilled Data'!E:E, "Online"
  ) /
  SUMIFS(
    'New Backfilled Data'!G:G,
    'New Backfilled Data'!A:A, I758,
    'New Backfilled Data'!D:D, J758
  ),
  ""
)</f>
        <v>0.48264571320887883</v>
      </c>
      <c r="L758" s="84"/>
      <c r="M758" s="84"/>
    </row>
    <row r="759" spans="1:13" ht="17" x14ac:dyDescent="0.2">
      <c r="A759" s="91">
        <v>2011</v>
      </c>
      <c r="B759" s="92" t="s">
        <v>66</v>
      </c>
      <c r="C759" s="92" t="s">
        <v>4</v>
      </c>
      <c r="D759" s="92" t="s">
        <v>14</v>
      </c>
      <c r="E759" s="92" t="s">
        <v>69</v>
      </c>
      <c r="F759" s="92" t="s">
        <v>70</v>
      </c>
      <c r="G759" s="93">
        <v>633438747</v>
      </c>
      <c r="H759" s="92"/>
      <c r="I759" s="87">
        <f ca="1">IFERROR(__xludf.DUMMYFUNCTION("""COMPUTED_VALUE"""),2023)</f>
        <v>2023</v>
      </c>
      <c r="J759" s="88" t="str">
        <f ca="1">IFERROR(__xludf.DUMMYFUNCTION("""COMPUTED_VALUE"""),"U.A.E.")</f>
        <v>U.A.E.</v>
      </c>
      <c r="K759" s="89">
        <f ca="1">IFERROR(
  SUMIFS(
    'New Backfilled Data'!G:G,
    'New Backfilled Data'!A:A, I759,
    'New Backfilled Data'!D:D, J759,
    'New Backfilled Data'!E:E, "Online"
  ) /
  SUMIFS(
    'New Backfilled Data'!G:G,
    'New Backfilled Data'!A:A, I759,
    'New Backfilled Data'!D:D, J759
  ),
  ""
)</f>
        <v>0.47127341067742262</v>
      </c>
      <c r="L759" s="90"/>
      <c r="M759" s="90"/>
    </row>
    <row r="760" spans="1:13" ht="17" x14ac:dyDescent="0.2">
      <c r="A760" s="94">
        <v>2011</v>
      </c>
      <c r="B760" s="95" t="s">
        <v>66</v>
      </c>
      <c r="C760" s="95" t="s">
        <v>4</v>
      </c>
      <c r="D760" s="95" t="s">
        <v>15</v>
      </c>
      <c r="E760" s="95" t="s">
        <v>67</v>
      </c>
      <c r="F760" s="95" t="s">
        <v>67</v>
      </c>
      <c r="G760" s="96">
        <v>9242916750</v>
      </c>
      <c r="H760" s="95"/>
      <c r="I760" s="81">
        <f ca="1">IFERROR(__xludf.DUMMYFUNCTION("""COMPUTED_VALUE"""),2023)</f>
        <v>2023</v>
      </c>
      <c r="J760" s="82" t="str">
        <f ca="1">IFERROR(__xludf.DUMMYFUNCTION("""COMPUTED_VALUE"""),"Canada")</f>
        <v>Canada</v>
      </c>
      <c r="K760" s="83">
        <f ca="1">IFERROR(
  SUMIFS(
    'New Backfilled Data'!G:G,
    'New Backfilled Data'!A:A, I760,
    'New Backfilled Data'!D:D, J760,
    'New Backfilled Data'!E:E, "Online"
  ) /
  SUMIFS(
    'New Backfilled Data'!G:G,
    'New Backfilled Data'!A:A, I760,
    'New Backfilled Data'!D:D, J760
  ),
  ""
)</f>
        <v>0.61050292194417288</v>
      </c>
      <c r="L760" s="84"/>
      <c r="M760" s="84"/>
    </row>
    <row r="761" spans="1:13" ht="17" x14ac:dyDescent="0.2">
      <c r="A761" s="91">
        <v>2011</v>
      </c>
      <c r="B761" s="92" t="s">
        <v>66</v>
      </c>
      <c r="C761" s="92" t="s">
        <v>4</v>
      </c>
      <c r="D761" s="92" t="s">
        <v>15</v>
      </c>
      <c r="E761" s="92" t="s">
        <v>69</v>
      </c>
      <c r="F761" s="92" t="s">
        <v>71</v>
      </c>
      <c r="G761" s="93">
        <v>1007437445</v>
      </c>
      <c r="H761" s="92"/>
      <c r="I761" s="87">
        <f ca="1">IFERROR(__xludf.DUMMYFUNCTION("""COMPUTED_VALUE"""),2023)</f>
        <v>2023</v>
      </c>
      <c r="J761" s="88" t="str">
        <f ca="1">IFERROR(__xludf.DUMMYFUNCTION("""COMPUTED_VALUE"""),"U.S.")</f>
        <v>U.S.</v>
      </c>
      <c r="K761" s="89">
        <f ca="1">IFERROR(
  SUMIFS(
    'New Backfilled Data'!G:G,
    'New Backfilled Data'!A:A, I761,
    'New Backfilled Data'!D:D, J761,
    'New Backfilled Data'!E:E, "Online"
  ) /
  SUMIFS(
    'New Backfilled Data'!G:G,
    'New Backfilled Data'!A:A, I761,
    'New Backfilled Data'!D:D, J761
  ),
  ""
)</f>
        <v>0.62908321839953463</v>
      </c>
      <c r="L761" s="90"/>
      <c r="M761" s="90"/>
    </row>
    <row r="762" spans="1:13" ht="34" x14ac:dyDescent="0.2">
      <c r="A762" s="94">
        <v>2011</v>
      </c>
      <c r="B762" s="95" t="s">
        <v>66</v>
      </c>
      <c r="C762" s="95" t="s">
        <v>4</v>
      </c>
      <c r="D762" s="95" t="s">
        <v>15</v>
      </c>
      <c r="E762" s="95" t="s">
        <v>69</v>
      </c>
      <c r="F762" s="95" t="s">
        <v>70</v>
      </c>
      <c r="G762" s="96">
        <v>1160096471</v>
      </c>
      <c r="H762" s="95"/>
      <c r="I762" s="81">
        <f ca="1">IFERROR(__xludf.DUMMYFUNCTION("""COMPUTED_VALUE"""),2024)</f>
        <v>2024</v>
      </c>
      <c r="J762" s="82" t="str">
        <f ca="1">IFERROR(__xludf.DUMMYFUNCTION("""COMPUTED_VALUE"""),"Australia-New Zealand")</f>
        <v>Australia-New Zealand</v>
      </c>
      <c r="K762" s="83">
        <f ca="1">IFERROR(
  SUMIFS(
    'New Backfilled Data'!G:G,
    'New Backfilled Data'!A:A, I762,
    'New Backfilled Data'!D:D, J762,
    'New Backfilled Data'!E:E, "Online"
  ) /
  SUMIFS(
    'New Backfilled Data'!G:G,
    'New Backfilled Data'!A:A, I762,
    'New Backfilled Data'!D:D, J762
  ),
  ""
)</f>
        <v>0.58225242915587005</v>
      </c>
      <c r="L762" s="84"/>
      <c r="M762" s="84"/>
    </row>
    <row r="763" spans="1:13" ht="17" x14ac:dyDescent="0.2">
      <c r="A763" s="91">
        <v>2011</v>
      </c>
      <c r="B763" s="92" t="s">
        <v>66</v>
      </c>
      <c r="C763" s="92" t="s">
        <v>17</v>
      </c>
      <c r="D763" s="92" t="s">
        <v>16</v>
      </c>
      <c r="E763" s="92" t="s">
        <v>67</v>
      </c>
      <c r="F763" s="92" t="s">
        <v>67</v>
      </c>
      <c r="G763" s="93">
        <v>1231256707</v>
      </c>
      <c r="H763" s="92"/>
      <c r="I763" s="87">
        <f ca="1">IFERROR(__xludf.DUMMYFUNCTION("""COMPUTED_VALUE"""),2024)</f>
        <v>2024</v>
      </c>
      <c r="J763" s="88" t="str">
        <f ca="1">IFERROR(__xludf.DUMMYFUNCTION("""COMPUTED_VALUE"""),"China")</f>
        <v>China</v>
      </c>
      <c r="K763" s="89">
        <f ca="1">IFERROR(
  SUMIFS(
    'New Backfilled Data'!G:G,
    'New Backfilled Data'!A:A, I763,
    'New Backfilled Data'!D:D, J763,
    'New Backfilled Data'!E:E, "Online"
  ) /
  SUMIFS(
    'New Backfilled Data'!G:G,
    'New Backfilled Data'!A:A, I763,
    'New Backfilled Data'!D:D, J763
  ),
  ""
)</f>
        <v>0.7234433880185962</v>
      </c>
      <c r="L763" s="90"/>
      <c r="M763" s="90"/>
    </row>
    <row r="764" spans="1:13" ht="17" x14ac:dyDescent="0.2">
      <c r="A764" s="94">
        <v>2011</v>
      </c>
      <c r="B764" s="95" t="s">
        <v>66</v>
      </c>
      <c r="C764" s="95" t="s">
        <v>17</v>
      </c>
      <c r="D764" s="95" t="s">
        <v>16</v>
      </c>
      <c r="E764" s="95" t="s">
        <v>69</v>
      </c>
      <c r="F764" s="95" t="s">
        <v>71</v>
      </c>
      <c r="G764" s="96">
        <v>42290736</v>
      </c>
      <c r="H764" s="95"/>
      <c r="I764" s="81">
        <f ca="1">IFERROR(__xludf.DUMMYFUNCTION("""COMPUTED_VALUE"""),2024)</f>
        <v>2024</v>
      </c>
      <c r="J764" s="82" t="str">
        <f ca="1">IFERROR(__xludf.DUMMYFUNCTION("""COMPUTED_VALUE"""),"Hong Kong")</f>
        <v>Hong Kong</v>
      </c>
      <c r="K764" s="83">
        <f ca="1">IFERROR(
  SUMIFS(
    'New Backfilled Data'!G:G,
    'New Backfilled Data'!A:A, I764,
    'New Backfilled Data'!D:D, J764,
    'New Backfilled Data'!E:E, "Online"
  ) /
  SUMIFS(
    'New Backfilled Data'!G:G,
    'New Backfilled Data'!A:A, I764,
    'New Backfilled Data'!D:D, J764
  ),
  ""
)</f>
        <v>0.40038633362401033</v>
      </c>
      <c r="L764" s="84"/>
      <c r="M764" s="84"/>
    </row>
    <row r="765" spans="1:13" ht="17" x14ac:dyDescent="0.2">
      <c r="A765" s="91">
        <v>2011</v>
      </c>
      <c r="B765" s="92" t="s">
        <v>66</v>
      </c>
      <c r="C765" s="92" t="s">
        <v>17</v>
      </c>
      <c r="D765" s="92" t="s">
        <v>16</v>
      </c>
      <c r="E765" s="92" t="s">
        <v>69</v>
      </c>
      <c r="F765" s="92" t="s">
        <v>70</v>
      </c>
      <c r="G765" s="93">
        <v>153708839</v>
      </c>
      <c r="H765" s="92"/>
      <c r="I765" s="87">
        <f ca="1">IFERROR(__xludf.DUMMYFUNCTION("""COMPUTED_VALUE"""),2024)</f>
        <v>2024</v>
      </c>
      <c r="J765" s="88" t="str">
        <f ca="1">IFERROR(__xludf.DUMMYFUNCTION("""COMPUTED_VALUE"""),"India")</f>
        <v>India</v>
      </c>
      <c r="K765" s="89">
        <f ca="1">IFERROR(
  SUMIFS(
    'New Backfilled Data'!G:G,
    'New Backfilled Data'!A:A, I765,
    'New Backfilled Data'!D:D, J765,
    'New Backfilled Data'!E:E, "Online"
  ) /
  SUMIFS(
    'New Backfilled Data'!G:G,
    'New Backfilled Data'!A:A, I765,
    'New Backfilled Data'!D:D, J765
  ),
  ""
)</f>
        <v>0.5657126612797807</v>
      </c>
      <c r="L765" s="90"/>
      <c r="M765" s="90"/>
    </row>
    <row r="766" spans="1:13" ht="17" x14ac:dyDescent="0.2">
      <c r="A766" s="94">
        <v>2011</v>
      </c>
      <c r="B766" s="95" t="s">
        <v>66</v>
      </c>
      <c r="C766" s="95" t="s">
        <v>17</v>
      </c>
      <c r="D766" s="95" t="s">
        <v>18</v>
      </c>
      <c r="E766" s="95" t="s">
        <v>67</v>
      </c>
      <c r="F766" s="95" t="s">
        <v>67</v>
      </c>
      <c r="G766" s="96">
        <v>2588306272</v>
      </c>
      <c r="H766" s="95"/>
      <c r="I766" s="81">
        <f ca="1">IFERROR(__xludf.DUMMYFUNCTION("""COMPUTED_VALUE"""),2024)</f>
        <v>2024</v>
      </c>
      <c r="J766" s="82" t="str">
        <f ca="1">IFERROR(__xludf.DUMMYFUNCTION("""COMPUTED_VALUE"""),"Indonesia")</f>
        <v>Indonesia</v>
      </c>
      <c r="K766" s="83">
        <f ca="1">IFERROR(
  SUMIFS(
    'New Backfilled Data'!G:G,
    'New Backfilled Data'!A:A, I766,
    'New Backfilled Data'!D:D, J766,
    'New Backfilled Data'!E:E, "Online"
  ) /
  SUMIFS(
    'New Backfilled Data'!G:G,
    'New Backfilled Data'!A:A, I766,
    'New Backfilled Data'!D:D, J766
  ),
  ""
)</f>
        <v>0.63419807059816746</v>
      </c>
      <c r="L766" s="84"/>
      <c r="M766" s="84"/>
    </row>
    <row r="767" spans="1:13" ht="17" x14ac:dyDescent="0.2">
      <c r="A767" s="91">
        <v>2011</v>
      </c>
      <c r="B767" s="92" t="s">
        <v>66</v>
      </c>
      <c r="C767" s="92" t="s">
        <v>17</v>
      </c>
      <c r="D767" s="92" t="s">
        <v>18</v>
      </c>
      <c r="E767" s="92" t="s">
        <v>69</v>
      </c>
      <c r="F767" s="92" t="s">
        <v>71</v>
      </c>
      <c r="G767" s="93">
        <v>392496806</v>
      </c>
      <c r="H767" s="92"/>
      <c r="I767" s="87">
        <f ca="1">IFERROR(__xludf.DUMMYFUNCTION("""COMPUTED_VALUE"""),2024)</f>
        <v>2024</v>
      </c>
      <c r="J767" s="88" t="str">
        <f ca="1">IFERROR(__xludf.DUMMYFUNCTION("""COMPUTED_VALUE"""),"Japan")</f>
        <v>Japan</v>
      </c>
      <c r="K767" s="89">
        <f ca="1">IFERROR(
  SUMIFS(
    'New Backfilled Data'!G:G,
    'New Backfilled Data'!A:A, I767,
    'New Backfilled Data'!D:D, J767,
    'New Backfilled Data'!E:E, "Online"
  ) /
  SUMIFS(
    'New Backfilled Data'!G:G,
    'New Backfilled Data'!A:A, I767,
    'New Backfilled Data'!D:D, J767
  ),
  ""
)</f>
        <v>0.56068887761826158</v>
      </c>
      <c r="L767" s="90"/>
      <c r="M767" s="90"/>
    </row>
    <row r="768" spans="1:13" ht="17" x14ac:dyDescent="0.2">
      <c r="A768" s="94">
        <v>2011</v>
      </c>
      <c r="B768" s="95" t="s">
        <v>66</v>
      </c>
      <c r="C768" s="95" t="s">
        <v>17</v>
      </c>
      <c r="D768" s="95" t="s">
        <v>18</v>
      </c>
      <c r="E768" s="95" t="s">
        <v>69</v>
      </c>
      <c r="F768" s="95" t="s">
        <v>70</v>
      </c>
      <c r="G768" s="96">
        <v>376617310</v>
      </c>
      <c r="H768" s="95"/>
      <c r="I768" s="81">
        <f ca="1">IFERROR(__xludf.DUMMYFUNCTION("""COMPUTED_VALUE"""),2024)</f>
        <v>2024</v>
      </c>
      <c r="J768" s="82" t="str">
        <f ca="1">IFERROR(__xludf.DUMMYFUNCTION("""COMPUTED_VALUE"""),"Macau")</f>
        <v>Macau</v>
      </c>
      <c r="K768" s="83">
        <f ca="1">IFERROR(
  SUMIFS(
    'New Backfilled Data'!G:G,
    'New Backfilled Data'!A:A, I768,
    'New Backfilled Data'!D:D, J768,
    'New Backfilled Data'!E:E, "Online"
  ) /
  SUMIFS(
    'New Backfilled Data'!G:G,
    'New Backfilled Data'!A:A, I768,
    'New Backfilled Data'!D:D, J768
  ),
  ""
)</f>
        <v>0.60999999989356724</v>
      </c>
      <c r="L768" s="84"/>
      <c r="M768" s="84"/>
    </row>
    <row r="769" spans="1:13" ht="17" x14ac:dyDescent="0.2">
      <c r="A769" s="91">
        <v>2011</v>
      </c>
      <c r="B769" s="92" t="s">
        <v>66</v>
      </c>
      <c r="C769" s="92" t="s">
        <v>17</v>
      </c>
      <c r="D769" s="92" t="s">
        <v>19</v>
      </c>
      <c r="E769" s="92" t="s">
        <v>67</v>
      </c>
      <c r="F769" s="92" t="s">
        <v>67</v>
      </c>
      <c r="G769" s="93">
        <v>7969200929</v>
      </c>
      <c r="H769" s="92"/>
      <c r="I769" s="87">
        <f ca="1">IFERROR(__xludf.DUMMYFUNCTION("""COMPUTED_VALUE"""),2024)</f>
        <v>2024</v>
      </c>
      <c r="J769" s="88" t="str">
        <f ca="1">IFERROR(__xludf.DUMMYFUNCTION("""COMPUTED_VALUE"""),"Malaysia")</f>
        <v>Malaysia</v>
      </c>
      <c r="K769" s="89">
        <f ca="1">IFERROR(
  SUMIFS(
    'New Backfilled Data'!G:G,
    'New Backfilled Data'!A:A, I769,
    'New Backfilled Data'!D:D, J769,
    'New Backfilled Data'!E:E, "Online"
  ) /
  SUMIFS(
    'New Backfilled Data'!G:G,
    'New Backfilled Data'!A:A, I769,
    'New Backfilled Data'!D:D, J769
  ),
  ""
)</f>
        <v>0.71944694387797647</v>
      </c>
      <c r="L769" s="90"/>
      <c r="M769" s="90"/>
    </row>
    <row r="770" spans="1:13" ht="17" x14ac:dyDescent="0.2">
      <c r="A770" s="94">
        <v>2011</v>
      </c>
      <c r="B770" s="95" t="s">
        <v>66</v>
      </c>
      <c r="C770" s="95" t="s">
        <v>17</v>
      </c>
      <c r="D770" s="95" t="s">
        <v>19</v>
      </c>
      <c r="E770" s="95" t="s">
        <v>69</v>
      </c>
      <c r="F770" s="95" t="s">
        <v>71</v>
      </c>
      <c r="G770" s="96">
        <v>685234482</v>
      </c>
      <c r="H770" s="95"/>
      <c r="I770" s="81">
        <f ca="1">IFERROR(__xludf.DUMMYFUNCTION("""COMPUTED_VALUE"""),2024)</f>
        <v>2024</v>
      </c>
      <c r="J770" s="82" t="str">
        <f ca="1">IFERROR(__xludf.DUMMYFUNCTION("""COMPUTED_VALUE"""),"Singapore")</f>
        <v>Singapore</v>
      </c>
      <c r="K770" s="83">
        <f ca="1">IFERROR(
  SUMIFS(
    'New Backfilled Data'!G:G,
    'New Backfilled Data'!A:A, I770,
    'New Backfilled Data'!D:D, J770,
    'New Backfilled Data'!E:E, "Online"
  ) /
  SUMIFS(
    'New Backfilled Data'!G:G,
    'New Backfilled Data'!A:A, I770,
    'New Backfilled Data'!D:D, J770
  ),
  ""
)</f>
        <v>0.67888565931621603</v>
      </c>
      <c r="L770" s="84"/>
      <c r="M770" s="84"/>
    </row>
    <row r="771" spans="1:13" ht="17" x14ac:dyDescent="0.2">
      <c r="A771" s="91">
        <v>2011</v>
      </c>
      <c r="B771" s="92" t="s">
        <v>66</v>
      </c>
      <c r="C771" s="92" t="s">
        <v>17</v>
      </c>
      <c r="D771" s="92" t="s">
        <v>19</v>
      </c>
      <c r="E771" s="92" t="s">
        <v>69</v>
      </c>
      <c r="F771" s="92" t="s">
        <v>70</v>
      </c>
      <c r="G771" s="93">
        <v>1595792301</v>
      </c>
      <c r="H771" s="92"/>
      <c r="I771" s="87">
        <f ca="1">IFERROR(__xludf.DUMMYFUNCTION("""COMPUTED_VALUE"""),2024)</f>
        <v>2024</v>
      </c>
      <c r="J771" s="88" t="str">
        <f ca="1">IFERROR(__xludf.DUMMYFUNCTION("""COMPUTED_VALUE"""),"South Korea")</f>
        <v>South Korea</v>
      </c>
      <c r="K771" s="89">
        <f ca="1">IFERROR(
  SUMIFS(
    'New Backfilled Data'!G:G,
    'New Backfilled Data'!A:A, I771,
    'New Backfilled Data'!D:D, J771,
    'New Backfilled Data'!E:E, "Online"
  ) /
  SUMIFS(
    'New Backfilled Data'!G:G,
    'New Backfilled Data'!A:A, I771,
    'New Backfilled Data'!D:D, J771
  ),
  ""
)</f>
        <v>0.58743037878638182</v>
      </c>
      <c r="L771" s="90"/>
      <c r="M771" s="90"/>
    </row>
    <row r="772" spans="1:13" ht="17" x14ac:dyDescent="0.2">
      <c r="A772" s="94">
        <v>2011</v>
      </c>
      <c r="B772" s="95" t="s">
        <v>66</v>
      </c>
      <c r="C772" s="95" t="s">
        <v>17</v>
      </c>
      <c r="D772" s="95" t="s">
        <v>20</v>
      </c>
      <c r="E772" s="95" t="s">
        <v>67</v>
      </c>
      <c r="F772" s="95" t="s">
        <v>67</v>
      </c>
      <c r="G772" s="96">
        <v>2151796775</v>
      </c>
      <c r="H772" s="95"/>
      <c r="I772" s="81">
        <f ca="1">IFERROR(__xludf.DUMMYFUNCTION("""COMPUTED_VALUE"""),2024)</f>
        <v>2024</v>
      </c>
      <c r="J772" s="82" t="str">
        <f ca="1">IFERROR(__xludf.DUMMYFUNCTION("""COMPUTED_VALUE"""),"Taiwan")</f>
        <v>Taiwan</v>
      </c>
      <c r="K772" s="83">
        <f ca="1">IFERROR(
  SUMIFS(
    'New Backfilled Data'!G:G,
    'New Backfilled Data'!A:A, I772,
    'New Backfilled Data'!D:D, J772,
    'New Backfilled Data'!E:E, "Online"
  ) /
  SUMIFS(
    'New Backfilled Data'!G:G,
    'New Backfilled Data'!A:A, I772,
    'New Backfilled Data'!D:D, J772
  ),
  ""
)</f>
        <v>0.480468956175095</v>
      </c>
      <c r="L772" s="84"/>
      <c r="M772" s="84"/>
    </row>
    <row r="773" spans="1:13" ht="17" x14ac:dyDescent="0.2">
      <c r="A773" s="91">
        <v>2011</v>
      </c>
      <c r="B773" s="92" t="s">
        <v>66</v>
      </c>
      <c r="C773" s="92" t="s">
        <v>17</v>
      </c>
      <c r="D773" s="92" t="s">
        <v>20</v>
      </c>
      <c r="E773" s="92" t="s">
        <v>69</v>
      </c>
      <c r="F773" s="92" t="s">
        <v>71</v>
      </c>
      <c r="G773" s="93">
        <v>155120360</v>
      </c>
      <c r="H773" s="92"/>
      <c r="I773" s="87">
        <f ca="1">IFERROR(__xludf.DUMMYFUNCTION("""COMPUTED_VALUE"""),2024)</f>
        <v>2024</v>
      </c>
      <c r="J773" s="88" t="str">
        <f ca="1">IFERROR(__xludf.DUMMYFUNCTION("""COMPUTED_VALUE"""),"Thailand")</f>
        <v>Thailand</v>
      </c>
      <c r="K773" s="89">
        <f ca="1">IFERROR(
  SUMIFS(
    'New Backfilled Data'!G:G,
    'New Backfilled Data'!A:A, I773,
    'New Backfilled Data'!D:D, J773,
    'New Backfilled Data'!E:E, "Online"
  ) /
  SUMIFS(
    'New Backfilled Data'!G:G,
    'New Backfilled Data'!A:A, I773,
    'New Backfilled Data'!D:D, J773
  ),
  ""
)</f>
        <v>0.62036818503170144</v>
      </c>
      <c r="L773" s="90"/>
      <c r="M773" s="90"/>
    </row>
    <row r="774" spans="1:13" ht="17" x14ac:dyDescent="0.2">
      <c r="A774" s="94">
        <v>2011</v>
      </c>
      <c r="B774" s="95" t="s">
        <v>66</v>
      </c>
      <c r="C774" s="95" t="s">
        <v>17</v>
      </c>
      <c r="D774" s="95" t="s">
        <v>20</v>
      </c>
      <c r="E774" s="95" t="s">
        <v>69</v>
      </c>
      <c r="F774" s="95" t="s">
        <v>70</v>
      </c>
      <c r="G774" s="96">
        <v>491274815</v>
      </c>
      <c r="H774" s="95"/>
      <c r="I774" s="81">
        <f ca="1">IFERROR(__xludf.DUMMYFUNCTION("""COMPUTED_VALUE"""),2024)</f>
        <v>2024</v>
      </c>
      <c r="J774" s="82" t="str">
        <f ca="1">IFERROR(__xludf.DUMMYFUNCTION("""COMPUTED_VALUE"""),"Bulgaria")</f>
        <v>Bulgaria</v>
      </c>
      <c r="K774" s="83">
        <f ca="1">IFERROR(
  SUMIFS(
    'New Backfilled Data'!G:G,
    'New Backfilled Data'!A:A, I774,
    'New Backfilled Data'!D:D, J774,
    'New Backfilled Data'!E:E, "Online"
  ) /
  SUMIFS(
    'New Backfilled Data'!G:G,
    'New Backfilled Data'!A:A, I774,
    'New Backfilled Data'!D:D, J774
  ),
  ""
)</f>
        <v>0.49633188401642331</v>
      </c>
      <c r="L774" s="84"/>
      <c r="M774" s="84"/>
    </row>
    <row r="775" spans="1:13" ht="17" x14ac:dyDescent="0.2">
      <c r="A775" s="91">
        <v>2011</v>
      </c>
      <c r="B775" s="92" t="s">
        <v>66</v>
      </c>
      <c r="C775" s="92" t="s">
        <v>17</v>
      </c>
      <c r="D775" s="92" t="s">
        <v>21</v>
      </c>
      <c r="E775" s="92" t="s">
        <v>67</v>
      </c>
      <c r="F775" s="92" t="s">
        <v>67</v>
      </c>
      <c r="G775" s="93">
        <v>3771496837</v>
      </c>
      <c r="H775" s="92"/>
      <c r="I775" s="87">
        <f ca="1">IFERROR(__xludf.DUMMYFUNCTION("""COMPUTED_VALUE"""),2024)</f>
        <v>2024</v>
      </c>
      <c r="J775" s="88" t="str">
        <f ca="1">IFERROR(__xludf.DUMMYFUNCTION("""COMPUTED_VALUE"""),"Czech Republic")</f>
        <v>Czech Republic</v>
      </c>
      <c r="K775" s="89">
        <f ca="1">IFERROR(
  SUMIFS(
    'New Backfilled Data'!G:G,
    'New Backfilled Data'!A:A, I775,
    'New Backfilled Data'!D:D, J775,
    'New Backfilled Data'!E:E, "Online"
  ) /
  SUMIFS(
    'New Backfilled Data'!G:G,
    'New Backfilled Data'!A:A, I775,
    'New Backfilled Data'!D:D, J775
  ),
  ""
)</f>
        <v>0.66476115414626824</v>
      </c>
      <c r="L775" s="90"/>
      <c r="M775" s="90"/>
    </row>
    <row r="776" spans="1:13" ht="17" x14ac:dyDescent="0.2">
      <c r="A776" s="94">
        <v>2011</v>
      </c>
      <c r="B776" s="95" t="s">
        <v>66</v>
      </c>
      <c r="C776" s="95" t="s">
        <v>17</v>
      </c>
      <c r="D776" s="95" t="s">
        <v>21</v>
      </c>
      <c r="E776" s="95" t="s">
        <v>69</v>
      </c>
      <c r="F776" s="95" t="s">
        <v>71</v>
      </c>
      <c r="G776" s="96">
        <v>337308461</v>
      </c>
      <c r="H776" s="95"/>
      <c r="I776" s="81">
        <f ca="1">IFERROR(__xludf.DUMMYFUNCTION("""COMPUTED_VALUE"""),2024)</f>
        <v>2024</v>
      </c>
      <c r="J776" s="82" t="str">
        <f ca="1">IFERROR(__xludf.DUMMYFUNCTION("""COMPUTED_VALUE"""),"Greece")</f>
        <v>Greece</v>
      </c>
      <c r="K776" s="83">
        <f ca="1">IFERROR(
  SUMIFS(
    'New Backfilled Data'!G:G,
    'New Backfilled Data'!A:A, I776,
    'New Backfilled Data'!D:D, J776,
    'New Backfilled Data'!E:E, "Online"
  ) /
  SUMIFS(
    'New Backfilled Data'!G:G,
    'New Backfilled Data'!A:A, I776,
    'New Backfilled Data'!D:D, J776
  ),
  ""
)</f>
        <v>0.55296932190169612</v>
      </c>
      <c r="L776" s="84"/>
      <c r="M776" s="84"/>
    </row>
    <row r="777" spans="1:13" ht="17" x14ac:dyDescent="0.2">
      <c r="A777" s="91">
        <v>2011</v>
      </c>
      <c r="B777" s="92" t="s">
        <v>66</v>
      </c>
      <c r="C777" s="92" t="s">
        <v>17</v>
      </c>
      <c r="D777" s="92" t="s">
        <v>21</v>
      </c>
      <c r="E777" s="92" t="s">
        <v>69</v>
      </c>
      <c r="F777" s="92" t="s">
        <v>70</v>
      </c>
      <c r="G777" s="93">
        <v>690362402</v>
      </c>
      <c r="H777" s="92"/>
      <c r="I777" s="87">
        <f ca="1">IFERROR(__xludf.DUMMYFUNCTION("""COMPUTED_VALUE"""),2024)</f>
        <v>2024</v>
      </c>
      <c r="J777" s="88" t="str">
        <f ca="1">IFERROR(__xludf.DUMMYFUNCTION("""COMPUTED_VALUE"""),"Hungary")</f>
        <v>Hungary</v>
      </c>
      <c r="K777" s="89">
        <f ca="1">IFERROR(
  SUMIFS(
    'New Backfilled Data'!G:G,
    'New Backfilled Data'!A:A, I777,
    'New Backfilled Data'!D:D, J777,
    'New Backfilled Data'!E:E, "Online"
  ) /
  SUMIFS(
    'New Backfilled Data'!G:G,
    'New Backfilled Data'!A:A, I777,
    'New Backfilled Data'!D:D, J777
  ),
  ""
)</f>
        <v>0.9181242008137448</v>
      </c>
      <c r="L777" s="90"/>
      <c r="M777" s="90"/>
    </row>
    <row r="778" spans="1:13" ht="17" x14ac:dyDescent="0.2">
      <c r="A778" s="94">
        <v>2011</v>
      </c>
      <c r="B778" s="95" t="s">
        <v>66</v>
      </c>
      <c r="C778" s="95" t="s">
        <v>17</v>
      </c>
      <c r="D778" s="95" t="s">
        <v>22</v>
      </c>
      <c r="E778" s="95" t="s">
        <v>67</v>
      </c>
      <c r="F778" s="95" t="s">
        <v>67</v>
      </c>
      <c r="G778" s="96">
        <v>3743175626</v>
      </c>
      <c r="H778" s="95"/>
      <c r="I778" s="81">
        <f ca="1">IFERROR(__xludf.DUMMYFUNCTION("""COMPUTED_VALUE"""),2024)</f>
        <v>2024</v>
      </c>
      <c r="J778" s="82" t="str">
        <f ca="1">IFERROR(__xludf.DUMMYFUNCTION("""COMPUTED_VALUE"""),"Poland")</f>
        <v>Poland</v>
      </c>
      <c r="K778" s="83">
        <f ca="1">IFERROR(
  SUMIFS(
    'New Backfilled Data'!G:G,
    'New Backfilled Data'!A:A, I778,
    'New Backfilled Data'!D:D, J778,
    'New Backfilled Data'!E:E, "Online"
  ) /
  SUMIFS(
    'New Backfilled Data'!G:G,
    'New Backfilled Data'!A:A, I778,
    'New Backfilled Data'!D:D, J778
  ),
  ""
)</f>
        <v>0.55630677864689104</v>
      </c>
      <c r="L778" s="84"/>
      <c r="M778" s="84"/>
    </row>
    <row r="779" spans="1:13" ht="34" x14ac:dyDescent="0.2">
      <c r="A779" s="91">
        <v>2011</v>
      </c>
      <c r="B779" s="92" t="s">
        <v>66</v>
      </c>
      <c r="C779" s="92" t="s">
        <v>17</v>
      </c>
      <c r="D779" s="92" t="s">
        <v>22</v>
      </c>
      <c r="E779" s="92" t="s">
        <v>69</v>
      </c>
      <c r="F779" s="92" t="s">
        <v>71</v>
      </c>
      <c r="G779" s="93">
        <v>266272004</v>
      </c>
      <c r="H779" s="92"/>
      <c r="I779" s="87">
        <f ca="1">IFERROR(__xludf.DUMMYFUNCTION("""COMPUTED_VALUE"""),2024)</f>
        <v>2024</v>
      </c>
      <c r="J779" s="88" t="str">
        <f ca="1">IFERROR(__xludf.DUMMYFUNCTION("""COMPUTED_VALUE"""),"Rest of Eastern Europe")</f>
        <v>Rest of Eastern Europe</v>
      </c>
      <c r="K779" s="89">
        <f ca="1">IFERROR(
  SUMIFS(
    'New Backfilled Data'!G:G,
    'New Backfilled Data'!A:A, I779,
    'New Backfilled Data'!D:D, J779,
    'New Backfilled Data'!E:E, "Online"
  ) /
  SUMIFS(
    'New Backfilled Data'!G:G,
    'New Backfilled Data'!A:A, I779,
    'New Backfilled Data'!D:D, J779
  ),
  ""
)</f>
        <v>0.6493290735338596</v>
      </c>
      <c r="L779" s="90"/>
      <c r="M779" s="90"/>
    </row>
    <row r="780" spans="1:13" ht="17" x14ac:dyDescent="0.2">
      <c r="A780" s="94">
        <v>2011</v>
      </c>
      <c r="B780" s="95" t="s">
        <v>66</v>
      </c>
      <c r="C780" s="95" t="s">
        <v>17</v>
      </c>
      <c r="D780" s="95" t="s">
        <v>22</v>
      </c>
      <c r="E780" s="95" t="s">
        <v>69</v>
      </c>
      <c r="F780" s="95" t="s">
        <v>70</v>
      </c>
      <c r="G780" s="96">
        <v>241511771</v>
      </c>
      <c r="H780" s="95"/>
      <c r="I780" s="81">
        <f ca="1">IFERROR(__xludf.DUMMYFUNCTION("""COMPUTED_VALUE"""),2024)</f>
        <v>2024</v>
      </c>
      <c r="J780" s="82" t="str">
        <f ca="1">IFERROR(__xludf.DUMMYFUNCTION("""COMPUTED_VALUE"""),"Romania")</f>
        <v>Romania</v>
      </c>
      <c r="K780" s="83">
        <f ca="1">IFERROR(
  SUMIFS(
    'New Backfilled Data'!G:G,
    'New Backfilled Data'!A:A, I780,
    'New Backfilled Data'!D:D, J780,
    'New Backfilled Data'!E:E, "Online"
  ) /
  SUMIFS(
    'New Backfilled Data'!G:G,
    'New Backfilled Data'!A:A, I780,
    'New Backfilled Data'!D:D, J780
  ),
  ""
)</f>
        <v>0.56291476088269399</v>
      </c>
      <c r="L780" s="84"/>
      <c r="M780" s="84"/>
    </row>
    <row r="781" spans="1:13" ht="17" x14ac:dyDescent="0.2">
      <c r="A781" s="91">
        <v>2011</v>
      </c>
      <c r="B781" s="92" t="s">
        <v>66</v>
      </c>
      <c r="C781" s="92" t="s">
        <v>17</v>
      </c>
      <c r="D781" s="92" t="s">
        <v>23</v>
      </c>
      <c r="E781" s="92" t="s">
        <v>67</v>
      </c>
      <c r="F781" s="92" t="s">
        <v>67</v>
      </c>
      <c r="G781" s="93">
        <v>2918318367</v>
      </c>
      <c r="H781" s="92"/>
      <c r="I781" s="87">
        <f ca="1">IFERROR(__xludf.DUMMYFUNCTION("""COMPUTED_VALUE"""),2024)</f>
        <v>2024</v>
      </c>
      <c r="J781" s="88" t="str">
        <f ca="1">IFERROR(__xludf.DUMMYFUNCTION("""COMPUTED_VALUE"""),"Russia")</f>
        <v>Russia</v>
      </c>
      <c r="K781" s="89">
        <f ca="1">IFERROR(
  SUMIFS(
    'New Backfilled Data'!G:G,
    'New Backfilled Data'!A:A, I781,
    'New Backfilled Data'!D:D, J781,
    'New Backfilled Data'!E:E, "Online"
  ) /
  SUMIFS(
    'New Backfilled Data'!G:G,
    'New Backfilled Data'!A:A, I781,
    'New Backfilled Data'!D:D, J781
  ),
  ""
)</f>
        <v>0.54361892563957515</v>
      </c>
      <c r="L781" s="90"/>
      <c r="M781" s="90"/>
    </row>
    <row r="782" spans="1:13" ht="17" x14ac:dyDescent="0.2">
      <c r="A782" s="94">
        <v>2011</v>
      </c>
      <c r="B782" s="95" t="s">
        <v>66</v>
      </c>
      <c r="C782" s="95" t="s">
        <v>17</v>
      </c>
      <c r="D782" s="95" t="s">
        <v>23</v>
      </c>
      <c r="E782" s="95" t="s">
        <v>69</v>
      </c>
      <c r="F782" s="95" t="s">
        <v>71</v>
      </c>
      <c r="G782" s="96">
        <v>180672667</v>
      </c>
      <c r="H782" s="95"/>
      <c r="I782" s="81">
        <f ca="1">IFERROR(__xludf.DUMMYFUNCTION("""COMPUTED_VALUE"""),2024)</f>
        <v>2024</v>
      </c>
      <c r="J782" s="82" t="str">
        <f ca="1">IFERROR(__xludf.DUMMYFUNCTION("""COMPUTED_VALUE"""),"Ukraine")</f>
        <v>Ukraine</v>
      </c>
      <c r="K782" s="83" t="str">
        <f ca="1">IFERROR(
  SUMIFS(
    'New Backfilled Data'!G:G,
    'New Backfilled Data'!A:A, I782,
    'New Backfilled Data'!D:D, J782,
    'New Backfilled Data'!E:E, "Online"
  ) /
  SUMIFS(
    'New Backfilled Data'!G:G,
    'New Backfilled Data'!A:A, I782,
    'New Backfilled Data'!D:D, J782
  ),
  ""
)</f>
        <v/>
      </c>
      <c r="L782" s="84"/>
      <c r="M782" s="84"/>
    </row>
    <row r="783" spans="1:13" ht="17" x14ac:dyDescent="0.2">
      <c r="A783" s="91">
        <v>2011</v>
      </c>
      <c r="B783" s="92" t="s">
        <v>66</v>
      </c>
      <c r="C783" s="92" t="s">
        <v>17</v>
      </c>
      <c r="D783" s="92" t="s">
        <v>23</v>
      </c>
      <c r="E783" s="92" t="s">
        <v>69</v>
      </c>
      <c r="F783" s="92" t="s">
        <v>70</v>
      </c>
      <c r="G783" s="93">
        <v>387293736</v>
      </c>
      <c r="H783" s="92"/>
      <c r="I783" s="87">
        <f ca="1">IFERROR(__xludf.DUMMYFUNCTION("""COMPUTED_VALUE"""),2024)</f>
        <v>2024</v>
      </c>
      <c r="J783" s="88" t="str">
        <f ca="1">IFERROR(__xludf.DUMMYFUNCTION("""COMPUTED_VALUE"""),"France")</f>
        <v>France</v>
      </c>
      <c r="K783" s="89">
        <f ca="1">IFERROR(
  SUMIFS(
    'New Backfilled Data'!G:G,
    'New Backfilled Data'!A:A, I783,
    'New Backfilled Data'!D:D, J783,
    'New Backfilled Data'!E:E, "Online"
  ) /
  SUMIFS(
    'New Backfilled Data'!G:G,
    'New Backfilled Data'!A:A, I783,
    'New Backfilled Data'!D:D, J783
  ),
  ""
)</f>
        <v>0.5534362418096862</v>
      </c>
      <c r="L783" s="90"/>
      <c r="M783" s="90"/>
    </row>
    <row r="784" spans="1:13" ht="17" x14ac:dyDescent="0.2">
      <c r="A784" s="94">
        <v>2011</v>
      </c>
      <c r="B784" s="95" t="s">
        <v>66</v>
      </c>
      <c r="C784" s="95" t="s">
        <v>17</v>
      </c>
      <c r="D784" s="95" t="s">
        <v>24</v>
      </c>
      <c r="E784" s="95" t="s">
        <v>67</v>
      </c>
      <c r="F784" s="95" t="s">
        <v>67</v>
      </c>
      <c r="G784" s="96">
        <v>37221698924</v>
      </c>
      <c r="H784" s="95"/>
      <c r="I784" s="81">
        <f ca="1">IFERROR(__xludf.DUMMYFUNCTION("""COMPUTED_VALUE"""),2024)</f>
        <v>2024</v>
      </c>
      <c r="J784" s="82" t="str">
        <f ca="1">IFERROR(__xludf.DUMMYFUNCTION("""COMPUTED_VALUE"""),"Germany")</f>
        <v>Germany</v>
      </c>
      <c r="K784" s="83">
        <f ca="1">IFERROR(
  SUMIFS(
    'New Backfilled Data'!G:G,
    'New Backfilled Data'!A:A, I784,
    'New Backfilled Data'!D:D, J784,
    'New Backfilled Data'!E:E, "Online"
  ) /
  SUMIFS(
    'New Backfilled Data'!G:G,
    'New Backfilled Data'!A:A, I784,
    'New Backfilled Data'!D:D, J784
  ),
  ""
)</f>
        <v>0.64025718539807097</v>
      </c>
      <c r="L784" s="84"/>
      <c r="M784" s="84"/>
    </row>
    <row r="785" spans="1:13" ht="17" x14ac:dyDescent="0.2">
      <c r="A785" s="91">
        <v>2011</v>
      </c>
      <c r="B785" s="92" t="s">
        <v>66</v>
      </c>
      <c r="C785" s="92" t="s">
        <v>17</v>
      </c>
      <c r="D785" s="92" t="s">
        <v>24</v>
      </c>
      <c r="E785" s="92" t="s">
        <v>69</v>
      </c>
      <c r="F785" s="92" t="s">
        <v>71</v>
      </c>
      <c r="G785" s="93">
        <v>2478489221</v>
      </c>
      <c r="H785" s="92"/>
      <c r="I785" s="87">
        <f ca="1">IFERROR(__xludf.DUMMYFUNCTION("""COMPUTED_VALUE"""),2024)</f>
        <v>2024</v>
      </c>
      <c r="J785" s="88" t="str">
        <f ca="1">IFERROR(__xludf.DUMMYFUNCTION("""COMPUTED_VALUE"""),"Italy")</f>
        <v>Italy</v>
      </c>
      <c r="K785" s="89">
        <f ca="1">IFERROR(
  SUMIFS(
    'New Backfilled Data'!G:G,
    'New Backfilled Data'!A:A, I785,
    'New Backfilled Data'!D:D, J785,
    'New Backfilled Data'!E:E, "Online"
  ) /
  SUMIFS(
    'New Backfilled Data'!G:G,
    'New Backfilled Data'!A:A, I785,
    'New Backfilled Data'!D:D, J785
  ),
  ""
)</f>
        <v>0.5588041915431714</v>
      </c>
      <c r="L785" s="90"/>
      <c r="M785" s="90"/>
    </row>
    <row r="786" spans="1:13" ht="17" x14ac:dyDescent="0.2">
      <c r="A786" s="94">
        <v>2011</v>
      </c>
      <c r="B786" s="95" t="s">
        <v>66</v>
      </c>
      <c r="C786" s="95" t="s">
        <v>17</v>
      </c>
      <c r="D786" s="95" t="s">
        <v>24</v>
      </c>
      <c r="E786" s="95" t="s">
        <v>69</v>
      </c>
      <c r="F786" s="95" t="s">
        <v>70</v>
      </c>
      <c r="G786" s="96">
        <v>2716178874</v>
      </c>
      <c r="H786" s="95"/>
      <c r="I786" s="81">
        <f ca="1">IFERROR(__xludf.DUMMYFUNCTION("""COMPUTED_VALUE"""),2024)</f>
        <v>2024</v>
      </c>
      <c r="J786" s="82" t="str">
        <f ca="1">IFERROR(__xludf.DUMMYFUNCTION("""COMPUTED_VALUE"""),"Rest of Europe")</f>
        <v>Rest of Europe</v>
      </c>
      <c r="K786" s="83">
        <f ca="1">IFERROR(
  SUMIFS(
    'New Backfilled Data'!G:G,
    'New Backfilled Data'!A:A, I786,
    'New Backfilled Data'!D:D, J786,
    'New Backfilled Data'!E:E, "Online"
  ) /
  SUMIFS(
    'New Backfilled Data'!G:G,
    'New Backfilled Data'!A:A, I786,
    'New Backfilled Data'!D:D, J786
  ),
  ""
)</f>
        <v>0.67746770749779939</v>
      </c>
      <c r="L786" s="84"/>
      <c r="M786" s="84"/>
    </row>
    <row r="787" spans="1:13" ht="17" x14ac:dyDescent="0.2">
      <c r="A787" s="91">
        <v>2011</v>
      </c>
      <c r="B787" s="92" t="s">
        <v>66</v>
      </c>
      <c r="C787" s="92" t="s">
        <v>17</v>
      </c>
      <c r="D787" s="92" t="s">
        <v>25</v>
      </c>
      <c r="E787" s="92" t="s">
        <v>67</v>
      </c>
      <c r="F787" s="92" t="s">
        <v>67</v>
      </c>
      <c r="G787" s="93">
        <v>3674508223</v>
      </c>
      <c r="H787" s="92"/>
      <c r="I787" s="87">
        <f ca="1">IFERROR(__xludf.DUMMYFUNCTION("""COMPUTED_VALUE"""),2024)</f>
        <v>2024</v>
      </c>
      <c r="J787" s="88" t="str">
        <f ca="1">IFERROR(__xludf.DUMMYFUNCTION("""COMPUTED_VALUE"""),"Scandinavia")</f>
        <v>Scandinavia</v>
      </c>
      <c r="K787" s="89">
        <f ca="1">IFERROR(
  SUMIFS(
    'New Backfilled Data'!G:G,
    'New Backfilled Data'!A:A, I787,
    'New Backfilled Data'!D:D, J787,
    'New Backfilled Data'!E:E, "Online"
  ) /
  SUMIFS(
    'New Backfilled Data'!G:G,
    'New Backfilled Data'!A:A, I787,
    'New Backfilled Data'!D:D, J787
  ),
  ""
)</f>
        <v>0.78317560693402155</v>
      </c>
      <c r="L787" s="90"/>
      <c r="M787" s="90"/>
    </row>
    <row r="788" spans="1:13" ht="17" x14ac:dyDescent="0.2">
      <c r="A788" s="94">
        <v>2011</v>
      </c>
      <c r="B788" s="95" t="s">
        <v>66</v>
      </c>
      <c r="C788" s="95" t="s">
        <v>17</v>
      </c>
      <c r="D788" s="95" t="s">
        <v>25</v>
      </c>
      <c r="E788" s="95" t="s">
        <v>69</v>
      </c>
      <c r="F788" s="95" t="s">
        <v>71</v>
      </c>
      <c r="G788" s="96">
        <v>303076038</v>
      </c>
      <c r="H788" s="95"/>
      <c r="I788" s="81">
        <f ca="1">IFERROR(__xludf.DUMMYFUNCTION("""COMPUTED_VALUE"""),2024)</f>
        <v>2024</v>
      </c>
      <c r="J788" s="82" t="str">
        <f ca="1">IFERROR(__xludf.DUMMYFUNCTION("""COMPUTED_VALUE"""),"Spain")</f>
        <v>Spain</v>
      </c>
      <c r="K788" s="83">
        <f ca="1">IFERROR(
  SUMIFS(
    'New Backfilled Data'!G:G,
    'New Backfilled Data'!A:A, I788,
    'New Backfilled Data'!D:D, J788,
    'New Backfilled Data'!E:E, "Online"
  ) /
  SUMIFS(
    'New Backfilled Data'!G:G,
    'New Backfilled Data'!A:A, I788,
    'New Backfilled Data'!D:D, J788
  ),
  ""
)</f>
        <v>0.60466255062947205</v>
      </c>
      <c r="L788" s="84"/>
      <c r="M788" s="84"/>
    </row>
    <row r="789" spans="1:13" ht="17" x14ac:dyDescent="0.2">
      <c r="A789" s="91">
        <v>2011</v>
      </c>
      <c r="B789" s="92" t="s">
        <v>66</v>
      </c>
      <c r="C789" s="92" t="s">
        <v>17</v>
      </c>
      <c r="D789" s="92" t="s">
        <v>25</v>
      </c>
      <c r="E789" s="92" t="s">
        <v>69</v>
      </c>
      <c r="F789" s="92" t="s">
        <v>70</v>
      </c>
      <c r="G789" s="93">
        <v>455777414</v>
      </c>
      <c r="H789" s="92"/>
      <c r="I789" s="87">
        <f ca="1">IFERROR(__xludf.DUMMYFUNCTION("""COMPUTED_VALUE"""),2024)</f>
        <v>2024</v>
      </c>
      <c r="J789" s="88" t="str">
        <f ca="1">IFERROR(__xludf.DUMMYFUNCTION("""COMPUTED_VALUE"""),"U.K.")</f>
        <v>U.K.</v>
      </c>
      <c r="K789" s="89">
        <f ca="1">IFERROR(
  SUMIFS(
    'New Backfilled Data'!G:G,
    'New Backfilled Data'!A:A, I789,
    'New Backfilled Data'!D:D, J789,
    'New Backfilled Data'!E:E, "Online"
  ) /
  SUMIFS(
    'New Backfilled Data'!G:G,
    'New Backfilled Data'!A:A, I789,
    'New Backfilled Data'!D:D, J789
  ),
  ""
)</f>
        <v>0.83978032417211346</v>
      </c>
      <c r="L789" s="90"/>
      <c r="M789" s="90"/>
    </row>
    <row r="790" spans="1:13" ht="17" x14ac:dyDescent="0.2">
      <c r="A790" s="94">
        <v>2011</v>
      </c>
      <c r="B790" s="95" t="s">
        <v>66</v>
      </c>
      <c r="C790" s="95" t="s">
        <v>27</v>
      </c>
      <c r="D790" s="95" t="s">
        <v>26</v>
      </c>
      <c r="E790" s="95" t="s">
        <v>67</v>
      </c>
      <c r="F790" s="95" t="s">
        <v>67</v>
      </c>
      <c r="G790" s="96">
        <v>35964377812</v>
      </c>
      <c r="H790" s="95"/>
      <c r="I790" s="81">
        <f ca="1">IFERROR(__xludf.DUMMYFUNCTION("""COMPUTED_VALUE"""),2024)</f>
        <v>2024</v>
      </c>
      <c r="J790" s="82" t="str">
        <f ca="1">IFERROR(__xludf.DUMMYFUNCTION("""COMPUTED_VALUE"""),"Argentina")</f>
        <v>Argentina</v>
      </c>
      <c r="K790" s="83">
        <f ca="1">IFERROR(
  SUMIFS(
    'New Backfilled Data'!G:G,
    'New Backfilled Data'!A:A, I790,
    'New Backfilled Data'!D:D, J790,
    'New Backfilled Data'!E:E, "Online"
  ) /
  SUMIFS(
    'New Backfilled Data'!G:G,
    'New Backfilled Data'!A:A, I790,
    'New Backfilled Data'!D:D, J790
  ),
  ""
)</f>
        <v>0.42334316217883577</v>
      </c>
      <c r="L790" s="84"/>
      <c r="M790" s="84"/>
    </row>
    <row r="791" spans="1:13" ht="17" x14ac:dyDescent="0.2">
      <c r="A791" s="91">
        <v>2011</v>
      </c>
      <c r="B791" s="92" t="s">
        <v>66</v>
      </c>
      <c r="C791" s="92" t="s">
        <v>27</v>
      </c>
      <c r="D791" s="92" t="s">
        <v>26</v>
      </c>
      <c r="E791" s="92" t="s">
        <v>69</v>
      </c>
      <c r="F791" s="92" t="s">
        <v>71</v>
      </c>
      <c r="G791" s="93">
        <v>6423961304</v>
      </c>
      <c r="H791" s="92"/>
      <c r="I791" s="87">
        <f ca="1">IFERROR(__xludf.DUMMYFUNCTION("""COMPUTED_VALUE"""),2024)</f>
        <v>2024</v>
      </c>
      <c r="J791" s="88" t="str">
        <f ca="1">IFERROR(__xludf.DUMMYFUNCTION("""COMPUTED_VALUE"""),"Brazil")</f>
        <v>Brazil</v>
      </c>
      <c r="K791" s="89">
        <f ca="1">IFERROR(
  SUMIFS(
    'New Backfilled Data'!G:G,
    'New Backfilled Data'!A:A, I791,
    'New Backfilled Data'!D:D, J791,
    'New Backfilled Data'!E:E, "Online"
  ) /
  SUMIFS(
    'New Backfilled Data'!G:G,
    'New Backfilled Data'!A:A, I791,
    'New Backfilled Data'!D:D, J791
  ),
  ""
)</f>
        <v>0.50165487942408094</v>
      </c>
      <c r="L791" s="90"/>
      <c r="M791" s="90"/>
    </row>
    <row r="792" spans="1:13" ht="17" x14ac:dyDescent="0.2">
      <c r="A792" s="94">
        <v>2011</v>
      </c>
      <c r="B792" s="95" t="s">
        <v>66</v>
      </c>
      <c r="C792" s="95" t="s">
        <v>27</v>
      </c>
      <c r="D792" s="95" t="s">
        <v>26</v>
      </c>
      <c r="E792" s="95" t="s">
        <v>69</v>
      </c>
      <c r="F792" s="95" t="s">
        <v>70</v>
      </c>
      <c r="G792" s="96">
        <v>12135340866</v>
      </c>
      <c r="H792" s="95"/>
      <c r="I792" s="81">
        <f ca="1">IFERROR(__xludf.DUMMYFUNCTION("""COMPUTED_VALUE"""),2024)</f>
        <v>2024</v>
      </c>
      <c r="J792" s="82" t="str">
        <f ca="1">IFERROR(__xludf.DUMMYFUNCTION("""COMPUTED_VALUE"""),"Chile")</f>
        <v>Chile</v>
      </c>
      <c r="K792" s="83">
        <f ca="1">IFERROR(
  SUMIFS(
    'New Backfilled Data'!G:G,
    'New Backfilled Data'!A:A, I792,
    'New Backfilled Data'!D:D, J792,
    'New Backfilled Data'!E:E, "Online"
  ) /
  SUMIFS(
    'New Backfilled Data'!G:G,
    'New Backfilled Data'!A:A, I792,
    'New Backfilled Data'!D:D, J792
  ),
  ""
)</f>
        <v>0.52351354012187157</v>
      </c>
      <c r="L792" s="84"/>
      <c r="M792" s="84"/>
    </row>
    <row r="793" spans="1:13" ht="17" x14ac:dyDescent="0.2">
      <c r="A793" s="91">
        <v>2011</v>
      </c>
      <c r="B793" s="92" t="s">
        <v>66</v>
      </c>
      <c r="C793" s="92" t="s">
        <v>27</v>
      </c>
      <c r="D793" s="92" t="s">
        <v>28</v>
      </c>
      <c r="E793" s="92" t="s">
        <v>67</v>
      </c>
      <c r="F793" s="92" t="s">
        <v>67</v>
      </c>
      <c r="G793" s="93">
        <v>50536379834</v>
      </c>
      <c r="H793" s="92"/>
      <c r="I793" s="87">
        <f ca="1">IFERROR(__xludf.DUMMYFUNCTION("""COMPUTED_VALUE"""),2024)</f>
        <v>2024</v>
      </c>
      <c r="J793" s="88" t="str">
        <f ca="1">IFERROR(__xludf.DUMMYFUNCTION("""COMPUTED_VALUE"""),"Colombia")</f>
        <v>Colombia</v>
      </c>
      <c r="K793" s="89">
        <f ca="1">IFERROR(
  SUMIFS(
    'New Backfilled Data'!G:G,
    'New Backfilled Data'!A:A, I793,
    'New Backfilled Data'!D:D, J793,
    'New Backfilled Data'!E:E, "Online"
  ) /
  SUMIFS(
    'New Backfilled Data'!G:G,
    'New Backfilled Data'!A:A, I793,
    'New Backfilled Data'!D:D, J793
  ),
  ""
)</f>
        <v>0.47602358759372004</v>
      </c>
      <c r="L793" s="90"/>
      <c r="M793" s="90"/>
    </row>
    <row r="794" spans="1:13" ht="17" x14ac:dyDescent="0.2">
      <c r="A794" s="94">
        <v>2011</v>
      </c>
      <c r="B794" s="95" t="s">
        <v>66</v>
      </c>
      <c r="C794" s="95" t="s">
        <v>27</v>
      </c>
      <c r="D794" s="95" t="s">
        <v>28</v>
      </c>
      <c r="E794" s="95" t="s">
        <v>69</v>
      </c>
      <c r="F794" s="95" t="s">
        <v>71</v>
      </c>
      <c r="G794" s="96">
        <v>11008510305</v>
      </c>
      <c r="H794" s="95"/>
      <c r="I794" s="81">
        <f ca="1">IFERROR(__xludf.DUMMYFUNCTION("""COMPUTED_VALUE"""),2024)</f>
        <v>2024</v>
      </c>
      <c r="J794" s="82" t="str">
        <f ca="1">IFERROR(__xludf.DUMMYFUNCTION("""COMPUTED_VALUE"""),"Mexico")</f>
        <v>Mexico</v>
      </c>
      <c r="K794" s="83">
        <f ca="1">IFERROR(
  SUMIFS(
    'New Backfilled Data'!G:G,
    'New Backfilled Data'!A:A, I794,
    'New Backfilled Data'!D:D, J794,
    'New Backfilled Data'!E:E, "Online"
  ) /
  SUMIFS(
    'New Backfilled Data'!G:G,
    'New Backfilled Data'!A:A, I794,
    'New Backfilled Data'!D:D, J794
  ),
  ""
)</f>
        <v>0.50689012624327168</v>
      </c>
      <c r="L794" s="84"/>
      <c r="M794" s="84"/>
    </row>
    <row r="795" spans="1:13" ht="17" x14ac:dyDescent="0.2">
      <c r="A795" s="91">
        <v>2011</v>
      </c>
      <c r="B795" s="92" t="s">
        <v>66</v>
      </c>
      <c r="C795" s="92" t="s">
        <v>27</v>
      </c>
      <c r="D795" s="92" t="s">
        <v>28</v>
      </c>
      <c r="E795" s="92" t="s">
        <v>69</v>
      </c>
      <c r="F795" s="92" t="s">
        <v>70</v>
      </c>
      <c r="G795" s="93">
        <v>14309644382</v>
      </c>
      <c r="H795" s="92"/>
      <c r="I795" s="87">
        <f ca="1">IFERROR(__xludf.DUMMYFUNCTION("""COMPUTED_VALUE"""),2024)</f>
        <v>2024</v>
      </c>
      <c r="J795" s="88" t="str">
        <f ca="1">IFERROR(__xludf.DUMMYFUNCTION("""COMPUTED_VALUE"""),"Egypt")</f>
        <v>Egypt</v>
      </c>
      <c r="K795" s="89">
        <f ca="1">IFERROR(
  SUMIFS(
    'New Backfilled Data'!G:G,
    'New Backfilled Data'!A:A, I795,
    'New Backfilled Data'!D:D, J795,
    'New Backfilled Data'!E:E, "Online"
  ) /
  SUMIFS(
    'New Backfilled Data'!G:G,
    'New Backfilled Data'!A:A, I795,
    'New Backfilled Data'!D:D, J795
  ),
  ""
)</f>
        <v>0.3836532593808703</v>
      </c>
      <c r="L795" s="90"/>
      <c r="M795" s="90"/>
    </row>
    <row r="796" spans="1:13" ht="17" x14ac:dyDescent="0.2">
      <c r="A796" s="94">
        <v>2011</v>
      </c>
      <c r="B796" s="95" t="s">
        <v>66</v>
      </c>
      <c r="C796" s="95" t="s">
        <v>27</v>
      </c>
      <c r="D796" s="95" t="s">
        <v>29</v>
      </c>
      <c r="E796" s="95" t="s">
        <v>67</v>
      </c>
      <c r="F796" s="95" t="s">
        <v>67</v>
      </c>
      <c r="G796" s="96">
        <v>21007915738</v>
      </c>
      <c r="H796" s="95"/>
      <c r="I796" s="81">
        <f ca="1">IFERROR(__xludf.DUMMYFUNCTION("""COMPUTED_VALUE"""),2024)</f>
        <v>2024</v>
      </c>
      <c r="J796" s="82" t="str">
        <f ca="1">IFERROR(__xludf.DUMMYFUNCTION("""COMPUTED_VALUE"""),"Qatar")</f>
        <v>Qatar</v>
      </c>
      <c r="K796" s="83">
        <f ca="1">IFERROR(
  SUMIFS(
    'New Backfilled Data'!G:G,
    'New Backfilled Data'!A:A, I796,
    'New Backfilled Data'!D:D, J796,
    'New Backfilled Data'!E:E, "Online"
  ) /
  SUMIFS(
    'New Backfilled Data'!G:G,
    'New Backfilled Data'!A:A, I796,
    'New Backfilled Data'!D:D, J796
  ),
  ""
)</f>
        <v>0.44669453523715535</v>
      </c>
      <c r="L796" s="84"/>
      <c r="M796" s="84"/>
    </row>
    <row r="797" spans="1:13" ht="34" x14ac:dyDescent="0.2">
      <c r="A797" s="91">
        <v>2011</v>
      </c>
      <c r="B797" s="92" t="s">
        <v>66</v>
      </c>
      <c r="C797" s="92" t="s">
        <v>27</v>
      </c>
      <c r="D797" s="92" t="s">
        <v>29</v>
      </c>
      <c r="E797" s="92" t="s">
        <v>69</v>
      </c>
      <c r="F797" s="92" t="s">
        <v>71</v>
      </c>
      <c r="G797" s="93">
        <v>4024709589</v>
      </c>
      <c r="H797" s="92"/>
      <c r="I797" s="87">
        <f ca="1">IFERROR(__xludf.DUMMYFUNCTION("""COMPUTED_VALUE"""),2024)</f>
        <v>2024</v>
      </c>
      <c r="J797" s="88" t="str">
        <f ca="1">IFERROR(__xludf.DUMMYFUNCTION("""COMPUTED_VALUE"""),"Rest of Middle East")</f>
        <v>Rest of Middle East</v>
      </c>
      <c r="K797" s="89">
        <f ca="1">IFERROR(
  SUMIFS(
    'New Backfilled Data'!G:G,
    'New Backfilled Data'!A:A, I797,
    'New Backfilled Data'!D:D, J797,
    'New Backfilled Data'!E:E, "Online"
  ) /
  SUMIFS(
    'New Backfilled Data'!G:G,
    'New Backfilled Data'!A:A, I797,
    'New Backfilled Data'!D:D, J797
  ),
  ""
)</f>
        <v>0.42657630175245886</v>
      </c>
      <c r="L797" s="90"/>
      <c r="M797" s="90"/>
    </row>
    <row r="798" spans="1:13" ht="17" x14ac:dyDescent="0.2">
      <c r="A798" s="94">
        <v>2011</v>
      </c>
      <c r="B798" s="95" t="s">
        <v>66</v>
      </c>
      <c r="C798" s="95" t="s">
        <v>27</v>
      </c>
      <c r="D798" s="95" t="s">
        <v>29</v>
      </c>
      <c r="E798" s="95" t="s">
        <v>69</v>
      </c>
      <c r="F798" s="95" t="s">
        <v>70</v>
      </c>
      <c r="G798" s="96">
        <v>3515415632</v>
      </c>
      <c r="H798" s="95"/>
      <c r="I798" s="81">
        <f ca="1">IFERROR(__xludf.DUMMYFUNCTION("""COMPUTED_VALUE"""),2024)</f>
        <v>2024</v>
      </c>
      <c r="J798" s="82" t="str">
        <f ca="1">IFERROR(__xludf.DUMMYFUNCTION("""COMPUTED_VALUE"""),"Saudi Arabia")</f>
        <v>Saudi Arabia</v>
      </c>
      <c r="K798" s="83">
        <f ca="1">IFERROR(
  SUMIFS(
    'New Backfilled Data'!G:G,
    'New Backfilled Data'!A:A, I798,
    'New Backfilled Data'!D:D, J798,
    'New Backfilled Data'!E:E, "Online"
  ) /
  SUMIFS(
    'New Backfilled Data'!G:G,
    'New Backfilled Data'!A:A, I798,
    'New Backfilled Data'!D:D, J798
  ),
  ""
)</f>
        <v>0.50403792909653578</v>
      </c>
      <c r="L798" s="84"/>
      <c r="M798" s="84"/>
    </row>
    <row r="799" spans="1:13" ht="17" x14ac:dyDescent="0.2">
      <c r="A799" s="91">
        <v>2011</v>
      </c>
      <c r="B799" s="92" t="s">
        <v>66</v>
      </c>
      <c r="C799" s="92" t="s">
        <v>27</v>
      </c>
      <c r="D799" s="92" t="s">
        <v>30</v>
      </c>
      <c r="E799" s="92" t="s">
        <v>67</v>
      </c>
      <c r="F799" s="92" t="s">
        <v>67</v>
      </c>
      <c r="G799" s="93">
        <v>41191428037</v>
      </c>
      <c r="H799" s="92"/>
      <c r="I799" s="87">
        <f ca="1">IFERROR(__xludf.DUMMYFUNCTION("""COMPUTED_VALUE"""),2024)</f>
        <v>2024</v>
      </c>
      <c r="J799" s="88" t="str">
        <f ca="1">IFERROR(__xludf.DUMMYFUNCTION("""COMPUTED_VALUE"""),"U.A.E.")</f>
        <v>U.A.E.</v>
      </c>
      <c r="K799" s="89">
        <f ca="1">IFERROR(
  SUMIFS(
    'New Backfilled Data'!G:G,
    'New Backfilled Data'!A:A, I799,
    'New Backfilled Data'!D:D, J799,
    'New Backfilled Data'!E:E, "Online"
  ) /
  SUMIFS(
    'New Backfilled Data'!G:G,
    'New Backfilled Data'!A:A, I799,
    'New Backfilled Data'!D:D, J799
  ),
  ""
)</f>
        <v>0.49063726768040972</v>
      </c>
      <c r="L799" s="90"/>
      <c r="M799" s="90"/>
    </row>
    <row r="800" spans="1:13" ht="17" x14ac:dyDescent="0.2">
      <c r="A800" s="94">
        <v>2011</v>
      </c>
      <c r="B800" s="95" t="s">
        <v>66</v>
      </c>
      <c r="C800" s="95" t="s">
        <v>27</v>
      </c>
      <c r="D800" s="95" t="s">
        <v>30</v>
      </c>
      <c r="E800" s="95" t="s">
        <v>69</v>
      </c>
      <c r="F800" s="95" t="s">
        <v>71</v>
      </c>
      <c r="G800" s="96">
        <v>6137481642</v>
      </c>
      <c r="H800" s="95"/>
      <c r="I800" s="81">
        <f ca="1">IFERROR(__xludf.DUMMYFUNCTION("""COMPUTED_VALUE"""),2024)</f>
        <v>2024</v>
      </c>
      <c r="J800" s="82" t="str">
        <f ca="1">IFERROR(__xludf.DUMMYFUNCTION("""COMPUTED_VALUE"""),"Canada")</f>
        <v>Canada</v>
      </c>
      <c r="K800" s="83">
        <f ca="1">IFERROR(
  SUMIFS(
    'New Backfilled Data'!G:G,
    'New Backfilled Data'!A:A, I800,
    'New Backfilled Data'!D:D, J800,
    'New Backfilled Data'!E:E, "Online"
  ) /
  SUMIFS(
    'New Backfilled Data'!G:G,
    'New Backfilled Data'!A:A, I800,
    'New Backfilled Data'!D:D, J800
  ),
  ""
)</f>
        <v>0.61244370686193939</v>
      </c>
      <c r="L800" s="84"/>
      <c r="M800" s="84"/>
    </row>
    <row r="801" spans="1:13" ht="17" x14ac:dyDescent="0.2">
      <c r="A801" s="91">
        <v>2011</v>
      </c>
      <c r="B801" s="92" t="s">
        <v>66</v>
      </c>
      <c r="C801" s="92" t="s">
        <v>27</v>
      </c>
      <c r="D801" s="92" t="s">
        <v>30</v>
      </c>
      <c r="E801" s="92" t="s">
        <v>69</v>
      </c>
      <c r="F801" s="92" t="s">
        <v>70</v>
      </c>
      <c r="G801" s="93">
        <v>11468457106</v>
      </c>
      <c r="H801" s="92"/>
      <c r="I801" s="87">
        <f ca="1">IFERROR(__xludf.DUMMYFUNCTION("""COMPUTED_VALUE"""),2024)</f>
        <v>2024</v>
      </c>
      <c r="J801" s="88" t="str">
        <f ca="1">IFERROR(__xludf.DUMMYFUNCTION("""COMPUTED_VALUE"""),"U.S.")</f>
        <v>U.S.</v>
      </c>
      <c r="K801" s="89">
        <f ca="1">IFERROR(
  SUMIFS(
    'New Backfilled Data'!G:G,
    'New Backfilled Data'!A:A, I801,
    'New Backfilled Data'!D:D, J801,
    'New Backfilled Data'!E:E, "Online"
  ) /
  SUMIFS(
    'New Backfilled Data'!G:G,
    'New Backfilled Data'!A:A, I801,
    'New Backfilled Data'!D:D, J801
  ),
  ""
)</f>
        <v>0.63057591660089263</v>
      </c>
      <c r="L801" s="90"/>
      <c r="M801" s="90"/>
    </row>
    <row r="802" spans="1:13" ht="34" x14ac:dyDescent="0.2">
      <c r="A802" s="94">
        <v>2011</v>
      </c>
      <c r="B802" s="95" t="s">
        <v>66</v>
      </c>
      <c r="C802" s="95" t="s">
        <v>27</v>
      </c>
      <c r="D802" s="95" t="s">
        <v>31</v>
      </c>
      <c r="E802" s="95" t="s">
        <v>67</v>
      </c>
      <c r="F802" s="95" t="s">
        <v>67</v>
      </c>
      <c r="G802" s="96">
        <v>10144771623</v>
      </c>
      <c r="H802" s="95"/>
      <c r="I802" s="81">
        <f ca="1">IFERROR(__xludf.DUMMYFUNCTION("""COMPUTED_VALUE"""),2025)</f>
        <v>2025</v>
      </c>
      <c r="J802" s="82" t="str">
        <f ca="1">IFERROR(__xludf.DUMMYFUNCTION("""COMPUTED_VALUE"""),"Australia-New Zealand")</f>
        <v>Australia-New Zealand</v>
      </c>
      <c r="K802" s="83">
        <f ca="1">IFERROR(
  SUMIFS(
    'New Backfilled Data'!G:G,
    'New Backfilled Data'!A:A, I802,
    'New Backfilled Data'!D:D, J802,
    'New Backfilled Data'!E:E, "Online"
  ) /
  SUMIFS(
    'New Backfilled Data'!G:G,
    'New Backfilled Data'!A:A, I802,
    'New Backfilled Data'!D:D, J802
  ),
  ""
)</f>
        <v>0.58846870038718835</v>
      </c>
      <c r="L802" s="84"/>
      <c r="M802" s="84"/>
    </row>
    <row r="803" spans="1:13" ht="17" x14ac:dyDescent="0.2">
      <c r="A803" s="91">
        <v>2011</v>
      </c>
      <c r="B803" s="92" t="s">
        <v>66</v>
      </c>
      <c r="C803" s="92" t="s">
        <v>27</v>
      </c>
      <c r="D803" s="92" t="s">
        <v>31</v>
      </c>
      <c r="E803" s="92" t="s">
        <v>69</v>
      </c>
      <c r="F803" s="92" t="s">
        <v>71</v>
      </c>
      <c r="G803" s="93">
        <v>2703183491</v>
      </c>
      <c r="H803" s="92"/>
      <c r="I803" s="87">
        <f ca="1">IFERROR(__xludf.DUMMYFUNCTION("""COMPUTED_VALUE"""),2025)</f>
        <v>2025</v>
      </c>
      <c r="J803" s="88" t="str">
        <f ca="1">IFERROR(__xludf.DUMMYFUNCTION("""COMPUTED_VALUE"""),"China")</f>
        <v>China</v>
      </c>
      <c r="K803" s="89">
        <f ca="1">IFERROR(
  SUMIFS(
    'New Backfilled Data'!G:G,
    'New Backfilled Data'!A:A, I803,
    'New Backfilled Data'!D:D, J803,
    'New Backfilled Data'!E:E, "Online"
  ) /
  SUMIFS(
    'New Backfilled Data'!G:G,
    'New Backfilled Data'!A:A, I803,
    'New Backfilled Data'!D:D, J803
  ),
  ""
)</f>
        <v>0.74770910315940986</v>
      </c>
      <c r="L803" s="90"/>
      <c r="M803" s="90"/>
    </row>
    <row r="804" spans="1:13" ht="17" x14ac:dyDescent="0.2">
      <c r="A804" s="94">
        <v>2011</v>
      </c>
      <c r="B804" s="95" t="s">
        <v>66</v>
      </c>
      <c r="C804" s="95" t="s">
        <v>27</v>
      </c>
      <c r="D804" s="95" t="s">
        <v>31</v>
      </c>
      <c r="E804" s="95" t="s">
        <v>69</v>
      </c>
      <c r="F804" s="95" t="s">
        <v>70</v>
      </c>
      <c r="G804" s="96">
        <v>6804535434</v>
      </c>
      <c r="H804" s="95"/>
      <c r="I804" s="81">
        <f ca="1">IFERROR(__xludf.DUMMYFUNCTION("""COMPUTED_VALUE"""),2025)</f>
        <v>2025</v>
      </c>
      <c r="J804" s="82" t="str">
        <f ca="1">IFERROR(__xludf.DUMMYFUNCTION("""COMPUTED_VALUE"""),"Hong Kong")</f>
        <v>Hong Kong</v>
      </c>
      <c r="K804" s="83">
        <f ca="1">IFERROR(
  SUMIFS(
    'New Backfilled Data'!G:G,
    'New Backfilled Data'!A:A, I804,
    'New Backfilled Data'!D:D, J804,
    'New Backfilled Data'!E:E, "Online"
  ) /
  SUMIFS(
    'New Backfilled Data'!G:G,
    'New Backfilled Data'!A:A, I804,
    'New Backfilled Data'!D:D, J804
  ),
  ""
)</f>
        <v>0.43576099865092205</v>
      </c>
      <c r="L804" s="84"/>
      <c r="M804" s="84"/>
    </row>
    <row r="805" spans="1:13" ht="17" x14ac:dyDescent="0.2">
      <c r="A805" s="91">
        <v>2011</v>
      </c>
      <c r="B805" s="92" t="s">
        <v>66</v>
      </c>
      <c r="C805" s="92" t="s">
        <v>27</v>
      </c>
      <c r="D805" s="92" t="s">
        <v>32</v>
      </c>
      <c r="E805" s="92" t="s">
        <v>67</v>
      </c>
      <c r="F805" s="92" t="s">
        <v>67</v>
      </c>
      <c r="G805" s="93">
        <v>19933474057</v>
      </c>
      <c r="H805" s="92"/>
      <c r="I805" s="87">
        <f ca="1">IFERROR(__xludf.DUMMYFUNCTION("""COMPUTED_VALUE"""),2025)</f>
        <v>2025</v>
      </c>
      <c r="J805" s="88" t="str">
        <f ca="1">IFERROR(__xludf.DUMMYFUNCTION("""COMPUTED_VALUE"""),"India")</f>
        <v>India</v>
      </c>
      <c r="K805" s="89">
        <f ca="1">IFERROR(
  SUMIFS(
    'New Backfilled Data'!G:G,
    'New Backfilled Data'!A:A, I805,
    'New Backfilled Data'!D:D, J805,
    'New Backfilled Data'!E:E, "Online"
  ) /
  SUMIFS(
    'New Backfilled Data'!G:G,
    'New Backfilled Data'!A:A, I805,
    'New Backfilled Data'!D:D, J805
  ),
  ""
)</f>
        <v>0.57760156076528368</v>
      </c>
      <c r="L805" s="90"/>
      <c r="M805" s="90"/>
    </row>
    <row r="806" spans="1:13" ht="17" x14ac:dyDescent="0.2">
      <c r="A806" s="94">
        <v>2011</v>
      </c>
      <c r="B806" s="95" t="s">
        <v>66</v>
      </c>
      <c r="C806" s="95" t="s">
        <v>27</v>
      </c>
      <c r="D806" s="95" t="s">
        <v>32</v>
      </c>
      <c r="E806" s="95" t="s">
        <v>69</v>
      </c>
      <c r="F806" s="95" t="s">
        <v>71</v>
      </c>
      <c r="G806" s="96">
        <v>4768328181</v>
      </c>
      <c r="H806" s="95"/>
      <c r="I806" s="81">
        <f ca="1">IFERROR(__xludf.DUMMYFUNCTION("""COMPUTED_VALUE"""),2025)</f>
        <v>2025</v>
      </c>
      <c r="J806" s="82" t="str">
        <f ca="1">IFERROR(__xludf.DUMMYFUNCTION("""COMPUTED_VALUE"""),"Indonesia")</f>
        <v>Indonesia</v>
      </c>
      <c r="K806" s="83">
        <f ca="1">IFERROR(
  SUMIFS(
    'New Backfilled Data'!G:G,
    'New Backfilled Data'!A:A, I806,
    'New Backfilled Data'!D:D, J806,
    'New Backfilled Data'!E:E, "Online"
  ) /
  SUMIFS(
    'New Backfilled Data'!G:G,
    'New Backfilled Data'!A:A, I806,
    'New Backfilled Data'!D:D, J806
  ),
  ""
)</f>
        <v>0.67324830940301328</v>
      </c>
      <c r="L806" s="84"/>
      <c r="M806" s="84"/>
    </row>
    <row r="807" spans="1:13" ht="17" x14ac:dyDescent="0.2">
      <c r="A807" s="91">
        <v>2011</v>
      </c>
      <c r="B807" s="92" t="s">
        <v>66</v>
      </c>
      <c r="C807" s="92" t="s">
        <v>27</v>
      </c>
      <c r="D807" s="92" t="s">
        <v>32</v>
      </c>
      <c r="E807" s="92" t="s">
        <v>69</v>
      </c>
      <c r="F807" s="92" t="s">
        <v>70</v>
      </c>
      <c r="G807" s="93">
        <v>3321353028</v>
      </c>
      <c r="H807" s="92"/>
      <c r="I807" s="87">
        <f ca="1">IFERROR(__xludf.DUMMYFUNCTION("""COMPUTED_VALUE"""),2025)</f>
        <v>2025</v>
      </c>
      <c r="J807" s="88" t="str">
        <f ca="1">IFERROR(__xludf.DUMMYFUNCTION("""COMPUTED_VALUE"""),"Japan")</f>
        <v>Japan</v>
      </c>
      <c r="K807" s="89">
        <f ca="1">IFERROR(
  SUMIFS(
    'New Backfilled Data'!G:G,
    'New Backfilled Data'!A:A, I807,
    'New Backfilled Data'!D:D, J807,
    'New Backfilled Data'!E:E, "Online"
  ) /
  SUMIFS(
    'New Backfilled Data'!G:G,
    'New Backfilled Data'!A:A, I807,
    'New Backfilled Data'!D:D, J807
  ),
  ""
)</f>
        <v>0.57653710999176166</v>
      </c>
      <c r="L807" s="90"/>
      <c r="M807" s="90"/>
    </row>
    <row r="808" spans="1:13" ht="17" x14ac:dyDescent="0.2">
      <c r="A808" s="94">
        <v>2011</v>
      </c>
      <c r="B808" s="95" t="s">
        <v>66</v>
      </c>
      <c r="C808" s="95" t="s">
        <v>27</v>
      </c>
      <c r="D808" s="95" t="s">
        <v>33</v>
      </c>
      <c r="E808" s="95" t="s">
        <v>67</v>
      </c>
      <c r="F808" s="95" t="s">
        <v>67</v>
      </c>
      <c r="G808" s="96">
        <v>27752167029</v>
      </c>
      <c r="H808" s="95"/>
      <c r="I808" s="81">
        <f ca="1">IFERROR(__xludf.DUMMYFUNCTION("""COMPUTED_VALUE"""),2025)</f>
        <v>2025</v>
      </c>
      <c r="J808" s="82" t="str">
        <f ca="1">IFERROR(__xludf.DUMMYFUNCTION("""COMPUTED_VALUE"""),"Macau")</f>
        <v>Macau</v>
      </c>
      <c r="K808" s="83">
        <f ca="1">IFERROR(
  SUMIFS(
    'New Backfilled Data'!G:G,
    'New Backfilled Data'!A:A, I808,
    'New Backfilled Data'!D:D, J808,
    'New Backfilled Data'!E:E, "Online"
  ) /
  SUMIFS(
    'New Backfilled Data'!G:G,
    'New Backfilled Data'!A:A, I808,
    'New Backfilled Data'!D:D, J808
  ),
  ""
)</f>
        <v>0.66999999983132352</v>
      </c>
      <c r="L808" s="84"/>
      <c r="M808" s="84"/>
    </row>
    <row r="809" spans="1:13" ht="17" x14ac:dyDescent="0.2">
      <c r="A809" s="91">
        <v>2011</v>
      </c>
      <c r="B809" s="92" t="s">
        <v>66</v>
      </c>
      <c r="C809" s="92" t="s">
        <v>27</v>
      </c>
      <c r="D809" s="92" t="s">
        <v>33</v>
      </c>
      <c r="E809" s="92" t="s">
        <v>69</v>
      </c>
      <c r="F809" s="92" t="s">
        <v>71</v>
      </c>
      <c r="G809" s="93">
        <v>6862077974</v>
      </c>
      <c r="H809" s="92"/>
      <c r="I809" s="87">
        <f ca="1">IFERROR(__xludf.DUMMYFUNCTION("""COMPUTED_VALUE"""),2025)</f>
        <v>2025</v>
      </c>
      <c r="J809" s="88" t="str">
        <f ca="1">IFERROR(__xludf.DUMMYFUNCTION("""COMPUTED_VALUE"""),"Malaysia")</f>
        <v>Malaysia</v>
      </c>
      <c r="K809" s="89">
        <f ca="1">IFERROR(
  SUMIFS(
    'New Backfilled Data'!G:G,
    'New Backfilled Data'!A:A, I809,
    'New Backfilled Data'!D:D, J809,
    'New Backfilled Data'!E:E, "Online"
  ) /
  SUMIFS(
    'New Backfilled Data'!G:G,
    'New Backfilled Data'!A:A, I809,
    'New Backfilled Data'!D:D, J809
  ),
  ""
)</f>
        <v>0.75615133053838413</v>
      </c>
      <c r="L809" s="90"/>
      <c r="M809" s="90"/>
    </row>
    <row r="810" spans="1:13" ht="17" x14ac:dyDescent="0.2">
      <c r="A810" s="94">
        <v>2011</v>
      </c>
      <c r="B810" s="95" t="s">
        <v>66</v>
      </c>
      <c r="C810" s="95" t="s">
        <v>27</v>
      </c>
      <c r="D810" s="95" t="s">
        <v>33</v>
      </c>
      <c r="E810" s="95" t="s">
        <v>69</v>
      </c>
      <c r="F810" s="95" t="s">
        <v>70</v>
      </c>
      <c r="G810" s="96">
        <v>20661212513</v>
      </c>
      <c r="H810" s="95"/>
      <c r="I810" s="81">
        <f ca="1">IFERROR(__xludf.DUMMYFUNCTION("""COMPUTED_VALUE"""),2025)</f>
        <v>2025</v>
      </c>
      <c r="J810" s="82" t="str">
        <f ca="1">IFERROR(__xludf.DUMMYFUNCTION("""COMPUTED_VALUE"""),"Singapore")</f>
        <v>Singapore</v>
      </c>
      <c r="K810" s="83">
        <f ca="1">IFERROR(
  SUMIFS(
    'New Backfilled Data'!G:G,
    'New Backfilled Data'!A:A, I810,
    'New Backfilled Data'!D:D, J810,
    'New Backfilled Data'!E:E, "Online"
  ) /
  SUMIFS(
    'New Backfilled Data'!G:G,
    'New Backfilled Data'!A:A, I810,
    'New Backfilled Data'!D:D, J810
  ),
  ""
)</f>
        <v>0.69771835605347243</v>
      </c>
      <c r="L810" s="84"/>
      <c r="M810" s="84"/>
    </row>
    <row r="811" spans="1:13" ht="17" x14ac:dyDescent="0.2">
      <c r="A811" s="91">
        <v>2011</v>
      </c>
      <c r="B811" s="92" t="s">
        <v>66</v>
      </c>
      <c r="C811" s="92" t="s">
        <v>35</v>
      </c>
      <c r="D811" s="92" t="s">
        <v>34</v>
      </c>
      <c r="E811" s="92" t="s">
        <v>67</v>
      </c>
      <c r="F811" s="92" t="s">
        <v>67</v>
      </c>
      <c r="G811" s="93">
        <v>8904912568</v>
      </c>
      <c r="H811" s="92"/>
      <c r="I811" s="87">
        <f ca="1">IFERROR(__xludf.DUMMYFUNCTION("""COMPUTED_VALUE"""),2025)</f>
        <v>2025</v>
      </c>
      <c r="J811" s="88" t="str">
        <f ca="1">IFERROR(__xludf.DUMMYFUNCTION("""COMPUTED_VALUE"""),"South Korea")</f>
        <v>South Korea</v>
      </c>
      <c r="K811" s="89">
        <f ca="1">IFERROR(
  SUMIFS(
    'New Backfilled Data'!G:G,
    'New Backfilled Data'!A:A, I811,
    'New Backfilled Data'!D:D, J811,
    'New Backfilled Data'!E:E, "Online"
  ) /
  SUMIFS(
    'New Backfilled Data'!G:G,
    'New Backfilled Data'!A:A, I811,
    'New Backfilled Data'!D:D, J811
  ),
  ""
)</f>
        <v>0.60237348830528881</v>
      </c>
      <c r="L811" s="90"/>
      <c r="M811" s="90"/>
    </row>
    <row r="812" spans="1:13" ht="17" x14ac:dyDescent="0.2">
      <c r="A812" s="94">
        <v>2011</v>
      </c>
      <c r="B812" s="95" t="s">
        <v>66</v>
      </c>
      <c r="C812" s="95" t="s">
        <v>35</v>
      </c>
      <c r="D812" s="95" t="s">
        <v>34</v>
      </c>
      <c r="E812" s="95" t="s">
        <v>69</v>
      </c>
      <c r="F812" s="95" t="s">
        <v>71</v>
      </c>
      <c r="G812" s="96">
        <v>499185960</v>
      </c>
      <c r="H812" s="95"/>
      <c r="I812" s="81">
        <f ca="1">IFERROR(__xludf.DUMMYFUNCTION("""COMPUTED_VALUE"""),2025)</f>
        <v>2025</v>
      </c>
      <c r="J812" s="82" t="str">
        <f ca="1">IFERROR(__xludf.DUMMYFUNCTION("""COMPUTED_VALUE"""),"Taiwan")</f>
        <v>Taiwan</v>
      </c>
      <c r="K812" s="83">
        <f ca="1">IFERROR(
  SUMIFS(
    'New Backfilled Data'!G:G,
    'New Backfilled Data'!A:A, I812,
    'New Backfilled Data'!D:D, J812,
    'New Backfilled Data'!E:E, "Online"
  ) /
  SUMIFS(
    'New Backfilled Data'!G:G,
    'New Backfilled Data'!A:A, I812,
    'New Backfilled Data'!D:D, J812
  ),
  ""
)</f>
        <v>0.50557817291195506</v>
      </c>
      <c r="L812" s="84"/>
      <c r="M812" s="84"/>
    </row>
    <row r="813" spans="1:13" ht="17" x14ac:dyDescent="0.2">
      <c r="A813" s="91">
        <v>2011</v>
      </c>
      <c r="B813" s="92" t="s">
        <v>66</v>
      </c>
      <c r="C813" s="92" t="s">
        <v>35</v>
      </c>
      <c r="D813" s="92" t="s">
        <v>34</v>
      </c>
      <c r="E813" s="92" t="s">
        <v>69</v>
      </c>
      <c r="F813" s="92" t="s">
        <v>70</v>
      </c>
      <c r="G813" s="93">
        <v>393684937</v>
      </c>
      <c r="H813" s="92"/>
      <c r="I813" s="87">
        <f ca="1">IFERROR(__xludf.DUMMYFUNCTION("""COMPUTED_VALUE"""),2025)</f>
        <v>2025</v>
      </c>
      <c r="J813" s="88" t="str">
        <f ca="1">IFERROR(__xludf.DUMMYFUNCTION("""COMPUTED_VALUE"""),"Thailand")</f>
        <v>Thailand</v>
      </c>
      <c r="K813" s="89">
        <f ca="1">IFERROR(
  SUMIFS(
    'New Backfilled Data'!G:G,
    'New Backfilled Data'!A:A, I813,
    'New Backfilled Data'!D:D, J813,
    'New Backfilled Data'!E:E, "Online"
  ) /
  SUMIFS(
    'New Backfilled Data'!G:G,
    'New Backfilled Data'!A:A, I813,
    'New Backfilled Data'!D:D, J813
  ),
  ""
)</f>
        <v>0.65825314980548522</v>
      </c>
      <c r="L813" s="90"/>
      <c r="M813" s="90"/>
    </row>
    <row r="814" spans="1:13" ht="17" x14ac:dyDescent="0.2">
      <c r="A814" s="94">
        <v>2011</v>
      </c>
      <c r="B814" s="95" t="s">
        <v>66</v>
      </c>
      <c r="C814" s="95" t="s">
        <v>35</v>
      </c>
      <c r="D814" s="95" t="s">
        <v>36</v>
      </c>
      <c r="E814" s="95" t="s">
        <v>67</v>
      </c>
      <c r="F814" s="95" t="s">
        <v>67</v>
      </c>
      <c r="G814" s="96">
        <v>35617875698</v>
      </c>
      <c r="H814" s="95"/>
      <c r="I814" s="81">
        <f ca="1">IFERROR(__xludf.DUMMYFUNCTION("""COMPUTED_VALUE"""),2025)</f>
        <v>2025</v>
      </c>
      <c r="J814" s="82" t="str">
        <f ca="1">IFERROR(__xludf.DUMMYFUNCTION("""COMPUTED_VALUE"""),"Bulgaria")</f>
        <v>Bulgaria</v>
      </c>
      <c r="K814" s="83">
        <f ca="1">IFERROR(
  SUMIFS(
    'New Backfilled Data'!G:G,
    'New Backfilled Data'!A:A, I814,
    'New Backfilled Data'!D:D, J814,
    'New Backfilled Data'!E:E, "Online"
  ) /
  SUMIFS(
    'New Backfilled Data'!G:G,
    'New Backfilled Data'!A:A, I814,
    'New Backfilled Data'!D:D, J814
  ),
  ""
)</f>
        <v>0.52963153870163282</v>
      </c>
      <c r="L814" s="84"/>
      <c r="M814" s="84"/>
    </row>
    <row r="815" spans="1:13" ht="17" x14ac:dyDescent="0.2">
      <c r="A815" s="91">
        <v>2011</v>
      </c>
      <c r="B815" s="92" t="s">
        <v>66</v>
      </c>
      <c r="C815" s="92" t="s">
        <v>35</v>
      </c>
      <c r="D815" s="92" t="s">
        <v>36</v>
      </c>
      <c r="E815" s="92" t="s">
        <v>69</v>
      </c>
      <c r="F815" s="92" t="s">
        <v>71</v>
      </c>
      <c r="G815" s="93">
        <v>4636790379</v>
      </c>
      <c r="H815" s="92"/>
      <c r="I815" s="87">
        <f ca="1">IFERROR(__xludf.DUMMYFUNCTION("""COMPUTED_VALUE"""),2025)</f>
        <v>2025</v>
      </c>
      <c r="J815" s="88" t="str">
        <f ca="1">IFERROR(__xludf.DUMMYFUNCTION("""COMPUTED_VALUE"""),"Czech Republic")</f>
        <v>Czech Republic</v>
      </c>
      <c r="K815" s="89">
        <f ca="1">IFERROR(
  SUMIFS(
    'New Backfilled Data'!G:G,
    'New Backfilled Data'!A:A, I815,
    'New Backfilled Data'!D:D, J815,
    'New Backfilled Data'!E:E, "Online"
  ) /
  SUMIFS(
    'New Backfilled Data'!G:G,
    'New Backfilled Data'!A:A, I815,
    'New Backfilled Data'!D:D, J815
  ),
  ""
)</f>
        <v>0.68122917136523775</v>
      </c>
      <c r="L815" s="90"/>
      <c r="M815" s="90"/>
    </row>
    <row r="816" spans="1:13" ht="17" x14ac:dyDescent="0.2">
      <c r="A816" s="94">
        <v>2011</v>
      </c>
      <c r="B816" s="95" t="s">
        <v>66</v>
      </c>
      <c r="C816" s="95" t="s">
        <v>35</v>
      </c>
      <c r="D816" s="95" t="s">
        <v>36</v>
      </c>
      <c r="E816" s="95" t="s">
        <v>69</v>
      </c>
      <c r="F816" s="95" t="s">
        <v>70</v>
      </c>
      <c r="G816" s="96">
        <v>1977130802</v>
      </c>
      <c r="H816" s="95"/>
      <c r="I816" s="81">
        <f ca="1">IFERROR(__xludf.DUMMYFUNCTION("""COMPUTED_VALUE"""),2025)</f>
        <v>2025</v>
      </c>
      <c r="J816" s="82" t="str">
        <f ca="1">IFERROR(__xludf.DUMMYFUNCTION("""COMPUTED_VALUE"""),"Greece")</f>
        <v>Greece</v>
      </c>
      <c r="K816" s="83">
        <f ca="1">IFERROR(
  SUMIFS(
    'New Backfilled Data'!G:G,
    'New Backfilled Data'!A:A, I816,
    'New Backfilled Data'!D:D, J816,
    'New Backfilled Data'!E:E, "Online"
  ) /
  SUMIFS(
    'New Backfilled Data'!G:G,
    'New Backfilled Data'!A:A, I816,
    'New Backfilled Data'!D:D, J816
  ),
  ""
)</f>
        <v>0.57477112427203036</v>
      </c>
      <c r="L816" s="84"/>
      <c r="M816" s="84"/>
    </row>
    <row r="817" spans="1:13" ht="17" x14ac:dyDescent="0.2">
      <c r="A817" s="91">
        <v>2011</v>
      </c>
      <c r="B817" s="92" t="s">
        <v>66</v>
      </c>
      <c r="C817" s="92" t="s">
        <v>35</v>
      </c>
      <c r="D817" s="92" t="s">
        <v>37</v>
      </c>
      <c r="E817" s="92" t="s">
        <v>67</v>
      </c>
      <c r="F817" s="92" t="s">
        <v>67</v>
      </c>
      <c r="G817" s="93">
        <v>3932225749</v>
      </c>
      <c r="H817" s="92"/>
      <c r="I817" s="87">
        <f ca="1">IFERROR(__xludf.DUMMYFUNCTION("""COMPUTED_VALUE"""),2025)</f>
        <v>2025</v>
      </c>
      <c r="J817" s="88" t="str">
        <f ca="1">IFERROR(__xludf.DUMMYFUNCTION("""COMPUTED_VALUE"""),"Hungary")</f>
        <v>Hungary</v>
      </c>
      <c r="K817" s="89">
        <f ca="1">IFERROR(
  SUMIFS(
    'New Backfilled Data'!G:G,
    'New Backfilled Data'!A:A, I817,
    'New Backfilled Data'!D:D, J817,
    'New Backfilled Data'!E:E, "Online"
  ) /
  SUMIFS(
    'New Backfilled Data'!G:G,
    'New Backfilled Data'!A:A, I817,
    'New Backfilled Data'!D:D, J817
  ),
  ""
)</f>
        <v>0.92137318981825012</v>
      </c>
      <c r="L817" s="90"/>
      <c r="M817" s="90"/>
    </row>
    <row r="818" spans="1:13" ht="17" x14ac:dyDescent="0.2">
      <c r="A818" s="94">
        <v>2011</v>
      </c>
      <c r="B818" s="95" t="s">
        <v>66</v>
      </c>
      <c r="C818" s="95" t="s">
        <v>35</v>
      </c>
      <c r="D818" s="95" t="s">
        <v>37</v>
      </c>
      <c r="E818" s="95" t="s">
        <v>69</v>
      </c>
      <c r="F818" s="95" t="s">
        <v>71</v>
      </c>
      <c r="G818" s="96">
        <v>396453918</v>
      </c>
      <c r="H818" s="95"/>
      <c r="I818" s="81">
        <f ca="1">IFERROR(__xludf.DUMMYFUNCTION("""COMPUTED_VALUE"""),2025)</f>
        <v>2025</v>
      </c>
      <c r="J818" s="82" t="str">
        <f ca="1">IFERROR(__xludf.DUMMYFUNCTION("""COMPUTED_VALUE"""),"Poland")</f>
        <v>Poland</v>
      </c>
      <c r="K818" s="83">
        <f ca="1">IFERROR(
  SUMIFS(
    'New Backfilled Data'!G:G,
    'New Backfilled Data'!A:A, I818,
    'New Backfilled Data'!D:D, J818,
    'New Backfilled Data'!E:E, "Online"
  ) /
  SUMIFS(
    'New Backfilled Data'!G:G,
    'New Backfilled Data'!A:A, I818,
    'New Backfilled Data'!D:D, J818
  ),
  ""
)</f>
        <v>0.57304873398881306</v>
      </c>
      <c r="L818" s="84"/>
      <c r="M818" s="84"/>
    </row>
    <row r="819" spans="1:13" ht="34" x14ac:dyDescent="0.2">
      <c r="A819" s="91">
        <v>2011</v>
      </c>
      <c r="B819" s="92" t="s">
        <v>66</v>
      </c>
      <c r="C819" s="92" t="s">
        <v>35</v>
      </c>
      <c r="D819" s="92" t="s">
        <v>37</v>
      </c>
      <c r="E819" s="92" t="s">
        <v>69</v>
      </c>
      <c r="F819" s="92" t="s">
        <v>70</v>
      </c>
      <c r="G819" s="93">
        <v>739024752</v>
      </c>
      <c r="H819" s="92"/>
      <c r="I819" s="87">
        <f ca="1">IFERROR(__xludf.DUMMYFUNCTION("""COMPUTED_VALUE"""),2025)</f>
        <v>2025</v>
      </c>
      <c r="J819" s="88" t="str">
        <f ca="1">IFERROR(__xludf.DUMMYFUNCTION("""COMPUTED_VALUE"""),"Rest of Eastern Europe")</f>
        <v>Rest of Eastern Europe</v>
      </c>
      <c r="K819" s="89">
        <f ca="1">IFERROR(
  SUMIFS(
    'New Backfilled Data'!G:G,
    'New Backfilled Data'!A:A, I819,
    'New Backfilled Data'!D:D, J819,
    'New Backfilled Data'!E:E, "Online"
  ) /
  SUMIFS(
    'New Backfilled Data'!G:G,
    'New Backfilled Data'!A:A, I819,
    'New Backfilled Data'!D:D, J819
  ),
  ""
)</f>
        <v>0.66530582676580075</v>
      </c>
      <c r="L819" s="90"/>
      <c r="M819" s="90"/>
    </row>
    <row r="820" spans="1:13" ht="17" x14ac:dyDescent="0.2">
      <c r="A820" s="94">
        <v>2011</v>
      </c>
      <c r="B820" s="95" t="s">
        <v>66</v>
      </c>
      <c r="C820" s="95" t="s">
        <v>35</v>
      </c>
      <c r="D820" s="95" t="s">
        <v>38</v>
      </c>
      <c r="E820" s="95" t="s">
        <v>67</v>
      </c>
      <c r="F820" s="95" t="s">
        <v>67</v>
      </c>
      <c r="G820" s="96">
        <v>8373958686</v>
      </c>
      <c r="H820" s="95"/>
      <c r="I820" s="81">
        <f ca="1">IFERROR(__xludf.DUMMYFUNCTION("""COMPUTED_VALUE"""),2025)</f>
        <v>2025</v>
      </c>
      <c r="J820" s="82" t="str">
        <f ca="1">IFERROR(__xludf.DUMMYFUNCTION("""COMPUTED_VALUE"""),"Romania")</f>
        <v>Romania</v>
      </c>
      <c r="K820" s="83">
        <f ca="1">IFERROR(
  SUMIFS(
    'New Backfilled Data'!G:G,
    'New Backfilled Data'!A:A, I820,
    'New Backfilled Data'!D:D, J820,
    'New Backfilled Data'!E:E, "Online"
  ) /
  SUMIFS(
    'New Backfilled Data'!G:G,
    'New Backfilled Data'!A:A, I820,
    'New Backfilled Data'!D:D, J820
  ),
  ""
)</f>
        <v>0.58067246296168906</v>
      </c>
      <c r="L820" s="84"/>
      <c r="M820" s="84"/>
    </row>
    <row r="821" spans="1:13" ht="17" x14ac:dyDescent="0.2">
      <c r="A821" s="91">
        <v>2011</v>
      </c>
      <c r="B821" s="92" t="s">
        <v>66</v>
      </c>
      <c r="C821" s="92" t="s">
        <v>35</v>
      </c>
      <c r="D821" s="92" t="s">
        <v>38</v>
      </c>
      <c r="E821" s="92" t="s">
        <v>69</v>
      </c>
      <c r="F821" s="92" t="s">
        <v>71</v>
      </c>
      <c r="G821" s="93">
        <v>783783896</v>
      </c>
      <c r="H821" s="92"/>
      <c r="I821" s="87">
        <f ca="1">IFERROR(__xludf.DUMMYFUNCTION("""COMPUTED_VALUE"""),2025)</f>
        <v>2025</v>
      </c>
      <c r="J821" s="88" t="str">
        <f ca="1">IFERROR(__xludf.DUMMYFUNCTION("""COMPUTED_VALUE"""),"Russia")</f>
        <v>Russia</v>
      </c>
      <c r="K821" s="89">
        <f ca="1">IFERROR(
  SUMIFS(
    'New Backfilled Data'!G:G,
    'New Backfilled Data'!A:A, I821,
    'New Backfilled Data'!D:D, J821,
    'New Backfilled Data'!E:E, "Online"
  ) /
  SUMIFS(
    'New Backfilled Data'!G:G,
    'New Backfilled Data'!A:A, I821,
    'New Backfilled Data'!D:D, J821
  ),
  ""
)</f>
        <v>0.55759783842490029</v>
      </c>
      <c r="L821" s="90"/>
      <c r="M821" s="90"/>
    </row>
    <row r="822" spans="1:13" ht="17" x14ac:dyDescent="0.2">
      <c r="A822" s="94">
        <v>2011</v>
      </c>
      <c r="B822" s="95" t="s">
        <v>66</v>
      </c>
      <c r="C822" s="95" t="s">
        <v>35</v>
      </c>
      <c r="D822" s="95" t="s">
        <v>38</v>
      </c>
      <c r="E822" s="95" t="s">
        <v>69</v>
      </c>
      <c r="F822" s="95" t="s">
        <v>70</v>
      </c>
      <c r="G822" s="96">
        <v>651940152</v>
      </c>
      <c r="H822" s="95"/>
      <c r="I822" s="81">
        <f ca="1">IFERROR(__xludf.DUMMYFUNCTION("""COMPUTED_VALUE"""),2025)</f>
        <v>2025</v>
      </c>
      <c r="J822" s="82" t="str">
        <f ca="1">IFERROR(__xludf.DUMMYFUNCTION("""COMPUTED_VALUE"""),"Ukraine")</f>
        <v>Ukraine</v>
      </c>
      <c r="K822" s="83" t="str">
        <f ca="1">IFERROR(
  SUMIFS(
    'New Backfilled Data'!G:G,
    'New Backfilled Data'!A:A, I822,
    'New Backfilled Data'!D:D, J822,
    'New Backfilled Data'!E:E, "Online"
  ) /
  SUMIFS(
    'New Backfilled Data'!G:G,
    'New Backfilled Data'!A:A, I822,
    'New Backfilled Data'!D:D, J822
  ),
  ""
)</f>
        <v/>
      </c>
      <c r="L822" s="84"/>
      <c r="M822" s="84"/>
    </row>
    <row r="823" spans="1:13" ht="17" x14ac:dyDescent="0.2">
      <c r="A823" s="91">
        <v>2011</v>
      </c>
      <c r="B823" s="92" t="s">
        <v>66</v>
      </c>
      <c r="C823" s="92" t="s">
        <v>35</v>
      </c>
      <c r="D823" s="92" t="s">
        <v>39</v>
      </c>
      <c r="E823" s="92" t="s">
        <v>67</v>
      </c>
      <c r="F823" s="92" t="s">
        <v>67</v>
      </c>
      <c r="G823" s="93">
        <v>17779907338</v>
      </c>
      <c r="H823" s="92"/>
      <c r="I823" s="87">
        <f ca="1">IFERROR(__xludf.DUMMYFUNCTION("""COMPUTED_VALUE"""),2025)</f>
        <v>2025</v>
      </c>
      <c r="J823" s="88" t="str">
        <f ca="1">IFERROR(__xludf.DUMMYFUNCTION("""COMPUTED_VALUE"""),"France")</f>
        <v>France</v>
      </c>
      <c r="K823" s="89">
        <f ca="1">IFERROR(
  SUMIFS(
    'New Backfilled Data'!G:G,
    'New Backfilled Data'!A:A, I823,
    'New Backfilled Data'!D:D, J823,
    'New Backfilled Data'!E:E, "Online"
  ) /
  SUMIFS(
    'New Backfilled Data'!G:G,
    'New Backfilled Data'!A:A, I823,
    'New Backfilled Data'!D:D, J823
  ),
  ""
)</f>
        <v>0.55069431483851616</v>
      </c>
      <c r="L823" s="90"/>
      <c r="M823" s="90"/>
    </row>
    <row r="824" spans="1:13" ht="17" x14ac:dyDescent="0.2">
      <c r="A824" s="94">
        <v>2011</v>
      </c>
      <c r="B824" s="95" t="s">
        <v>66</v>
      </c>
      <c r="C824" s="95" t="s">
        <v>35</v>
      </c>
      <c r="D824" s="95" t="s">
        <v>39</v>
      </c>
      <c r="E824" s="95" t="s">
        <v>69</v>
      </c>
      <c r="F824" s="95" t="s">
        <v>71</v>
      </c>
      <c r="G824" s="96">
        <v>2767342480</v>
      </c>
      <c r="H824" s="95"/>
      <c r="I824" s="81">
        <f ca="1">IFERROR(__xludf.DUMMYFUNCTION("""COMPUTED_VALUE"""),2025)</f>
        <v>2025</v>
      </c>
      <c r="J824" s="82" t="str">
        <f ca="1">IFERROR(__xludf.DUMMYFUNCTION("""COMPUTED_VALUE"""),"Germany")</f>
        <v>Germany</v>
      </c>
      <c r="K824" s="83">
        <f ca="1">IFERROR(
  SUMIFS(
    'New Backfilled Data'!G:G,
    'New Backfilled Data'!A:A, I824,
    'New Backfilled Data'!D:D, J824,
    'New Backfilled Data'!E:E, "Online"
  ) /
  SUMIFS(
    'New Backfilled Data'!G:G,
    'New Backfilled Data'!A:A, I824,
    'New Backfilled Data'!D:D, J824
  ),
  ""
)</f>
        <v>0.66761056447987144</v>
      </c>
      <c r="L824" s="84"/>
      <c r="M824" s="84"/>
    </row>
    <row r="825" spans="1:13" ht="17" x14ac:dyDescent="0.2">
      <c r="A825" s="91">
        <v>2011</v>
      </c>
      <c r="B825" s="92" t="s">
        <v>66</v>
      </c>
      <c r="C825" s="92" t="s">
        <v>35</v>
      </c>
      <c r="D825" s="92" t="s">
        <v>39</v>
      </c>
      <c r="E825" s="92" t="s">
        <v>69</v>
      </c>
      <c r="F825" s="92" t="s">
        <v>70</v>
      </c>
      <c r="G825" s="93">
        <v>1472486038</v>
      </c>
      <c r="H825" s="92"/>
      <c r="I825" s="87">
        <f ca="1">IFERROR(__xludf.DUMMYFUNCTION("""COMPUTED_VALUE"""),2025)</f>
        <v>2025</v>
      </c>
      <c r="J825" s="88" t="str">
        <f ca="1">IFERROR(__xludf.DUMMYFUNCTION("""COMPUTED_VALUE"""),"Italy")</f>
        <v>Italy</v>
      </c>
      <c r="K825" s="89">
        <f ca="1">IFERROR(
  SUMIFS(
    'New Backfilled Data'!G:G,
    'New Backfilled Data'!A:A, I825,
    'New Backfilled Data'!D:D, J825,
    'New Backfilled Data'!E:E, "Online"
  ) /
  SUMIFS(
    'New Backfilled Data'!G:G,
    'New Backfilled Data'!A:A, I825,
    'New Backfilled Data'!D:D, J825
  ),
  ""
)</f>
        <v>0.57542876324468517</v>
      </c>
      <c r="L825" s="90"/>
      <c r="M825" s="90"/>
    </row>
    <row r="826" spans="1:13" ht="17" x14ac:dyDescent="0.2">
      <c r="A826" s="94">
        <v>2011</v>
      </c>
      <c r="B826" s="95" t="s">
        <v>66</v>
      </c>
      <c r="C826" s="95" t="s">
        <v>41</v>
      </c>
      <c r="D826" s="95" t="s">
        <v>40</v>
      </c>
      <c r="E826" s="95" t="s">
        <v>67</v>
      </c>
      <c r="F826" s="95" t="s">
        <v>67</v>
      </c>
      <c r="G826" s="96">
        <v>5817666121</v>
      </c>
      <c r="H826" s="95"/>
      <c r="I826" s="81">
        <f ca="1">IFERROR(__xludf.DUMMYFUNCTION("""COMPUTED_VALUE"""),2025)</f>
        <v>2025</v>
      </c>
      <c r="J826" s="82" t="str">
        <f ca="1">IFERROR(__xludf.DUMMYFUNCTION("""COMPUTED_VALUE"""),"Rest of Europe")</f>
        <v>Rest of Europe</v>
      </c>
      <c r="K826" s="83">
        <f ca="1">IFERROR(
  SUMIFS(
    'New Backfilled Data'!G:G,
    'New Backfilled Data'!A:A, I826,
    'New Backfilled Data'!D:D, J826,
    'New Backfilled Data'!E:E, "Online"
  ) /
  SUMIFS(
    'New Backfilled Data'!G:G,
    'New Backfilled Data'!A:A, I826,
    'New Backfilled Data'!D:D, J826
  ),
  ""
)</f>
        <v>0.69466118154947287</v>
      </c>
      <c r="L826" s="84"/>
      <c r="M826" s="84"/>
    </row>
    <row r="827" spans="1:13" ht="17" x14ac:dyDescent="0.2">
      <c r="A827" s="91">
        <v>2011</v>
      </c>
      <c r="B827" s="92" t="s">
        <v>66</v>
      </c>
      <c r="C827" s="92" t="s">
        <v>41</v>
      </c>
      <c r="D827" s="92" t="s">
        <v>40</v>
      </c>
      <c r="E827" s="92" t="s">
        <v>69</v>
      </c>
      <c r="F827" s="92" t="s">
        <v>71</v>
      </c>
      <c r="G827" s="93">
        <v>262927050</v>
      </c>
      <c r="H827" s="92"/>
      <c r="I827" s="87">
        <f ca="1">IFERROR(__xludf.DUMMYFUNCTION("""COMPUTED_VALUE"""),2025)</f>
        <v>2025</v>
      </c>
      <c r="J827" s="88" t="str">
        <f ca="1">IFERROR(__xludf.DUMMYFUNCTION("""COMPUTED_VALUE"""),"Scandinavia")</f>
        <v>Scandinavia</v>
      </c>
      <c r="K827" s="89">
        <f ca="1">IFERROR(
  SUMIFS(
    'New Backfilled Data'!G:G,
    'New Backfilled Data'!A:A, I827,
    'New Backfilled Data'!D:D, J827,
    'New Backfilled Data'!E:E, "Online"
  ) /
  SUMIFS(
    'New Backfilled Data'!G:G,
    'New Backfilled Data'!A:A, I827,
    'New Backfilled Data'!D:D, J827
  ),
  ""
)</f>
        <v>0.79465430478282428</v>
      </c>
      <c r="L827" s="90"/>
      <c r="M827" s="90"/>
    </row>
    <row r="828" spans="1:13" ht="17" x14ac:dyDescent="0.2">
      <c r="A828" s="94">
        <v>2011</v>
      </c>
      <c r="B828" s="95" t="s">
        <v>66</v>
      </c>
      <c r="C828" s="95" t="s">
        <v>41</v>
      </c>
      <c r="D828" s="95" t="s">
        <v>40</v>
      </c>
      <c r="E828" s="95" t="s">
        <v>69</v>
      </c>
      <c r="F828" s="95" t="s">
        <v>70</v>
      </c>
      <c r="G828" s="96">
        <v>232353495</v>
      </c>
      <c r="H828" s="95"/>
      <c r="I828" s="81">
        <f ca="1">IFERROR(__xludf.DUMMYFUNCTION("""COMPUTED_VALUE"""),2025)</f>
        <v>2025</v>
      </c>
      <c r="J828" s="82" t="str">
        <f ca="1">IFERROR(__xludf.DUMMYFUNCTION("""COMPUTED_VALUE"""),"Spain")</f>
        <v>Spain</v>
      </c>
      <c r="K828" s="83">
        <f ca="1">IFERROR(
  SUMIFS(
    'New Backfilled Data'!G:G,
    'New Backfilled Data'!A:A, I828,
    'New Backfilled Data'!D:D, J828,
    'New Backfilled Data'!E:E, "Online"
  ) /
  SUMIFS(
    'New Backfilled Data'!G:G,
    'New Backfilled Data'!A:A, I828,
    'New Backfilled Data'!D:D, J828
  ),
  ""
)</f>
        <v>0.62030228716070857</v>
      </c>
      <c r="L828" s="84"/>
      <c r="M828" s="84"/>
    </row>
    <row r="829" spans="1:13" ht="17" x14ac:dyDescent="0.2">
      <c r="A829" s="91">
        <v>2011</v>
      </c>
      <c r="B829" s="92" t="s">
        <v>66</v>
      </c>
      <c r="C829" s="92" t="s">
        <v>41</v>
      </c>
      <c r="D829" s="92" t="s">
        <v>42</v>
      </c>
      <c r="E829" s="92" t="s">
        <v>67</v>
      </c>
      <c r="F829" s="92" t="s">
        <v>67</v>
      </c>
      <c r="G829" s="93">
        <v>5492586540</v>
      </c>
      <c r="H829" s="92"/>
      <c r="I829" s="87">
        <f ca="1">IFERROR(__xludf.DUMMYFUNCTION("""COMPUTED_VALUE"""),2025)</f>
        <v>2025</v>
      </c>
      <c r="J829" s="88" t="str">
        <f ca="1">IFERROR(__xludf.DUMMYFUNCTION("""COMPUTED_VALUE"""),"U.K.")</f>
        <v>U.K.</v>
      </c>
      <c r="K829" s="89">
        <f ca="1">IFERROR(
  SUMIFS(
    'New Backfilled Data'!G:G,
    'New Backfilled Data'!A:A, I829,
    'New Backfilled Data'!D:D, J829,
    'New Backfilled Data'!E:E, "Online"
  ) /
  SUMIFS(
    'New Backfilled Data'!G:G,
    'New Backfilled Data'!A:A, I829,
    'New Backfilled Data'!D:D, J829
  ),
  ""
)</f>
        <v>0.83937113087286896</v>
      </c>
      <c r="L829" s="90"/>
      <c r="M829" s="90"/>
    </row>
    <row r="830" spans="1:13" ht="17" x14ac:dyDescent="0.2">
      <c r="A830" s="94">
        <v>2011</v>
      </c>
      <c r="B830" s="95" t="s">
        <v>66</v>
      </c>
      <c r="C830" s="95" t="s">
        <v>41</v>
      </c>
      <c r="D830" s="95" t="s">
        <v>42</v>
      </c>
      <c r="E830" s="95" t="s">
        <v>69</v>
      </c>
      <c r="F830" s="95" t="s">
        <v>71</v>
      </c>
      <c r="G830" s="96">
        <v>464030722</v>
      </c>
      <c r="H830" s="95"/>
      <c r="I830" s="81">
        <f ca="1">IFERROR(__xludf.DUMMYFUNCTION("""COMPUTED_VALUE"""),2025)</f>
        <v>2025</v>
      </c>
      <c r="J830" s="82" t="str">
        <f ca="1">IFERROR(__xludf.DUMMYFUNCTION("""COMPUTED_VALUE"""),"Argentina")</f>
        <v>Argentina</v>
      </c>
      <c r="K830" s="83">
        <f ca="1">IFERROR(
  SUMIFS(
    'New Backfilled Data'!G:G,
    'New Backfilled Data'!A:A, I830,
    'New Backfilled Data'!D:D, J830,
    'New Backfilled Data'!E:E, "Online"
  ) /
  SUMIFS(
    'New Backfilled Data'!G:G,
    'New Backfilled Data'!A:A, I830,
    'New Backfilled Data'!D:D, J830
  ),
  ""
)</f>
        <v>0.45374212357863236</v>
      </c>
      <c r="L830" s="84"/>
      <c r="M830" s="84"/>
    </row>
    <row r="831" spans="1:13" ht="17" x14ac:dyDescent="0.2">
      <c r="A831" s="91">
        <v>2011</v>
      </c>
      <c r="B831" s="92" t="s">
        <v>66</v>
      </c>
      <c r="C831" s="92" t="s">
        <v>41</v>
      </c>
      <c r="D831" s="92" t="s">
        <v>42</v>
      </c>
      <c r="E831" s="92" t="s">
        <v>69</v>
      </c>
      <c r="F831" s="92" t="s">
        <v>70</v>
      </c>
      <c r="G831" s="93">
        <v>685959441</v>
      </c>
      <c r="H831" s="92"/>
      <c r="I831" s="87">
        <f ca="1">IFERROR(__xludf.DUMMYFUNCTION("""COMPUTED_VALUE"""),2025)</f>
        <v>2025</v>
      </c>
      <c r="J831" s="88" t="str">
        <f ca="1">IFERROR(__xludf.DUMMYFUNCTION("""COMPUTED_VALUE"""),"Brazil")</f>
        <v>Brazil</v>
      </c>
      <c r="K831" s="89">
        <f ca="1">IFERROR(
  SUMIFS(
    'New Backfilled Data'!G:G,
    'New Backfilled Data'!A:A, I831,
    'New Backfilled Data'!D:D, J831,
    'New Backfilled Data'!E:E, "Online"
  ) /
  SUMIFS(
    'New Backfilled Data'!G:G,
    'New Backfilled Data'!A:A, I831,
    'New Backfilled Data'!D:D, J831
  ),
  ""
)</f>
        <v>0.51379344413434092</v>
      </c>
      <c r="L831" s="90"/>
      <c r="M831" s="90"/>
    </row>
    <row r="832" spans="1:13" ht="17" x14ac:dyDescent="0.2">
      <c r="A832" s="94">
        <v>2011</v>
      </c>
      <c r="B832" s="95" t="s">
        <v>66</v>
      </c>
      <c r="C832" s="95" t="s">
        <v>41</v>
      </c>
      <c r="D832" s="95" t="s">
        <v>43</v>
      </c>
      <c r="E832" s="95" t="s">
        <v>67</v>
      </c>
      <c r="F832" s="95" t="s">
        <v>67</v>
      </c>
      <c r="G832" s="96">
        <v>6899632532</v>
      </c>
      <c r="H832" s="95"/>
      <c r="I832" s="81">
        <f ca="1">IFERROR(__xludf.DUMMYFUNCTION("""COMPUTED_VALUE"""),2025)</f>
        <v>2025</v>
      </c>
      <c r="J832" s="82" t="str">
        <f ca="1">IFERROR(__xludf.DUMMYFUNCTION("""COMPUTED_VALUE"""),"Chile")</f>
        <v>Chile</v>
      </c>
      <c r="K832" s="83">
        <f ca="1">IFERROR(
  SUMIFS(
    'New Backfilled Data'!G:G,
    'New Backfilled Data'!A:A, I832,
    'New Backfilled Data'!D:D, J832,
    'New Backfilled Data'!E:E, "Online"
  ) /
  SUMIFS(
    'New Backfilled Data'!G:G,
    'New Backfilled Data'!A:A, I832,
    'New Backfilled Data'!D:D, J832
  ),
  ""
)</f>
        <v>0.54727380081316657</v>
      </c>
      <c r="L832" s="84"/>
      <c r="M832" s="84"/>
    </row>
    <row r="833" spans="1:13" ht="17" x14ac:dyDescent="0.2">
      <c r="A833" s="91">
        <v>2011</v>
      </c>
      <c r="B833" s="92" t="s">
        <v>66</v>
      </c>
      <c r="C833" s="92" t="s">
        <v>41</v>
      </c>
      <c r="D833" s="92" t="s">
        <v>43</v>
      </c>
      <c r="E833" s="92" t="s">
        <v>69</v>
      </c>
      <c r="F833" s="92" t="s">
        <v>71</v>
      </c>
      <c r="G833" s="93">
        <v>436190883</v>
      </c>
      <c r="H833" s="92"/>
      <c r="I833" s="87">
        <f ca="1">IFERROR(__xludf.DUMMYFUNCTION("""COMPUTED_VALUE"""),2025)</f>
        <v>2025</v>
      </c>
      <c r="J833" s="88" t="str">
        <f ca="1">IFERROR(__xludf.DUMMYFUNCTION("""COMPUTED_VALUE"""),"Colombia")</f>
        <v>Colombia</v>
      </c>
      <c r="K833" s="89">
        <f ca="1">IFERROR(
  SUMIFS(
    'New Backfilled Data'!G:G,
    'New Backfilled Data'!A:A, I833,
    'New Backfilled Data'!D:D, J833,
    'New Backfilled Data'!E:E, "Online"
  ) /
  SUMIFS(
    'New Backfilled Data'!G:G,
    'New Backfilled Data'!A:A, I833,
    'New Backfilled Data'!D:D, J833
  ),
  ""
)</f>
        <v>0.50031199823921557</v>
      </c>
      <c r="L833" s="90"/>
      <c r="M833" s="90"/>
    </row>
    <row r="834" spans="1:13" ht="17" x14ac:dyDescent="0.2">
      <c r="A834" s="94">
        <v>2011</v>
      </c>
      <c r="B834" s="95" t="s">
        <v>66</v>
      </c>
      <c r="C834" s="95" t="s">
        <v>41</v>
      </c>
      <c r="D834" s="95" t="s">
        <v>43</v>
      </c>
      <c r="E834" s="95" t="s">
        <v>69</v>
      </c>
      <c r="F834" s="95" t="s">
        <v>70</v>
      </c>
      <c r="G834" s="96">
        <v>488561810</v>
      </c>
      <c r="H834" s="95"/>
      <c r="I834" s="81">
        <f ca="1">IFERROR(__xludf.DUMMYFUNCTION("""COMPUTED_VALUE"""),2025)</f>
        <v>2025</v>
      </c>
      <c r="J834" s="82" t="str">
        <f ca="1">IFERROR(__xludf.DUMMYFUNCTION("""COMPUTED_VALUE"""),"Mexico")</f>
        <v>Mexico</v>
      </c>
      <c r="K834" s="83">
        <f ca="1">IFERROR(
  SUMIFS(
    'New Backfilled Data'!G:G,
    'New Backfilled Data'!A:A, I834,
    'New Backfilled Data'!D:D, J834,
    'New Backfilled Data'!E:E, "Online"
  ) /
  SUMIFS(
    'New Backfilled Data'!G:G,
    'New Backfilled Data'!A:A, I834,
    'New Backfilled Data'!D:D, J834
  ),
  ""
)</f>
        <v>0.52394834236246546</v>
      </c>
      <c r="L834" s="84"/>
      <c r="M834" s="84"/>
    </row>
    <row r="835" spans="1:13" ht="17" x14ac:dyDescent="0.2">
      <c r="A835" s="91">
        <v>2011</v>
      </c>
      <c r="B835" s="92" t="s">
        <v>66</v>
      </c>
      <c r="C835" s="92" t="s">
        <v>41</v>
      </c>
      <c r="D835" s="92" t="s">
        <v>44</v>
      </c>
      <c r="E835" s="92" t="s">
        <v>67</v>
      </c>
      <c r="F835" s="92" t="s">
        <v>67</v>
      </c>
      <c r="G835" s="93">
        <v>8283814364</v>
      </c>
      <c r="H835" s="92"/>
      <c r="I835" s="87">
        <f ca="1">IFERROR(__xludf.DUMMYFUNCTION("""COMPUTED_VALUE"""),2025)</f>
        <v>2025</v>
      </c>
      <c r="J835" s="88" t="str">
        <f ca="1">IFERROR(__xludf.DUMMYFUNCTION("""COMPUTED_VALUE"""),"Egypt")</f>
        <v>Egypt</v>
      </c>
      <c r="K835" s="89">
        <f ca="1">IFERROR(
  SUMIFS(
    'New Backfilled Data'!G:G,
    'New Backfilled Data'!A:A, I835,
    'New Backfilled Data'!D:D, J835,
    'New Backfilled Data'!E:E, "Online"
  ) /
  SUMIFS(
    'New Backfilled Data'!G:G,
    'New Backfilled Data'!A:A, I835,
    'New Backfilled Data'!D:D, J835
  ),
  ""
)</f>
        <v>0.40792741341633859</v>
      </c>
      <c r="L835" s="90"/>
      <c r="M835" s="90"/>
    </row>
    <row r="836" spans="1:13" ht="17" x14ac:dyDescent="0.2">
      <c r="A836" s="94">
        <v>2011</v>
      </c>
      <c r="B836" s="95" t="s">
        <v>66</v>
      </c>
      <c r="C836" s="95" t="s">
        <v>41</v>
      </c>
      <c r="D836" s="95" t="s">
        <v>44</v>
      </c>
      <c r="E836" s="95" t="s">
        <v>69</v>
      </c>
      <c r="F836" s="95" t="s">
        <v>71</v>
      </c>
      <c r="G836" s="96">
        <v>792176611</v>
      </c>
      <c r="H836" s="95"/>
      <c r="I836" s="81">
        <f ca="1">IFERROR(__xludf.DUMMYFUNCTION("""COMPUTED_VALUE"""),2025)</f>
        <v>2025</v>
      </c>
      <c r="J836" s="82" t="str">
        <f ca="1">IFERROR(__xludf.DUMMYFUNCTION("""COMPUTED_VALUE"""),"Qatar")</f>
        <v>Qatar</v>
      </c>
      <c r="K836" s="83">
        <f ca="1">IFERROR(
  SUMIFS(
    'New Backfilled Data'!G:G,
    'New Backfilled Data'!A:A, I836,
    'New Backfilled Data'!D:D, J836,
    'New Backfilled Data'!E:E, "Online"
  ) /
  SUMIFS(
    'New Backfilled Data'!G:G,
    'New Backfilled Data'!A:A, I836,
    'New Backfilled Data'!D:D, J836
  ),
  ""
)</f>
        <v>0.46069948738095995</v>
      </c>
      <c r="L836" s="84"/>
      <c r="M836" s="84"/>
    </row>
    <row r="837" spans="1:13" ht="34" x14ac:dyDescent="0.2">
      <c r="A837" s="91">
        <v>2011</v>
      </c>
      <c r="B837" s="92" t="s">
        <v>66</v>
      </c>
      <c r="C837" s="92" t="s">
        <v>41</v>
      </c>
      <c r="D837" s="92" t="s">
        <v>44</v>
      </c>
      <c r="E837" s="92" t="s">
        <v>69</v>
      </c>
      <c r="F837" s="92" t="s">
        <v>70</v>
      </c>
      <c r="G837" s="93">
        <v>592002270</v>
      </c>
      <c r="H837" s="92"/>
      <c r="I837" s="87">
        <f ca="1">IFERROR(__xludf.DUMMYFUNCTION("""COMPUTED_VALUE"""),2025)</f>
        <v>2025</v>
      </c>
      <c r="J837" s="88" t="str">
        <f ca="1">IFERROR(__xludf.DUMMYFUNCTION("""COMPUTED_VALUE"""),"Rest of Middle East")</f>
        <v>Rest of Middle East</v>
      </c>
      <c r="K837" s="89">
        <f ca="1">IFERROR(
  SUMIFS(
    'New Backfilled Data'!G:G,
    'New Backfilled Data'!A:A, I837,
    'New Backfilled Data'!D:D, J837,
    'New Backfilled Data'!E:E, "Online"
  ) /
  SUMIFS(
    'New Backfilled Data'!G:G,
    'New Backfilled Data'!A:A, I837,
    'New Backfilled Data'!D:D, J837
  ),
  ""
)</f>
        <v>0.44801423237726129</v>
      </c>
      <c r="L837" s="90"/>
      <c r="M837" s="90"/>
    </row>
    <row r="838" spans="1:13" ht="17" x14ac:dyDescent="0.2">
      <c r="A838" s="94">
        <v>2011</v>
      </c>
      <c r="B838" s="95" t="s">
        <v>66</v>
      </c>
      <c r="C838" s="95" t="s">
        <v>41</v>
      </c>
      <c r="D838" s="95" t="s">
        <v>45</v>
      </c>
      <c r="E838" s="95" t="s">
        <v>67</v>
      </c>
      <c r="F838" s="95" t="s">
        <v>67</v>
      </c>
      <c r="G838" s="96">
        <v>20855350280</v>
      </c>
      <c r="H838" s="95"/>
      <c r="I838" s="81">
        <f ca="1">IFERROR(__xludf.DUMMYFUNCTION("""COMPUTED_VALUE"""),2025)</f>
        <v>2025</v>
      </c>
      <c r="J838" s="82" t="str">
        <f ca="1">IFERROR(__xludf.DUMMYFUNCTION("""COMPUTED_VALUE"""),"Saudi Arabia")</f>
        <v>Saudi Arabia</v>
      </c>
      <c r="K838" s="83">
        <f ca="1">IFERROR(
  SUMIFS(
    'New Backfilled Data'!G:G,
    'New Backfilled Data'!A:A, I838,
    'New Backfilled Data'!D:D, J838,
    'New Backfilled Data'!E:E, "Online"
  ) /
  SUMIFS(
    'New Backfilled Data'!G:G,
    'New Backfilled Data'!A:A, I838,
    'New Backfilled Data'!D:D, J838
  ),
  ""
)</f>
        <v>0.53411287519326978</v>
      </c>
      <c r="L838" s="84"/>
      <c r="M838" s="84"/>
    </row>
    <row r="839" spans="1:13" ht="17" x14ac:dyDescent="0.2">
      <c r="A839" s="91">
        <v>2011</v>
      </c>
      <c r="B839" s="92" t="s">
        <v>66</v>
      </c>
      <c r="C839" s="92" t="s">
        <v>41</v>
      </c>
      <c r="D839" s="92" t="s">
        <v>45</v>
      </c>
      <c r="E839" s="92" t="s">
        <v>69</v>
      </c>
      <c r="F839" s="92" t="s">
        <v>71</v>
      </c>
      <c r="G839" s="93">
        <v>2202828645</v>
      </c>
      <c r="H839" s="92"/>
      <c r="I839" s="87">
        <f ca="1">IFERROR(__xludf.DUMMYFUNCTION("""COMPUTED_VALUE"""),2025)</f>
        <v>2025</v>
      </c>
      <c r="J839" s="88" t="str">
        <f ca="1">IFERROR(__xludf.DUMMYFUNCTION("""COMPUTED_VALUE"""),"U.A.E.")</f>
        <v>U.A.E.</v>
      </c>
      <c r="K839" s="89">
        <f ca="1">IFERROR(
  SUMIFS(
    'New Backfilled Data'!G:G,
    'New Backfilled Data'!A:A, I839,
    'New Backfilled Data'!D:D, J839,
    'New Backfilled Data'!E:E, "Online"
  ) /
  SUMIFS(
    'New Backfilled Data'!G:G,
    'New Backfilled Data'!A:A, I839,
    'New Backfilled Data'!D:D, J839
  ),
  ""
)</f>
        <v>0.51574524270933686</v>
      </c>
      <c r="L839" s="90"/>
      <c r="M839" s="90"/>
    </row>
    <row r="840" spans="1:13" ht="17" x14ac:dyDescent="0.2">
      <c r="A840" s="94">
        <v>2011</v>
      </c>
      <c r="B840" s="95" t="s">
        <v>66</v>
      </c>
      <c r="C840" s="95" t="s">
        <v>41</v>
      </c>
      <c r="D840" s="95" t="s">
        <v>45</v>
      </c>
      <c r="E840" s="95" t="s">
        <v>69</v>
      </c>
      <c r="F840" s="95" t="s">
        <v>70</v>
      </c>
      <c r="G840" s="96">
        <v>2957335569</v>
      </c>
      <c r="H840" s="95"/>
      <c r="I840" s="81">
        <f ca="1">IFERROR(__xludf.DUMMYFUNCTION("""COMPUTED_VALUE"""),2025)</f>
        <v>2025</v>
      </c>
      <c r="J840" s="82" t="str">
        <f ca="1">IFERROR(__xludf.DUMMYFUNCTION("""COMPUTED_VALUE"""),"Canada")</f>
        <v>Canada</v>
      </c>
      <c r="K840" s="83">
        <f ca="1">IFERROR(
  SUMIFS(
    'New Backfilled Data'!G:G,
    'New Backfilled Data'!A:A, I840,
    'New Backfilled Data'!D:D, J840,
    'New Backfilled Data'!E:E, "Online"
  ) /
  SUMIFS(
    'New Backfilled Data'!G:G,
    'New Backfilled Data'!A:A, I840,
    'New Backfilled Data'!D:D, J840
  ),
  ""
)</f>
        <v>0.61985269908670104</v>
      </c>
      <c r="L840" s="84"/>
      <c r="M840" s="84"/>
    </row>
    <row r="841" spans="1:13" ht="17" x14ac:dyDescent="0.2">
      <c r="A841" s="91">
        <v>2011</v>
      </c>
      <c r="B841" s="92" t="s">
        <v>66</v>
      </c>
      <c r="C841" s="92" t="s">
        <v>47</v>
      </c>
      <c r="D841" s="92" t="s">
        <v>46</v>
      </c>
      <c r="E841" s="92" t="s">
        <v>67</v>
      </c>
      <c r="F841" s="92" t="s">
        <v>67</v>
      </c>
      <c r="G841" s="93">
        <v>21276656031</v>
      </c>
      <c r="H841" s="92"/>
      <c r="I841" s="87">
        <f ca="1">IFERROR(__xludf.DUMMYFUNCTION("""COMPUTED_VALUE"""),2025)</f>
        <v>2025</v>
      </c>
      <c r="J841" s="88" t="str">
        <f ca="1">IFERROR(__xludf.DUMMYFUNCTION("""COMPUTED_VALUE"""),"U.S.")</f>
        <v>U.S.</v>
      </c>
      <c r="K841" s="89">
        <f ca="1">IFERROR(
  SUMIFS(
    'New Backfilled Data'!G:G,
    'New Backfilled Data'!A:A, I841,
    'New Backfilled Data'!D:D, J841,
    'New Backfilled Data'!E:E, "Online"
  ) /
  SUMIFS(
    'New Backfilled Data'!G:G,
    'New Backfilled Data'!A:A, I841,
    'New Backfilled Data'!D:D, J841
  ),
  ""
)</f>
        <v>0.63115687263051723</v>
      </c>
      <c r="L841" s="90"/>
      <c r="M841" s="90"/>
    </row>
    <row r="842" spans="1:13" ht="34" x14ac:dyDescent="0.2">
      <c r="A842" s="94">
        <v>2011</v>
      </c>
      <c r="B842" s="95" t="s">
        <v>66</v>
      </c>
      <c r="C842" s="95" t="s">
        <v>47</v>
      </c>
      <c r="D842" s="95" t="s">
        <v>46</v>
      </c>
      <c r="E842" s="95" t="s">
        <v>69</v>
      </c>
      <c r="F842" s="95" t="s">
        <v>71</v>
      </c>
      <c r="G842" s="96">
        <v>3473627739</v>
      </c>
      <c r="H842" s="95"/>
      <c r="I842" s="81">
        <f ca="1">IFERROR(__xludf.DUMMYFUNCTION("""COMPUTED_VALUE"""),2026)</f>
        <v>2026</v>
      </c>
      <c r="J842" s="82" t="str">
        <f ca="1">IFERROR(__xludf.DUMMYFUNCTION("""COMPUTED_VALUE"""),"Australia-New Zealand")</f>
        <v>Australia-New Zealand</v>
      </c>
      <c r="K842" s="83">
        <f ca="1">IFERROR(
  SUMIFS(
    'New Backfilled Data'!G:G,
    'New Backfilled Data'!A:A, I842,
    'New Backfilled Data'!D:D, J842,
    'New Backfilled Data'!E:E, "Online"
  ) /
  SUMIFS(
    'New Backfilled Data'!G:G,
    'New Backfilled Data'!A:A, I842,
    'New Backfilled Data'!D:D, J842
  ),
  ""
)</f>
        <v>0.59277802920432632</v>
      </c>
      <c r="L842" s="84"/>
      <c r="M842" s="84"/>
    </row>
    <row r="843" spans="1:13" ht="17" x14ac:dyDescent="0.2">
      <c r="A843" s="91">
        <v>2011</v>
      </c>
      <c r="B843" s="92" t="s">
        <v>66</v>
      </c>
      <c r="C843" s="92" t="s">
        <v>47</v>
      </c>
      <c r="D843" s="92" t="s">
        <v>46</v>
      </c>
      <c r="E843" s="92" t="s">
        <v>69</v>
      </c>
      <c r="F843" s="92" t="s">
        <v>70</v>
      </c>
      <c r="G843" s="93">
        <v>8519411566</v>
      </c>
      <c r="H843" s="92"/>
      <c r="I843" s="87">
        <f ca="1">IFERROR(__xludf.DUMMYFUNCTION("""COMPUTED_VALUE"""),2026)</f>
        <v>2026</v>
      </c>
      <c r="J843" s="88" t="str">
        <f ca="1">IFERROR(__xludf.DUMMYFUNCTION("""COMPUTED_VALUE"""),"China")</f>
        <v>China</v>
      </c>
      <c r="K843" s="89">
        <f ca="1">IFERROR(
  SUMIFS(
    'New Backfilled Data'!G:G,
    'New Backfilled Data'!A:A, I843,
    'New Backfilled Data'!D:D, J843,
    'New Backfilled Data'!E:E, "Online"
  ) /
  SUMIFS(
    'New Backfilled Data'!G:G,
    'New Backfilled Data'!A:A, I843,
    'New Backfilled Data'!D:D, J843
  ),
  ""
)</f>
        <v>0.77362457791561223</v>
      </c>
      <c r="L843" s="90"/>
      <c r="M843" s="90"/>
    </row>
    <row r="844" spans="1:13" ht="17" x14ac:dyDescent="0.2">
      <c r="A844" s="94">
        <v>2011</v>
      </c>
      <c r="B844" s="95" t="s">
        <v>66</v>
      </c>
      <c r="C844" s="95" t="s">
        <v>47</v>
      </c>
      <c r="D844" s="95" t="s">
        <v>48</v>
      </c>
      <c r="E844" s="95" t="s">
        <v>72</v>
      </c>
      <c r="F844" s="95" t="s">
        <v>73</v>
      </c>
      <c r="G844" s="96">
        <v>80354494244</v>
      </c>
      <c r="H844" s="95"/>
      <c r="I844" s="81">
        <f ca="1">IFERROR(__xludf.DUMMYFUNCTION("""COMPUTED_VALUE"""),2026)</f>
        <v>2026</v>
      </c>
      <c r="J844" s="82" t="str">
        <f ca="1">IFERROR(__xludf.DUMMYFUNCTION("""COMPUTED_VALUE"""),"Hong Kong")</f>
        <v>Hong Kong</v>
      </c>
      <c r="K844" s="83">
        <f ca="1">IFERROR(
  SUMIFS(
    'New Backfilled Data'!G:G,
    'New Backfilled Data'!A:A, I844,
    'New Backfilled Data'!D:D, J844,
    'New Backfilled Data'!E:E, "Online"
  ) /
  SUMIFS(
    'New Backfilled Data'!G:G,
    'New Backfilled Data'!A:A, I844,
    'New Backfilled Data'!D:D, J844
  ),
  ""
)</f>
        <v>0.46435598781561954</v>
      </c>
      <c r="L844" s="84"/>
      <c r="M844" s="84"/>
    </row>
    <row r="845" spans="1:13" ht="17" x14ac:dyDescent="0.2">
      <c r="A845" s="91">
        <v>2011</v>
      </c>
      <c r="B845" s="92" t="s">
        <v>66</v>
      </c>
      <c r="C845" s="92" t="s">
        <v>47</v>
      </c>
      <c r="D845" s="92" t="s">
        <v>48</v>
      </c>
      <c r="E845" s="92" t="s">
        <v>67</v>
      </c>
      <c r="F845" s="92" t="s">
        <v>74</v>
      </c>
      <c r="G845" s="93">
        <v>87577196761</v>
      </c>
      <c r="H845" s="92"/>
      <c r="I845" s="87">
        <f ca="1">IFERROR(__xludf.DUMMYFUNCTION("""COMPUTED_VALUE"""),2026)</f>
        <v>2026</v>
      </c>
      <c r="J845" s="88" t="str">
        <f ca="1">IFERROR(__xludf.DUMMYFUNCTION("""COMPUTED_VALUE"""),"India")</f>
        <v>India</v>
      </c>
      <c r="K845" s="89">
        <f ca="1">IFERROR(
  SUMIFS(
    'New Backfilled Data'!G:G,
    'New Backfilled Data'!A:A, I845,
    'New Backfilled Data'!D:D, J845,
    'New Backfilled Data'!E:E, "Online"
  ) /
  SUMIFS(
    'New Backfilled Data'!G:G,
    'New Backfilled Data'!A:A, I845,
    'New Backfilled Data'!D:D, J845
  ),
  ""
)</f>
        <v>0.59202985095336391</v>
      </c>
      <c r="L845" s="90"/>
      <c r="M845" s="90"/>
    </row>
    <row r="846" spans="1:13" ht="17" x14ac:dyDescent="0.2">
      <c r="A846" s="94">
        <v>2011</v>
      </c>
      <c r="B846" s="95" t="s">
        <v>66</v>
      </c>
      <c r="C846" s="95" t="s">
        <v>47</v>
      </c>
      <c r="D846" s="95" t="s">
        <v>48</v>
      </c>
      <c r="E846" s="95" t="s">
        <v>69</v>
      </c>
      <c r="F846" s="95" t="s">
        <v>71</v>
      </c>
      <c r="G846" s="96">
        <v>40352794300</v>
      </c>
      <c r="H846" s="95"/>
      <c r="I846" s="81">
        <f ca="1">IFERROR(__xludf.DUMMYFUNCTION("""COMPUTED_VALUE"""),2026)</f>
        <v>2026</v>
      </c>
      <c r="J846" s="82" t="str">
        <f ca="1">IFERROR(__xludf.DUMMYFUNCTION("""COMPUTED_VALUE"""),"Indonesia")</f>
        <v>Indonesia</v>
      </c>
      <c r="K846" s="83">
        <f ca="1">IFERROR(
  SUMIFS(
    'New Backfilled Data'!G:G,
    'New Backfilled Data'!A:A, I846,
    'New Backfilled Data'!D:D, J846,
    'New Backfilled Data'!E:E, "Online"
  ) /
  SUMIFS(
    'New Backfilled Data'!G:G,
    'New Backfilled Data'!A:A, I846,
    'New Backfilled Data'!D:D, J846
  ),
  ""
)</f>
        <v>0.70751685730738878</v>
      </c>
      <c r="L846" s="84"/>
      <c r="M846" s="84"/>
    </row>
    <row r="847" spans="1:13" ht="17" x14ac:dyDescent="0.2">
      <c r="A847" s="91">
        <v>2011</v>
      </c>
      <c r="B847" s="92" t="s">
        <v>66</v>
      </c>
      <c r="C847" s="92" t="s">
        <v>47</v>
      </c>
      <c r="D847" s="92" t="s">
        <v>48</v>
      </c>
      <c r="E847" s="92" t="s">
        <v>69</v>
      </c>
      <c r="F847" s="92" t="s">
        <v>70</v>
      </c>
      <c r="G847" s="93">
        <v>71347634853</v>
      </c>
      <c r="H847" s="92"/>
      <c r="I847" s="87">
        <f ca="1">IFERROR(__xludf.DUMMYFUNCTION("""COMPUTED_VALUE"""),2026)</f>
        <v>2026</v>
      </c>
      <c r="J847" s="88" t="str">
        <f ca="1">IFERROR(__xludf.DUMMYFUNCTION("""COMPUTED_VALUE"""),"Japan")</f>
        <v>Japan</v>
      </c>
      <c r="K847" s="89">
        <f ca="1">IFERROR(
  SUMIFS(
    'New Backfilled Data'!G:G,
    'New Backfilled Data'!A:A, I847,
    'New Backfilled Data'!D:D, J847,
    'New Backfilled Data'!E:E, "Online"
  ) /
  SUMIFS(
    'New Backfilled Data'!G:G,
    'New Backfilled Data'!A:A, I847,
    'New Backfilled Data'!D:D, J847
  ),
  ""
)</f>
        <v>0.58951493313153802</v>
      </c>
      <c r="L847" s="90"/>
      <c r="M847" s="90"/>
    </row>
    <row r="848" spans="1:13" ht="17" x14ac:dyDescent="0.2">
      <c r="A848" s="94">
        <v>2012</v>
      </c>
      <c r="B848" s="95" t="s">
        <v>66</v>
      </c>
      <c r="C848" s="95" t="s">
        <v>4</v>
      </c>
      <c r="D848" s="95" t="s">
        <v>3</v>
      </c>
      <c r="E848" s="95" t="s">
        <v>67</v>
      </c>
      <c r="F848" s="95" t="s">
        <v>67</v>
      </c>
      <c r="G848" s="96">
        <v>22595873742</v>
      </c>
      <c r="H848" s="95"/>
      <c r="I848" s="81">
        <f ca="1">IFERROR(__xludf.DUMMYFUNCTION("""COMPUTED_VALUE"""),2026)</f>
        <v>2026</v>
      </c>
      <c r="J848" s="82" t="str">
        <f ca="1">IFERROR(__xludf.DUMMYFUNCTION("""COMPUTED_VALUE"""),"Macau")</f>
        <v>Macau</v>
      </c>
      <c r="K848" s="83">
        <f ca="1">IFERROR(
  SUMIFS(
    'New Backfilled Data'!G:G,
    'New Backfilled Data'!A:A, I848,
    'New Backfilled Data'!D:D, J848,
    'New Backfilled Data'!E:E, "Online"
  ) /
  SUMIFS(
    'New Backfilled Data'!G:G,
    'New Backfilled Data'!A:A, I848,
    'New Backfilled Data'!D:D, J848
  ),
  ""
)</f>
        <v>0.72000000004131681</v>
      </c>
      <c r="L848" s="84"/>
      <c r="M848" s="84"/>
    </row>
    <row r="849" spans="1:13" ht="17" x14ac:dyDescent="0.2">
      <c r="A849" s="91">
        <v>2012</v>
      </c>
      <c r="B849" s="92" t="s">
        <v>66</v>
      </c>
      <c r="C849" s="92" t="s">
        <v>4</v>
      </c>
      <c r="D849" s="92" t="s">
        <v>3</v>
      </c>
      <c r="E849" s="92" t="s">
        <v>69</v>
      </c>
      <c r="F849" s="92" t="s">
        <v>71</v>
      </c>
      <c r="G849" s="93">
        <v>2889682468</v>
      </c>
      <c r="H849" s="92"/>
      <c r="I849" s="87">
        <f ca="1">IFERROR(__xludf.DUMMYFUNCTION("""COMPUTED_VALUE"""),2026)</f>
        <v>2026</v>
      </c>
      <c r="J849" s="88" t="str">
        <f ca="1">IFERROR(__xludf.DUMMYFUNCTION("""COMPUTED_VALUE"""),"Malaysia")</f>
        <v>Malaysia</v>
      </c>
      <c r="K849" s="89">
        <f ca="1">IFERROR(
  SUMIFS(
    'New Backfilled Data'!G:G,
    'New Backfilled Data'!A:A, I849,
    'New Backfilled Data'!D:D, J849,
    'New Backfilled Data'!E:E, "Online"
  ) /
  SUMIFS(
    'New Backfilled Data'!G:G,
    'New Backfilled Data'!A:A, I849,
    'New Backfilled Data'!D:D, J849
  ),
  ""
)</f>
        <v>0.78400060139865879</v>
      </c>
      <c r="L849" s="90"/>
      <c r="M849" s="90"/>
    </row>
    <row r="850" spans="1:13" ht="17" x14ac:dyDescent="0.2">
      <c r="A850" s="94">
        <v>2012</v>
      </c>
      <c r="B850" s="95" t="s">
        <v>66</v>
      </c>
      <c r="C850" s="95" t="s">
        <v>4</v>
      </c>
      <c r="D850" s="95" t="s">
        <v>3</v>
      </c>
      <c r="E850" s="95" t="s">
        <v>69</v>
      </c>
      <c r="F850" s="95" t="s">
        <v>70</v>
      </c>
      <c r="G850" s="96">
        <v>9412593961</v>
      </c>
      <c r="H850" s="95"/>
      <c r="I850" s="81">
        <f ca="1">IFERROR(__xludf.DUMMYFUNCTION("""COMPUTED_VALUE"""),2026)</f>
        <v>2026</v>
      </c>
      <c r="J850" s="82" t="str">
        <f ca="1">IFERROR(__xludf.DUMMYFUNCTION("""COMPUTED_VALUE"""),"Singapore")</f>
        <v>Singapore</v>
      </c>
      <c r="K850" s="83">
        <f ca="1">IFERROR(
  SUMIFS(
    'New Backfilled Data'!G:G,
    'New Backfilled Data'!A:A, I850,
    'New Backfilled Data'!D:D, J850,
    'New Backfilled Data'!E:E, "Online"
  ) /
  SUMIFS(
    'New Backfilled Data'!G:G,
    'New Backfilled Data'!A:A, I850,
    'New Backfilled Data'!D:D, J850
  ),
  ""
)</f>
        <v>0.71592970092128272</v>
      </c>
      <c r="L850" s="84"/>
      <c r="M850" s="84"/>
    </row>
    <row r="851" spans="1:13" ht="17" x14ac:dyDescent="0.2">
      <c r="A851" s="91">
        <v>2012</v>
      </c>
      <c r="B851" s="92" t="s">
        <v>66</v>
      </c>
      <c r="C851" s="92" t="s">
        <v>4</v>
      </c>
      <c r="D851" s="92" t="s">
        <v>5</v>
      </c>
      <c r="E851" s="92" t="s">
        <v>67</v>
      </c>
      <c r="F851" s="92" t="s">
        <v>67</v>
      </c>
      <c r="G851" s="93">
        <v>93602618112</v>
      </c>
      <c r="H851" s="92"/>
      <c r="I851" s="87">
        <f ca="1">IFERROR(__xludf.DUMMYFUNCTION("""COMPUTED_VALUE"""),2026)</f>
        <v>2026</v>
      </c>
      <c r="J851" s="88" t="str">
        <f ca="1">IFERROR(__xludf.DUMMYFUNCTION("""COMPUTED_VALUE"""),"South Korea")</f>
        <v>South Korea</v>
      </c>
      <c r="K851" s="89">
        <f ca="1">IFERROR(
  SUMIFS(
    'New Backfilled Data'!G:G,
    'New Backfilled Data'!A:A, I851,
    'New Backfilled Data'!D:D, J851,
    'New Backfilled Data'!E:E, "Online"
  ) /
  SUMIFS(
    'New Backfilled Data'!G:G,
    'New Backfilled Data'!A:A, I851,
    'New Backfilled Data'!D:D, J851
  ),
  ""
)</f>
        <v>0.62348018551146156</v>
      </c>
      <c r="L851" s="90"/>
      <c r="M851" s="90"/>
    </row>
    <row r="852" spans="1:13" ht="17" x14ac:dyDescent="0.2">
      <c r="A852" s="94">
        <v>2012</v>
      </c>
      <c r="B852" s="95" t="s">
        <v>66</v>
      </c>
      <c r="C852" s="95" t="s">
        <v>4</v>
      </c>
      <c r="D852" s="95" t="s">
        <v>5</v>
      </c>
      <c r="E852" s="95" t="s">
        <v>69</v>
      </c>
      <c r="F852" s="95" t="s">
        <v>71</v>
      </c>
      <c r="G852" s="96">
        <v>7590458432</v>
      </c>
      <c r="H852" s="95"/>
      <c r="I852" s="81">
        <f ca="1">IFERROR(__xludf.DUMMYFUNCTION("""COMPUTED_VALUE"""),2026)</f>
        <v>2026</v>
      </c>
      <c r="J852" s="82" t="str">
        <f ca="1">IFERROR(__xludf.DUMMYFUNCTION("""COMPUTED_VALUE"""),"Taiwan")</f>
        <v>Taiwan</v>
      </c>
      <c r="K852" s="83">
        <f ca="1">IFERROR(
  SUMIFS(
    'New Backfilled Data'!G:G,
    'New Backfilled Data'!A:A, I852,
    'New Backfilled Data'!D:D, J852,
    'New Backfilled Data'!E:E, "Online"
  ) /
  SUMIFS(
    'New Backfilled Data'!G:G,
    'New Backfilled Data'!A:A, I852,
    'New Backfilled Data'!D:D, J852
  ),
  ""
)</f>
        <v>0.53508490146283594</v>
      </c>
      <c r="L852" s="84"/>
      <c r="M852" s="84"/>
    </row>
    <row r="853" spans="1:13" ht="17" x14ac:dyDescent="0.2">
      <c r="A853" s="91">
        <v>2012</v>
      </c>
      <c r="B853" s="92" t="s">
        <v>66</v>
      </c>
      <c r="C853" s="92" t="s">
        <v>4</v>
      </c>
      <c r="D853" s="92" t="s">
        <v>5</v>
      </c>
      <c r="E853" s="92" t="s">
        <v>69</v>
      </c>
      <c r="F853" s="92" t="s">
        <v>70</v>
      </c>
      <c r="G853" s="93">
        <v>6731243887</v>
      </c>
      <c r="H853" s="92"/>
      <c r="I853" s="87">
        <f ca="1">IFERROR(__xludf.DUMMYFUNCTION("""COMPUTED_VALUE"""),2026)</f>
        <v>2026</v>
      </c>
      <c r="J853" s="88" t="str">
        <f ca="1">IFERROR(__xludf.DUMMYFUNCTION("""COMPUTED_VALUE"""),"Thailand")</f>
        <v>Thailand</v>
      </c>
      <c r="K853" s="89">
        <f ca="1">IFERROR(
  SUMIFS(
    'New Backfilled Data'!G:G,
    'New Backfilled Data'!A:A, I853,
    'New Backfilled Data'!D:D, J853,
    'New Backfilled Data'!E:E, "Online"
  ) /
  SUMIFS(
    'New Backfilled Data'!G:G,
    'New Backfilled Data'!A:A, I853,
    'New Backfilled Data'!D:D, J853
  ),
  ""
)</f>
        <v>0.68896478951465934</v>
      </c>
      <c r="L853" s="90"/>
      <c r="M853" s="90"/>
    </row>
    <row r="854" spans="1:13" ht="17" x14ac:dyDescent="0.2">
      <c r="A854" s="94">
        <v>2012</v>
      </c>
      <c r="B854" s="95" t="s">
        <v>66</v>
      </c>
      <c r="C854" s="95" t="s">
        <v>4</v>
      </c>
      <c r="D854" s="95" t="s">
        <v>6</v>
      </c>
      <c r="E854" s="95" t="s">
        <v>67</v>
      </c>
      <c r="F854" s="95" t="s">
        <v>67</v>
      </c>
      <c r="G854" s="96">
        <v>12457882294</v>
      </c>
      <c r="H854" s="95"/>
      <c r="I854" s="81">
        <f ca="1">IFERROR(__xludf.DUMMYFUNCTION("""COMPUTED_VALUE"""),2026)</f>
        <v>2026</v>
      </c>
      <c r="J854" s="82" t="str">
        <f ca="1">IFERROR(__xludf.DUMMYFUNCTION("""COMPUTED_VALUE"""),"Bulgaria")</f>
        <v>Bulgaria</v>
      </c>
      <c r="K854" s="83">
        <f ca="1">IFERROR(
  SUMIFS(
    'New Backfilled Data'!G:G,
    'New Backfilled Data'!A:A, I854,
    'New Backfilled Data'!D:D, J854,
    'New Backfilled Data'!E:E, "Online"
  ) /
  SUMIFS(
    'New Backfilled Data'!G:G,
    'New Backfilled Data'!A:A, I854,
    'New Backfilled Data'!D:D, J854
  ),
  ""
)</f>
        <v>0.54670330298290515</v>
      </c>
      <c r="L854" s="84"/>
      <c r="M854" s="84"/>
    </row>
    <row r="855" spans="1:13" ht="17" x14ac:dyDescent="0.2">
      <c r="A855" s="91">
        <v>2012</v>
      </c>
      <c r="B855" s="92" t="s">
        <v>66</v>
      </c>
      <c r="C855" s="92" t="s">
        <v>4</v>
      </c>
      <c r="D855" s="92" t="s">
        <v>6</v>
      </c>
      <c r="E855" s="92" t="s">
        <v>69</v>
      </c>
      <c r="F855" s="92" t="s">
        <v>71</v>
      </c>
      <c r="G855" s="93">
        <v>362091696</v>
      </c>
      <c r="H855" s="92"/>
      <c r="I855" s="87">
        <f ca="1">IFERROR(__xludf.DUMMYFUNCTION("""COMPUTED_VALUE"""),2026)</f>
        <v>2026</v>
      </c>
      <c r="J855" s="88" t="str">
        <f ca="1">IFERROR(__xludf.DUMMYFUNCTION("""COMPUTED_VALUE"""),"Czech Republic")</f>
        <v>Czech Republic</v>
      </c>
      <c r="K855" s="89">
        <f ca="1">IFERROR(
  SUMIFS(
    'New Backfilled Data'!G:G,
    'New Backfilled Data'!A:A, I855,
    'New Backfilled Data'!D:D, J855,
    'New Backfilled Data'!E:E, "Online"
  ) /
  SUMIFS(
    'New Backfilled Data'!G:G,
    'New Backfilled Data'!A:A, I855,
    'New Backfilled Data'!D:D, J855
  ),
  ""
)</f>
        <v>0.69753249635998038</v>
      </c>
      <c r="L855" s="90"/>
      <c r="M855" s="90"/>
    </row>
    <row r="856" spans="1:13" ht="17" x14ac:dyDescent="0.2">
      <c r="A856" s="94">
        <v>2012</v>
      </c>
      <c r="B856" s="95" t="s">
        <v>66</v>
      </c>
      <c r="C856" s="95" t="s">
        <v>4</v>
      </c>
      <c r="D856" s="95" t="s">
        <v>6</v>
      </c>
      <c r="E856" s="95" t="s">
        <v>69</v>
      </c>
      <c r="F856" s="95" t="s">
        <v>70</v>
      </c>
      <c r="G856" s="96">
        <v>883639439</v>
      </c>
      <c r="H856" s="95"/>
      <c r="I856" s="81">
        <f ca="1">IFERROR(__xludf.DUMMYFUNCTION("""COMPUTED_VALUE"""),2026)</f>
        <v>2026</v>
      </c>
      <c r="J856" s="82" t="str">
        <f ca="1">IFERROR(__xludf.DUMMYFUNCTION("""COMPUTED_VALUE"""),"Greece")</f>
        <v>Greece</v>
      </c>
      <c r="K856" s="83">
        <f ca="1">IFERROR(
  SUMIFS(
    'New Backfilled Data'!G:G,
    'New Backfilled Data'!A:A, I856,
    'New Backfilled Data'!D:D, J856,
    'New Backfilled Data'!E:E, "Online"
  ) /
  SUMIFS(
    'New Backfilled Data'!G:G,
    'New Backfilled Data'!A:A, I856,
    'New Backfilled Data'!D:D, J856
  ),
  ""
)</f>
        <v>0.59181685461232036</v>
      </c>
      <c r="L856" s="84"/>
      <c r="M856" s="84"/>
    </row>
    <row r="857" spans="1:13" ht="17" x14ac:dyDescent="0.2">
      <c r="A857" s="91">
        <v>2012</v>
      </c>
      <c r="B857" s="92" t="s">
        <v>66</v>
      </c>
      <c r="C857" s="92" t="s">
        <v>4</v>
      </c>
      <c r="D857" s="92" t="s">
        <v>7</v>
      </c>
      <c r="E857" s="92" t="s">
        <v>67</v>
      </c>
      <c r="F857" s="92" t="s">
        <v>67</v>
      </c>
      <c r="G857" s="93">
        <v>16445966960</v>
      </c>
      <c r="H857" s="92"/>
      <c r="I857" s="87">
        <f ca="1">IFERROR(__xludf.DUMMYFUNCTION("""COMPUTED_VALUE"""),2026)</f>
        <v>2026</v>
      </c>
      <c r="J857" s="88" t="str">
        <f ca="1">IFERROR(__xludf.DUMMYFUNCTION("""COMPUTED_VALUE"""),"Hungary")</f>
        <v>Hungary</v>
      </c>
      <c r="K857" s="89">
        <f ca="1">IFERROR(
  SUMIFS(
    'New Backfilled Data'!G:G,
    'New Backfilled Data'!A:A, I857,
    'New Backfilled Data'!D:D, J857,
    'New Backfilled Data'!E:E, "Online"
  ) /
  SUMIFS(
    'New Backfilled Data'!G:G,
    'New Backfilled Data'!A:A, I857,
    'New Backfilled Data'!D:D, J857
  ),
  ""
)</f>
        <v>0.92610662719252757</v>
      </c>
      <c r="L857" s="90"/>
      <c r="M857" s="90"/>
    </row>
    <row r="858" spans="1:13" ht="17" x14ac:dyDescent="0.2">
      <c r="A858" s="94">
        <v>2012</v>
      </c>
      <c r="B858" s="95" t="s">
        <v>66</v>
      </c>
      <c r="C858" s="95" t="s">
        <v>4</v>
      </c>
      <c r="D858" s="95" t="s">
        <v>7</v>
      </c>
      <c r="E858" s="95" t="s">
        <v>69</v>
      </c>
      <c r="F858" s="95" t="s">
        <v>71</v>
      </c>
      <c r="G858" s="96">
        <v>2250564953</v>
      </c>
      <c r="H858" s="95"/>
      <c r="I858" s="81">
        <f ca="1">IFERROR(__xludf.DUMMYFUNCTION("""COMPUTED_VALUE"""),2026)</f>
        <v>2026</v>
      </c>
      <c r="J858" s="82" t="str">
        <f ca="1">IFERROR(__xludf.DUMMYFUNCTION("""COMPUTED_VALUE"""),"Poland")</f>
        <v>Poland</v>
      </c>
      <c r="K858" s="83">
        <f ca="1">IFERROR(
  SUMIFS(
    'New Backfilled Data'!G:G,
    'New Backfilled Data'!A:A, I858,
    'New Backfilled Data'!D:D, J858,
    'New Backfilled Data'!E:E, "Online"
  ) /
  SUMIFS(
    'New Backfilled Data'!G:G,
    'New Backfilled Data'!A:A, I858,
    'New Backfilled Data'!D:D, J858
  ),
  ""
)</f>
        <v>0.58609263363611175</v>
      </c>
      <c r="L858" s="84"/>
      <c r="M858" s="84"/>
    </row>
    <row r="859" spans="1:13" ht="34" x14ac:dyDescent="0.2">
      <c r="A859" s="91">
        <v>2012</v>
      </c>
      <c r="B859" s="92" t="s">
        <v>66</v>
      </c>
      <c r="C859" s="92" t="s">
        <v>4</v>
      </c>
      <c r="D859" s="92" t="s">
        <v>7</v>
      </c>
      <c r="E859" s="92" t="s">
        <v>69</v>
      </c>
      <c r="F859" s="92" t="s">
        <v>70</v>
      </c>
      <c r="G859" s="93">
        <v>3698330746</v>
      </c>
      <c r="H859" s="92"/>
      <c r="I859" s="87">
        <f ca="1">IFERROR(__xludf.DUMMYFUNCTION("""COMPUTED_VALUE"""),2026)</f>
        <v>2026</v>
      </c>
      <c r="J859" s="88" t="str">
        <f ca="1">IFERROR(__xludf.DUMMYFUNCTION("""COMPUTED_VALUE"""),"Rest of Eastern Europe")</f>
        <v>Rest of Eastern Europe</v>
      </c>
      <c r="K859" s="89">
        <f ca="1">IFERROR(
  SUMIFS(
    'New Backfilled Data'!G:G,
    'New Backfilled Data'!A:A, I859,
    'New Backfilled Data'!D:D, J859,
    'New Backfilled Data'!E:E, "Online"
  ) /
  SUMIFS(
    'New Backfilled Data'!G:G,
    'New Backfilled Data'!A:A, I859,
    'New Backfilled Data'!D:D, J859
  ),
  ""
)</f>
        <v>0.67910372524165297</v>
      </c>
      <c r="L859" s="90"/>
      <c r="M859" s="90"/>
    </row>
    <row r="860" spans="1:13" ht="17" x14ac:dyDescent="0.2">
      <c r="A860" s="94">
        <v>2012</v>
      </c>
      <c r="B860" s="95" t="s">
        <v>66</v>
      </c>
      <c r="C860" s="95" t="s">
        <v>4</v>
      </c>
      <c r="D860" s="95" t="s">
        <v>8</v>
      </c>
      <c r="E860" s="95" t="s">
        <v>67</v>
      </c>
      <c r="F860" s="95" t="s">
        <v>67</v>
      </c>
      <c r="G860" s="96">
        <v>9925204142</v>
      </c>
      <c r="H860" s="95"/>
      <c r="I860" s="81">
        <f ca="1">IFERROR(__xludf.DUMMYFUNCTION("""COMPUTED_VALUE"""),2026)</f>
        <v>2026</v>
      </c>
      <c r="J860" s="82" t="str">
        <f ca="1">IFERROR(__xludf.DUMMYFUNCTION("""COMPUTED_VALUE"""),"Romania")</f>
        <v>Romania</v>
      </c>
      <c r="K860" s="83">
        <f ca="1">IFERROR(
  SUMIFS(
    'New Backfilled Data'!G:G,
    'New Backfilled Data'!A:A, I860,
    'New Backfilled Data'!D:D, J860,
    'New Backfilled Data'!E:E, "Online"
  ) /
  SUMIFS(
    'New Backfilled Data'!G:G,
    'New Backfilled Data'!A:A, I860,
    'New Backfilled Data'!D:D, J860
  ),
  ""
)</f>
        <v>0.59620642647587307</v>
      </c>
      <c r="L860" s="84"/>
      <c r="M860" s="84"/>
    </row>
    <row r="861" spans="1:13" ht="17" x14ac:dyDescent="0.2">
      <c r="A861" s="91">
        <v>2012</v>
      </c>
      <c r="B861" s="92" t="s">
        <v>66</v>
      </c>
      <c r="C861" s="92" t="s">
        <v>4</v>
      </c>
      <c r="D861" s="92" t="s">
        <v>8</v>
      </c>
      <c r="E861" s="92" t="s">
        <v>69</v>
      </c>
      <c r="F861" s="92" t="s">
        <v>71</v>
      </c>
      <c r="G861" s="93">
        <v>170861491</v>
      </c>
      <c r="H861" s="92"/>
      <c r="I861" s="87">
        <f ca="1">IFERROR(__xludf.DUMMYFUNCTION("""COMPUTED_VALUE"""),2026)</f>
        <v>2026</v>
      </c>
      <c r="J861" s="88" t="str">
        <f ca="1">IFERROR(__xludf.DUMMYFUNCTION("""COMPUTED_VALUE"""),"Russia")</f>
        <v>Russia</v>
      </c>
      <c r="K861" s="89">
        <f ca="1">IFERROR(
  SUMIFS(
    'New Backfilled Data'!G:G,
    'New Backfilled Data'!A:A, I861,
    'New Backfilled Data'!D:D, J861,
    'New Backfilled Data'!E:E, "Online"
  ) /
  SUMIFS(
    'New Backfilled Data'!G:G,
    'New Backfilled Data'!A:A, I861,
    'New Backfilled Data'!D:D, J861
  ),
  ""
)</f>
        <v>0.56610464907003466</v>
      </c>
      <c r="L861" s="90"/>
      <c r="M861" s="90"/>
    </row>
    <row r="862" spans="1:13" ht="17" x14ac:dyDescent="0.2">
      <c r="A862" s="94">
        <v>2012</v>
      </c>
      <c r="B862" s="95" t="s">
        <v>66</v>
      </c>
      <c r="C862" s="95" t="s">
        <v>4</v>
      </c>
      <c r="D862" s="95" t="s">
        <v>8</v>
      </c>
      <c r="E862" s="95" t="s">
        <v>69</v>
      </c>
      <c r="F862" s="95" t="s">
        <v>70</v>
      </c>
      <c r="G862" s="96">
        <v>613603630</v>
      </c>
      <c r="H862" s="95"/>
      <c r="I862" s="81">
        <f ca="1">IFERROR(__xludf.DUMMYFUNCTION("""COMPUTED_VALUE"""),2026)</f>
        <v>2026</v>
      </c>
      <c r="J862" s="82" t="str">
        <f ca="1">IFERROR(__xludf.DUMMYFUNCTION("""COMPUTED_VALUE"""),"Ukraine")</f>
        <v>Ukraine</v>
      </c>
      <c r="K862" s="83" t="str">
        <f ca="1">IFERROR(
  SUMIFS(
    'New Backfilled Data'!G:G,
    'New Backfilled Data'!A:A, I862,
    'New Backfilled Data'!D:D, J862,
    'New Backfilled Data'!E:E, "Online"
  ) /
  SUMIFS(
    'New Backfilled Data'!G:G,
    'New Backfilled Data'!A:A, I862,
    'New Backfilled Data'!D:D, J862
  ),
  ""
)</f>
        <v/>
      </c>
      <c r="L862" s="84"/>
      <c r="M862" s="84"/>
    </row>
    <row r="863" spans="1:13" ht="17" x14ac:dyDescent="0.2">
      <c r="A863" s="91">
        <v>2012</v>
      </c>
      <c r="B863" s="92" t="s">
        <v>66</v>
      </c>
      <c r="C863" s="92" t="s">
        <v>4</v>
      </c>
      <c r="D863" s="92" t="s">
        <v>9</v>
      </c>
      <c r="E863" s="92" t="s">
        <v>67</v>
      </c>
      <c r="F863" s="92" t="s">
        <v>67</v>
      </c>
      <c r="G863" s="93">
        <v>73165912352</v>
      </c>
      <c r="H863" s="92"/>
      <c r="I863" s="87">
        <f ca="1">IFERROR(__xludf.DUMMYFUNCTION("""COMPUTED_VALUE"""),2026)</f>
        <v>2026</v>
      </c>
      <c r="J863" s="88" t="str">
        <f ca="1">IFERROR(__xludf.DUMMYFUNCTION("""COMPUTED_VALUE"""),"France")</f>
        <v>France</v>
      </c>
      <c r="K863" s="89">
        <f ca="1">IFERROR(
  SUMIFS(
    'New Backfilled Data'!G:G,
    'New Backfilled Data'!A:A, I863,
    'New Backfilled Data'!D:D, J863,
    'New Backfilled Data'!E:E, "Online"
  ) /
  SUMIFS(
    'New Backfilled Data'!G:G,
    'New Backfilled Data'!A:A, I863,
    'New Backfilled Data'!D:D, J863
  ),
  ""
)</f>
        <v>0.55469263313763673</v>
      </c>
      <c r="L863" s="90"/>
      <c r="M863" s="90"/>
    </row>
    <row r="864" spans="1:13" ht="17" x14ac:dyDescent="0.2">
      <c r="A864" s="94">
        <v>2012</v>
      </c>
      <c r="B864" s="95" t="s">
        <v>66</v>
      </c>
      <c r="C864" s="95" t="s">
        <v>4</v>
      </c>
      <c r="D864" s="95" t="s">
        <v>9</v>
      </c>
      <c r="E864" s="95" t="s">
        <v>69</v>
      </c>
      <c r="F864" s="95" t="s">
        <v>71</v>
      </c>
      <c r="G864" s="96">
        <v>12383915282</v>
      </c>
      <c r="H864" s="95"/>
      <c r="I864" s="81">
        <f ca="1">IFERROR(__xludf.DUMMYFUNCTION("""COMPUTED_VALUE"""),2026)</f>
        <v>2026</v>
      </c>
      <c r="J864" s="82" t="str">
        <f ca="1">IFERROR(__xludf.DUMMYFUNCTION("""COMPUTED_VALUE"""),"Germany")</f>
        <v>Germany</v>
      </c>
      <c r="K864" s="83">
        <f ca="1">IFERROR(
  SUMIFS(
    'New Backfilled Data'!G:G,
    'New Backfilled Data'!A:A, I864,
    'New Backfilled Data'!D:D, J864,
    'New Backfilled Data'!E:E, "Online"
  ) /
  SUMIFS(
    'New Backfilled Data'!G:G,
    'New Backfilled Data'!A:A, I864,
    'New Backfilled Data'!D:D, J864
  ),
  ""
)</f>
        <v>0.69455907666340433</v>
      </c>
      <c r="L864" s="84"/>
      <c r="M864" s="84"/>
    </row>
    <row r="865" spans="1:13" ht="17" x14ac:dyDescent="0.2">
      <c r="A865" s="91">
        <v>2012</v>
      </c>
      <c r="B865" s="92" t="s">
        <v>66</v>
      </c>
      <c r="C865" s="92" t="s">
        <v>4</v>
      </c>
      <c r="D865" s="92" t="s">
        <v>9</v>
      </c>
      <c r="E865" s="92" t="s">
        <v>69</v>
      </c>
      <c r="F865" s="92" t="s">
        <v>70</v>
      </c>
      <c r="G865" s="93">
        <v>20043997748</v>
      </c>
      <c r="H865" s="92"/>
      <c r="I865" s="87">
        <f ca="1">IFERROR(__xludf.DUMMYFUNCTION("""COMPUTED_VALUE"""),2026)</f>
        <v>2026</v>
      </c>
      <c r="J865" s="88" t="str">
        <f ca="1">IFERROR(__xludf.DUMMYFUNCTION("""COMPUTED_VALUE"""),"Italy")</f>
        <v>Italy</v>
      </c>
      <c r="K865" s="89">
        <f ca="1">IFERROR(
  SUMIFS(
    'New Backfilled Data'!G:G,
    'New Backfilled Data'!A:A, I865,
    'New Backfilled Data'!D:D, J865,
    'New Backfilled Data'!E:E, "Online"
  ) /
  SUMIFS(
    'New Backfilled Data'!G:G,
    'New Backfilled Data'!A:A, I865,
    'New Backfilled Data'!D:D, J865
  ),
  ""
)</f>
        <v>0.59226623771701381</v>
      </c>
      <c r="L865" s="90"/>
      <c r="M865" s="90"/>
    </row>
    <row r="866" spans="1:13" ht="17" x14ac:dyDescent="0.2">
      <c r="A866" s="94">
        <v>2012</v>
      </c>
      <c r="B866" s="95" t="s">
        <v>66</v>
      </c>
      <c r="C866" s="95" t="s">
        <v>4</v>
      </c>
      <c r="D866" s="95" t="s">
        <v>10</v>
      </c>
      <c r="E866" s="95" t="s">
        <v>67</v>
      </c>
      <c r="F866" s="95" t="s">
        <v>67</v>
      </c>
      <c r="G866" s="96">
        <v>781650543</v>
      </c>
      <c r="H866" s="95"/>
      <c r="I866" s="81">
        <f ca="1">IFERROR(__xludf.DUMMYFUNCTION("""COMPUTED_VALUE"""),2026)</f>
        <v>2026</v>
      </c>
      <c r="J866" s="82" t="str">
        <f ca="1">IFERROR(__xludf.DUMMYFUNCTION("""COMPUTED_VALUE"""),"Rest of Europe")</f>
        <v>Rest of Europe</v>
      </c>
      <c r="K866" s="83">
        <f ca="1">IFERROR(
  SUMIFS(
    'New Backfilled Data'!G:G,
    'New Backfilled Data'!A:A, I866,
    'New Backfilled Data'!D:D, J866,
    'New Backfilled Data'!E:E, "Online"
  ) /
  SUMIFS(
    'New Backfilled Data'!G:G,
    'New Backfilled Data'!A:A, I866,
    'New Backfilled Data'!D:D, J866
  ),
  ""
)</f>
        <v>0.69893860848376088</v>
      </c>
      <c r="L866" s="84"/>
      <c r="M866" s="84"/>
    </row>
    <row r="867" spans="1:13" ht="17" x14ac:dyDescent="0.2">
      <c r="A867" s="91">
        <v>2012</v>
      </c>
      <c r="B867" s="92" t="s">
        <v>66</v>
      </c>
      <c r="C867" s="92" t="s">
        <v>4</v>
      </c>
      <c r="D867" s="92" t="s">
        <v>10</v>
      </c>
      <c r="E867" s="92" t="s">
        <v>69</v>
      </c>
      <c r="F867" s="92" t="s">
        <v>71</v>
      </c>
      <c r="G867" s="93">
        <v>28797652</v>
      </c>
      <c r="H867" s="92"/>
      <c r="I867" s="87">
        <f ca="1">IFERROR(__xludf.DUMMYFUNCTION("""COMPUTED_VALUE"""),2026)</f>
        <v>2026</v>
      </c>
      <c r="J867" s="88" t="str">
        <f ca="1">IFERROR(__xludf.DUMMYFUNCTION("""COMPUTED_VALUE"""),"Scandinavia")</f>
        <v>Scandinavia</v>
      </c>
      <c r="K867" s="89">
        <f ca="1">IFERROR(
  SUMIFS(
    'New Backfilled Data'!G:G,
    'New Backfilled Data'!A:A, I867,
    'New Backfilled Data'!D:D, J867,
    'New Backfilled Data'!E:E, "Online"
  ) /
  SUMIFS(
    'New Backfilled Data'!G:G,
    'New Backfilled Data'!A:A, I867,
    'New Backfilled Data'!D:D, J867
  ),
  ""
)</f>
        <v>0.80357794940612692</v>
      </c>
      <c r="L867" s="90"/>
      <c r="M867" s="90"/>
    </row>
    <row r="868" spans="1:13" ht="17" x14ac:dyDescent="0.2">
      <c r="A868" s="94">
        <v>2012</v>
      </c>
      <c r="B868" s="95" t="s">
        <v>66</v>
      </c>
      <c r="C868" s="95" t="s">
        <v>4</v>
      </c>
      <c r="D868" s="95" t="s">
        <v>10</v>
      </c>
      <c r="E868" s="95" t="s">
        <v>69</v>
      </c>
      <c r="F868" s="95" t="s">
        <v>70</v>
      </c>
      <c r="G868" s="96">
        <v>12341851</v>
      </c>
      <c r="H868" s="95"/>
      <c r="I868" s="81">
        <f ca="1">IFERROR(__xludf.DUMMYFUNCTION("""COMPUTED_VALUE"""),2026)</f>
        <v>2026</v>
      </c>
      <c r="J868" s="82" t="str">
        <f ca="1">IFERROR(__xludf.DUMMYFUNCTION("""COMPUTED_VALUE"""),"Spain")</f>
        <v>Spain</v>
      </c>
      <c r="K868" s="83">
        <f ca="1">IFERROR(
  SUMIFS(
    'New Backfilled Data'!G:G,
    'New Backfilled Data'!A:A, I868,
    'New Backfilled Data'!D:D, J868,
    'New Backfilled Data'!E:E, "Online"
  ) /
  SUMIFS(
    'New Backfilled Data'!G:G,
    'New Backfilled Data'!A:A, I868,
    'New Backfilled Data'!D:D, J868
  ),
  ""
)</f>
        <v>0.63670885519876907</v>
      </c>
      <c r="L868" s="84"/>
      <c r="M868" s="84"/>
    </row>
    <row r="869" spans="1:13" ht="17" x14ac:dyDescent="0.2">
      <c r="A869" s="91">
        <v>2012</v>
      </c>
      <c r="B869" s="92" t="s">
        <v>66</v>
      </c>
      <c r="C869" s="92" t="s">
        <v>4</v>
      </c>
      <c r="D869" s="92" t="s">
        <v>11</v>
      </c>
      <c r="E869" s="92" t="s">
        <v>67</v>
      </c>
      <c r="F869" s="92" t="s">
        <v>67</v>
      </c>
      <c r="G869" s="93">
        <v>6227992734</v>
      </c>
      <c r="H869" s="92"/>
      <c r="I869" s="87">
        <f ca="1">IFERROR(__xludf.DUMMYFUNCTION("""COMPUTED_VALUE"""),2026)</f>
        <v>2026</v>
      </c>
      <c r="J869" s="88" t="str">
        <f ca="1">IFERROR(__xludf.DUMMYFUNCTION("""COMPUTED_VALUE"""),"U.K.")</f>
        <v>U.K.</v>
      </c>
      <c r="K869" s="89">
        <f ca="1">IFERROR(
  SUMIFS(
    'New Backfilled Data'!G:G,
    'New Backfilled Data'!A:A, I869,
    'New Backfilled Data'!D:D, J869,
    'New Backfilled Data'!E:E, "Online"
  ) /
  SUMIFS(
    'New Backfilled Data'!G:G,
    'New Backfilled Data'!A:A, I869,
    'New Backfilled Data'!D:D, J869
  ),
  ""
)</f>
        <v>0.83797122174248462</v>
      </c>
      <c r="L869" s="90"/>
      <c r="M869" s="90"/>
    </row>
    <row r="870" spans="1:13" ht="17" x14ac:dyDescent="0.2">
      <c r="A870" s="94">
        <v>2012</v>
      </c>
      <c r="B870" s="95" t="s">
        <v>66</v>
      </c>
      <c r="C870" s="95" t="s">
        <v>4</v>
      </c>
      <c r="D870" s="95" t="s">
        <v>11</v>
      </c>
      <c r="E870" s="95" t="s">
        <v>69</v>
      </c>
      <c r="F870" s="95" t="s">
        <v>71</v>
      </c>
      <c r="G870" s="96">
        <v>513218844</v>
      </c>
      <c r="H870" s="95"/>
      <c r="I870" s="81">
        <f ca="1">IFERROR(__xludf.DUMMYFUNCTION("""COMPUTED_VALUE"""),2026)</f>
        <v>2026</v>
      </c>
      <c r="J870" s="82" t="str">
        <f ca="1">IFERROR(__xludf.DUMMYFUNCTION("""COMPUTED_VALUE"""),"Argentina")</f>
        <v>Argentina</v>
      </c>
      <c r="K870" s="83">
        <f ca="1">IFERROR(
  SUMIFS(
    'New Backfilled Data'!G:G,
    'New Backfilled Data'!A:A, I870,
    'New Backfilled Data'!D:D, J870,
    'New Backfilled Data'!E:E, "Online"
  ) /
  SUMIFS(
    'New Backfilled Data'!G:G,
    'New Backfilled Data'!A:A, I870,
    'New Backfilled Data'!D:D, J870
  ),
  ""
)</f>
        <v>0.47141437314410006</v>
      </c>
      <c r="L870" s="84"/>
      <c r="M870" s="84"/>
    </row>
    <row r="871" spans="1:13" ht="17" x14ac:dyDescent="0.2">
      <c r="A871" s="91">
        <v>2012</v>
      </c>
      <c r="B871" s="92" t="s">
        <v>66</v>
      </c>
      <c r="C871" s="92" t="s">
        <v>4</v>
      </c>
      <c r="D871" s="92" t="s">
        <v>11</v>
      </c>
      <c r="E871" s="92" t="s">
        <v>69</v>
      </c>
      <c r="F871" s="92" t="s">
        <v>70</v>
      </c>
      <c r="G871" s="93">
        <v>2276217599</v>
      </c>
      <c r="H871" s="92"/>
      <c r="I871" s="87">
        <f ca="1">IFERROR(__xludf.DUMMYFUNCTION("""COMPUTED_VALUE"""),2026)</f>
        <v>2026</v>
      </c>
      <c r="J871" s="88" t="str">
        <f ca="1">IFERROR(__xludf.DUMMYFUNCTION("""COMPUTED_VALUE"""),"Brazil")</f>
        <v>Brazil</v>
      </c>
      <c r="K871" s="89">
        <f ca="1">IFERROR(
  SUMIFS(
    'New Backfilled Data'!G:G,
    'New Backfilled Data'!A:A, I871,
    'New Backfilled Data'!D:D, J871,
    'New Backfilled Data'!E:E, "Online"
  ) /
  SUMIFS(
    'New Backfilled Data'!G:G,
    'New Backfilled Data'!A:A, I871,
    'New Backfilled Data'!D:D, J871
  ),
  ""
)</f>
        <v>0.5245757522447666</v>
      </c>
      <c r="L871" s="90"/>
      <c r="M871" s="90"/>
    </row>
    <row r="872" spans="1:13" ht="17" x14ac:dyDescent="0.2">
      <c r="A872" s="94">
        <v>2012</v>
      </c>
      <c r="B872" s="95" t="s">
        <v>66</v>
      </c>
      <c r="C872" s="95" t="s">
        <v>4</v>
      </c>
      <c r="D872" s="95" t="s">
        <v>12</v>
      </c>
      <c r="E872" s="95" t="s">
        <v>67</v>
      </c>
      <c r="F872" s="95" t="s">
        <v>67</v>
      </c>
      <c r="G872" s="96">
        <v>7620382907</v>
      </c>
      <c r="H872" s="95"/>
      <c r="I872" s="81">
        <f ca="1">IFERROR(__xludf.DUMMYFUNCTION("""COMPUTED_VALUE"""),2026)</f>
        <v>2026</v>
      </c>
      <c r="J872" s="82" t="str">
        <f ca="1">IFERROR(__xludf.DUMMYFUNCTION("""COMPUTED_VALUE"""),"Chile")</f>
        <v>Chile</v>
      </c>
      <c r="K872" s="83">
        <f ca="1">IFERROR(
  SUMIFS(
    'New Backfilled Data'!G:G,
    'New Backfilled Data'!A:A, I872,
    'New Backfilled Data'!D:D, J872,
    'New Backfilled Data'!E:E, "Online"
  ) /
  SUMIFS(
    'New Backfilled Data'!G:G,
    'New Backfilled Data'!A:A, I872,
    'New Backfilled Data'!D:D, J872
  ),
  ""
)</f>
        <v>0.5663940471420984</v>
      </c>
      <c r="L872" s="84"/>
      <c r="M872" s="84"/>
    </row>
    <row r="873" spans="1:13" ht="17" x14ac:dyDescent="0.2">
      <c r="A873" s="91">
        <v>2012</v>
      </c>
      <c r="B873" s="92" t="s">
        <v>66</v>
      </c>
      <c r="C873" s="92" t="s">
        <v>4</v>
      </c>
      <c r="D873" s="92" t="s">
        <v>12</v>
      </c>
      <c r="E873" s="92" t="s">
        <v>69</v>
      </c>
      <c r="F873" s="92" t="s">
        <v>71</v>
      </c>
      <c r="G873" s="93">
        <v>679769575</v>
      </c>
      <c r="H873" s="92"/>
      <c r="I873" s="87">
        <f ca="1">IFERROR(__xludf.DUMMYFUNCTION("""COMPUTED_VALUE"""),2026)</f>
        <v>2026</v>
      </c>
      <c r="J873" s="88" t="str">
        <f ca="1">IFERROR(__xludf.DUMMYFUNCTION("""COMPUTED_VALUE"""),"Colombia")</f>
        <v>Colombia</v>
      </c>
      <c r="K873" s="89">
        <f ca="1">IFERROR(
  SUMIFS(
    'New Backfilled Data'!G:G,
    'New Backfilled Data'!A:A, I873,
    'New Backfilled Data'!D:D, J873,
    'New Backfilled Data'!E:E, "Online"
  ) /
  SUMIFS(
    'New Backfilled Data'!G:G,
    'New Backfilled Data'!A:A, I873,
    'New Backfilled Data'!D:D, J873
  ),
  ""
)</f>
        <v>0.52177894960685733</v>
      </c>
      <c r="L873" s="90"/>
      <c r="M873" s="90"/>
    </row>
    <row r="874" spans="1:13" ht="17" x14ac:dyDescent="0.2">
      <c r="A874" s="94">
        <v>2012</v>
      </c>
      <c r="B874" s="95" t="s">
        <v>66</v>
      </c>
      <c r="C874" s="95" t="s">
        <v>4</v>
      </c>
      <c r="D874" s="95" t="s">
        <v>12</v>
      </c>
      <c r="E874" s="95" t="s">
        <v>69</v>
      </c>
      <c r="F874" s="95" t="s">
        <v>70</v>
      </c>
      <c r="G874" s="96">
        <v>2281185543</v>
      </c>
      <c r="H874" s="95"/>
      <c r="I874" s="81">
        <f ca="1">IFERROR(__xludf.DUMMYFUNCTION("""COMPUTED_VALUE"""),2026)</f>
        <v>2026</v>
      </c>
      <c r="J874" s="82" t="str">
        <f ca="1">IFERROR(__xludf.DUMMYFUNCTION("""COMPUTED_VALUE"""),"Mexico")</f>
        <v>Mexico</v>
      </c>
      <c r="K874" s="83">
        <f ca="1">IFERROR(
  SUMIFS(
    'New Backfilled Data'!G:G,
    'New Backfilled Data'!A:A, I874,
    'New Backfilled Data'!D:D, J874,
    'New Backfilled Data'!E:E, "Online"
  ) /
  SUMIFS(
    'New Backfilled Data'!G:G,
    'New Backfilled Data'!A:A, I874,
    'New Backfilled Data'!D:D, J874
  ),
  ""
)</f>
        <v>0.53752058346945941</v>
      </c>
      <c r="L874" s="84"/>
      <c r="M874" s="84"/>
    </row>
    <row r="875" spans="1:13" ht="17" x14ac:dyDescent="0.2">
      <c r="A875" s="91">
        <v>2012</v>
      </c>
      <c r="B875" s="92" t="s">
        <v>66</v>
      </c>
      <c r="C875" s="92" t="s">
        <v>4</v>
      </c>
      <c r="D875" s="92" t="s">
        <v>13</v>
      </c>
      <c r="E875" s="92" t="s">
        <v>67</v>
      </c>
      <c r="F875" s="92" t="s">
        <v>67</v>
      </c>
      <c r="G875" s="93">
        <v>11692094967</v>
      </c>
      <c r="H875" s="92"/>
      <c r="I875" s="87">
        <f ca="1">IFERROR(__xludf.DUMMYFUNCTION("""COMPUTED_VALUE"""),2026)</f>
        <v>2026</v>
      </c>
      <c r="J875" s="88" t="str">
        <f ca="1">IFERROR(__xludf.DUMMYFUNCTION("""COMPUTED_VALUE"""),"Egypt")</f>
        <v>Egypt</v>
      </c>
      <c r="K875" s="89">
        <f ca="1">IFERROR(
  SUMIFS(
    'New Backfilled Data'!G:G,
    'New Backfilled Data'!A:A, I875,
    'New Backfilled Data'!D:D, J875,
    'New Backfilled Data'!E:E, "Online"
  ) /
  SUMIFS(
    'New Backfilled Data'!G:G,
    'New Backfilled Data'!A:A, I875,
    'New Backfilled Data'!D:D, J875
  ),
  ""
)</f>
        <v>0.43494301844516797</v>
      </c>
      <c r="L875" s="90"/>
      <c r="M875" s="90"/>
    </row>
    <row r="876" spans="1:13" ht="17" x14ac:dyDescent="0.2">
      <c r="A876" s="94">
        <v>2012</v>
      </c>
      <c r="B876" s="95" t="s">
        <v>66</v>
      </c>
      <c r="C876" s="95" t="s">
        <v>4</v>
      </c>
      <c r="D876" s="95" t="s">
        <v>13</v>
      </c>
      <c r="E876" s="95" t="s">
        <v>69</v>
      </c>
      <c r="F876" s="95" t="s">
        <v>71</v>
      </c>
      <c r="G876" s="96">
        <v>644095563</v>
      </c>
      <c r="H876" s="95"/>
      <c r="I876" s="81">
        <f ca="1">IFERROR(__xludf.DUMMYFUNCTION("""COMPUTED_VALUE"""),2026)</f>
        <v>2026</v>
      </c>
      <c r="J876" s="82" t="str">
        <f ca="1">IFERROR(__xludf.DUMMYFUNCTION("""COMPUTED_VALUE"""),"Qatar")</f>
        <v>Qatar</v>
      </c>
      <c r="K876" s="83">
        <f ca="1">IFERROR(
  SUMIFS(
    'New Backfilled Data'!G:G,
    'New Backfilled Data'!A:A, I876,
    'New Backfilled Data'!D:D, J876,
    'New Backfilled Data'!E:E, "Online"
  ) /
  SUMIFS(
    'New Backfilled Data'!G:G,
    'New Backfilled Data'!A:A, I876,
    'New Backfilled Data'!D:D, J876
  ),
  ""
)</f>
        <v>0.47707426911518575</v>
      </c>
      <c r="L876" s="84"/>
      <c r="M876" s="84"/>
    </row>
    <row r="877" spans="1:13" ht="34" x14ac:dyDescent="0.2">
      <c r="A877" s="91">
        <v>2012</v>
      </c>
      <c r="B877" s="92" t="s">
        <v>66</v>
      </c>
      <c r="C877" s="92" t="s">
        <v>4</v>
      </c>
      <c r="D877" s="92" t="s">
        <v>13</v>
      </c>
      <c r="E877" s="92" t="s">
        <v>69</v>
      </c>
      <c r="F877" s="92" t="s">
        <v>70</v>
      </c>
      <c r="G877" s="93">
        <v>2794701539</v>
      </c>
      <c r="H877" s="92"/>
      <c r="I877" s="87">
        <f ca="1">IFERROR(__xludf.DUMMYFUNCTION("""COMPUTED_VALUE"""),2026)</f>
        <v>2026</v>
      </c>
      <c r="J877" s="88" t="str">
        <f ca="1">IFERROR(__xludf.DUMMYFUNCTION("""COMPUTED_VALUE"""),"Rest of Middle East")</f>
        <v>Rest of Middle East</v>
      </c>
      <c r="K877" s="89">
        <f ca="1">IFERROR(
  SUMIFS(
    'New Backfilled Data'!G:G,
    'New Backfilled Data'!A:A, I877,
    'New Backfilled Data'!D:D, J877,
    'New Backfilled Data'!E:E, "Online"
  ) /
  SUMIFS(
    'New Backfilled Data'!G:G,
    'New Backfilled Data'!A:A, I877,
    'New Backfilled Data'!D:D, J877
  ),
  ""
)</f>
        <v>0.46834035462443935</v>
      </c>
      <c r="L877" s="90"/>
      <c r="M877" s="90"/>
    </row>
    <row r="878" spans="1:13" ht="17" x14ac:dyDescent="0.2">
      <c r="A878" s="94">
        <v>2012</v>
      </c>
      <c r="B878" s="95" t="s">
        <v>66</v>
      </c>
      <c r="C878" s="95" t="s">
        <v>4</v>
      </c>
      <c r="D878" s="95" t="s">
        <v>14</v>
      </c>
      <c r="E878" s="95" t="s">
        <v>67</v>
      </c>
      <c r="F878" s="95" t="s">
        <v>67</v>
      </c>
      <c r="G878" s="96">
        <v>7612864586</v>
      </c>
      <c r="H878" s="95"/>
      <c r="I878" s="81">
        <f ca="1">IFERROR(__xludf.DUMMYFUNCTION("""COMPUTED_VALUE"""),2026)</f>
        <v>2026</v>
      </c>
      <c r="J878" s="82" t="str">
        <f ca="1">IFERROR(__xludf.DUMMYFUNCTION("""COMPUTED_VALUE"""),"Saudi Arabia")</f>
        <v>Saudi Arabia</v>
      </c>
      <c r="K878" s="83">
        <f ca="1">IFERROR(
  SUMIFS(
    'New Backfilled Data'!G:G,
    'New Backfilled Data'!A:A, I878,
    'New Backfilled Data'!D:D, J878,
    'New Backfilled Data'!E:E, "Online"
  ) /
  SUMIFS(
    'New Backfilled Data'!G:G,
    'New Backfilled Data'!A:A, I878,
    'New Backfilled Data'!D:D, J878
  ),
  ""
)</f>
        <v>0.56159089075139113</v>
      </c>
      <c r="L878" s="84"/>
      <c r="M878" s="84"/>
    </row>
    <row r="879" spans="1:13" ht="17" x14ac:dyDescent="0.2">
      <c r="A879" s="91">
        <v>2012</v>
      </c>
      <c r="B879" s="92" t="s">
        <v>66</v>
      </c>
      <c r="C879" s="92" t="s">
        <v>4</v>
      </c>
      <c r="D879" s="92" t="s">
        <v>14</v>
      </c>
      <c r="E879" s="92" t="s">
        <v>69</v>
      </c>
      <c r="F879" s="92" t="s">
        <v>71</v>
      </c>
      <c r="G879" s="93">
        <v>250236532</v>
      </c>
      <c r="H879" s="92"/>
      <c r="I879" s="87">
        <f ca="1">IFERROR(__xludf.DUMMYFUNCTION("""COMPUTED_VALUE"""),2026)</f>
        <v>2026</v>
      </c>
      <c r="J879" s="88" t="str">
        <f ca="1">IFERROR(__xludf.DUMMYFUNCTION("""COMPUTED_VALUE"""),"U.A.E.")</f>
        <v>U.A.E.</v>
      </c>
      <c r="K879" s="89">
        <f ca="1">IFERROR(
  SUMIFS(
    'New Backfilled Data'!G:G,
    'New Backfilled Data'!A:A, I879,
    'New Backfilled Data'!D:D, J879,
    'New Backfilled Data'!E:E, "Online"
  ) /
  SUMIFS(
    'New Backfilled Data'!G:G,
    'New Backfilled Data'!A:A, I879,
    'New Backfilled Data'!D:D, J879
  ),
  ""
)</f>
        <v>0.53249609403987264</v>
      </c>
      <c r="L879" s="90"/>
      <c r="M879" s="90"/>
    </row>
    <row r="880" spans="1:13" ht="17" x14ac:dyDescent="0.2">
      <c r="A880" s="94">
        <v>2012</v>
      </c>
      <c r="B880" s="95" t="s">
        <v>66</v>
      </c>
      <c r="C880" s="95" t="s">
        <v>4</v>
      </c>
      <c r="D880" s="95" t="s">
        <v>14</v>
      </c>
      <c r="E880" s="95" t="s">
        <v>69</v>
      </c>
      <c r="F880" s="95" t="s">
        <v>70</v>
      </c>
      <c r="G880" s="96">
        <v>894443792</v>
      </c>
      <c r="H880" s="95"/>
      <c r="I880" s="81">
        <f ca="1">IFERROR(__xludf.DUMMYFUNCTION("""COMPUTED_VALUE"""),2026)</f>
        <v>2026</v>
      </c>
      <c r="J880" s="82" t="str">
        <f ca="1">IFERROR(__xludf.DUMMYFUNCTION("""COMPUTED_VALUE"""),"Canada")</f>
        <v>Canada</v>
      </c>
      <c r="K880" s="83">
        <f ca="1">IFERROR(
  SUMIFS(
    'New Backfilled Data'!G:G,
    'New Backfilled Data'!A:A, I880,
    'New Backfilled Data'!D:D, J880,
    'New Backfilled Data'!E:E, "Online"
  ) /
  SUMIFS(
    'New Backfilled Data'!G:G,
    'New Backfilled Data'!A:A, I880,
    'New Backfilled Data'!D:D, J880
  ),
  ""
)</f>
        <v>0.62521891914314931</v>
      </c>
      <c r="L880" s="84"/>
      <c r="M880" s="84"/>
    </row>
    <row r="881" spans="1:13" ht="17" x14ac:dyDescent="0.2">
      <c r="A881" s="91">
        <v>2012</v>
      </c>
      <c r="B881" s="92" t="s">
        <v>66</v>
      </c>
      <c r="C881" s="92" t="s">
        <v>4</v>
      </c>
      <c r="D881" s="92" t="s">
        <v>15</v>
      </c>
      <c r="E881" s="92" t="s">
        <v>67</v>
      </c>
      <c r="F881" s="92" t="s">
        <v>67</v>
      </c>
      <c r="G881" s="93">
        <v>8974570559</v>
      </c>
      <c r="H881" s="92"/>
      <c r="I881" s="87">
        <f ca="1">IFERROR(__xludf.DUMMYFUNCTION("""COMPUTED_VALUE"""),2026)</f>
        <v>2026</v>
      </c>
      <c r="J881" s="88" t="str">
        <f ca="1">IFERROR(__xludf.DUMMYFUNCTION("""COMPUTED_VALUE"""),"U.S.")</f>
        <v>U.S.</v>
      </c>
      <c r="K881" s="89">
        <f ca="1">IFERROR(
  SUMIFS(
    'New Backfilled Data'!G:G,
    'New Backfilled Data'!A:A, I881,
    'New Backfilled Data'!D:D, J881,
    'New Backfilled Data'!E:E, "Online"
  ) /
  SUMIFS(
    'New Backfilled Data'!G:G,
    'New Backfilled Data'!A:A, I881,
    'New Backfilled Data'!D:D, J881
  ),
  ""
)</f>
        <v>0.63736721345165204</v>
      </c>
      <c r="L881" s="90"/>
      <c r="M881" s="90"/>
    </row>
    <row r="882" spans="1:13" ht="34" x14ac:dyDescent="0.2">
      <c r="A882" s="94">
        <v>2012</v>
      </c>
      <c r="B882" s="95" t="s">
        <v>66</v>
      </c>
      <c r="C882" s="95" t="s">
        <v>4</v>
      </c>
      <c r="D882" s="95" t="s">
        <v>15</v>
      </c>
      <c r="E882" s="95" t="s">
        <v>69</v>
      </c>
      <c r="F882" s="95" t="s">
        <v>71</v>
      </c>
      <c r="G882" s="96">
        <v>1214902644</v>
      </c>
      <c r="H882" s="95"/>
      <c r="I882" s="81">
        <f ca="1">IFERROR(__xludf.DUMMYFUNCTION("""COMPUTED_VALUE"""),2027)</f>
        <v>2027</v>
      </c>
      <c r="J882" s="82" t="str">
        <f ca="1">IFERROR(__xludf.DUMMYFUNCTION("""COMPUTED_VALUE"""),"Australia-New Zealand")</f>
        <v>Australia-New Zealand</v>
      </c>
      <c r="K882" s="83">
        <f ca="1">IFERROR(
  SUMIFS(
    'New Backfilled Data'!G:G,
    'New Backfilled Data'!A:A, I882,
    'New Backfilled Data'!D:D, J882,
    'New Backfilled Data'!E:E, "Online"
  ) /
  SUMIFS(
    'New Backfilled Data'!G:G,
    'New Backfilled Data'!A:A, I882,
    'New Backfilled Data'!D:D, J882
  ),
  ""
)</f>
        <v>0.59643072793191598</v>
      </c>
      <c r="L882" s="84"/>
      <c r="M882" s="84"/>
    </row>
    <row r="883" spans="1:13" ht="17" x14ac:dyDescent="0.2">
      <c r="A883" s="91">
        <v>2012</v>
      </c>
      <c r="B883" s="92" t="s">
        <v>66</v>
      </c>
      <c r="C883" s="92" t="s">
        <v>4</v>
      </c>
      <c r="D883" s="92" t="s">
        <v>15</v>
      </c>
      <c r="E883" s="92" t="s">
        <v>69</v>
      </c>
      <c r="F883" s="92" t="s">
        <v>70</v>
      </c>
      <c r="G883" s="93">
        <v>1245852480</v>
      </c>
      <c r="H883" s="92"/>
      <c r="I883" s="87">
        <f ca="1">IFERROR(__xludf.DUMMYFUNCTION("""COMPUTED_VALUE"""),2027)</f>
        <v>2027</v>
      </c>
      <c r="J883" s="88" t="str">
        <f ca="1">IFERROR(__xludf.DUMMYFUNCTION("""COMPUTED_VALUE"""),"China")</f>
        <v>China</v>
      </c>
      <c r="K883" s="89">
        <f ca="1">IFERROR(
  SUMIFS(
    'New Backfilled Data'!G:G,
    'New Backfilled Data'!A:A, I883,
    'New Backfilled Data'!D:D, J883,
    'New Backfilled Data'!E:E, "Online"
  ) /
  SUMIFS(
    'New Backfilled Data'!G:G,
    'New Backfilled Data'!A:A, I883,
    'New Backfilled Data'!D:D, J883
  ),
  ""
)</f>
        <v>0.79271462923681124</v>
      </c>
      <c r="L883" s="90"/>
      <c r="M883" s="90"/>
    </row>
    <row r="884" spans="1:13" ht="17" x14ac:dyDescent="0.2">
      <c r="A884" s="94">
        <v>2012</v>
      </c>
      <c r="B884" s="95" t="s">
        <v>66</v>
      </c>
      <c r="C884" s="95" t="s">
        <v>17</v>
      </c>
      <c r="D884" s="95" t="s">
        <v>16</v>
      </c>
      <c r="E884" s="95" t="s">
        <v>67</v>
      </c>
      <c r="F884" s="95" t="s">
        <v>67</v>
      </c>
      <c r="G884" s="96">
        <v>1261518555</v>
      </c>
      <c r="H884" s="95"/>
      <c r="I884" s="81">
        <f ca="1">IFERROR(__xludf.DUMMYFUNCTION("""COMPUTED_VALUE"""),2027)</f>
        <v>2027</v>
      </c>
      <c r="J884" s="82" t="str">
        <f ca="1">IFERROR(__xludf.DUMMYFUNCTION("""COMPUTED_VALUE"""),"Hong Kong")</f>
        <v>Hong Kong</v>
      </c>
      <c r="K884" s="83">
        <f ca="1">IFERROR(
  SUMIFS(
    'New Backfilled Data'!G:G,
    'New Backfilled Data'!A:A, I884,
    'New Backfilled Data'!D:D, J884,
    'New Backfilled Data'!E:E, "Online"
  ) /
  SUMIFS(
    'New Backfilled Data'!G:G,
    'New Backfilled Data'!A:A, I884,
    'New Backfilled Data'!D:D, J884
  ),
  ""
)</f>
        <v>0.48692246009784812</v>
      </c>
      <c r="L884" s="84"/>
      <c r="M884" s="84"/>
    </row>
    <row r="885" spans="1:13" ht="17" x14ac:dyDescent="0.2">
      <c r="A885" s="91">
        <v>2012</v>
      </c>
      <c r="B885" s="92" t="s">
        <v>66</v>
      </c>
      <c r="C885" s="92" t="s">
        <v>17</v>
      </c>
      <c r="D885" s="92" t="s">
        <v>16</v>
      </c>
      <c r="E885" s="92" t="s">
        <v>69</v>
      </c>
      <c r="F885" s="92" t="s">
        <v>71</v>
      </c>
      <c r="G885" s="93">
        <v>54004599</v>
      </c>
      <c r="H885" s="92"/>
      <c r="I885" s="87">
        <f ca="1">IFERROR(__xludf.DUMMYFUNCTION("""COMPUTED_VALUE"""),2027)</f>
        <v>2027</v>
      </c>
      <c r="J885" s="88" t="str">
        <f ca="1">IFERROR(__xludf.DUMMYFUNCTION("""COMPUTED_VALUE"""),"India")</f>
        <v>India</v>
      </c>
      <c r="K885" s="89">
        <f ca="1">IFERROR(
  SUMIFS(
    'New Backfilled Data'!G:G,
    'New Backfilled Data'!A:A, I885,
    'New Backfilled Data'!D:D, J885,
    'New Backfilled Data'!E:E, "Online"
  ) /
  SUMIFS(
    'New Backfilled Data'!G:G,
    'New Backfilled Data'!A:A, I885,
    'New Backfilled Data'!D:D, J885
  ),
  ""
)</f>
        <v>0.60592719647925064</v>
      </c>
      <c r="L885" s="90"/>
      <c r="M885" s="90"/>
    </row>
    <row r="886" spans="1:13" ht="17" x14ac:dyDescent="0.2">
      <c r="A886" s="94">
        <v>2012</v>
      </c>
      <c r="B886" s="95" t="s">
        <v>66</v>
      </c>
      <c r="C886" s="95" t="s">
        <v>17</v>
      </c>
      <c r="D886" s="95" t="s">
        <v>16</v>
      </c>
      <c r="E886" s="95" t="s">
        <v>69</v>
      </c>
      <c r="F886" s="95" t="s">
        <v>70</v>
      </c>
      <c r="G886" s="96">
        <v>195828481</v>
      </c>
      <c r="H886" s="95"/>
      <c r="I886" s="81">
        <f ca="1">IFERROR(__xludf.DUMMYFUNCTION("""COMPUTED_VALUE"""),2027)</f>
        <v>2027</v>
      </c>
      <c r="J886" s="82" t="str">
        <f ca="1">IFERROR(__xludf.DUMMYFUNCTION("""COMPUTED_VALUE"""),"Indonesia")</f>
        <v>Indonesia</v>
      </c>
      <c r="K886" s="83">
        <f ca="1">IFERROR(
  SUMIFS(
    'New Backfilled Data'!G:G,
    'New Backfilled Data'!A:A, I886,
    'New Backfilled Data'!D:D, J886,
    'New Backfilled Data'!E:E, "Online"
  ) /
  SUMIFS(
    'New Backfilled Data'!G:G,
    'New Backfilled Data'!A:A, I886,
    'New Backfilled Data'!D:D, J886
  ),
  ""
)</f>
        <v>0.74028425659556851</v>
      </c>
      <c r="L886" s="84"/>
      <c r="M886" s="84"/>
    </row>
    <row r="887" spans="1:13" ht="17" x14ac:dyDescent="0.2">
      <c r="A887" s="91">
        <v>2012</v>
      </c>
      <c r="B887" s="92" t="s">
        <v>66</v>
      </c>
      <c r="C887" s="92" t="s">
        <v>17</v>
      </c>
      <c r="D887" s="92" t="s">
        <v>18</v>
      </c>
      <c r="E887" s="92" t="s">
        <v>67</v>
      </c>
      <c r="F887" s="92" t="s">
        <v>67</v>
      </c>
      <c r="G887" s="93">
        <v>2566064689</v>
      </c>
      <c r="H887" s="92"/>
      <c r="I887" s="87">
        <f ca="1">IFERROR(__xludf.DUMMYFUNCTION("""COMPUTED_VALUE"""),2027)</f>
        <v>2027</v>
      </c>
      <c r="J887" s="88" t="str">
        <f ca="1">IFERROR(__xludf.DUMMYFUNCTION("""COMPUTED_VALUE"""),"Japan")</f>
        <v>Japan</v>
      </c>
      <c r="K887" s="89">
        <f ca="1">IFERROR(
  SUMIFS(
    'New Backfilled Data'!G:G,
    'New Backfilled Data'!A:A, I887,
    'New Backfilled Data'!D:D, J887,
    'New Backfilled Data'!E:E, "Online"
  ) /
  SUMIFS(
    'New Backfilled Data'!G:G,
    'New Backfilled Data'!A:A, I887,
    'New Backfilled Data'!D:D, J887
  ),
  ""
)</f>
        <v>0.60150477549773795</v>
      </c>
      <c r="L887" s="90"/>
      <c r="M887" s="90"/>
    </row>
    <row r="888" spans="1:13" ht="17" x14ac:dyDescent="0.2">
      <c r="A888" s="94">
        <v>2012</v>
      </c>
      <c r="B888" s="95" t="s">
        <v>66</v>
      </c>
      <c r="C888" s="95" t="s">
        <v>17</v>
      </c>
      <c r="D888" s="95" t="s">
        <v>18</v>
      </c>
      <c r="E888" s="95" t="s">
        <v>69</v>
      </c>
      <c r="F888" s="95" t="s">
        <v>71</v>
      </c>
      <c r="G888" s="96">
        <v>425690640</v>
      </c>
      <c r="H888" s="95"/>
      <c r="I888" s="81">
        <f ca="1">IFERROR(__xludf.DUMMYFUNCTION("""COMPUTED_VALUE"""),2027)</f>
        <v>2027</v>
      </c>
      <c r="J888" s="82" t="str">
        <f ca="1">IFERROR(__xludf.DUMMYFUNCTION("""COMPUTED_VALUE"""),"Macau")</f>
        <v>Macau</v>
      </c>
      <c r="K888" s="83">
        <f ca="1">IFERROR(
  SUMIFS(
    'New Backfilled Data'!G:G,
    'New Backfilled Data'!A:A, I888,
    'New Backfilled Data'!D:D, J888,
    'New Backfilled Data'!E:E, "Online"
  ) /
  SUMIFS(
    'New Backfilled Data'!G:G,
    'New Backfilled Data'!A:A, I888,
    'New Backfilled Data'!D:D, J888
  ),
  ""
)</f>
        <v>0.77000000009721692</v>
      </c>
      <c r="L888" s="84"/>
      <c r="M888" s="84"/>
    </row>
    <row r="889" spans="1:13" ht="17" x14ac:dyDescent="0.2">
      <c r="A889" s="91">
        <v>2012</v>
      </c>
      <c r="B889" s="92" t="s">
        <v>66</v>
      </c>
      <c r="C889" s="92" t="s">
        <v>17</v>
      </c>
      <c r="D889" s="92" t="s">
        <v>18</v>
      </c>
      <c r="E889" s="92" t="s">
        <v>69</v>
      </c>
      <c r="F889" s="92" t="s">
        <v>70</v>
      </c>
      <c r="G889" s="93">
        <v>427766437</v>
      </c>
      <c r="H889" s="92"/>
      <c r="I889" s="87">
        <f ca="1">IFERROR(__xludf.DUMMYFUNCTION("""COMPUTED_VALUE"""),2027)</f>
        <v>2027</v>
      </c>
      <c r="J889" s="88" t="str">
        <f ca="1">IFERROR(__xludf.DUMMYFUNCTION("""COMPUTED_VALUE"""),"Malaysia")</f>
        <v>Malaysia</v>
      </c>
      <c r="K889" s="89">
        <f ca="1">IFERROR(
  SUMIFS(
    'New Backfilled Data'!G:G,
    'New Backfilled Data'!A:A, I889,
    'New Backfilled Data'!D:D, J889,
    'New Backfilled Data'!E:E, "Online"
  ) /
  SUMIFS(
    'New Backfilled Data'!G:G,
    'New Backfilled Data'!A:A, I889,
    'New Backfilled Data'!D:D, J889
  ),
  ""
)</f>
        <v>0.80631937355013006</v>
      </c>
      <c r="L889" s="90"/>
      <c r="M889" s="90"/>
    </row>
    <row r="890" spans="1:13" ht="17" x14ac:dyDescent="0.2">
      <c r="A890" s="94">
        <v>2012</v>
      </c>
      <c r="B890" s="95" t="s">
        <v>66</v>
      </c>
      <c r="C890" s="95" t="s">
        <v>17</v>
      </c>
      <c r="D890" s="95" t="s">
        <v>19</v>
      </c>
      <c r="E890" s="95" t="s">
        <v>67</v>
      </c>
      <c r="F890" s="95" t="s">
        <v>67</v>
      </c>
      <c r="G890" s="96">
        <v>7571196438</v>
      </c>
      <c r="H890" s="95"/>
      <c r="I890" s="81">
        <f ca="1">IFERROR(__xludf.DUMMYFUNCTION("""COMPUTED_VALUE"""),2027)</f>
        <v>2027</v>
      </c>
      <c r="J890" s="82" t="str">
        <f ca="1">IFERROR(__xludf.DUMMYFUNCTION("""COMPUTED_VALUE"""),"Singapore")</f>
        <v>Singapore</v>
      </c>
      <c r="K890" s="83">
        <f ca="1">IFERROR(
  SUMIFS(
    'New Backfilled Data'!G:G,
    'New Backfilled Data'!A:A, I890,
    'New Backfilled Data'!D:D, J890,
    'New Backfilled Data'!E:E, "Online"
  ) /
  SUMIFS(
    'New Backfilled Data'!G:G,
    'New Backfilled Data'!A:A, I890,
    'New Backfilled Data'!D:D, J890
  ),
  ""
)</f>
        <v>0.72878570512085183</v>
      </c>
      <c r="L890" s="84"/>
      <c r="M890" s="84"/>
    </row>
    <row r="891" spans="1:13" ht="17" x14ac:dyDescent="0.2">
      <c r="A891" s="91">
        <v>2012</v>
      </c>
      <c r="B891" s="92" t="s">
        <v>66</v>
      </c>
      <c r="C891" s="92" t="s">
        <v>17</v>
      </c>
      <c r="D891" s="92" t="s">
        <v>19</v>
      </c>
      <c r="E891" s="92" t="s">
        <v>69</v>
      </c>
      <c r="F891" s="92" t="s">
        <v>71</v>
      </c>
      <c r="G891" s="93">
        <v>828218647</v>
      </c>
      <c r="H891" s="92"/>
      <c r="I891" s="87">
        <f ca="1">IFERROR(__xludf.DUMMYFUNCTION("""COMPUTED_VALUE"""),2027)</f>
        <v>2027</v>
      </c>
      <c r="J891" s="88" t="str">
        <f ca="1">IFERROR(__xludf.DUMMYFUNCTION("""COMPUTED_VALUE"""),"South Korea")</f>
        <v>South Korea</v>
      </c>
      <c r="K891" s="89">
        <f ca="1">IFERROR(
  SUMIFS(
    'New Backfilled Data'!G:G,
    'New Backfilled Data'!A:A, I891,
    'New Backfilled Data'!D:D, J891,
    'New Backfilled Data'!E:E, "Online"
  ) /
  SUMIFS(
    'New Backfilled Data'!G:G,
    'New Backfilled Data'!A:A, I891,
    'New Backfilled Data'!D:D, J891
  ),
  ""
)</f>
        <v>0.64059109881334264</v>
      </c>
      <c r="L891" s="90"/>
      <c r="M891" s="90"/>
    </row>
    <row r="892" spans="1:13" ht="17" x14ac:dyDescent="0.2">
      <c r="A892" s="94">
        <v>2012</v>
      </c>
      <c r="B892" s="95" t="s">
        <v>66</v>
      </c>
      <c r="C892" s="95" t="s">
        <v>17</v>
      </c>
      <c r="D892" s="95" t="s">
        <v>19</v>
      </c>
      <c r="E892" s="95" t="s">
        <v>69</v>
      </c>
      <c r="F892" s="95" t="s">
        <v>70</v>
      </c>
      <c r="G892" s="96">
        <v>1583921687</v>
      </c>
      <c r="H892" s="95"/>
      <c r="I892" s="81">
        <f ca="1">IFERROR(__xludf.DUMMYFUNCTION("""COMPUTED_VALUE"""),2027)</f>
        <v>2027</v>
      </c>
      <c r="J892" s="82" t="str">
        <f ca="1">IFERROR(__xludf.DUMMYFUNCTION("""COMPUTED_VALUE"""),"Taiwan")</f>
        <v>Taiwan</v>
      </c>
      <c r="K892" s="83">
        <f ca="1">IFERROR(
  SUMIFS(
    'New Backfilled Data'!G:G,
    'New Backfilled Data'!A:A, I892,
    'New Backfilled Data'!D:D, J892,
    'New Backfilled Data'!E:E, "Online"
  ) /
  SUMIFS(
    'New Backfilled Data'!G:G,
    'New Backfilled Data'!A:A, I892,
    'New Backfilled Data'!D:D, J892
  ),
  ""
)</f>
        <v>0.56143953736612795</v>
      </c>
      <c r="L892" s="84"/>
      <c r="M892" s="84"/>
    </row>
    <row r="893" spans="1:13" ht="17" x14ac:dyDescent="0.2">
      <c r="A893" s="91">
        <v>2012</v>
      </c>
      <c r="B893" s="92" t="s">
        <v>66</v>
      </c>
      <c r="C893" s="92" t="s">
        <v>17</v>
      </c>
      <c r="D893" s="92" t="s">
        <v>20</v>
      </c>
      <c r="E893" s="92" t="s">
        <v>67</v>
      </c>
      <c r="F893" s="92" t="s">
        <v>67</v>
      </c>
      <c r="G893" s="93">
        <v>1678712243</v>
      </c>
      <c r="H893" s="92"/>
      <c r="I893" s="87">
        <f ca="1">IFERROR(__xludf.DUMMYFUNCTION("""COMPUTED_VALUE"""),2027)</f>
        <v>2027</v>
      </c>
      <c r="J893" s="88" t="str">
        <f ca="1">IFERROR(__xludf.DUMMYFUNCTION("""COMPUTED_VALUE"""),"Thailand")</f>
        <v>Thailand</v>
      </c>
      <c r="K893" s="89">
        <f ca="1">IFERROR(
  SUMIFS(
    'New Backfilled Data'!G:G,
    'New Backfilled Data'!A:A, I893,
    'New Backfilled Data'!D:D, J893,
    'New Backfilled Data'!E:E, "Online"
  ) /
  SUMIFS(
    'New Backfilled Data'!G:G,
    'New Backfilled Data'!A:A, I893,
    'New Backfilled Data'!D:D, J893
  ),
  ""
)</f>
        <v>0.71865981617402586</v>
      </c>
      <c r="L893" s="90"/>
      <c r="M893" s="90"/>
    </row>
    <row r="894" spans="1:13" ht="17" x14ac:dyDescent="0.2">
      <c r="A894" s="94">
        <v>2012</v>
      </c>
      <c r="B894" s="95" t="s">
        <v>66</v>
      </c>
      <c r="C894" s="95" t="s">
        <v>17</v>
      </c>
      <c r="D894" s="95" t="s">
        <v>20</v>
      </c>
      <c r="E894" s="95" t="s">
        <v>69</v>
      </c>
      <c r="F894" s="95" t="s">
        <v>71</v>
      </c>
      <c r="G894" s="96">
        <v>122244779</v>
      </c>
      <c r="H894" s="95"/>
      <c r="I894" s="81">
        <f ca="1">IFERROR(__xludf.DUMMYFUNCTION("""COMPUTED_VALUE"""),2027)</f>
        <v>2027</v>
      </c>
      <c r="J894" s="82" t="str">
        <f ca="1">IFERROR(__xludf.DUMMYFUNCTION("""COMPUTED_VALUE"""),"Bulgaria")</f>
        <v>Bulgaria</v>
      </c>
      <c r="K894" s="83">
        <f ca="1">IFERROR(
  SUMIFS(
    'New Backfilled Data'!G:G,
    'New Backfilled Data'!A:A, I894,
    'New Backfilled Data'!D:D, J894,
    'New Backfilled Data'!E:E, "Online"
  ) /
  SUMIFS(
    'New Backfilled Data'!G:G,
    'New Backfilled Data'!A:A, I894,
    'New Backfilled Data'!D:D, J894
  ),
  ""
)</f>
        <v>0.56421377578176679</v>
      </c>
      <c r="L894" s="84"/>
      <c r="M894" s="84"/>
    </row>
    <row r="895" spans="1:13" ht="17" x14ac:dyDescent="0.2">
      <c r="A895" s="91">
        <v>2012</v>
      </c>
      <c r="B895" s="92" t="s">
        <v>66</v>
      </c>
      <c r="C895" s="92" t="s">
        <v>17</v>
      </c>
      <c r="D895" s="92" t="s">
        <v>20</v>
      </c>
      <c r="E895" s="92" t="s">
        <v>69</v>
      </c>
      <c r="F895" s="92" t="s">
        <v>70</v>
      </c>
      <c r="G895" s="93">
        <v>529090863</v>
      </c>
      <c r="H895" s="92"/>
      <c r="I895" s="87">
        <f ca="1">IFERROR(__xludf.DUMMYFUNCTION("""COMPUTED_VALUE"""),2027)</f>
        <v>2027</v>
      </c>
      <c r="J895" s="88" t="str">
        <f ca="1">IFERROR(__xludf.DUMMYFUNCTION("""COMPUTED_VALUE"""),"Czech Republic")</f>
        <v>Czech Republic</v>
      </c>
      <c r="K895" s="89">
        <f ca="1">IFERROR(
  SUMIFS(
    'New Backfilled Data'!G:G,
    'New Backfilled Data'!A:A, I895,
    'New Backfilled Data'!D:D, J895,
    'New Backfilled Data'!E:E, "Online"
  ) /
  SUMIFS(
    'New Backfilled Data'!G:G,
    'New Backfilled Data'!A:A, I895,
    'New Backfilled Data'!D:D, J895
  ),
  ""
)</f>
        <v>0.70669785573393507</v>
      </c>
      <c r="L895" s="90"/>
      <c r="M895" s="90"/>
    </row>
    <row r="896" spans="1:13" ht="17" x14ac:dyDescent="0.2">
      <c r="A896" s="94">
        <v>2012</v>
      </c>
      <c r="B896" s="95" t="s">
        <v>66</v>
      </c>
      <c r="C896" s="95" t="s">
        <v>17</v>
      </c>
      <c r="D896" s="95" t="s">
        <v>21</v>
      </c>
      <c r="E896" s="95" t="s">
        <v>67</v>
      </c>
      <c r="F896" s="95" t="s">
        <v>67</v>
      </c>
      <c r="G896" s="96">
        <v>4016230853</v>
      </c>
      <c r="H896" s="95"/>
      <c r="I896" s="81">
        <f ca="1">IFERROR(__xludf.DUMMYFUNCTION("""COMPUTED_VALUE"""),2027)</f>
        <v>2027</v>
      </c>
      <c r="J896" s="82" t="str">
        <f ca="1">IFERROR(__xludf.DUMMYFUNCTION("""COMPUTED_VALUE"""),"Greece")</f>
        <v>Greece</v>
      </c>
      <c r="K896" s="83">
        <f ca="1">IFERROR(
  SUMIFS(
    'New Backfilled Data'!G:G,
    'New Backfilled Data'!A:A, I896,
    'New Backfilled Data'!D:D, J896,
    'New Backfilled Data'!E:E, "Online"
  ) /
  SUMIFS(
    'New Backfilled Data'!G:G,
    'New Backfilled Data'!A:A, I896,
    'New Backfilled Data'!D:D, J896
  ),
  ""
)</f>
        <v>0.60840363169596634</v>
      </c>
      <c r="L896" s="84"/>
      <c r="M896" s="84"/>
    </row>
    <row r="897" spans="1:13" ht="17" x14ac:dyDescent="0.2">
      <c r="A897" s="91">
        <v>2012</v>
      </c>
      <c r="B897" s="92" t="s">
        <v>66</v>
      </c>
      <c r="C897" s="92" t="s">
        <v>17</v>
      </c>
      <c r="D897" s="92" t="s">
        <v>21</v>
      </c>
      <c r="E897" s="92" t="s">
        <v>69</v>
      </c>
      <c r="F897" s="92" t="s">
        <v>71</v>
      </c>
      <c r="G897" s="93">
        <v>379203910</v>
      </c>
      <c r="H897" s="92"/>
      <c r="I897" s="87">
        <f ca="1">IFERROR(__xludf.DUMMYFUNCTION("""COMPUTED_VALUE"""),2027)</f>
        <v>2027</v>
      </c>
      <c r="J897" s="88" t="str">
        <f ca="1">IFERROR(__xludf.DUMMYFUNCTION("""COMPUTED_VALUE"""),"Hungary")</f>
        <v>Hungary</v>
      </c>
      <c r="K897" s="89">
        <f ca="1">IFERROR(
  SUMIFS(
    'New Backfilled Data'!G:G,
    'New Backfilled Data'!A:A, I897,
    'New Backfilled Data'!D:D, J897,
    'New Backfilled Data'!E:E, "Online"
  ) /
  SUMIFS(
    'New Backfilled Data'!G:G,
    'New Backfilled Data'!A:A, I897,
    'New Backfilled Data'!D:D, J897
  ),
  ""
)</f>
        <v>0.9287310471448269</v>
      </c>
      <c r="L897" s="90"/>
      <c r="M897" s="90"/>
    </row>
    <row r="898" spans="1:13" ht="17" x14ac:dyDescent="0.2">
      <c r="A898" s="94">
        <v>2012</v>
      </c>
      <c r="B898" s="95" t="s">
        <v>66</v>
      </c>
      <c r="C898" s="95" t="s">
        <v>17</v>
      </c>
      <c r="D898" s="95" t="s">
        <v>21</v>
      </c>
      <c r="E898" s="95" t="s">
        <v>69</v>
      </c>
      <c r="F898" s="95" t="s">
        <v>70</v>
      </c>
      <c r="G898" s="96">
        <v>838432148</v>
      </c>
      <c r="H898" s="95"/>
      <c r="I898" s="81">
        <f ca="1">IFERROR(__xludf.DUMMYFUNCTION("""COMPUTED_VALUE"""),2027)</f>
        <v>2027</v>
      </c>
      <c r="J898" s="82" t="str">
        <f ca="1">IFERROR(__xludf.DUMMYFUNCTION("""COMPUTED_VALUE"""),"Poland")</f>
        <v>Poland</v>
      </c>
      <c r="K898" s="83">
        <f ca="1">IFERROR(
  SUMIFS(
    'New Backfilled Data'!G:G,
    'New Backfilled Data'!A:A, I898,
    'New Backfilled Data'!D:D, J898,
    'New Backfilled Data'!E:E, "Online"
  ) /
  SUMIFS(
    'New Backfilled Data'!G:G,
    'New Backfilled Data'!A:A, I898,
    'New Backfilled Data'!D:D, J898
  ),
  ""
)</f>
        <v>0.60225697383527443</v>
      </c>
      <c r="L898" s="84"/>
      <c r="M898" s="84"/>
    </row>
    <row r="899" spans="1:13" ht="34" x14ac:dyDescent="0.2">
      <c r="A899" s="91">
        <v>2012</v>
      </c>
      <c r="B899" s="92" t="s">
        <v>66</v>
      </c>
      <c r="C899" s="92" t="s">
        <v>17</v>
      </c>
      <c r="D899" s="92" t="s">
        <v>22</v>
      </c>
      <c r="E899" s="92" t="s">
        <v>67</v>
      </c>
      <c r="F899" s="92" t="s">
        <v>67</v>
      </c>
      <c r="G899" s="93">
        <v>1867963412</v>
      </c>
      <c r="H899" s="92"/>
      <c r="I899" s="87">
        <f ca="1">IFERROR(__xludf.DUMMYFUNCTION("""COMPUTED_VALUE"""),2027)</f>
        <v>2027</v>
      </c>
      <c r="J899" s="88" t="str">
        <f ca="1">IFERROR(__xludf.DUMMYFUNCTION("""COMPUTED_VALUE"""),"Rest of Eastern Europe")</f>
        <v>Rest of Eastern Europe</v>
      </c>
      <c r="K899" s="89">
        <f ca="1">IFERROR(
  SUMIFS(
    'New Backfilled Data'!G:G,
    'New Backfilled Data'!A:A, I899,
    'New Backfilled Data'!D:D, J899,
    'New Backfilled Data'!E:E, "Online"
  ) /
  SUMIFS(
    'New Backfilled Data'!G:G,
    'New Backfilled Data'!A:A, I899,
    'New Backfilled Data'!D:D, J899
  ),
  ""
)</f>
        <v>0.69045690491790712</v>
      </c>
      <c r="L899" s="90"/>
      <c r="M899" s="90"/>
    </row>
    <row r="900" spans="1:13" ht="17" x14ac:dyDescent="0.2">
      <c r="A900" s="94">
        <v>2012</v>
      </c>
      <c r="B900" s="95" t="s">
        <v>66</v>
      </c>
      <c r="C900" s="95" t="s">
        <v>17</v>
      </c>
      <c r="D900" s="95" t="s">
        <v>22</v>
      </c>
      <c r="E900" s="95" t="s">
        <v>69</v>
      </c>
      <c r="F900" s="95" t="s">
        <v>71</v>
      </c>
      <c r="G900" s="96">
        <v>123824506</v>
      </c>
      <c r="H900" s="95"/>
      <c r="I900" s="81">
        <f ca="1">IFERROR(__xludf.DUMMYFUNCTION("""COMPUTED_VALUE"""),2027)</f>
        <v>2027</v>
      </c>
      <c r="J900" s="82" t="str">
        <f ca="1">IFERROR(__xludf.DUMMYFUNCTION("""COMPUTED_VALUE"""),"Romania")</f>
        <v>Romania</v>
      </c>
      <c r="K900" s="83">
        <f ca="1">IFERROR(
  SUMIFS(
    'New Backfilled Data'!G:G,
    'New Backfilled Data'!A:A, I900,
    'New Backfilled Data'!D:D, J900,
    'New Backfilled Data'!E:E, "Online"
  ) /
  SUMIFS(
    'New Backfilled Data'!G:G,
    'New Backfilled Data'!A:A, I900,
    'New Backfilled Data'!D:D, J900
  ),
  ""
)</f>
        <v>0.6112945734345212</v>
      </c>
      <c r="L900" s="84"/>
      <c r="M900" s="84"/>
    </row>
    <row r="901" spans="1:13" ht="17" x14ac:dyDescent="0.2">
      <c r="A901" s="91">
        <v>2012</v>
      </c>
      <c r="B901" s="92" t="s">
        <v>66</v>
      </c>
      <c r="C901" s="92" t="s">
        <v>17</v>
      </c>
      <c r="D901" s="92" t="s">
        <v>22</v>
      </c>
      <c r="E901" s="92" t="s">
        <v>69</v>
      </c>
      <c r="F901" s="92" t="s">
        <v>70</v>
      </c>
      <c r="G901" s="93">
        <v>176398901</v>
      </c>
      <c r="H901" s="92"/>
      <c r="I901" s="87">
        <f ca="1">IFERROR(__xludf.DUMMYFUNCTION("""COMPUTED_VALUE"""),2027)</f>
        <v>2027</v>
      </c>
      <c r="J901" s="88" t="str">
        <f ca="1">IFERROR(__xludf.DUMMYFUNCTION("""COMPUTED_VALUE"""),"Russia")</f>
        <v>Russia</v>
      </c>
      <c r="K901" s="89">
        <f ca="1">IFERROR(
  SUMIFS(
    'New Backfilled Data'!G:G,
    'New Backfilled Data'!A:A, I901,
    'New Backfilled Data'!D:D, J901,
    'New Backfilled Data'!E:E, "Online"
  ) /
  SUMIFS(
    'New Backfilled Data'!G:G,
    'New Backfilled Data'!A:A, I901,
    'New Backfilled Data'!D:D, J901
  ),
  ""
)</f>
        <v>0.577466661049581</v>
      </c>
      <c r="L901" s="90"/>
      <c r="M901" s="90"/>
    </row>
    <row r="902" spans="1:13" ht="17" x14ac:dyDescent="0.2">
      <c r="A902" s="94">
        <v>2012</v>
      </c>
      <c r="B902" s="95" t="s">
        <v>66</v>
      </c>
      <c r="C902" s="95" t="s">
        <v>17</v>
      </c>
      <c r="D902" s="95" t="s">
        <v>23</v>
      </c>
      <c r="E902" s="95" t="s">
        <v>67</v>
      </c>
      <c r="F902" s="95" t="s">
        <v>67</v>
      </c>
      <c r="G902" s="96">
        <v>2580282491</v>
      </c>
      <c r="H902" s="95"/>
      <c r="I902" s="81">
        <f ca="1">IFERROR(__xludf.DUMMYFUNCTION("""COMPUTED_VALUE"""),2027)</f>
        <v>2027</v>
      </c>
      <c r="J902" s="82" t="str">
        <f ca="1">IFERROR(__xludf.DUMMYFUNCTION("""COMPUTED_VALUE"""),"Ukraine")</f>
        <v>Ukraine</v>
      </c>
      <c r="K902" s="83" t="str">
        <f ca="1">IFERROR(
  SUMIFS(
    'New Backfilled Data'!G:G,
    'New Backfilled Data'!A:A, I902,
    'New Backfilled Data'!D:D, J902,
    'New Backfilled Data'!E:E, "Online"
  ) /
  SUMIFS(
    'New Backfilled Data'!G:G,
    'New Backfilled Data'!A:A, I902,
    'New Backfilled Data'!D:D, J902
  ),
  ""
)</f>
        <v/>
      </c>
      <c r="L902" s="84"/>
      <c r="M902" s="84"/>
    </row>
    <row r="903" spans="1:13" ht="17" x14ac:dyDescent="0.2">
      <c r="A903" s="91">
        <v>2012</v>
      </c>
      <c r="B903" s="92" t="s">
        <v>66</v>
      </c>
      <c r="C903" s="92" t="s">
        <v>17</v>
      </c>
      <c r="D903" s="92" t="s">
        <v>23</v>
      </c>
      <c r="E903" s="92" t="s">
        <v>69</v>
      </c>
      <c r="F903" s="92" t="s">
        <v>71</v>
      </c>
      <c r="G903" s="93">
        <v>197531068</v>
      </c>
      <c r="H903" s="92"/>
      <c r="I903" s="87">
        <f ca="1">IFERROR(__xludf.DUMMYFUNCTION("""COMPUTED_VALUE"""),2027)</f>
        <v>2027</v>
      </c>
      <c r="J903" s="88" t="str">
        <f ca="1">IFERROR(__xludf.DUMMYFUNCTION("""COMPUTED_VALUE"""),"France")</f>
        <v>France</v>
      </c>
      <c r="K903" s="89">
        <f ca="1">IFERROR(
  SUMIFS(
    'New Backfilled Data'!G:G,
    'New Backfilled Data'!A:A, I903,
    'New Backfilled Data'!D:D, J903,
    'New Backfilled Data'!E:E, "Online"
  ) /
  SUMIFS(
    'New Backfilled Data'!G:G,
    'New Backfilled Data'!A:A, I903,
    'New Backfilled Data'!D:D, J903
  ),
  ""
)</f>
        <v>0.55792666657197665</v>
      </c>
      <c r="L903" s="90"/>
      <c r="M903" s="90"/>
    </row>
    <row r="904" spans="1:13" ht="17" x14ac:dyDescent="0.2">
      <c r="A904" s="94">
        <v>2012</v>
      </c>
      <c r="B904" s="95" t="s">
        <v>66</v>
      </c>
      <c r="C904" s="95" t="s">
        <v>17</v>
      </c>
      <c r="D904" s="95" t="s">
        <v>23</v>
      </c>
      <c r="E904" s="95" t="s">
        <v>69</v>
      </c>
      <c r="F904" s="95" t="s">
        <v>70</v>
      </c>
      <c r="G904" s="96">
        <v>462944826</v>
      </c>
      <c r="H904" s="95"/>
      <c r="I904" s="81">
        <f ca="1">IFERROR(__xludf.DUMMYFUNCTION("""COMPUTED_VALUE"""),2027)</f>
        <v>2027</v>
      </c>
      <c r="J904" s="82" t="str">
        <f ca="1">IFERROR(__xludf.DUMMYFUNCTION("""COMPUTED_VALUE"""),"Germany")</f>
        <v>Germany</v>
      </c>
      <c r="K904" s="83">
        <f ca="1">IFERROR(
  SUMIFS(
    'New Backfilled Data'!G:G,
    'New Backfilled Data'!A:A, I904,
    'New Backfilled Data'!D:D, J904,
    'New Backfilled Data'!E:E, "Online"
  ) /
  SUMIFS(
    'New Backfilled Data'!G:G,
    'New Backfilled Data'!A:A, I904,
    'New Backfilled Data'!D:D, J904
  ),
  ""
)</f>
        <v>0.7257121656732769</v>
      </c>
      <c r="L904" s="84"/>
      <c r="M904" s="84"/>
    </row>
    <row r="905" spans="1:13" ht="17" x14ac:dyDescent="0.2">
      <c r="A905" s="91">
        <v>2012</v>
      </c>
      <c r="B905" s="92" t="s">
        <v>66</v>
      </c>
      <c r="C905" s="92" t="s">
        <v>17</v>
      </c>
      <c r="D905" s="92" t="s">
        <v>24</v>
      </c>
      <c r="E905" s="92" t="s">
        <v>67</v>
      </c>
      <c r="F905" s="92" t="s">
        <v>67</v>
      </c>
      <c r="G905" s="93">
        <v>36132509683</v>
      </c>
      <c r="H905" s="92"/>
      <c r="I905" s="87">
        <f ca="1">IFERROR(__xludf.DUMMYFUNCTION("""COMPUTED_VALUE"""),2027)</f>
        <v>2027</v>
      </c>
      <c r="J905" s="88" t="str">
        <f ca="1">IFERROR(__xludf.DUMMYFUNCTION("""COMPUTED_VALUE"""),"Italy")</f>
        <v>Italy</v>
      </c>
      <c r="K905" s="89">
        <f ca="1">IFERROR(
  SUMIFS(
    'New Backfilled Data'!G:G,
    'New Backfilled Data'!A:A, I905,
    'New Backfilled Data'!D:D, J905,
    'New Backfilled Data'!E:E, "Online"
  ) /
  SUMIFS(
    'New Backfilled Data'!G:G,
    'New Backfilled Data'!A:A, I905,
    'New Backfilled Data'!D:D, J905
  ),
  ""
)</f>
        <v>0.60958839917604546</v>
      </c>
      <c r="L905" s="90"/>
      <c r="M905" s="90"/>
    </row>
    <row r="906" spans="1:13" ht="17" x14ac:dyDescent="0.2">
      <c r="A906" s="94">
        <v>2012</v>
      </c>
      <c r="B906" s="95" t="s">
        <v>66</v>
      </c>
      <c r="C906" s="95" t="s">
        <v>17</v>
      </c>
      <c r="D906" s="95" t="s">
        <v>24</v>
      </c>
      <c r="E906" s="95" t="s">
        <v>69</v>
      </c>
      <c r="F906" s="95" t="s">
        <v>71</v>
      </c>
      <c r="G906" s="96">
        <v>3626411078</v>
      </c>
      <c r="H906" s="95"/>
      <c r="I906" s="81">
        <f ca="1">IFERROR(__xludf.DUMMYFUNCTION("""COMPUTED_VALUE"""),2027)</f>
        <v>2027</v>
      </c>
      <c r="J906" s="82" t="str">
        <f ca="1">IFERROR(__xludf.DUMMYFUNCTION("""COMPUTED_VALUE"""),"Rest of Europe")</f>
        <v>Rest of Europe</v>
      </c>
      <c r="K906" s="83">
        <f ca="1">IFERROR(
  SUMIFS(
    'New Backfilled Data'!G:G,
    'New Backfilled Data'!A:A, I906,
    'New Backfilled Data'!D:D, J906,
    'New Backfilled Data'!E:E, "Online"
  ) /
  SUMIFS(
    'New Backfilled Data'!G:G,
    'New Backfilled Data'!A:A, I906,
    'New Backfilled Data'!D:D, J906
  ),
  ""
)</f>
        <v>0.70408240224990615</v>
      </c>
      <c r="L906" s="84"/>
      <c r="M906" s="84"/>
    </row>
    <row r="907" spans="1:13" ht="17" x14ac:dyDescent="0.2">
      <c r="A907" s="91">
        <v>2012</v>
      </c>
      <c r="B907" s="92" t="s">
        <v>66</v>
      </c>
      <c r="C907" s="92" t="s">
        <v>17</v>
      </c>
      <c r="D907" s="92" t="s">
        <v>24</v>
      </c>
      <c r="E907" s="92" t="s">
        <v>69</v>
      </c>
      <c r="F907" s="92" t="s">
        <v>70</v>
      </c>
      <c r="G907" s="93">
        <v>3978287461</v>
      </c>
      <c r="H907" s="92"/>
      <c r="I907" s="87">
        <f ca="1">IFERROR(__xludf.DUMMYFUNCTION("""COMPUTED_VALUE"""),2027)</f>
        <v>2027</v>
      </c>
      <c r="J907" s="88" t="str">
        <f ca="1">IFERROR(__xludf.DUMMYFUNCTION("""COMPUTED_VALUE"""),"Scandinavia")</f>
        <v>Scandinavia</v>
      </c>
      <c r="K907" s="89">
        <f ca="1">IFERROR(
  SUMIFS(
    'New Backfilled Data'!G:G,
    'New Backfilled Data'!A:A, I907,
    'New Backfilled Data'!D:D, J907,
    'New Backfilled Data'!E:E, "Online"
  ) /
  SUMIFS(
    'New Backfilled Data'!G:G,
    'New Backfilled Data'!A:A, I907,
    'New Backfilled Data'!D:D, J907
  ),
  ""
)</f>
        <v>0.81317558489468833</v>
      </c>
      <c r="L907" s="90"/>
      <c r="M907" s="90"/>
    </row>
    <row r="908" spans="1:13" ht="17" x14ac:dyDescent="0.2">
      <c r="A908" s="94">
        <v>2012</v>
      </c>
      <c r="B908" s="95" t="s">
        <v>66</v>
      </c>
      <c r="C908" s="95" t="s">
        <v>17</v>
      </c>
      <c r="D908" s="95" t="s">
        <v>25</v>
      </c>
      <c r="E908" s="95" t="s">
        <v>67</v>
      </c>
      <c r="F908" s="95" t="s">
        <v>67</v>
      </c>
      <c r="G908" s="96">
        <v>3421264653</v>
      </c>
      <c r="H908" s="95"/>
      <c r="I908" s="81">
        <f ca="1">IFERROR(__xludf.DUMMYFUNCTION("""COMPUTED_VALUE"""),2027)</f>
        <v>2027</v>
      </c>
      <c r="J908" s="82" t="str">
        <f ca="1">IFERROR(__xludf.DUMMYFUNCTION("""COMPUTED_VALUE"""),"Spain")</f>
        <v>Spain</v>
      </c>
      <c r="K908" s="83">
        <f ca="1">IFERROR(
  SUMIFS(
    'New Backfilled Data'!G:G,
    'New Backfilled Data'!A:A, I908,
    'New Backfilled Data'!D:D, J908,
    'New Backfilled Data'!E:E, "Online"
  ) /
  SUMIFS(
    'New Backfilled Data'!G:G,
    'New Backfilled Data'!A:A, I908,
    'New Backfilled Data'!D:D, J908
  ),
  ""
)</f>
        <v>0.65382975438049939</v>
      </c>
      <c r="L908" s="84"/>
      <c r="M908" s="84"/>
    </row>
    <row r="909" spans="1:13" ht="17" x14ac:dyDescent="0.2">
      <c r="A909" s="91">
        <v>2012</v>
      </c>
      <c r="B909" s="92" t="s">
        <v>66</v>
      </c>
      <c r="C909" s="92" t="s">
        <v>17</v>
      </c>
      <c r="D909" s="92" t="s">
        <v>25</v>
      </c>
      <c r="E909" s="92" t="s">
        <v>69</v>
      </c>
      <c r="F909" s="92" t="s">
        <v>71</v>
      </c>
      <c r="G909" s="93">
        <v>309220127</v>
      </c>
      <c r="H909" s="92"/>
      <c r="I909" s="87">
        <f ca="1">IFERROR(__xludf.DUMMYFUNCTION("""COMPUTED_VALUE"""),2027)</f>
        <v>2027</v>
      </c>
      <c r="J909" s="88" t="str">
        <f ca="1">IFERROR(__xludf.DUMMYFUNCTION("""COMPUTED_VALUE"""),"U.K.")</f>
        <v>U.K.</v>
      </c>
      <c r="K909" s="89">
        <f ca="1">IFERROR(
  SUMIFS(
    'New Backfilled Data'!G:G,
    'New Backfilled Data'!A:A, I909,
    'New Backfilled Data'!D:D, J909,
    'New Backfilled Data'!E:E, "Online"
  ) /
  SUMIFS(
    'New Backfilled Data'!G:G,
    'New Backfilled Data'!A:A, I909,
    'New Backfilled Data'!D:D, J909
  ),
  ""
)</f>
        <v>0.84072383717394872</v>
      </c>
      <c r="L909" s="90"/>
      <c r="M909" s="90"/>
    </row>
    <row r="910" spans="1:13" ht="17" x14ac:dyDescent="0.2">
      <c r="A910" s="94">
        <v>2012</v>
      </c>
      <c r="B910" s="95" t="s">
        <v>66</v>
      </c>
      <c r="C910" s="95" t="s">
        <v>17</v>
      </c>
      <c r="D910" s="95" t="s">
        <v>25</v>
      </c>
      <c r="E910" s="95" t="s">
        <v>69</v>
      </c>
      <c r="F910" s="95" t="s">
        <v>70</v>
      </c>
      <c r="G910" s="96">
        <v>544642223</v>
      </c>
      <c r="H910" s="95"/>
      <c r="I910" s="81">
        <f ca="1">IFERROR(__xludf.DUMMYFUNCTION("""COMPUTED_VALUE"""),2027)</f>
        <v>2027</v>
      </c>
      <c r="J910" s="82" t="str">
        <f ca="1">IFERROR(__xludf.DUMMYFUNCTION("""COMPUTED_VALUE"""),"Argentina")</f>
        <v>Argentina</v>
      </c>
      <c r="K910" s="83">
        <f ca="1">IFERROR(
  SUMIFS(
    'New Backfilled Data'!G:G,
    'New Backfilled Data'!A:A, I910,
    'New Backfilled Data'!D:D, J910,
    'New Backfilled Data'!E:E, "Online"
  ) /
  SUMIFS(
    'New Backfilled Data'!G:G,
    'New Backfilled Data'!A:A, I910,
    'New Backfilled Data'!D:D, J910
  ),
  ""
)</f>
        <v>0.48318105750017082</v>
      </c>
      <c r="L910" s="84"/>
      <c r="M910" s="84"/>
    </row>
    <row r="911" spans="1:13" ht="17" x14ac:dyDescent="0.2">
      <c r="A911" s="91">
        <v>2012</v>
      </c>
      <c r="B911" s="92" t="s">
        <v>66</v>
      </c>
      <c r="C911" s="92" t="s">
        <v>27</v>
      </c>
      <c r="D911" s="92" t="s">
        <v>26</v>
      </c>
      <c r="E911" s="92" t="s">
        <v>67</v>
      </c>
      <c r="F911" s="92" t="s">
        <v>67</v>
      </c>
      <c r="G911" s="93">
        <v>33882546866</v>
      </c>
      <c r="H911" s="92"/>
      <c r="I911" s="87">
        <f ca="1">IFERROR(__xludf.DUMMYFUNCTION("""COMPUTED_VALUE"""),2027)</f>
        <v>2027</v>
      </c>
      <c r="J911" s="88" t="str">
        <f ca="1">IFERROR(__xludf.DUMMYFUNCTION("""COMPUTED_VALUE"""),"Brazil")</f>
        <v>Brazil</v>
      </c>
      <c r="K911" s="89">
        <f ca="1">IFERROR(
  SUMIFS(
    'New Backfilled Data'!G:G,
    'New Backfilled Data'!A:A, I911,
    'New Backfilled Data'!D:D, J911,
    'New Backfilled Data'!E:E, "Online"
  ) /
  SUMIFS(
    'New Backfilled Data'!G:G,
    'New Backfilled Data'!A:A, I911,
    'New Backfilled Data'!D:D, J911
  ),
  ""
)</f>
        <v>0.53201452795974014</v>
      </c>
      <c r="L911" s="90"/>
      <c r="M911" s="90"/>
    </row>
    <row r="912" spans="1:13" ht="17" x14ac:dyDescent="0.2">
      <c r="A912" s="94">
        <v>2012</v>
      </c>
      <c r="B912" s="95" t="s">
        <v>66</v>
      </c>
      <c r="C912" s="95" t="s">
        <v>27</v>
      </c>
      <c r="D912" s="95" t="s">
        <v>26</v>
      </c>
      <c r="E912" s="95" t="s">
        <v>69</v>
      </c>
      <c r="F912" s="95" t="s">
        <v>71</v>
      </c>
      <c r="G912" s="96">
        <v>6612497060</v>
      </c>
      <c r="H912" s="95"/>
      <c r="I912" s="81">
        <f ca="1">IFERROR(__xludf.DUMMYFUNCTION("""COMPUTED_VALUE"""),2027)</f>
        <v>2027</v>
      </c>
      <c r="J912" s="82" t="str">
        <f ca="1">IFERROR(__xludf.DUMMYFUNCTION("""COMPUTED_VALUE"""),"Chile")</f>
        <v>Chile</v>
      </c>
      <c r="K912" s="83">
        <f ca="1">IFERROR(
  SUMIFS(
    'New Backfilled Data'!G:G,
    'New Backfilled Data'!A:A, I912,
    'New Backfilled Data'!D:D, J912,
    'New Backfilled Data'!E:E, "Online"
  ) /
  SUMIFS(
    'New Backfilled Data'!G:G,
    'New Backfilled Data'!A:A, I912,
    'New Backfilled Data'!D:D, J912
  ),
  ""
)</f>
        <v>0.58529581759872495</v>
      </c>
      <c r="L912" s="84"/>
      <c r="M912" s="84"/>
    </row>
    <row r="913" spans="1:13" ht="17" x14ac:dyDescent="0.2">
      <c r="A913" s="91">
        <v>2012</v>
      </c>
      <c r="B913" s="92" t="s">
        <v>66</v>
      </c>
      <c r="C913" s="92" t="s">
        <v>27</v>
      </c>
      <c r="D913" s="92" t="s">
        <v>26</v>
      </c>
      <c r="E913" s="92" t="s">
        <v>69</v>
      </c>
      <c r="F913" s="92" t="s">
        <v>70</v>
      </c>
      <c r="G913" s="93">
        <v>12411746866</v>
      </c>
      <c r="H913" s="92"/>
      <c r="I913" s="87">
        <f ca="1">IFERROR(__xludf.DUMMYFUNCTION("""COMPUTED_VALUE"""),2027)</f>
        <v>2027</v>
      </c>
      <c r="J913" s="88" t="str">
        <f ca="1">IFERROR(__xludf.DUMMYFUNCTION("""COMPUTED_VALUE"""),"Colombia")</f>
        <v>Colombia</v>
      </c>
      <c r="K913" s="89">
        <f ca="1">IFERROR(
  SUMIFS(
    'New Backfilled Data'!G:G,
    'New Backfilled Data'!A:A, I913,
    'New Backfilled Data'!D:D, J913,
    'New Backfilled Data'!E:E, "Online"
  ) /
  SUMIFS(
    'New Backfilled Data'!G:G,
    'New Backfilled Data'!A:A, I913,
    'New Backfilled Data'!D:D, J913
  ),
  ""
)</f>
        <v>0.54441229311636197</v>
      </c>
      <c r="L913" s="90"/>
      <c r="M913" s="90"/>
    </row>
    <row r="914" spans="1:13" ht="17" x14ac:dyDescent="0.2">
      <c r="A914" s="94">
        <v>2012</v>
      </c>
      <c r="B914" s="95" t="s">
        <v>66</v>
      </c>
      <c r="C914" s="95" t="s">
        <v>27</v>
      </c>
      <c r="D914" s="95" t="s">
        <v>28</v>
      </c>
      <c r="E914" s="95" t="s">
        <v>67</v>
      </c>
      <c r="F914" s="95" t="s">
        <v>67</v>
      </c>
      <c r="G914" s="96">
        <v>49644013581</v>
      </c>
      <c r="H914" s="95"/>
      <c r="I914" s="81">
        <f ca="1">IFERROR(__xludf.DUMMYFUNCTION("""COMPUTED_VALUE"""),2027)</f>
        <v>2027</v>
      </c>
      <c r="J914" s="82" t="str">
        <f ca="1">IFERROR(__xludf.DUMMYFUNCTION("""COMPUTED_VALUE"""),"Mexico")</f>
        <v>Mexico</v>
      </c>
      <c r="K914" s="83">
        <f ca="1">IFERROR(
  SUMIFS(
    'New Backfilled Data'!G:G,
    'New Backfilled Data'!A:A, I914,
    'New Backfilled Data'!D:D, J914,
    'New Backfilled Data'!E:E, "Online"
  ) /
  SUMIFS(
    'New Backfilled Data'!G:G,
    'New Backfilled Data'!A:A, I914,
    'New Backfilled Data'!D:D, J914
  ),
  ""
)</f>
        <v>0.54911611305451746</v>
      </c>
      <c r="L914" s="84"/>
      <c r="M914" s="84"/>
    </row>
    <row r="915" spans="1:13" ht="17" x14ac:dyDescent="0.2">
      <c r="A915" s="91">
        <v>2012</v>
      </c>
      <c r="B915" s="92" t="s">
        <v>66</v>
      </c>
      <c r="C915" s="92" t="s">
        <v>27</v>
      </c>
      <c r="D915" s="92" t="s">
        <v>28</v>
      </c>
      <c r="E915" s="92" t="s">
        <v>69</v>
      </c>
      <c r="F915" s="92" t="s">
        <v>71</v>
      </c>
      <c r="G915" s="93">
        <v>11130608325</v>
      </c>
      <c r="H915" s="92"/>
      <c r="I915" s="87">
        <f ca="1">IFERROR(__xludf.DUMMYFUNCTION("""COMPUTED_VALUE"""),2027)</f>
        <v>2027</v>
      </c>
      <c r="J915" s="88" t="str">
        <f ca="1">IFERROR(__xludf.DUMMYFUNCTION("""COMPUTED_VALUE"""),"Egypt")</f>
        <v>Egypt</v>
      </c>
      <c r="K915" s="89">
        <f ca="1">IFERROR(
  SUMIFS(
    'New Backfilled Data'!G:G,
    'New Backfilled Data'!A:A, I915,
    'New Backfilled Data'!D:D, J915,
    'New Backfilled Data'!E:E, "Online"
  ) /
  SUMIFS(
    'New Backfilled Data'!G:G,
    'New Backfilled Data'!A:A, I915,
    'New Backfilled Data'!D:D, J915
  ),
  ""
)</f>
        <v>0.45845892722574971</v>
      </c>
      <c r="L915" s="90"/>
      <c r="M915" s="90"/>
    </row>
    <row r="916" spans="1:13" ht="17" x14ac:dyDescent="0.2">
      <c r="A916" s="94">
        <v>2012</v>
      </c>
      <c r="B916" s="95" t="s">
        <v>66</v>
      </c>
      <c r="C916" s="95" t="s">
        <v>27</v>
      </c>
      <c r="D916" s="95" t="s">
        <v>28</v>
      </c>
      <c r="E916" s="95" t="s">
        <v>69</v>
      </c>
      <c r="F916" s="95" t="s">
        <v>70</v>
      </c>
      <c r="G916" s="96">
        <v>14140526939</v>
      </c>
      <c r="H916" s="95"/>
      <c r="I916" s="81">
        <f ca="1">IFERROR(__xludf.DUMMYFUNCTION("""COMPUTED_VALUE"""),2027)</f>
        <v>2027</v>
      </c>
      <c r="J916" s="82" t="str">
        <f ca="1">IFERROR(__xludf.DUMMYFUNCTION("""COMPUTED_VALUE"""),"Qatar")</f>
        <v>Qatar</v>
      </c>
      <c r="K916" s="83">
        <f ca="1">IFERROR(
  SUMIFS(
    'New Backfilled Data'!G:G,
    'New Backfilled Data'!A:A, I916,
    'New Backfilled Data'!D:D, J916,
    'New Backfilled Data'!E:E, "Online"
  ) /
  SUMIFS(
    'New Backfilled Data'!G:G,
    'New Backfilled Data'!A:A, I916,
    'New Backfilled Data'!D:D, J916
  ),
  ""
)</f>
        <v>0.49395287545746774</v>
      </c>
      <c r="L916" s="84"/>
      <c r="M916" s="84"/>
    </row>
    <row r="917" spans="1:13" ht="34" x14ac:dyDescent="0.2">
      <c r="A917" s="91">
        <v>2012</v>
      </c>
      <c r="B917" s="92" t="s">
        <v>66</v>
      </c>
      <c r="C917" s="92" t="s">
        <v>27</v>
      </c>
      <c r="D917" s="92" t="s">
        <v>29</v>
      </c>
      <c r="E917" s="92" t="s">
        <v>67</v>
      </c>
      <c r="F917" s="92" t="s">
        <v>67</v>
      </c>
      <c r="G917" s="93">
        <v>19241595808</v>
      </c>
      <c r="H917" s="92"/>
      <c r="I917" s="87">
        <f ca="1">IFERROR(__xludf.DUMMYFUNCTION("""COMPUTED_VALUE"""),2027)</f>
        <v>2027</v>
      </c>
      <c r="J917" s="88" t="str">
        <f ca="1">IFERROR(__xludf.DUMMYFUNCTION("""COMPUTED_VALUE"""),"Rest of Middle East")</f>
        <v>Rest of Middle East</v>
      </c>
      <c r="K917" s="89">
        <f ca="1">IFERROR(
  SUMIFS(
    'New Backfilled Data'!G:G,
    'New Backfilled Data'!A:A, I917,
    'New Backfilled Data'!D:D, J917,
    'New Backfilled Data'!E:E, "Online"
  ) /
  SUMIFS(
    'New Backfilled Data'!G:G,
    'New Backfilled Data'!A:A, I917,
    'New Backfilled Data'!D:D, J917
  ),
  ""
)</f>
        <v>0.4896791732085975</v>
      </c>
      <c r="L917" s="90"/>
      <c r="M917" s="90"/>
    </row>
    <row r="918" spans="1:13" ht="17" x14ac:dyDescent="0.2">
      <c r="A918" s="94">
        <v>2012</v>
      </c>
      <c r="B918" s="95" t="s">
        <v>66</v>
      </c>
      <c r="C918" s="95" t="s">
        <v>27</v>
      </c>
      <c r="D918" s="95" t="s">
        <v>29</v>
      </c>
      <c r="E918" s="95" t="s">
        <v>69</v>
      </c>
      <c r="F918" s="95" t="s">
        <v>71</v>
      </c>
      <c r="G918" s="96">
        <v>4227806046</v>
      </c>
      <c r="H918" s="95"/>
      <c r="I918" s="81">
        <f ca="1">IFERROR(__xludf.DUMMYFUNCTION("""COMPUTED_VALUE"""),2027)</f>
        <v>2027</v>
      </c>
      <c r="J918" s="82" t="str">
        <f ca="1">IFERROR(__xludf.DUMMYFUNCTION("""COMPUTED_VALUE"""),"Saudi Arabia")</f>
        <v>Saudi Arabia</v>
      </c>
      <c r="K918" s="83">
        <f ca="1">IFERROR(
  SUMIFS(
    'New Backfilled Data'!G:G,
    'New Backfilled Data'!A:A, I918,
    'New Backfilled Data'!D:D, J918,
    'New Backfilled Data'!E:E, "Online"
  ) /
  SUMIFS(
    'New Backfilled Data'!G:G,
    'New Backfilled Data'!A:A, I918,
    'New Backfilled Data'!D:D, J918
  ),
  ""
)</f>
        <v>0.5945166231582355</v>
      </c>
      <c r="L918" s="84"/>
      <c r="M918" s="84"/>
    </row>
    <row r="919" spans="1:13" ht="17" x14ac:dyDescent="0.2">
      <c r="A919" s="91">
        <v>2012</v>
      </c>
      <c r="B919" s="92" t="s">
        <v>66</v>
      </c>
      <c r="C919" s="92" t="s">
        <v>27</v>
      </c>
      <c r="D919" s="92" t="s">
        <v>29</v>
      </c>
      <c r="E919" s="92" t="s">
        <v>69</v>
      </c>
      <c r="F919" s="92" t="s">
        <v>70</v>
      </c>
      <c r="G919" s="93">
        <v>3316832723</v>
      </c>
      <c r="H919" s="92"/>
      <c r="I919" s="87">
        <f ca="1">IFERROR(__xludf.DUMMYFUNCTION("""COMPUTED_VALUE"""),2027)</f>
        <v>2027</v>
      </c>
      <c r="J919" s="88" t="str">
        <f ca="1">IFERROR(__xludf.DUMMYFUNCTION("""COMPUTED_VALUE"""),"U.A.E.")</f>
        <v>U.A.E.</v>
      </c>
      <c r="K919" s="89">
        <f ca="1">IFERROR(
  SUMIFS(
    'New Backfilled Data'!G:G,
    'New Backfilled Data'!A:A, I919,
    'New Backfilled Data'!D:D, J919,
    'New Backfilled Data'!E:E, "Online"
  ) /
  SUMIFS(
    'New Backfilled Data'!G:G,
    'New Backfilled Data'!A:A, I919,
    'New Backfilled Data'!D:D, J919
  ),
  ""
)</f>
        <v>0.54966004216802278</v>
      </c>
      <c r="L919" s="90"/>
      <c r="M919" s="90"/>
    </row>
    <row r="920" spans="1:13" ht="17" x14ac:dyDescent="0.2">
      <c r="A920" s="94">
        <v>2012</v>
      </c>
      <c r="B920" s="95" t="s">
        <v>66</v>
      </c>
      <c r="C920" s="95" t="s">
        <v>27</v>
      </c>
      <c r="D920" s="95" t="s">
        <v>30</v>
      </c>
      <c r="E920" s="95" t="s">
        <v>67</v>
      </c>
      <c r="F920" s="95" t="s">
        <v>67</v>
      </c>
      <c r="G920" s="96">
        <v>37284845893</v>
      </c>
      <c r="H920" s="95"/>
      <c r="I920" s="81">
        <f ca="1">IFERROR(__xludf.DUMMYFUNCTION("""COMPUTED_VALUE"""),2027)</f>
        <v>2027</v>
      </c>
      <c r="J920" s="82" t="str">
        <f ca="1">IFERROR(__xludf.DUMMYFUNCTION("""COMPUTED_VALUE"""),"Canada")</f>
        <v>Canada</v>
      </c>
      <c r="K920" s="83">
        <f ca="1">IFERROR(
  SUMIFS(
    'New Backfilled Data'!G:G,
    'New Backfilled Data'!A:A, I920,
    'New Backfilled Data'!D:D, J920,
    'New Backfilled Data'!E:E, "Online"
  ) /
  SUMIFS(
    'New Backfilled Data'!G:G,
    'New Backfilled Data'!A:A, I920,
    'New Backfilled Data'!D:D, J920
  ),
  ""
)</f>
        <v>0.63405416235216927</v>
      </c>
      <c r="L920" s="84"/>
      <c r="M920" s="84"/>
    </row>
    <row r="921" spans="1:13" ht="17" x14ac:dyDescent="0.2">
      <c r="A921" s="91">
        <v>2012</v>
      </c>
      <c r="B921" s="92" t="s">
        <v>66</v>
      </c>
      <c r="C921" s="92" t="s">
        <v>27</v>
      </c>
      <c r="D921" s="92" t="s">
        <v>30</v>
      </c>
      <c r="E921" s="92" t="s">
        <v>69</v>
      </c>
      <c r="F921" s="92" t="s">
        <v>71</v>
      </c>
      <c r="G921" s="93">
        <v>6768014052</v>
      </c>
      <c r="H921" s="92"/>
      <c r="I921" s="87">
        <f ca="1">IFERROR(__xludf.DUMMYFUNCTION("""COMPUTED_VALUE"""),2027)</f>
        <v>2027</v>
      </c>
      <c r="J921" s="88" t="str">
        <f ca="1">IFERROR(__xludf.DUMMYFUNCTION("""COMPUTED_VALUE"""),"U.S.")</f>
        <v>U.S.</v>
      </c>
      <c r="K921" s="89">
        <f ca="1">IFERROR(
  SUMIFS(
    'New Backfilled Data'!G:G,
    'New Backfilled Data'!A:A, I921,
    'New Backfilled Data'!D:D, J921,
    'New Backfilled Data'!E:E, "Online"
  ) /
  SUMIFS(
    'New Backfilled Data'!G:G,
    'New Backfilled Data'!A:A, I921,
    'New Backfilled Data'!D:D, J921
  ),
  ""
)</f>
        <v>0.64092479154070858</v>
      </c>
      <c r="L921" s="90"/>
      <c r="M921" s="90"/>
    </row>
    <row r="922" spans="1:13" x14ac:dyDescent="0.2">
      <c r="A922" s="94">
        <v>2012</v>
      </c>
      <c r="B922" s="95" t="s">
        <v>66</v>
      </c>
      <c r="C922" s="95" t="s">
        <v>27</v>
      </c>
      <c r="D922" s="95" t="s">
        <v>30</v>
      </c>
      <c r="E922" s="95" t="s">
        <v>69</v>
      </c>
      <c r="F922" s="95" t="s">
        <v>70</v>
      </c>
      <c r="G922" s="96">
        <v>12103221995</v>
      </c>
      <c r="H922" s="95"/>
      <c r="K922" s="97"/>
    </row>
    <row r="923" spans="1:13" x14ac:dyDescent="0.2">
      <c r="A923" s="91">
        <v>2012</v>
      </c>
      <c r="B923" s="92" t="s">
        <v>66</v>
      </c>
      <c r="C923" s="92" t="s">
        <v>27</v>
      </c>
      <c r="D923" s="92" t="s">
        <v>31</v>
      </c>
      <c r="E923" s="92" t="s">
        <v>67</v>
      </c>
      <c r="F923" s="92" t="s">
        <v>67</v>
      </c>
      <c r="G923" s="93">
        <v>9745063678</v>
      </c>
      <c r="H923" s="92"/>
      <c r="K923" s="97"/>
    </row>
    <row r="924" spans="1:13" x14ac:dyDescent="0.2">
      <c r="A924" s="94">
        <v>2012</v>
      </c>
      <c r="B924" s="95" t="s">
        <v>66</v>
      </c>
      <c r="C924" s="95" t="s">
        <v>27</v>
      </c>
      <c r="D924" s="95" t="s">
        <v>31</v>
      </c>
      <c r="E924" s="95" t="s">
        <v>69</v>
      </c>
      <c r="F924" s="95" t="s">
        <v>71</v>
      </c>
      <c r="G924" s="96">
        <v>3025031370</v>
      </c>
      <c r="H924" s="95"/>
      <c r="K924" s="97"/>
    </row>
    <row r="925" spans="1:13" x14ac:dyDescent="0.2">
      <c r="A925" s="91">
        <v>2012</v>
      </c>
      <c r="B925" s="92" t="s">
        <v>66</v>
      </c>
      <c r="C925" s="92" t="s">
        <v>27</v>
      </c>
      <c r="D925" s="92" t="s">
        <v>31</v>
      </c>
      <c r="E925" s="92" t="s">
        <v>69</v>
      </c>
      <c r="F925" s="92" t="s">
        <v>70</v>
      </c>
      <c r="G925" s="93">
        <v>7049358598</v>
      </c>
      <c r="H925" s="92"/>
      <c r="K925" s="97"/>
    </row>
    <row r="926" spans="1:13" x14ac:dyDescent="0.2">
      <c r="A926" s="94">
        <v>2012</v>
      </c>
      <c r="B926" s="95" t="s">
        <v>66</v>
      </c>
      <c r="C926" s="95" t="s">
        <v>27</v>
      </c>
      <c r="D926" s="95" t="s">
        <v>32</v>
      </c>
      <c r="E926" s="95" t="s">
        <v>67</v>
      </c>
      <c r="F926" s="95" t="s">
        <v>67</v>
      </c>
      <c r="G926" s="96">
        <v>17341589307</v>
      </c>
      <c r="H926" s="95"/>
      <c r="K926" s="97"/>
    </row>
    <row r="927" spans="1:13" x14ac:dyDescent="0.2">
      <c r="A927" s="91">
        <v>2012</v>
      </c>
      <c r="B927" s="92" t="s">
        <v>66</v>
      </c>
      <c r="C927" s="92" t="s">
        <v>27</v>
      </c>
      <c r="D927" s="92" t="s">
        <v>32</v>
      </c>
      <c r="E927" s="92" t="s">
        <v>69</v>
      </c>
      <c r="F927" s="92" t="s">
        <v>71</v>
      </c>
      <c r="G927" s="93">
        <v>5122495863</v>
      </c>
      <c r="H927" s="92"/>
      <c r="K927" s="97"/>
    </row>
    <row r="928" spans="1:13" x14ac:dyDescent="0.2">
      <c r="A928" s="94">
        <v>2012</v>
      </c>
      <c r="B928" s="95" t="s">
        <v>66</v>
      </c>
      <c r="C928" s="95" t="s">
        <v>27</v>
      </c>
      <c r="D928" s="95" t="s">
        <v>32</v>
      </c>
      <c r="E928" s="95" t="s">
        <v>69</v>
      </c>
      <c r="F928" s="95" t="s">
        <v>70</v>
      </c>
      <c r="G928" s="96">
        <v>3607012832</v>
      </c>
      <c r="H928" s="95"/>
      <c r="K928" s="97"/>
    </row>
    <row r="929" spans="1:11" x14ac:dyDescent="0.2">
      <c r="A929" s="91">
        <v>2012</v>
      </c>
      <c r="B929" s="92" t="s">
        <v>66</v>
      </c>
      <c r="C929" s="92" t="s">
        <v>27</v>
      </c>
      <c r="D929" s="92" t="s">
        <v>33</v>
      </c>
      <c r="E929" s="92" t="s">
        <v>67</v>
      </c>
      <c r="F929" s="92" t="s">
        <v>67</v>
      </c>
      <c r="G929" s="93">
        <v>32851806903</v>
      </c>
      <c r="H929" s="92"/>
      <c r="K929" s="97"/>
    </row>
    <row r="930" spans="1:11" x14ac:dyDescent="0.2">
      <c r="A930" s="94">
        <v>2012</v>
      </c>
      <c r="B930" s="95" t="s">
        <v>66</v>
      </c>
      <c r="C930" s="95" t="s">
        <v>27</v>
      </c>
      <c r="D930" s="95" t="s">
        <v>33</v>
      </c>
      <c r="E930" s="95" t="s">
        <v>69</v>
      </c>
      <c r="F930" s="95" t="s">
        <v>71</v>
      </c>
      <c r="G930" s="96">
        <v>8152747299</v>
      </c>
      <c r="H930" s="95"/>
      <c r="K930" s="97"/>
    </row>
    <row r="931" spans="1:11" x14ac:dyDescent="0.2">
      <c r="A931" s="91">
        <v>2012</v>
      </c>
      <c r="B931" s="92" t="s">
        <v>66</v>
      </c>
      <c r="C931" s="92" t="s">
        <v>27</v>
      </c>
      <c r="D931" s="92" t="s">
        <v>33</v>
      </c>
      <c r="E931" s="92" t="s">
        <v>69</v>
      </c>
      <c r="F931" s="92" t="s">
        <v>70</v>
      </c>
      <c r="G931" s="93">
        <v>22280713728</v>
      </c>
      <c r="H931" s="92"/>
      <c r="K931" s="97"/>
    </row>
    <row r="932" spans="1:11" x14ac:dyDescent="0.2">
      <c r="A932" s="94">
        <v>2012</v>
      </c>
      <c r="B932" s="95" t="s">
        <v>66</v>
      </c>
      <c r="C932" s="95" t="s">
        <v>35</v>
      </c>
      <c r="D932" s="95" t="s">
        <v>34</v>
      </c>
      <c r="E932" s="95" t="s">
        <v>67</v>
      </c>
      <c r="F932" s="95" t="s">
        <v>67</v>
      </c>
      <c r="G932" s="96">
        <v>8444768912</v>
      </c>
      <c r="H932" s="95"/>
      <c r="K932" s="97"/>
    </row>
    <row r="933" spans="1:11" x14ac:dyDescent="0.2">
      <c r="A933" s="91">
        <v>2012</v>
      </c>
      <c r="B933" s="92" t="s">
        <v>66</v>
      </c>
      <c r="C933" s="92" t="s">
        <v>35</v>
      </c>
      <c r="D933" s="92" t="s">
        <v>34</v>
      </c>
      <c r="E933" s="92" t="s">
        <v>69</v>
      </c>
      <c r="F933" s="92" t="s">
        <v>71</v>
      </c>
      <c r="G933" s="93">
        <v>646260671</v>
      </c>
      <c r="H933" s="92"/>
      <c r="K933" s="97"/>
    </row>
    <row r="934" spans="1:11" x14ac:dyDescent="0.2">
      <c r="A934" s="94">
        <v>2012</v>
      </c>
      <c r="B934" s="95" t="s">
        <v>66</v>
      </c>
      <c r="C934" s="95" t="s">
        <v>35</v>
      </c>
      <c r="D934" s="95" t="s">
        <v>34</v>
      </c>
      <c r="E934" s="95" t="s">
        <v>69</v>
      </c>
      <c r="F934" s="95" t="s">
        <v>70</v>
      </c>
      <c r="G934" s="96">
        <v>498320534</v>
      </c>
      <c r="H934" s="95"/>
      <c r="K934" s="97"/>
    </row>
    <row r="935" spans="1:11" x14ac:dyDescent="0.2">
      <c r="A935" s="91">
        <v>2012</v>
      </c>
      <c r="B935" s="92" t="s">
        <v>66</v>
      </c>
      <c r="C935" s="92" t="s">
        <v>35</v>
      </c>
      <c r="D935" s="92" t="s">
        <v>36</v>
      </c>
      <c r="E935" s="92" t="s">
        <v>67</v>
      </c>
      <c r="F935" s="92" t="s">
        <v>67</v>
      </c>
      <c r="G935" s="93">
        <v>32777350154</v>
      </c>
      <c r="H935" s="92"/>
      <c r="K935" s="97"/>
    </row>
    <row r="936" spans="1:11" x14ac:dyDescent="0.2">
      <c r="A936" s="94">
        <v>2012</v>
      </c>
      <c r="B936" s="95" t="s">
        <v>66</v>
      </c>
      <c r="C936" s="95" t="s">
        <v>35</v>
      </c>
      <c r="D936" s="95" t="s">
        <v>36</v>
      </c>
      <c r="E936" s="95" t="s">
        <v>69</v>
      </c>
      <c r="F936" s="95" t="s">
        <v>71</v>
      </c>
      <c r="G936" s="96">
        <v>5708969492</v>
      </c>
      <c r="H936" s="95"/>
      <c r="K936" s="97"/>
    </row>
    <row r="937" spans="1:11" x14ac:dyDescent="0.2">
      <c r="A937" s="91">
        <v>2012</v>
      </c>
      <c r="B937" s="92" t="s">
        <v>66</v>
      </c>
      <c r="C937" s="92" t="s">
        <v>35</v>
      </c>
      <c r="D937" s="92" t="s">
        <v>36</v>
      </c>
      <c r="E937" s="92" t="s">
        <v>69</v>
      </c>
      <c r="F937" s="92" t="s">
        <v>70</v>
      </c>
      <c r="G937" s="93">
        <v>2363596033</v>
      </c>
      <c r="H937" s="92"/>
      <c r="K937" s="97"/>
    </row>
    <row r="938" spans="1:11" x14ac:dyDescent="0.2">
      <c r="A938" s="94">
        <v>2012</v>
      </c>
      <c r="B938" s="95" t="s">
        <v>66</v>
      </c>
      <c r="C938" s="95" t="s">
        <v>35</v>
      </c>
      <c r="D938" s="95" t="s">
        <v>37</v>
      </c>
      <c r="E938" s="95" t="s">
        <v>67</v>
      </c>
      <c r="F938" s="95" t="s">
        <v>67</v>
      </c>
      <c r="G938" s="96">
        <v>3871910968</v>
      </c>
      <c r="H938" s="95"/>
      <c r="K938" s="97"/>
    </row>
    <row r="939" spans="1:11" x14ac:dyDescent="0.2">
      <c r="A939" s="91">
        <v>2012</v>
      </c>
      <c r="B939" s="92" t="s">
        <v>66</v>
      </c>
      <c r="C939" s="92" t="s">
        <v>35</v>
      </c>
      <c r="D939" s="92" t="s">
        <v>37</v>
      </c>
      <c r="E939" s="92" t="s">
        <v>69</v>
      </c>
      <c r="F939" s="92" t="s">
        <v>71</v>
      </c>
      <c r="G939" s="93">
        <v>494325136</v>
      </c>
      <c r="H939" s="92"/>
      <c r="K939" s="97"/>
    </row>
    <row r="940" spans="1:11" x14ac:dyDescent="0.2">
      <c r="A940" s="94">
        <v>2012</v>
      </c>
      <c r="B940" s="95" t="s">
        <v>66</v>
      </c>
      <c r="C940" s="95" t="s">
        <v>35</v>
      </c>
      <c r="D940" s="95" t="s">
        <v>37</v>
      </c>
      <c r="E940" s="95" t="s">
        <v>69</v>
      </c>
      <c r="F940" s="95" t="s">
        <v>70</v>
      </c>
      <c r="G940" s="96">
        <v>762098815</v>
      </c>
      <c r="H940" s="95"/>
      <c r="K940" s="97"/>
    </row>
    <row r="941" spans="1:11" x14ac:dyDescent="0.2">
      <c r="A941" s="91">
        <v>2012</v>
      </c>
      <c r="B941" s="92" t="s">
        <v>66</v>
      </c>
      <c r="C941" s="92" t="s">
        <v>35</v>
      </c>
      <c r="D941" s="92" t="s">
        <v>38</v>
      </c>
      <c r="E941" s="92" t="s">
        <v>67</v>
      </c>
      <c r="F941" s="92" t="s">
        <v>67</v>
      </c>
      <c r="G941" s="93">
        <v>8577090600</v>
      </c>
      <c r="H941" s="92"/>
      <c r="K941" s="97"/>
    </row>
    <row r="942" spans="1:11" x14ac:dyDescent="0.2">
      <c r="A942" s="94">
        <v>2012</v>
      </c>
      <c r="B942" s="95" t="s">
        <v>66</v>
      </c>
      <c r="C942" s="95" t="s">
        <v>35</v>
      </c>
      <c r="D942" s="95" t="s">
        <v>38</v>
      </c>
      <c r="E942" s="95" t="s">
        <v>69</v>
      </c>
      <c r="F942" s="95" t="s">
        <v>71</v>
      </c>
      <c r="G942" s="96">
        <v>1029480385</v>
      </c>
      <c r="H942" s="95"/>
      <c r="K942" s="97"/>
    </row>
    <row r="943" spans="1:11" x14ac:dyDescent="0.2">
      <c r="A943" s="91">
        <v>2012</v>
      </c>
      <c r="B943" s="92" t="s">
        <v>66</v>
      </c>
      <c r="C943" s="92" t="s">
        <v>35</v>
      </c>
      <c r="D943" s="92" t="s">
        <v>38</v>
      </c>
      <c r="E943" s="92" t="s">
        <v>69</v>
      </c>
      <c r="F943" s="92" t="s">
        <v>70</v>
      </c>
      <c r="G943" s="93">
        <v>885768318</v>
      </c>
      <c r="H943" s="92"/>
      <c r="K943" s="97"/>
    </row>
    <row r="944" spans="1:11" x14ac:dyDescent="0.2">
      <c r="A944" s="94">
        <v>2012</v>
      </c>
      <c r="B944" s="95" t="s">
        <v>66</v>
      </c>
      <c r="C944" s="95" t="s">
        <v>35</v>
      </c>
      <c r="D944" s="95" t="s">
        <v>39</v>
      </c>
      <c r="E944" s="95" t="s">
        <v>67</v>
      </c>
      <c r="F944" s="95" t="s">
        <v>67</v>
      </c>
      <c r="G944" s="96">
        <v>18400149893</v>
      </c>
      <c r="H944" s="95"/>
      <c r="K944" s="97"/>
    </row>
    <row r="945" spans="1:11" x14ac:dyDescent="0.2">
      <c r="A945" s="91">
        <v>2012</v>
      </c>
      <c r="B945" s="92" t="s">
        <v>66</v>
      </c>
      <c r="C945" s="92" t="s">
        <v>35</v>
      </c>
      <c r="D945" s="92" t="s">
        <v>39</v>
      </c>
      <c r="E945" s="92" t="s">
        <v>69</v>
      </c>
      <c r="F945" s="92" t="s">
        <v>71</v>
      </c>
      <c r="G945" s="93">
        <v>3149013915</v>
      </c>
      <c r="H945" s="92"/>
      <c r="K945" s="97"/>
    </row>
    <row r="946" spans="1:11" x14ac:dyDescent="0.2">
      <c r="A946" s="94">
        <v>2012</v>
      </c>
      <c r="B946" s="95" t="s">
        <v>66</v>
      </c>
      <c r="C946" s="95" t="s">
        <v>35</v>
      </c>
      <c r="D946" s="95" t="s">
        <v>39</v>
      </c>
      <c r="E946" s="95" t="s">
        <v>69</v>
      </c>
      <c r="F946" s="95" t="s">
        <v>70</v>
      </c>
      <c r="G946" s="96">
        <v>1944873781</v>
      </c>
      <c r="H946" s="95"/>
      <c r="K946" s="97"/>
    </row>
    <row r="947" spans="1:11" x14ac:dyDescent="0.2">
      <c r="A947" s="91">
        <v>2012</v>
      </c>
      <c r="B947" s="92" t="s">
        <v>66</v>
      </c>
      <c r="C947" s="92" t="s">
        <v>41</v>
      </c>
      <c r="D947" s="92" t="s">
        <v>40</v>
      </c>
      <c r="E947" s="92" t="s">
        <v>67</v>
      </c>
      <c r="F947" s="92" t="s">
        <v>67</v>
      </c>
      <c r="G947" s="93">
        <v>6586796933</v>
      </c>
      <c r="H947" s="92"/>
      <c r="K947" s="97"/>
    </row>
    <row r="948" spans="1:11" x14ac:dyDescent="0.2">
      <c r="A948" s="94">
        <v>2012</v>
      </c>
      <c r="B948" s="95" t="s">
        <v>66</v>
      </c>
      <c r="C948" s="95" t="s">
        <v>41</v>
      </c>
      <c r="D948" s="95" t="s">
        <v>40</v>
      </c>
      <c r="E948" s="95" t="s">
        <v>69</v>
      </c>
      <c r="F948" s="95" t="s">
        <v>71</v>
      </c>
      <c r="G948" s="96">
        <v>337360848</v>
      </c>
      <c r="H948" s="95"/>
      <c r="K948" s="97"/>
    </row>
    <row r="949" spans="1:11" x14ac:dyDescent="0.2">
      <c r="A949" s="91">
        <v>2012</v>
      </c>
      <c r="B949" s="92" t="s">
        <v>66</v>
      </c>
      <c r="C949" s="92" t="s">
        <v>41</v>
      </c>
      <c r="D949" s="92" t="s">
        <v>40</v>
      </c>
      <c r="E949" s="92" t="s">
        <v>69</v>
      </c>
      <c r="F949" s="92" t="s">
        <v>70</v>
      </c>
      <c r="G949" s="93">
        <v>290692579</v>
      </c>
      <c r="H949" s="92"/>
      <c r="K949" s="97"/>
    </row>
    <row r="950" spans="1:11" x14ac:dyDescent="0.2">
      <c r="A950" s="94">
        <v>2012</v>
      </c>
      <c r="B950" s="95" t="s">
        <v>66</v>
      </c>
      <c r="C950" s="95" t="s">
        <v>41</v>
      </c>
      <c r="D950" s="95" t="s">
        <v>42</v>
      </c>
      <c r="E950" s="95" t="s">
        <v>67</v>
      </c>
      <c r="F950" s="95" t="s">
        <v>67</v>
      </c>
      <c r="G950" s="96">
        <v>6001269771</v>
      </c>
      <c r="H950" s="95"/>
      <c r="K950" s="97"/>
    </row>
    <row r="951" spans="1:11" x14ac:dyDescent="0.2">
      <c r="A951" s="91">
        <v>2012</v>
      </c>
      <c r="B951" s="92" t="s">
        <v>66</v>
      </c>
      <c r="C951" s="92" t="s">
        <v>41</v>
      </c>
      <c r="D951" s="92" t="s">
        <v>42</v>
      </c>
      <c r="E951" s="92" t="s">
        <v>69</v>
      </c>
      <c r="F951" s="92" t="s">
        <v>71</v>
      </c>
      <c r="G951" s="93">
        <v>530407220</v>
      </c>
      <c r="H951" s="92"/>
      <c r="K951" s="97"/>
    </row>
    <row r="952" spans="1:11" x14ac:dyDescent="0.2">
      <c r="A952" s="94">
        <v>2012</v>
      </c>
      <c r="B952" s="95" t="s">
        <v>66</v>
      </c>
      <c r="C952" s="95" t="s">
        <v>41</v>
      </c>
      <c r="D952" s="95" t="s">
        <v>42</v>
      </c>
      <c r="E952" s="95" t="s">
        <v>69</v>
      </c>
      <c r="F952" s="95" t="s">
        <v>70</v>
      </c>
      <c r="G952" s="96">
        <v>836811556</v>
      </c>
      <c r="H952" s="95"/>
      <c r="K952" s="97"/>
    </row>
    <row r="953" spans="1:11" x14ac:dyDescent="0.2">
      <c r="A953" s="91">
        <v>2012</v>
      </c>
      <c r="B953" s="92" t="s">
        <v>66</v>
      </c>
      <c r="C953" s="92" t="s">
        <v>41</v>
      </c>
      <c r="D953" s="92" t="s">
        <v>43</v>
      </c>
      <c r="E953" s="92" t="s">
        <v>67</v>
      </c>
      <c r="F953" s="92" t="s">
        <v>67</v>
      </c>
      <c r="G953" s="93">
        <v>6879815028</v>
      </c>
      <c r="H953" s="92"/>
      <c r="K953" s="97"/>
    </row>
    <row r="954" spans="1:11" x14ac:dyDescent="0.2">
      <c r="A954" s="94">
        <v>2012</v>
      </c>
      <c r="B954" s="95" t="s">
        <v>66</v>
      </c>
      <c r="C954" s="95" t="s">
        <v>41</v>
      </c>
      <c r="D954" s="95" t="s">
        <v>43</v>
      </c>
      <c r="E954" s="95" t="s">
        <v>69</v>
      </c>
      <c r="F954" s="95" t="s">
        <v>71</v>
      </c>
      <c r="G954" s="96">
        <v>520834364</v>
      </c>
      <c r="H954" s="95"/>
      <c r="K954" s="97"/>
    </row>
    <row r="955" spans="1:11" x14ac:dyDescent="0.2">
      <c r="A955" s="91">
        <v>2012</v>
      </c>
      <c r="B955" s="92" t="s">
        <v>66</v>
      </c>
      <c r="C955" s="92" t="s">
        <v>41</v>
      </c>
      <c r="D955" s="92" t="s">
        <v>43</v>
      </c>
      <c r="E955" s="92" t="s">
        <v>69</v>
      </c>
      <c r="F955" s="92" t="s">
        <v>70</v>
      </c>
      <c r="G955" s="93">
        <v>605336701</v>
      </c>
      <c r="H955" s="92"/>
      <c r="K955" s="97"/>
    </row>
    <row r="956" spans="1:11" x14ac:dyDescent="0.2">
      <c r="A956" s="94">
        <v>2012</v>
      </c>
      <c r="B956" s="95" t="s">
        <v>66</v>
      </c>
      <c r="C956" s="95" t="s">
        <v>41</v>
      </c>
      <c r="D956" s="95" t="s">
        <v>44</v>
      </c>
      <c r="E956" s="95" t="s">
        <v>67</v>
      </c>
      <c r="F956" s="95" t="s">
        <v>67</v>
      </c>
      <c r="G956" s="96">
        <v>8263853936</v>
      </c>
      <c r="H956" s="95"/>
      <c r="K956" s="97"/>
    </row>
    <row r="957" spans="1:11" x14ac:dyDescent="0.2">
      <c r="A957" s="91">
        <v>2012</v>
      </c>
      <c r="B957" s="92" t="s">
        <v>66</v>
      </c>
      <c r="C957" s="92" t="s">
        <v>41</v>
      </c>
      <c r="D957" s="92" t="s">
        <v>44</v>
      </c>
      <c r="E957" s="92" t="s">
        <v>69</v>
      </c>
      <c r="F957" s="92" t="s">
        <v>71</v>
      </c>
      <c r="G957" s="93">
        <v>917668753</v>
      </c>
      <c r="H957" s="92"/>
      <c r="K957" s="97"/>
    </row>
    <row r="958" spans="1:11" x14ac:dyDescent="0.2">
      <c r="A958" s="94">
        <v>2012</v>
      </c>
      <c r="B958" s="95" t="s">
        <v>66</v>
      </c>
      <c r="C958" s="95" t="s">
        <v>41</v>
      </c>
      <c r="D958" s="95" t="s">
        <v>44</v>
      </c>
      <c r="E958" s="95" t="s">
        <v>69</v>
      </c>
      <c r="F958" s="95" t="s">
        <v>70</v>
      </c>
      <c r="G958" s="96">
        <v>704466528</v>
      </c>
      <c r="H958" s="95"/>
      <c r="K958" s="97"/>
    </row>
    <row r="959" spans="1:11" x14ac:dyDescent="0.2">
      <c r="A959" s="91">
        <v>2012</v>
      </c>
      <c r="B959" s="92" t="s">
        <v>66</v>
      </c>
      <c r="C959" s="92" t="s">
        <v>41</v>
      </c>
      <c r="D959" s="92" t="s">
        <v>45</v>
      </c>
      <c r="E959" s="92" t="s">
        <v>67</v>
      </c>
      <c r="F959" s="92" t="s">
        <v>67</v>
      </c>
      <c r="G959" s="93">
        <v>22584624660</v>
      </c>
      <c r="H959" s="92"/>
      <c r="K959" s="97"/>
    </row>
    <row r="960" spans="1:11" x14ac:dyDescent="0.2">
      <c r="A960" s="94">
        <v>2012</v>
      </c>
      <c r="B960" s="95" t="s">
        <v>66</v>
      </c>
      <c r="C960" s="95" t="s">
        <v>41</v>
      </c>
      <c r="D960" s="95" t="s">
        <v>45</v>
      </c>
      <c r="E960" s="95" t="s">
        <v>69</v>
      </c>
      <c r="F960" s="95" t="s">
        <v>71</v>
      </c>
      <c r="G960" s="96">
        <v>2608785311</v>
      </c>
      <c r="H960" s="95"/>
      <c r="K960" s="97"/>
    </row>
    <row r="961" spans="1:11" x14ac:dyDescent="0.2">
      <c r="A961" s="91">
        <v>2012</v>
      </c>
      <c r="B961" s="92" t="s">
        <v>66</v>
      </c>
      <c r="C961" s="92" t="s">
        <v>41</v>
      </c>
      <c r="D961" s="92" t="s">
        <v>45</v>
      </c>
      <c r="E961" s="92" t="s">
        <v>69</v>
      </c>
      <c r="F961" s="92" t="s">
        <v>70</v>
      </c>
      <c r="G961" s="93">
        <v>3872437458</v>
      </c>
      <c r="H961" s="92"/>
      <c r="K961" s="97"/>
    </row>
    <row r="962" spans="1:11" x14ac:dyDescent="0.2">
      <c r="A962" s="94">
        <v>2012</v>
      </c>
      <c r="B962" s="95" t="s">
        <v>66</v>
      </c>
      <c r="C962" s="95" t="s">
        <v>47</v>
      </c>
      <c r="D962" s="95" t="s">
        <v>46</v>
      </c>
      <c r="E962" s="95" t="s">
        <v>67</v>
      </c>
      <c r="F962" s="95" t="s">
        <v>67</v>
      </c>
      <c r="G962" s="96">
        <v>23674119053</v>
      </c>
      <c r="H962" s="95"/>
      <c r="K962" s="97"/>
    </row>
    <row r="963" spans="1:11" x14ac:dyDescent="0.2">
      <c r="A963" s="91">
        <v>2012</v>
      </c>
      <c r="B963" s="92" t="s">
        <v>66</v>
      </c>
      <c r="C963" s="92" t="s">
        <v>47</v>
      </c>
      <c r="D963" s="92" t="s">
        <v>46</v>
      </c>
      <c r="E963" s="92" t="s">
        <v>69</v>
      </c>
      <c r="F963" s="92" t="s">
        <v>71</v>
      </c>
      <c r="G963" s="93">
        <v>3817845834</v>
      </c>
      <c r="H963" s="92"/>
      <c r="K963" s="97"/>
    </row>
    <row r="964" spans="1:11" x14ac:dyDescent="0.2">
      <c r="A964" s="94">
        <v>2012</v>
      </c>
      <c r="B964" s="95" t="s">
        <v>66</v>
      </c>
      <c r="C964" s="95" t="s">
        <v>47</v>
      </c>
      <c r="D964" s="95" t="s">
        <v>46</v>
      </c>
      <c r="E964" s="95" t="s">
        <v>69</v>
      </c>
      <c r="F964" s="95" t="s">
        <v>70</v>
      </c>
      <c r="G964" s="96">
        <v>9272761224</v>
      </c>
      <c r="H964" s="95"/>
      <c r="K964" s="97"/>
    </row>
    <row r="965" spans="1:11" x14ac:dyDescent="0.2">
      <c r="A965" s="91">
        <v>2012</v>
      </c>
      <c r="B965" s="92" t="s">
        <v>66</v>
      </c>
      <c r="C965" s="92" t="s">
        <v>47</v>
      </c>
      <c r="D965" s="92" t="s">
        <v>48</v>
      </c>
      <c r="E965" s="92" t="s">
        <v>72</v>
      </c>
      <c r="F965" s="92" t="s">
        <v>73</v>
      </c>
      <c r="G965" s="93">
        <v>82876423588</v>
      </c>
      <c r="H965" s="92"/>
      <c r="K965" s="97"/>
    </row>
    <row r="966" spans="1:11" x14ac:dyDescent="0.2">
      <c r="A966" s="94">
        <v>2012</v>
      </c>
      <c r="B966" s="95" t="s">
        <v>66</v>
      </c>
      <c r="C966" s="95" t="s">
        <v>47</v>
      </c>
      <c r="D966" s="95" t="s">
        <v>48</v>
      </c>
      <c r="E966" s="95" t="s">
        <v>67</v>
      </c>
      <c r="F966" s="95" t="s">
        <v>74</v>
      </c>
      <c r="G966" s="96">
        <v>89003462330</v>
      </c>
      <c r="H966" s="95"/>
      <c r="K966" s="97"/>
    </row>
    <row r="967" spans="1:11" x14ac:dyDescent="0.2">
      <c r="A967" s="91">
        <v>2012</v>
      </c>
      <c r="B967" s="92" t="s">
        <v>66</v>
      </c>
      <c r="C967" s="92" t="s">
        <v>47</v>
      </c>
      <c r="D967" s="92" t="s">
        <v>48</v>
      </c>
      <c r="E967" s="92" t="s">
        <v>69</v>
      </c>
      <c r="F967" s="92" t="s">
        <v>71</v>
      </c>
      <c r="G967" s="93">
        <v>43041933125</v>
      </c>
      <c r="H967" s="92"/>
      <c r="K967" s="97"/>
    </row>
    <row r="968" spans="1:11" x14ac:dyDescent="0.2">
      <c r="A968" s="94">
        <v>2012</v>
      </c>
      <c r="B968" s="95" t="s">
        <v>66</v>
      </c>
      <c r="C968" s="95" t="s">
        <v>47</v>
      </c>
      <c r="D968" s="95" t="s">
        <v>48</v>
      </c>
      <c r="E968" s="95" t="s">
        <v>69</v>
      </c>
      <c r="F968" s="95" t="s">
        <v>70</v>
      </c>
      <c r="G968" s="96">
        <v>78003232480</v>
      </c>
      <c r="H968" s="95"/>
      <c r="K968" s="97"/>
    </row>
    <row r="969" spans="1:11" x14ac:dyDescent="0.2">
      <c r="A969" s="91">
        <v>2013</v>
      </c>
      <c r="B969" s="92" t="s">
        <v>66</v>
      </c>
      <c r="C969" s="92" t="s">
        <v>4</v>
      </c>
      <c r="D969" s="92" t="s">
        <v>3</v>
      </c>
      <c r="E969" s="92" t="s">
        <v>67</v>
      </c>
      <c r="F969" s="92" t="s">
        <v>67</v>
      </c>
      <c r="G969" s="93">
        <v>20452840081</v>
      </c>
      <c r="H969" s="92"/>
      <c r="K969" s="97"/>
    </row>
    <row r="970" spans="1:11" x14ac:dyDescent="0.2">
      <c r="A970" s="94">
        <v>2013</v>
      </c>
      <c r="B970" s="95" t="s">
        <v>66</v>
      </c>
      <c r="C970" s="95" t="s">
        <v>4</v>
      </c>
      <c r="D970" s="95" t="s">
        <v>3</v>
      </c>
      <c r="E970" s="95" t="s">
        <v>69</v>
      </c>
      <c r="F970" s="95" t="s">
        <v>71</v>
      </c>
      <c r="G970" s="96">
        <v>2725010087</v>
      </c>
      <c r="H970" s="95"/>
      <c r="K970" s="97"/>
    </row>
    <row r="971" spans="1:11" x14ac:dyDescent="0.2">
      <c r="A971" s="91">
        <v>2013</v>
      </c>
      <c r="B971" s="92" t="s">
        <v>66</v>
      </c>
      <c r="C971" s="92" t="s">
        <v>4</v>
      </c>
      <c r="D971" s="92" t="s">
        <v>3</v>
      </c>
      <c r="E971" s="92" t="s">
        <v>69</v>
      </c>
      <c r="F971" s="92" t="s">
        <v>70</v>
      </c>
      <c r="G971" s="93">
        <v>9324868453</v>
      </c>
      <c r="H971" s="92"/>
      <c r="K971" s="97"/>
    </row>
    <row r="972" spans="1:11" x14ac:dyDescent="0.2">
      <c r="A972" s="94">
        <v>2013</v>
      </c>
      <c r="B972" s="95" t="s">
        <v>66</v>
      </c>
      <c r="C972" s="95" t="s">
        <v>4</v>
      </c>
      <c r="D972" s="95" t="s">
        <v>5</v>
      </c>
      <c r="E972" s="95" t="s">
        <v>67</v>
      </c>
      <c r="F972" s="95" t="s">
        <v>67</v>
      </c>
      <c r="G972" s="96">
        <v>98004247565</v>
      </c>
      <c r="H972" s="95"/>
      <c r="K972" s="97"/>
    </row>
    <row r="973" spans="1:11" x14ac:dyDescent="0.2">
      <c r="A973" s="91">
        <v>2013</v>
      </c>
      <c r="B973" s="92" t="s">
        <v>66</v>
      </c>
      <c r="C973" s="92" t="s">
        <v>4</v>
      </c>
      <c r="D973" s="92" t="s">
        <v>5</v>
      </c>
      <c r="E973" s="92" t="s">
        <v>69</v>
      </c>
      <c r="F973" s="92" t="s">
        <v>71</v>
      </c>
      <c r="G973" s="93">
        <v>10629977817</v>
      </c>
      <c r="H973" s="92"/>
      <c r="K973" s="97"/>
    </row>
    <row r="974" spans="1:11" x14ac:dyDescent="0.2">
      <c r="A974" s="94">
        <v>2013</v>
      </c>
      <c r="B974" s="95" t="s">
        <v>66</v>
      </c>
      <c r="C974" s="95" t="s">
        <v>4</v>
      </c>
      <c r="D974" s="95" t="s">
        <v>5</v>
      </c>
      <c r="E974" s="95" t="s">
        <v>69</v>
      </c>
      <c r="F974" s="95" t="s">
        <v>70</v>
      </c>
      <c r="G974" s="96">
        <v>8908649555</v>
      </c>
      <c r="H974" s="95"/>
      <c r="K974" s="97"/>
    </row>
    <row r="975" spans="1:11" x14ac:dyDescent="0.2">
      <c r="A975" s="91">
        <v>2013</v>
      </c>
      <c r="B975" s="92" t="s">
        <v>66</v>
      </c>
      <c r="C975" s="92" t="s">
        <v>4</v>
      </c>
      <c r="D975" s="92" t="s">
        <v>6</v>
      </c>
      <c r="E975" s="92" t="s">
        <v>67</v>
      </c>
      <c r="F975" s="92" t="s">
        <v>67</v>
      </c>
      <c r="G975" s="93">
        <v>11730744076</v>
      </c>
      <c r="H975" s="92"/>
      <c r="K975" s="97"/>
    </row>
    <row r="976" spans="1:11" x14ac:dyDescent="0.2">
      <c r="A976" s="94">
        <v>2013</v>
      </c>
      <c r="B976" s="95" t="s">
        <v>66</v>
      </c>
      <c r="C976" s="95" t="s">
        <v>4</v>
      </c>
      <c r="D976" s="95" t="s">
        <v>6</v>
      </c>
      <c r="E976" s="95" t="s">
        <v>69</v>
      </c>
      <c r="F976" s="95" t="s">
        <v>71</v>
      </c>
      <c r="G976" s="96">
        <v>385653255</v>
      </c>
      <c r="H976" s="95"/>
      <c r="K976" s="97"/>
    </row>
    <row r="977" spans="1:11" x14ac:dyDescent="0.2">
      <c r="A977" s="91">
        <v>2013</v>
      </c>
      <c r="B977" s="92" t="s">
        <v>66</v>
      </c>
      <c r="C977" s="92" t="s">
        <v>4</v>
      </c>
      <c r="D977" s="92" t="s">
        <v>6</v>
      </c>
      <c r="E977" s="92" t="s">
        <v>69</v>
      </c>
      <c r="F977" s="92" t="s">
        <v>70</v>
      </c>
      <c r="G977" s="93">
        <v>919502951</v>
      </c>
      <c r="H977" s="92"/>
      <c r="K977" s="97"/>
    </row>
    <row r="978" spans="1:11" x14ac:dyDescent="0.2">
      <c r="A978" s="94">
        <v>2013</v>
      </c>
      <c r="B978" s="95" t="s">
        <v>66</v>
      </c>
      <c r="C978" s="95" t="s">
        <v>4</v>
      </c>
      <c r="D978" s="95" t="s">
        <v>7</v>
      </c>
      <c r="E978" s="95" t="s">
        <v>67</v>
      </c>
      <c r="F978" s="95" t="s">
        <v>67</v>
      </c>
      <c r="G978" s="96">
        <v>15758031733</v>
      </c>
      <c r="H978" s="95"/>
      <c r="K978" s="97"/>
    </row>
    <row r="979" spans="1:11" x14ac:dyDescent="0.2">
      <c r="A979" s="91">
        <v>2013</v>
      </c>
      <c r="B979" s="92" t="s">
        <v>66</v>
      </c>
      <c r="C979" s="92" t="s">
        <v>4</v>
      </c>
      <c r="D979" s="92" t="s">
        <v>7</v>
      </c>
      <c r="E979" s="92" t="s">
        <v>69</v>
      </c>
      <c r="F979" s="92" t="s">
        <v>71</v>
      </c>
      <c r="G979" s="93">
        <v>2438044139</v>
      </c>
      <c r="H979" s="92"/>
      <c r="K979" s="97"/>
    </row>
    <row r="980" spans="1:11" x14ac:dyDescent="0.2">
      <c r="A980" s="94">
        <v>2013</v>
      </c>
      <c r="B980" s="95" t="s">
        <v>66</v>
      </c>
      <c r="C980" s="95" t="s">
        <v>4</v>
      </c>
      <c r="D980" s="95" t="s">
        <v>7</v>
      </c>
      <c r="E980" s="95" t="s">
        <v>69</v>
      </c>
      <c r="F980" s="95" t="s">
        <v>70</v>
      </c>
      <c r="G980" s="96">
        <v>3998517508</v>
      </c>
      <c r="H980" s="95"/>
      <c r="K980" s="97"/>
    </row>
    <row r="981" spans="1:11" x14ac:dyDescent="0.2">
      <c r="A981" s="91">
        <v>2013</v>
      </c>
      <c r="B981" s="92" t="s">
        <v>66</v>
      </c>
      <c r="C981" s="92" t="s">
        <v>4</v>
      </c>
      <c r="D981" s="92" t="s">
        <v>8</v>
      </c>
      <c r="E981" s="92" t="s">
        <v>67</v>
      </c>
      <c r="F981" s="92" t="s">
        <v>67</v>
      </c>
      <c r="G981" s="93">
        <v>10585442290</v>
      </c>
      <c r="H981" s="92"/>
      <c r="K981" s="97"/>
    </row>
    <row r="982" spans="1:11" x14ac:dyDescent="0.2">
      <c r="A982" s="94">
        <v>2013</v>
      </c>
      <c r="B982" s="95" t="s">
        <v>66</v>
      </c>
      <c r="C982" s="95" t="s">
        <v>4</v>
      </c>
      <c r="D982" s="95" t="s">
        <v>8</v>
      </c>
      <c r="E982" s="95" t="s">
        <v>69</v>
      </c>
      <c r="F982" s="95" t="s">
        <v>71</v>
      </c>
      <c r="G982" s="96">
        <v>273845133</v>
      </c>
      <c r="H982" s="95"/>
      <c r="K982" s="97"/>
    </row>
    <row r="983" spans="1:11" x14ac:dyDescent="0.2">
      <c r="A983" s="91">
        <v>2013</v>
      </c>
      <c r="B983" s="92" t="s">
        <v>66</v>
      </c>
      <c r="C983" s="92" t="s">
        <v>4</v>
      </c>
      <c r="D983" s="92" t="s">
        <v>8</v>
      </c>
      <c r="E983" s="92" t="s">
        <v>69</v>
      </c>
      <c r="F983" s="92" t="s">
        <v>70</v>
      </c>
      <c r="G983" s="93">
        <v>745311994</v>
      </c>
      <c r="H983" s="92"/>
      <c r="K983" s="97"/>
    </row>
    <row r="984" spans="1:11" x14ac:dyDescent="0.2">
      <c r="A984" s="94">
        <v>2013</v>
      </c>
      <c r="B984" s="95" t="s">
        <v>66</v>
      </c>
      <c r="C984" s="95" t="s">
        <v>4</v>
      </c>
      <c r="D984" s="95" t="s">
        <v>9</v>
      </c>
      <c r="E984" s="95" t="s">
        <v>67</v>
      </c>
      <c r="F984" s="95" t="s">
        <v>67</v>
      </c>
      <c r="G984" s="96">
        <v>62422190391</v>
      </c>
      <c r="H984" s="95"/>
      <c r="K984" s="97"/>
    </row>
    <row r="985" spans="1:11" x14ac:dyDescent="0.2">
      <c r="A985" s="91">
        <v>2013</v>
      </c>
      <c r="B985" s="92" t="s">
        <v>66</v>
      </c>
      <c r="C985" s="92" t="s">
        <v>4</v>
      </c>
      <c r="D985" s="92" t="s">
        <v>9</v>
      </c>
      <c r="E985" s="92" t="s">
        <v>69</v>
      </c>
      <c r="F985" s="92" t="s">
        <v>71</v>
      </c>
      <c r="G985" s="93">
        <v>12159491815</v>
      </c>
      <c r="H985" s="92"/>
      <c r="K985" s="97"/>
    </row>
    <row r="986" spans="1:11" x14ac:dyDescent="0.2">
      <c r="A986" s="94">
        <v>2013</v>
      </c>
      <c r="B986" s="95" t="s">
        <v>66</v>
      </c>
      <c r="C986" s="95" t="s">
        <v>4</v>
      </c>
      <c r="D986" s="95" t="s">
        <v>9</v>
      </c>
      <c r="E986" s="95" t="s">
        <v>69</v>
      </c>
      <c r="F986" s="95" t="s">
        <v>70</v>
      </c>
      <c r="G986" s="96">
        <v>18718600006</v>
      </c>
      <c r="H986" s="95"/>
      <c r="K986" s="97"/>
    </row>
    <row r="987" spans="1:11" x14ac:dyDescent="0.2">
      <c r="A987" s="91">
        <v>2013</v>
      </c>
      <c r="B987" s="92" t="s">
        <v>66</v>
      </c>
      <c r="C987" s="92" t="s">
        <v>4</v>
      </c>
      <c r="D987" s="92" t="s">
        <v>10</v>
      </c>
      <c r="E987" s="92" t="s">
        <v>67</v>
      </c>
      <c r="F987" s="92" t="s">
        <v>67</v>
      </c>
      <c r="G987" s="93">
        <v>1297402265</v>
      </c>
      <c r="H987" s="92"/>
      <c r="K987" s="97"/>
    </row>
    <row r="988" spans="1:11" x14ac:dyDescent="0.2">
      <c r="A988" s="94">
        <v>2013</v>
      </c>
      <c r="B988" s="95" t="s">
        <v>66</v>
      </c>
      <c r="C988" s="95" t="s">
        <v>4</v>
      </c>
      <c r="D988" s="95" t="s">
        <v>10</v>
      </c>
      <c r="E988" s="95" t="s">
        <v>69</v>
      </c>
      <c r="F988" s="95" t="s">
        <v>71</v>
      </c>
      <c r="G988" s="96">
        <v>73018219</v>
      </c>
      <c r="H988" s="95"/>
      <c r="K988" s="97"/>
    </row>
    <row r="989" spans="1:11" x14ac:dyDescent="0.2">
      <c r="A989" s="91">
        <v>2013</v>
      </c>
      <c r="B989" s="92" t="s">
        <v>66</v>
      </c>
      <c r="C989" s="92" t="s">
        <v>4</v>
      </c>
      <c r="D989" s="92" t="s">
        <v>10</v>
      </c>
      <c r="E989" s="92" t="s">
        <v>69</v>
      </c>
      <c r="F989" s="92" t="s">
        <v>70</v>
      </c>
      <c r="G989" s="93">
        <v>28395974</v>
      </c>
      <c r="H989" s="92"/>
      <c r="K989" s="97"/>
    </row>
    <row r="990" spans="1:11" x14ac:dyDescent="0.2">
      <c r="A990" s="94">
        <v>2013</v>
      </c>
      <c r="B990" s="95" t="s">
        <v>66</v>
      </c>
      <c r="C990" s="95" t="s">
        <v>4</v>
      </c>
      <c r="D990" s="95" t="s">
        <v>11</v>
      </c>
      <c r="E990" s="95" t="s">
        <v>67</v>
      </c>
      <c r="F990" s="95" t="s">
        <v>67</v>
      </c>
      <c r="G990" s="96">
        <v>6562055060</v>
      </c>
      <c r="H990" s="95"/>
      <c r="K990" s="97"/>
    </row>
    <row r="991" spans="1:11" x14ac:dyDescent="0.2">
      <c r="A991" s="91">
        <v>2013</v>
      </c>
      <c r="B991" s="92" t="s">
        <v>66</v>
      </c>
      <c r="C991" s="92" t="s">
        <v>4</v>
      </c>
      <c r="D991" s="92" t="s">
        <v>11</v>
      </c>
      <c r="E991" s="92" t="s">
        <v>69</v>
      </c>
      <c r="F991" s="92" t="s">
        <v>71</v>
      </c>
      <c r="G991" s="93">
        <v>744497165</v>
      </c>
      <c r="H991" s="92"/>
      <c r="K991" s="97"/>
    </row>
    <row r="992" spans="1:11" x14ac:dyDescent="0.2">
      <c r="A992" s="94">
        <v>2013</v>
      </c>
      <c r="B992" s="95" t="s">
        <v>66</v>
      </c>
      <c r="C992" s="95" t="s">
        <v>4</v>
      </c>
      <c r="D992" s="95" t="s">
        <v>11</v>
      </c>
      <c r="E992" s="95" t="s">
        <v>69</v>
      </c>
      <c r="F992" s="95" t="s">
        <v>70</v>
      </c>
      <c r="G992" s="96">
        <v>2690633642</v>
      </c>
      <c r="H992" s="95"/>
      <c r="K992" s="97"/>
    </row>
    <row r="993" spans="1:11" x14ac:dyDescent="0.2">
      <c r="A993" s="91">
        <v>2013</v>
      </c>
      <c r="B993" s="92" t="s">
        <v>66</v>
      </c>
      <c r="C993" s="92" t="s">
        <v>4</v>
      </c>
      <c r="D993" s="92" t="s">
        <v>12</v>
      </c>
      <c r="E993" s="92" t="s">
        <v>67</v>
      </c>
      <c r="F993" s="92" t="s">
        <v>67</v>
      </c>
      <c r="G993" s="93">
        <v>7365826317</v>
      </c>
      <c r="H993" s="92"/>
      <c r="K993" s="97"/>
    </row>
    <row r="994" spans="1:11" x14ac:dyDescent="0.2">
      <c r="A994" s="94">
        <v>2013</v>
      </c>
      <c r="B994" s="95" t="s">
        <v>66</v>
      </c>
      <c r="C994" s="95" t="s">
        <v>4</v>
      </c>
      <c r="D994" s="95" t="s">
        <v>12</v>
      </c>
      <c r="E994" s="95" t="s">
        <v>69</v>
      </c>
      <c r="F994" s="95" t="s">
        <v>71</v>
      </c>
      <c r="G994" s="96">
        <v>801898308</v>
      </c>
      <c r="H994" s="95"/>
      <c r="K994" s="97"/>
    </row>
    <row r="995" spans="1:11" x14ac:dyDescent="0.2">
      <c r="A995" s="91">
        <v>2013</v>
      </c>
      <c r="B995" s="92" t="s">
        <v>66</v>
      </c>
      <c r="C995" s="92" t="s">
        <v>4</v>
      </c>
      <c r="D995" s="92" t="s">
        <v>12</v>
      </c>
      <c r="E995" s="92" t="s">
        <v>69</v>
      </c>
      <c r="F995" s="92" t="s">
        <v>70</v>
      </c>
      <c r="G995" s="93">
        <v>2337557765</v>
      </c>
      <c r="H995" s="92"/>
      <c r="K995" s="97"/>
    </row>
    <row r="996" spans="1:11" x14ac:dyDescent="0.2">
      <c r="A996" s="94">
        <v>2013</v>
      </c>
      <c r="B996" s="95" t="s">
        <v>66</v>
      </c>
      <c r="C996" s="95" t="s">
        <v>4</v>
      </c>
      <c r="D996" s="95" t="s">
        <v>13</v>
      </c>
      <c r="E996" s="95" t="s">
        <v>67</v>
      </c>
      <c r="F996" s="95" t="s">
        <v>67</v>
      </c>
      <c r="G996" s="96">
        <v>11406465886</v>
      </c>
      <c r="H996" s="95"/>
      <c r="K996" s="97"/>
    </row>
    <row r="997" spans="1:11" x14ac:dyDescent="0.2">
      <c r="A997" s="91">
        <v>2013</v>
      </c>
      <c r="B997" s="92" t="s">
        <v>66</v>
      </c>
      <c r="C997" s="92" t="s">
        <v>4</v>
      </c>
      <c r="D997" s="92" t="s">
        <v>13</v>
      </c>
      <c r="E997" s="92" t="s">
        <v>69</v>
      </c>
      <c r="F997" s="92" t="s">
        <v>71</v>
      </c>
      <c r="G997" s="93">
        <v>780174079</v>
      </c>
      <c r="H997" s="92"/>
      <c r="K997" s="97"/>
    </row>
    <row r="998" spans="1:11" x14ac:dyDescent="0.2">
      <c r="A998" s="94">
        <v>2013</v>
      </c>
      <c r="B998" s="95" t="s">
        <v>66</v>
      </c>
      <c r="C998" s="95" t="s">
        <v>4</v>
      </c>
      <c r="D998" s="95" t="s">
        <v>13</v>
      </c>
      <c r="E998" s="95" t="s">
        <v>69</v>
      </c>
      <c r="F998" s="95" t="s">
        <v>70</v>
      </c>
      <c r="G998" s="96">
        <v>2605770471</v>
      </c>
      <c r="H998" s="95"/>
      <c r="K998" s="97"/>
    </row>
    <row r="999" spans="1:11" x14ac:dyDescent="0.2">
      <c r="A999" s="91">
        <v>2013</v>
      </c>
      <c r="B999" s="92" t="s">
        <v>66</v>
      </c>
      <c r="C999" s="92" t="s">
        <v>4</v>
      </c>
      <c r="D999" s="92" t="s">
        <v>14</v>
      </c>
      <c r="E999" s="92" t="s">
        <v>67</v>
      </c>
      <c r="F999" s="92" t="s">
        <v>67</v>
      </c>
      <c r="G999" s="93">
        <v>8014876340</v>
      </c>
      <c r="H999" s="92"/>
      <c r="K999" s="97"/>
    </row>
    <row r="1000" spans="1:11" x14ac:dyDescent="0.2">
      <c r="A1000" s="94">
        <v>2013</v>
      </c>
      <c r="B1000" s="95" t="s">
        <v>66</v>
      </c>
      <c r="C1000" s="95" t="s">
        <v>4</v>
      </c>
      <c r="D1000" s="95" t="s">
        <v>14</v>
      </c>
      <c r="E1000" s="95" t="s">
        <v>69</v>
      </c>
      <c r="F1000" s="95" t="s">
        <v>71</v>
      </c>
      <c r="G1000" s="96">
        <v>332560683</v>
      </c>
      <c r="H1000" s="95"/>
      <c r="K1000" s="97"/>
    </row>
    <row r="1001" spans="1:11" x14ac:dyDescent="0.2">
      <c r="A1001" s="91">
        <v>2013</v>
      </c>
      <c r="B1001" s="92" t="s">
        <v>66</v>
      </c>
      <c r="C1001" s="92" t="s">
        <v>4</v>
      </c>
      <c r="D1001" s="92" t="s">
        <v>14</v>
      </c>
      <c r="E1001" s="92" t="s">
        <v>69</v>
      </c>
      <c r="F1001" s="92" t="s">
        <v>70</v>
      </c>
      <c r="G1001" s="93">
        <v>846513573</v>
      </c>
      <c r="H1001" s="92"/>
      <c r="K1001" s="97"/>
    </row>
    <row r="1002" spans="1:11" x14ac:dyDescent="0.2">
      <c r="A1002" s="94">
        <v>2013</v>
      </c>
      <c r="B1002" s="95" t="s">
        <v>66</v>
      </c>
      <c r="C1002" s="95" t="s">
        <v>4</v>
      </c>
      <c r="D1002" s="95" t="s">
        <v>15</v>
      </c>
      <c r="E1002" s="95" t="s">
        <v>67</v>
      </c>
      <c r="F1002" s="95" t="s">
        <v>67</v>
      </c>
      <c r="G1002" s="96">
        <v>9606310231</v>
      </c>
      <c r="H1002" s="95"/>
      <c r="K1002" s="97"/>
    </row>
    <row r="1003" spans="1:11" x14ac:dyDescent="0.2">
      <c r="A1003" s="91">
        <v>2013</v>
      </c>
      <c r="B1003" s="92" t="s">
        <v>66</v>
      </c>
      <c r="C1003" s="92" t="s">
        <v>4</v>
      </c>
      <c r="D1003" s="92" t="s">
        <v>15</v>
      </c>
      <c r="E1003" s="92" t="s">
        <v>69</v>
      </c>
      <c r="F1003" s="92" t="s">
        <v>71</v>
      </c>
      <c r="G1003" s="93">
        <v>1616852798</v>
      </c>
      <c r="H1003" s="92"/>
      <c r="K1003" s="97"/>
    </row>
    <row r="1004" spans="1:11" x14ac:dyDescent="0.2">
      <c r="A1004" s="94">
        <v>2013</v>
      </c>
      <c r="B1004" s="95" t="s">
        <v>66</v>
      </c>
      <c r="C1004" s="95" t="s">
        <v>4</v>
      </c>
      <c r="D1004" s="95" t="s">
        <v>15</v>
      </c>
      <c r="E1004" s="95" t="s">
        <v>69</v>
      </c>
      <c r="F1004" s="95" t="s">
        <v>70</v>
      </c>
      <c r="G1004" s="96">
        <v>1458609491</v>
      </c>
      <c r="H1004" s="95"/>
      <c r="K1004" s="97"/>
    </row>
    <row r="1005" spans="1:11" x14ac:dyDescent="0.2">
      <c r="A1005" s="91">
        <v>2013</v>
      </c>
      <c r="B1005" s="92" t="s">
        <v>66</v>
      </c>
      <c r="C1005" s="92" t="s">
        <v>17</v>
      </c>
      <c r="D1005" s="92" t="s">
        <v>16</v>
      </c>
      <c r="E1005" s="92" t="s">
        <v>67</v>
      </c>
      <c r="F1005" s="92" t="s">
        <v>67</v>
      </c>
      <c r="G1005" s="93">
        <v>1172186992</v>
      </c>
      <c r="H1005" s="92"/>
      <c r="K1005" s="97"/>
    </row>
    <row r="1006" spans="1:11" x14ac:dyDescent="0.2">
      <c r="A1006" s="94">
        <v>2013</v>
      </c>
      <c r="B1006" s="95" t="s">
        <v>66</v>
      </c>
      <c r="C1006" s="95" t="s">
        <v>17</v>
      </c>
      <c r="D1006" s="95" t="s">
        <v>16</v>
      </c>
      <c r="E1006" s="95" t="s">
        <v>69</v>
      </c>
      <c r="F1006" s="95" t="s">
        <v>71</v>
      </c>
      <c r="G1006" s="96">
        <v>68521957</v>
      </c>
      <c r="H1006" s="95"/>
      <c r="K1006" s="97"/>
    </row>
    <row r="1007" spans="1:11" x14ac:dyDescent="0.2">
      <c r="A1007" s="91">
        <v>2013</v>
      </c>
      <c r="B1007" s="92" t="s">
        <v>66</v>
      </c>
      <c r="C1007" s="92" t="s">
        <v>17</v>
      </c>
      <c r="D1007" s="92" t="s">
        <v>16</v>
      </c>
      <c r="E1007" s="92" t="s">
        <v>69</v>
      </c>
      <c r="F1007" s="92" t="s">
        <v>70</v>
      </c>
      <c r="G1007" s="93">
        <v>240558374</v>
      </c>
      <c r="H1007" s="92"/>
      <c r="K1007" s="97"/>
    </row>
    <row r="1008" spans="1:11" x14ac:dyDescent="0.2">
      <c r="A1008" s="94">
        <v>2013</v>
      </c>
      <c r="B1008" s="95" t="s">
        <v>66</v>
      </c>
      <c r="C1008" s="95" t="s">
        <v>17</v>
      </c>
      <c r="D1008" s="95" t="s">
        <v>18</v>
      </c>
      <c r="E1008" s="95" t="s">
        <v>67</v>
      </c>
      <c r="F1008" s="95" t="s">
        <v>67</v>
      </c>
      <c r="G1008" s="96">
        <v>2209987438</v>
      </c>
      <c r="H1008" s="95"/>
      <c r="K1008" s="97"/>
    </row>
    <row r="1009" spans="1:11" x14ac:dyDescent="0.2">
      <c r="A1009" s="91">
        <v>2013</v>
      </c>
      <c r="B1009" s="92" t="s">
        <v>66</v>
      </c>
      <c r="C1009" s="92" t="s">
        <v>17</v>
      </c>
      <c r="D1009" s="92" t="s">
        <v>18</v>
      </c>
      <c r="E1009" s="92" t="s">
        <v>69</v>
      </c>
      <c r="F1009" s="92" t="s">
        <v>71</v>
      </c>
      <c r="G1009" s="93">
        <v>434515464</v>
      </c>
      <c r="H1009" s="92"/>
      <c r="K1009" s="97"/>
    </row>
    <row r="1010" spans="1:11" x14ac:dyDescent="0.2">
      <c r="A1010" s="94">
        <v>2013</v>
      </c>
      <c r="B1010" s="95" t="s">
        <v>66</v>
      </c>
      <c r="C1010" s="95" t="s">
        <v>17</v>
      </c>
      <c r="D1010" s="95" t="s">
        <v>18</v>
      </c>
      <c r="E1010" s="95" t="s">
        <v>69</v>
      </c>
      <c r="F1010" s="95" t="s">
        <v>70</v>
      </c>
      <c r="G1010" s="96">
        <v>450199647</v>
      </c>
      <c r="H1010" s="95"/>
      <c r="K1010" s="97"/>
    </row>
    <row r="1011" spans="1:11" x14ac:dyDescent="0.2">
      <c r="A1011" s="91">
        <v>2013</v>
      </c>
      <c r="B1011" s="92" t="s">
        <v>66</v>
      </c>
      <c r="C1011" s="92" t="s">
        <v>17</v>
      </c>
      <c r="D1011" s="92" t="s">
        <v>19</v>
      </c>
      <c r="E1011" s="92" t="s">
        <v>67</v>
      </c>
      <c r="F1011" s="92" t="s">
        <v>67</v>
      </c>
      <c r="G1011" s="93">
        <v>6705275063</v>
      </c>
      <c r="H1011" s="92"/>
      <c r="K1011" s="97"/>
    </row>
    <row r="1012" spans="1:11" x14ac:dyDescent="0.2">
      <c r="A1012" s="94">
        <v>2013</v>
      </c>
      <c r="B1012" s="95" t="s">
        <v>66</v>
      </c>
      <c r="C1012" s="95" t="s">
        <v>17</v>
      </c>
      <c r="D1012" s="95" t="s">
        <v>19</v>
      </c>
      <c r="E1012" s="95" t="s">
        <v>69</v>
      </c>
      <c r="F1012" s="95" t="s">
        <v>71</v>
      </c>
      <c r="G1012" s="96">
        <v>777600085</v>
      </c>
      <c r="H1012" s="95"/>
      <c r="K1012" s="97"/>
    </row>
    <row r="1013" spans="1:11" x14ac:dyDescent="0.2">
      <c r="A1013" s="91">
        <v>2013</v>
      </c>
      <c r="B1013" s="92" t="s">
        <v>66</v>
      </c>
      <c r="C1013" s="92" t="s">
        <v>17</v>
      </c>
      <c r="D1013" s="92" t="s">
        <v>19</v>
      </c>
      <c r="E1013" s="92" t="s">
        <v>69</v>
      </c>
      <c r="F1013" s="92" t="s">
        <v>70</v>
      </c>
      <c r="G1013" s="93">
        <v>1535015921</v>
      </c>
      <c r="H1013" s="92"/>
      <c r="K1013" s="97"/>
    </row>
    <row r="1014" spans="1:11" x14ac:dyDescent="0.2">
      <c r="A1014" s="94">
        <v>2013</v>
      </c>
      <c r="B1014" s="95" t="s">
        <v>66</v>
      </c>
      <c r="C1014" s="95" t="s">
        <v>17</v>
      </c>
      <c r="D1014" s="95" t="s">
        <v>20</v>
      </c>
      <c r="E1014" s="95" t="s">
        <v>67</v>
      </c>
      <c r="F1014" s="95" t="s">
        <v>67</v>
      </c>
      <c r="G1014" s="96">
        <v>1533987442</v>
      </c>
      <c r="H1014" s="95"/>
      <c r="K1014" s="97"/>
    </row>
    <row r="1015" spans="1:11" x14ac:dyDescent="0.2">
      <c r="A1015" s="91">
        <v>2013</v>
      </c>
      <c r="B1015" s="92" t="s">
        <v>66</v>
      </c>
      <c r="C1015" s="92" t="s">
        <v>17</v>
      </c>
      <c r="D1015" s="92" t="s">
        <v>20</v>
      </c>
      <c r="E1015" s="92" t="s">
        <v>69</v>
      </c>
      <c r="F1015" s="92" t="s">
        <v>71</v>
      </c>
      <c r="G1015" s="93">
        <v>137994362</v>
      </c>
      <c r="H1015" s="92"/>
      <c r="K1015" s="97"/>
    </row>
    <row r="1016" spans="1:11" x14ac:dyDescent="0.2">
      <c r="A1016" s="94">
        <v>2013</v>
      </c>
      <c r="B1016" s="95" t="s">
        <v>66</v>
      </c>
      <c r="C1016" s="95" t="s">
        <v>17</v>
      </c>
      <c r="D1016" s="95" t="s">
        <v>20</v>
      </c>
      <c r="E1016" s="95" t="s">
        <v>69</v>
      </c>
      <c r="F1016" s="95" t="s">
        <v>70</v>
      </c>
      <c r="G1016" s="96">
        <v>586972482</v>
      </c>
      <c r="H1016" s="95"/>
      <c r="K1016" s="97"/>
    </row>
    <row r="1017" spans="1:11" x14ac:dyDescent="0.2">
      <c r="A1017" s="91">
        <v>2013</v>
      </c>
      <c r="B1017" s="92" t="s">
        <v>66</v>
      </c>
      <c r="C1017" s="92" t="s">
        <v>17</v>
      </c>
      <c r="D1017" s="92" t="s">
        <v>21</v>
      </c>
      <c r="E1017" s="92" t="s">
        <v>67</v>
      </c>
      <c r="F1017" s="92" t="s">
        <v>67</v>
      </c>
      <c r="G1017" s="93">
        <v>3973104974</v>
      </c>
      <c r="H1017" s="92"/>
      <c r="K1017" s="97"/>
    </row>
    <row r="1018" spans="1:11" x14ac:dyDescent="0.2">
      <c r="A1018" s="94">
        <v>2013</v>
      </c>
      <c r="B1018" s="95" t="s">
        <v>66</v>
      </c>
      <c r="C1018" s="95" t="s">
        <v>17</v>
      </c>
      <c r="D1018" s="95" t="s">
        <v>21</v>
      </c>
      <c r="E1018" s="95" t="s">
        <v>69</v>
      </c>
      <c r="F1018" s="95" t="s">
        <v>71</v>
      </c>
      <c r="G1018" s="96">
        <v>564550422</v>
      </c>
      <c r="H1018" s="95"/>
      <c r="K1018" s="97"/>
    </row>
    <row r="1019" spans="1:11" x14ac:dyDescent="0.2">
      <c r="A1019" s="91">
        <v>2013</v>
      </c>
      <c r="B1019" s="92" t="s">
        <v>66</v>
      </c>
      <c r="C1019" s="92" t="s">
        <v>17</v>
      </c>
      <c r="D1019" s="92" t="s">
        <v>21</v>
      </c>
      <c r="E1019" s="92" t="s">
        <v>69</v>
      </c>
      <c r="F1019" s="92" t="s">
        <v>70</v>
      </c>
      <c r="G1019" s="93">
        <v>734499846</v>
      </c>
      <c r="H1019" s="92"/>
      <c r="K1019" s="97"/>
    </row>
    <row r="1020" spans="1:11" x14ac:dyDescent="0.2">
      <c r="A1020" s="94">
        <v>2013</v>
      </c>
      <c r="B1020" s="95" t="s">
        <v>66</v>
      </c>
      <c r="C1020" s="95" t="s">
        <v>17</v>
      </c>
      <c r="D1020" s="95" t="s">
        <v>22</v>
      </c>
      <c r="E1020" s="95" t="s">
        <v>67</v>
      </c>
      <c r="F1020" s="95" t="s">
        <v>67</v>
      </c>
      <c r="G1020" s="96">
        <v>1711206221</v>
      </c>
      <c r="H1020" s="95"/>
      <c r="K1020" s="97"/>
    </row>
    <row r="1021" spans="1:11" x14ac:dyDescent="0.2">
      <c r="A1021" s="91">
        <v>2013</v>
      </c>
      <c r="B1021" s="92" t="s">
        <v>66</v>
      </c>
      <c r="C1021" s="92" t="s">
        <v>17</v>
      </c>
      <c r="D1021" s="92" t="s">
        <v>22</v>
      </c>
      <c r="E1021" s="92" t="s">
        <v>69</v>
      </c>
      <c r="F1021" s="92" t="s">
        <v>71</v>
      </c>
      <c r="G1021" s="93">
        <v>161022604</v>
      </c>
      <c r="H1021" s="92"/>
      <c r="K1021" s="97"/>
    </row>
    <row r="1022" spans="1:11" x14ac:dyDescent="0.2">
      <c r="A1022" s="94">
        <v>2013</v>
      </c>
      <c r="B1022" s="95" t="s">
        <v>66</v>
      </c>
      <c r="C1022" s="95" t="s">
        <v>17</v>
      </c>
      <c r="D1022" s="95" t="s">
        <v>22</v>
      </c>
      <c r="E1022" s="95" t="s">
        <v>69</v>
      </c>
      <c r="F1022" s="95" t="s">
        <v>70</v>
      </c>
      <c r="G1022" s="96">
        <v>177561531</v>
      </c>
      <c r="H1022" s="95"/>
      <c r="K1022" s="97"/>
    </row>
    <row r="1023" spans="1:11" x14ac:dyDescent="0.2">
      <c r="A1023" s="91">
        <v>2013</v>
      </c>
      <c r="B1023" s="92" t="s">
        <v>66</v>
      </c>
      <c r="C1023" s="92" t="s">
        <v>17</v>
      </c>
      <c r="D1023" s="92" t="s">
        <v>23</v>
      </c>
      <c r="E1023" s="92" t="s">
        <v>67</v>
      </c>
      <c r="F1023" s="92" t="s">
        <v>67</v>
      </c>
      <c r="G1023" s="93">
        <v>2404759300</v>
      </c>
      <c r="H1023" s="92"/>
      <c r="K1023" s="97"/>
    </row>
    <row r="1024" spans="1:11" x14ac:dyDescent="0.2">
      <c r="A1024" s="94">
        <v>2013</v>
      </c>
      <c r="B1024" s="95" t="s">
        <v>66</v>
      </c>
      <c r="C1024" s="95" t="s">
        <v>17</v>
      </c>
      <c r="D1024" s="95" t="s">
        <v>23</v>
      </c>
      <c r="E1024" s="95" t="s">
        <v>69</v>
      </c>
      <c r="F1024" s="95" t="s">
        <v>71</v>
      </c>
      <c r="G1024" s="96">
        <v>227335981</v>
      </c>
      <c r="H1024" s="95"/>
      <c r="K1024" s="97"/>
    </row>
    <row r="1025" spans="1:11" x14ac:dyDescent="0.2">
      <c r="A1025" s="91">
        <v>2013</v>
      </c>
      <c r="B1025" s="92" t="s">
        <v>66</v>
      </c>
      <c r="C1025" s="92" t="s">
        <v>17</v>
      </c>
      <c r="D1025" s="92" t="s">
        <v>23</v>
      </c>
      <c r="E1025" s="92" t="s">
        <v>69</v>
      </c>
      <c r="F1025" s="92" t="s">
        <v>70</v>
      </c>
      <c r="G1025" s="93">
        <v>516563964</v>
      </c>
      <c r="H1025" s="92"/>
      <c r="K1025" s="97"/>
    </row>
    <row r="1026" spans="1:11" x14ac:dyDescent="0.2">
      <c r="A1026" s="94">
        <v>2013</v>
      </c>
      <c r="B1026" s="95" t="s">
        <v>66</v>
      </c>
      <c r="C1026" s="95" t="s">
        <v>17</v>
      </c>
      <c r="D1026" s="95" t="s">
        <v>24</v>
      </c>
      <c r="E1026" s="95" t="s">
        <v>67</v>
      </c>
      <c r="F1026" s="95" t="s">
        <v>67</v>
      </c>
      <c r="G1026" s="96">
        <v>34417207067</v>
      </c>
      <c r="H1026" s="95"/>
      <c r="K1026" s="97"/>
    </row>
    <row r="1027" spans="1:11" x14ac:dyDescent="0.2">
      <c r="A1027" s="91">
        <v>2013</v>
      </c>
      <c r="B1027" s="92" t="s">
        <v>66</v>
      </c>
      <c r="C1027" s="92" t="s">
        <v>17</v>
      </c>
      <c r="D1027" s="92" t="s">
        <v>24</v>
      </c>
      <c r="E1027" s="92" t="s">
        <v>69</v>
      </c>
      <c r="F1027" s="92" t="s">
        <v>71</v>
      </c>
      <c r="G1027" s="93">
        <v>5279748050</v>
      </c>
      <c r="H1027" s="92"/>
      <c r="K1027" s="97"/>
    </row>
    <row r="1028" spans="1:11" x14ac:dyDescent="0.2">
      <c r="A1028" s="94">
        <v>2013</v>
      </c>
      <c r="B1028" s="95" t="s">
        <v>66</v>
      </c>
      <c r="C1028" s="95" t="s">
        <v>17</v>
      </c>
      <c r="D1028" s="95" t="s">
        <v>24</v>
      </c>
      <c r="E1028" s="95" t="s">
        <v>69</v>
      </c>
      <c r="F1028" s="95" t="s">
        <v>70</v>
      </c>
      <c r="G1028" s="96">
        <v>5409912109</v>
      </c>
      <c r="H1028" s="95"/>
      <c r="K1028" s="97"/>
    </row>
    <row r="1029" spans="1:11" x14ac:dyDescent="0.2">
      <c r="A1029" s="91">
        <v>2013</v>
      </c>
      <c r="B1029" s="92" t="s">
        <v>66</v>
      </c>
      <c r="C1029" s="92" t="s">
        <v>17</v>
      </c>
      <c r="D1029" s="92" t="s">
        <v>25</v>
      </c>
      <c r="E1029" s="92" t="s">
        <v>67</v>
      </c>
      <c r="F1029" s="92" t="s">
        <v>67</v>
      </c>
      <c r="G1029" s="93">
        <v>3812708033</v>
      </c>
      <c r="H1029" s="92"/>
      <c r="K1029" s="97"/>
    </row>
    <row r="1030" spans="1:11" x14ac:dyDescent="0.2">
      <c r="A1030" s="94">
        <v>2013</v>
      </c>
      <c r="B1030" s="95" t="s">
        <v>66</v>
      </c>
      <c r="C1030" s="95" t="s">
        <v>17</v>
      </c>
      <c r="D1030" s="95" t="s">
        <v>25</v>
      </c>
      <c r="E1030" s="95" t="s">
        <v>69</v>
      </c>
      <c r="F1030" s="95" t="s">
        <v>71</v>
      </c>
      <c r="G1030" s="96">
        <v>360986042</v>
      </c>
      <c r="H1030" s="95"/>
      <c r="K1030" s="97"/>
    </row>
    <row r="1031" spans="1:11" x14ac:dyDescent="0.2">
      <c r="A1031" s="91">
        <v>2013</v>
      </c>
      <c r="B1031" s="92" t="s">
        <v>66</v>
      </c>
      <c r="C1031" s="92" t="s">
        <v>17</v>
      </c>
      <c r="D1031" s="92" t="s">
        <v>25</v>
      </c>
      <c r="E1031" s="92" t="s">
        <v>69</v>
      </c>
      <c r="F1031" s="92" t="s">
        <v>70</v>
      </c>
      <c r="G1031" s="93">
        <v>477347369</v>
      </c>
      <c r="H1031" s="92"/>
      <c r="K1031" s="97"/>
    </row>
    <row r="1032" spans="1:11" x14ac:dyDescent="0.2">
      <c r="A1032" s="94">
        <v>2013</v>
      </c>
      <c r="B1032" s="95" t="s">
        <v>66</v>
      </c>
      <c r="C1032" s="95" t="s">
        <v>27</v>
      </c>
      <c r="D1032" s="95" t="s">
        <v>26</v>
      </c>
      <c r="E1032" s="95" t="s">
        <v>67</v>
      </c>
      <c r="F1032" s="95" t="s">
        <v>67</v>
      </c>
      <c r="G1032" s="96">
        <v>35300842948</v>
      </c>
      <c r="H1032" s="95"/>
      <c r="K1032" s="97"/>
    </row>
    <row r="1033" spans="1:11" x14ac:dyDescent="0.2">
      <c r="A1033" s="91">
        <v>2013</v>
      </c>
      <c r="B1033" s="92" t="s">
        <v>66</v>
      </c>
      <c r="C1033" s="92" t="s">
        <v>27</v>
      </c>
      <c r="D1033" s="92" t="s">
        <v>26</v>
      </c>
      <c r="E1033" s="92" t="s">
        <v>69</v>
      </c>
      <c r="F1033" s="92" t="s">
        <v>71</v>
      </c>
      <c r="G1033" s="93">
        <v>7068656652</v>
      </c>
      <c r="H1033" s="92"/>
      <c r="K1033" s="97"/>
    </row>
    <row r="1034" spans="1:11" x14ac:dyDescent="0.2">
      <c r="A1034" s="94">
        <v>2013</v>
      </c>
      <c r="B1034" s="95" t="s">
        <v>66</v>
      </c>
      <c r="C1034" s="95" t="s">
        <v>27</v>
      </c>
      <c r="D1034" s="95" t="s">
        <v>26</v>
      </c>
      <c r="E1034" s="95" t="s">
        <v>69</v>
      </c>
      <c r="F1034" s="95" t="s">
        <v>70</v>
      </c>
      <c r="G1034" s="96">
        <v>13605027873</v>
      </c>
      <c r="H1034" s="95"/>
      <c r="K1034" s="97"/>
    </row>
    <row r="1035" spans="1:11" x14ac:dyDescent="0.2">
      <c r="A1035" s="91">
        <v>2013</v>
      </c>
      <c r="B1035" s="92" t="s">
        <v>66</v>
      </c>
      <c r="C1035" s="92" t="s">
        <v>27</v>
      </c>
      <c r="D1035" s="92" t="s">
        <v>28</v>
      </c>
      <c r="E1035" s="92" t="s">
        <v>67</v>
      </c>
      <c r="F1035" s="92" t="s">
        <v>67</v>
      </c>
      <c r="G1035" s="93">
        <v>50305961024</v>
      </c>
      <c r="H1035" s="92"/>
      <c r="K1035" s="97"/>
    </row>
    <row r="1036" spans="1:11" x14ac:dyDescent="0.2">
      <c r="A1036" s="94">
        <v>2013</v>
      </c>
      <c r="B1036" s="95" t="s">
        <v>66</v>
      </c>
      <c r="C1036" s="95" t="s">
        <v>27</v>
      </c>
      <c r="D1036" s="95" t="s">
        <v>28</v>
      </c>
      <c r="E1036" s="95" t="s">
        <v>69</v>
      </c>
      <c r="F1036" s="95" t="s">
        <v>71</v>
      </c>
      <c r="G1036" s="96">
        <v>11613457006</v>
      </c>
      <c r="H1036" s="95"/>
      <c r="K1036" s="97"/>
    </row>
    <row r="1037" spans="1:11" x14ac:dyDescent="0.2">
      <c r="A1037" s="91">
        <v>2013</v>
      </c>
      <c r="B1037" s="92" t="s">
        <v>66</v>
      </c>
      <c r="C1037" s="92" t="s">
        <v>27</v>
      </c>
      <c r="D1037" s="92" t="s">
        <v>28</v>
      </c>
      <c r="E1037" s="92" t="s">
        <v>69</v>
      </c>
      <c r="F1037" s="92" t="s">
        <v>70</v>
      </c>
      <c r="G1037" s="93">
        <v>15705494780</v>
      </c>
      <c r="H1037" s="92"/>
      <c r="K1037" s="97"/>
    </row>
    <row r="1038" spans="1:11" x14ac:dyDescent="0.2">
      <c r="A1038" s="94">
        <v>2013</v>
      </c>
      <c r="B1038" s="95" t="s">
        <v>66</v>
      </c>
      <c r="C1038" s="95" t="s">
        <v>27</v>
      </c>
      <c r="D1038" s="95" t="s">
        <v>29</v>
      </c>
      <c r="E1038" s="95" t="s">
        <v>67</v>
      </c>
      <c r="F1038" s="95" t="s">
        <v>67</v>
      </c>
      <c r="G1038" s="96">
        <v>18836662341</v>
      </c>
      <c r="H1038" s="95"/>
      <c r="K1038" s="97"/>
    </row>
    <row r="1039" spans="1:11" x14ac:dyDescent="0.2">
      <c r="A1039" s="91">
        <v>2013</v>
      </c>
      <c r="B1039" s="92" t="s">
        <v>66</v>
      </c>
      <c r="C1039" s="92" t="s">
        <v>27</v>
      </c>
      <c r="D1039" s="92" t="s">
        <v>29</v>
      </c>
      <c r="E1039" s="92" t="s">
        <v>69</v>
      </c>
      <c r="F1039" s="92" t="s">
        <v>71</v>
      </c>
      <c r="G1039" s="93">
        <v>4671079025</v>
      </c>
      <c r="H1039" s="92"/>
      <c r="K1039" s="97"/>
    </row>
    <row r="1040" spans="1:11" x14ac:dyDescent="0.2">
      <c r="A1040" s="94">
        <v>2013</v>
      </c>
      <c r="B1040" s="95" t="s">
        <v>66</v>
      </c>
      <c r="C1040" s="95" t="s">
        <v>27</v>
      </c>
      <c r="D1040" s="95" t="s">
        <v>29</v>
      </c>
      <c r="E1040" s="95" t="s">
        <v>69</v>
      </c>
      <c r="F1040" s="95" t="s">
        <v>70</v>
      </c>
      <c r="G1040" s="96">
        <v>3529784324</v>
      </c>
      <c r="H1040" s="95"/>
      <c r="K1040" s="97"/>
    </row>
    <row r="1041" spans="1:11" x14ac:dyDescent="0.2">
      <c r="A1041" s="91">
        <v>2013</v>
      </c>
      <c r="B1041" s="92" t="s">
        <v>66</v>
      </c>
      <c r="C1041" s="92" t="s">
        <v>27</v>
      </c>
      <c r="D1041" s="92" t="s">
        <v>30</v>
      </c>
      <c r="E1041" s="92" t="s">
        <v>67</v>
      </c>
      <c r="F1041" s="92" t="s">
        <v>67</v>
      </c>
      <c r="G1041" s="93">
        <v>39050474564</v>
      </c>
      <c r="H1041" s="92"/>
      <c r="K1041" s="97"/>
    </row>
    <row r="1042" spans="1:11" x14ac:dyDescent="0.2">
      <c r="A1042" s="94">
        <v>2013</v>
      </c>
      <c r="B1042" s="95" t="s">
        <v>66</v>
      </c>
      <c r="C1042" s="95" t="s">
        <v>27</v>
      </c>
      <c r="D1042" s="95" t="s">
        <v>30</v>
      </c>
      <c r="E1042" s="95" t="s">
        <v>69</v>
      </c>
      <c r="F1042" s="95" t="s">
        <v>71</v>
      </c>
      <c r="G1042" s="96">
        <v>7647736848</v>
      </c>
      <c r="H1042" s="95"/>
      <c r="K1042" s="97"/>
    </row>
    <row r="1043" spans="1:11" x14ac:dyDescent="0.2">
      <c r="A1043" s="91">
        <v>2013</v>
      </c>
      <c r="B1043" s="92" t="s">
        <v>66</v>
      </c>
      <c r="C1043" s="92" t="s">
        <v>27</v>
      </c>
      <c r="D1043" s="92" t="s">
        <v>30</v>
      </c>
      <c r="E1043" s="92" t="s">
        <v>69</v>
      </c>
      <c r="F1043" s="92" t="s">
        <v>70</v>
      </c>
      <c r="G1043" s="93">
        <v>13999209707</v>
      </c>
      <c r="H1043" s="92"/>
      <c r="K1043" s="97"/>
    </row>
    <row r="1044" spans="1:11" x14ac:dyDescent="0.2">
      <c r="A1044" s="94">
        <v>2013</v>
      </c>
      <c r="B1044" s="95" t="s">
        <v>66</v>
      </c>
      <c r="C1044" s="95" t="s">
        <v>27</v>
      </c>
      <c r="D1044" s="95" t="s">
        <v>31</v>
      </c>
      <c r="E1044" s="95" t="s">
        <v>67</v>
      </c>
      <c r="F1044" s="95" t="s">
        <v>67</v>
      </c>
      <c r="G1044" s="96">
        <v>9856397752</v>
      </c>
      <c r="H1044" s="95"/>
      <c r="K1044" s="97"/>
    </row>
    <row r="1045" spans="1:11" x14ac:dyDescent="0.2">
      <c r="A1045" s="91">
        <v>2013</v>
      </c>
      <c r="B1045" s="92" t="s">
        <v>66</v>
      </c>
      <c r="C1045" s="92" t="s">
        <v>27</v>
      </c>
      <c r="D1045" s="92" t="s">
        <v>31</v>
      </c>
      <c r="E1045" s="92" t="s">
        <v>69</v>
      </c>
      <c r="F1045" s="92" t="s">
        <v>71</v>
      </c>
      <c r="G1045" s="93">
        <v>3299450883</v>
      </c>
      <c r="H1045" s="92"/>
      <c r="K1045" s="97"/>
    </row>
    <row r="1046" spans="1:11" x14ac:dyDescent="0.2">
      <c r="A1046" s="94">
        <v>2013</v>
      </c>
      <c r="B1046" s="95" t="s">
        <v>66</v>
      </c>
      <c r="C1046" s="95" t="s">
        <v>27</v>
      </c>
      <c r="D1046" s="95" t="s">
        <v>31</v>
      </c>
      <c r="E1046" s="95" t="s">
        <v>69</v>
      </c>
      <c r="F1046" s="95" t="s">
        <v>70</v>
      </c>
      <c r="G1046" s="96">
        <v>7563024260</v>
      </c>
      <c r="H1046" s="95"/>
      <c r="K1046" s="97"/>
    </row>
    <row r="1047" spans="1:11" x14ac:dyDescent="0.2">
      <c r="A1047" s="91">
        <v>2013</v>
      </c>
      <c r="B1047" s="92" t="s">
        <v>66</v>
      </c>
      <c r="C1047" s="92" t="s">
        <v>27</v>
      </c>
      <c r="D1047" s="92" t="s">
        <v>32</v>
      </c>
      <c r="E1047" s="92" t="s">
        <v>67</v>
      </c>
      <c r="F1047" s="92" t="s">
        <v>67</v>
      </c>
      <c r="G1047" s="93">
        <v>16772162171</v>
      </c>
      <c r="H1047" s="92"/>
      <c r="K1047" s="97"/>
    </row>
    <row r="1048" spans="1:11" x14ac:dyDescent="0.2">
      <c r="A1048" s="94">
        <v>2013</v>
      </c>
      <c r="B1048" s="95" t="s">
        <v>66</v>
      </c>
      <c r="C1048" s="95" t="s">
        <v>27</v>
      </c>
      <c r="D1048" s="95" t="s">
        <v>32</v>
      </c>
      <c r="E1048" s="95" t="s">
        <v>69</v>
      </c>
      <c r="F1048" s="95" t="s">
        <v>71</v>
      </c>
      <c r="G1048" s="96">
        <v>5779371798</v>
      </c>
      <c r="H1048" s="95"/>
      <c r="K1048" s="97"/>
    </row>
    <row r="1049" spans="1:11" x14ac:dyDescent="0.2">
      <c r="A1049" s="91">
        <v>2013</v>
      </c>
      <c r="B1049" s="92" t="s">
        <v>66</v>
      </c>
      <c r="C1049" s="92" t="s">
        <v>27</v>
      </c>
      <c r="D1049" s="92" t="s">
        <v>32</v>
      </c>
      <c r="E1049" s="92" t="s">
        <v>69</v>
      </c>
      <c r="F1049" s="92" t="s">
        <v>70</v>
      </c>
      <c r="G1049" s="93">
        <v>4502453871</v>
      </c>
      <c r="H1049" s="92"/>
      <c r="K1049" s="97"/>
    </row>
    <row r="1050" spans="1:11" x14ac:dyDescent="0.2">
      <c r="A1050" s="94">
        <v>2013</v>
      </c>
      <c r="B1050" s="95" t="s">
        <v>66</v>
      </c>
      <c r="C1050" s="95" t="s">
        <v>27</v>
      </c>
      <c r="D1050" s="95" t="s">
        <v>33</v>
      </c>
      <c r="E1050" s="95" t="s">
        <v>67</v>
      </c>
      <c r="F1050" s="95" t="s">
        <v>67</v>
      </c>
      <c r="G1050" s="96">
        <v>33766530443</v>
      </c>
      <c r="H1050" s="95"/>
      <c r="K1050" s="97"/>
    </row>
    <row r="1051" spans="1:11" x14ac:dyDescent="0.2">
      <c r="A1051" s="91">
        <v>2013</v>
      </c>
      <c r="B1051" s="92" t="s">
        <v>66</v>
      </c>
      <c r="C1051" s="92" t="s">
        <v>27</v>
      </c>
      <c r="D1051" s="92" t="s">
        <v>33</v>
      </c>
      <c r="E1051" s="92" t="s">
        <v>69</v>
      </c>
      <c r="F1051" s="92" t="s">
        <v>71</v>
      </c>
      <c r="G1051" s="93">
        <v>9278259362</v>
      </c>
      <c r="H1051" s="92"/>
      <c r="K1051" s="97"/>
    </row>
    <row r="1052" spans="1:11" x14ac:dyDescent="0.2">
      <c r="A1052" s="94">
        <v>2013</v>
      </c>
      <c r="B1052" s="95" t="s">
        <v>66</v>
      </c>
      <c r="C1052" s="95" t="s">
        <v>27</v>
      </c>
      <c r="D1052" s="95" t="s">
        <v>33</v>
      </c>
      <c r="E1052" s="95" t="s">
        <v>69</v>
      </c>
      <c r="F1052" s="95" t="s">
        <v>70</v>
      </c>
      <c r="G1052" s="96">
        <v>23595900274</v>
      </c>
      <c r="H1052" s="95"/>
      <c r="K1052" s="97"/>
    </row>
    <row r="1053" spans="1:11" x14ac:dyDescent="0.2">
      <c r="A1053" s="91">
        <v>2013</v>
      </c>
      <c r="B1053" s="92" t="s">
        <v>66</v>
      </c>
      <c r="C1053" s="92" t="s">
        <v>35</v>
      </c>
      <c r="D1053" s="92" t="s">
        <v>34</v>
      </c>
      <c r="E1053" s="92" t="s">
        <v>67</v>
      </c>
      <c r="F1053" s="92" t="s">
        <v>67</v>
      </c>
      <c r="G1053" s="93">
        <v>7156268041</v>
      </c>
      <c r="H1053" s="92"/>
      <c r="K1053" s="97"/>
    </row>
    <row r="1054" spans="1:11" x14ac:dyDescent="0.2">
      <c r="A1054" s="94">
        <v>2013</v>
      </c>
      <c r="B1054" s="95" t="s">
        <v>66</v>
      </c>
      <c r="C1054" s="95" t="s">
        <v>35</v>
      </c>
      <c r="D1054" s="95" t="s">
        <v>34</v>
      </c>
      <c r="E1054" s="95" t="s">
        <v>69</v>
      </c>
      <c r="F1054" s="95" t="s">
        <v>71</v>
      </c>
      <c r="G1054" s="96">
        <v>796644432</v>
      </c>
      <c r="H1054" s="95"/>
      <c r="K1054" s="97"/>
    </row>
    <row r="1055" spans="1:11" x14ac:dyDescent="0.2">
      <c r="A1055" s="91">
        <v>2013</v>
      </c>
      <c r="B1055" s="92" t="s">
        <v>66</v>
      </c>
      <c r="C1055" s="92" t="s">
        <v>35</v>
      </c>
      <c r="D1055" s="92" t="s">
        <v>34</v>
      </c>
      <c r="E1055" s="92" t="s">
        <v>69</v>
      </c>
      <c r="F1055" s="92" t="s">
        <v>70</v>
      </c>
      <c r="G1055" s="93">
        <v>594045833</v>
      </c>
      <c r="H1055" s="92"/>
      <c r="K1055" s="97"/>
    </row>
    <row r="1056" spans="1:11" x14ac:dyDescent="0.2">
      <c r="A1056" s="94">
        <v>2013</v>
      </c>
      <c r="B1056" s="95" t="s">
        <v>66</v>
      </c>
      <c r="C1056" s="95" t="s">
        <v>35</v>
      </c>
      <c r="D1056" s="95" t="s">
        <v>36</v>
      </c>
      <c r="E1056" s="95" t="s">
        <v>67</v>
      </c>
      <c r="F1056" s="95" t="s">
        <v>67</v>
      </c>
      <c r="G1056" s="96">
        <v>27689692858</v>
      </c>
      <c r="H1056" s="95"/>
      <c r="K1056" s="97"/>
    </row>
    <row r="1057" spans="1:11" x14ac:dyDescent="0.2">
      <c r="A1057" s="91">
        <v>2013</v>
      </c>
      <c r="B1057" s="92" t="s">
        <v>66</v>
      </c>
      <c r="C1057" s="92" t="s">
        <v>35</v>
      </c>
      <c r="D1057" s="92" t="s">
        <v>36</v>
      </c>
      <c r="E1057" s="92" t="s">
        <v>69</v>
      </c>
      <c r="F1057" s="92" t="s">
        <v>71</v>
      </c>
      <c r="G1057" s="93">
        <v>5800346988</v>
      </c>
      <c r="H1057" s="92"/>
      <c r="K1057" s="97"/>
    </row>
    <row r="1058" spans="1:11" x14ac:dyDescent="0.2">
      <c r="A1058" s="94">
        <v>2013</v>
      </c>
      <c r="B1058" s="95" t="s">
        <v>66</v>
      </c>
      <c r="C1058" s="95" t="s">
        <v>35</v>
      </c>
      <c r="D1058" s="95" t="s">
        <v>36</v>
      </c>
      <c r="E1058" s="95" t="s">
        <v>69</v>
      </c>
      <c r="F1058" s="95" t="s">
        <v>70</v>
      </c>
      <c r="G1058" s="96">
        <v>2494846939</v>
      </c>
      <c r="H1058" s="95"/>
      <c r="K1058" s="97"/>
    </row>
    <row r="1059" spans="1:11" x14ac:dyDescent="0.2">
      <c r="A1059" s="91">
        <v>2013</v>
      </c>
      <c r="B1059" s="92" t="s">
        <v>66</v>
      </c>
      <c r="C1059" s="92" t="s">
        <v>35</v>
      </c>
      <c r="D1059" s="92" t="s">
        <v>37</v>
      </c>
      <c r="E1059" s="92" t="s">
        <v>67</v>
      </c>
      <c r="F1059" s="92" t="s">
        <v>67</v>
      </c>
      <c r="G1059" s="93">
        <v>3830078210</v>
      </c>
      <c r="H1059" s="92"/>
      <c r="K1059" s="97"/>
    </row>
    <row r="1060" spans="1:11" x14ac:dyDescent="0.2">
      <c r="A1060" s="94">
        <v>2013</v>
      </c>
      <c r="B1060" s="95" t="s">
        <v>66</v>
      </c>
      <c r="C1060" s="95" t="s">
        <v>35</v>
      </c>
      <c r="D1060" s="95" t="s">
        <v>37</v>
      </c>
      <c r="E1060" s="95" t="s">
        <v>69</v>
      </c>
      <c r="F1060" s="95" t="s">
        <v>71</v>
      </c>
      <c r="G1060" s="96">
        <v>626371553</v>
      </c>
      <c r="H1060" s="95"/>
      <c r="K1060" s="97"/>
    </row>
    <row r="1061" spans="1:11" x14ac:dyDescent="0.2">
      <c r="A1061" s="91">
        <v>2013</v>
      </c>
      <c r="B1061" s="92" t="s">
        <v>66</v>
      </c>
      <c r="C1061" s="92" t="s">
        <v>35</v>
      </c>
      <c r="D1061" s="92" t="s">
        <v>37</v>
      </c>
      <c r="E1061" s="92" t="s">
        <v>69</v>
      </c>
      <c r="F1061" s="92" t="s">
        <v>70</v>
      </c>
      <c r="G1061" s="93">
        <v>842985803</v>
      </c>
      <c r="H1061" s="92"/>
      <c r="K1061" s="97"/>
    </row>
    <row r="1062" spans="1:11" x14ac:dyDescent="0.2">
      <c r="A1062" s="94">
        <v>2013</v>
      </c>
      <c r="B1062" s="95" t="s">
        <v>66</v>
      </c>
      <c r="C1062" s="95" t="s">
        <v>35</v>
      </c>
      <c r="D1062" s="95" t="s">
        <v>38</v>
      </c>
      <c r="E1062" s="95" t="s">
        <v>67</v>
      </c>
      <c r="F1062" s="95" t="s">
        <v>67</v>
      </c>
      <c r="G1062" s="96">
        <v>8229403506</v>
      </c>
      <c r="H1062" s="95"/>
      <c r="K1062" s="97"/>
    </row>
    <row r="1063" spans="1:11" x14ac:dyDescent="0.2">
      <c r="A1063" s="91">
        <v>2013</v>
      </c>
      <c r="B1063" s="92" t="s">
        <v>66</v>
      </c>
      <c r="C1063" s="92" t="s">
        <v>35</v>
      </c>
      <c r="D1063" s="92" t="s">
        <v>38</v>
      </c>
      <c r="E1063" s="92" t="s">
        <v>69</v>
      </c>
      <c r="F1063" s="92" t="s">
        <v>71</v>
      </c>
      <c r="G1063" s="93">
        <v>1228089125</v>
      </c>
      <c r="H1063" s="92"/>
      <c r="K1063" s="97"/>
    </row>
    <row r="1064" spans="1:11" x14ac:dyDescent="0.2">
      <c r="A1064" s="94">
        <v>2013</v>
      </c>
      <c r="B1064" s="95" t="s">
        <v>66</v>
      </c>
      <c r="C1064" s="95" t="s">
        <v>35</v>
      </c>
      <c r="D1064" s="95" t="s">
        <v>38</v>
      </c>
      <c r="E1064" s="95" t="s">
        <v>69</v>
      </c>
      <c r="F1064" s="95" t="s">
        <v>70</v>
      </c>
      <c r="G1064" s="96">
        <v>1090507369</v>
      </c>
      <c r="H1064" s="95"/>
      <c r="K1064" s="97"/>
    </row>
    <row r="1065" spans="1:11" x14ac:dyDescent="0.2">
      <c r="A1065" s="91">
        <v>2013</v>
      </c>
      <c r="B1065" s="92" t="s">
        <v>66</v>
      </c>
      <c r="C1065" s="92" t="s">
        <v>35</v>
      </c>
      <c r="D1065" s="92" t="s">
        <v>39</v>
      </c>
      <c r="E1065" s="92" t="s">
        <v>67</v>
      </c>
      <c r="F1065" s="92" t="s">
        <v>67</v>
      </c>
      <c r="G1065" s="93">
        <v>19615860000</v>
      </c>
      <c r="H1065" s="92"/>
      <c r="K1065" s="97"/>
    </row>
    <row r="1066" spans="1:11" x14ac:dyDescent="0.2">
      <c r="A1066" s="94">
        <v>2013</v>
      </c>
      <c r="B1066" s="95" t="s">
        <v>66</v>
      </c>
      <c r="C1066" s="95" t="s">
        <v>35</v>
      </c>
      <c r="D1066" s="95" t="s">
        <v>39</v>
      </c>
      <c r="E1066" s="95" t="s">
        <v>69</v>
      </c>
      <c r="F1066" s="95" t="s">
        <v>71</v>
      </c>
      <c r="G1066" s="96">
        <v>3770255200</v>
      </c>
      <c r="H1066" s="95"/>
      <c r="K1066" s="97"/>
    </row>
    <row r="1067" spans="1:11" x14ac:dyDescent="0.2">
      <c r="A1067" s="91">
        <v>2013</v>
      </c>
      <c r="B1067" s="92" t="s">
        <v>66</v>
      </c>
      <c r="C1067" s="92" t="s">
        <v>35</v>
      </c>
      <c r="D1067" s="92" t="s">
        <v>39</v>
      </c>
      <c r="E1067" s="92" t="s">
        <v>69</v>
      </c>
      <c r="F1067" s="92" t="s">
        <v>70</v>
      </c>
      <c r="G1067" s="93">
        <v>2532884800</v>
      </c>
      <c r="H1067" s="92"/>
      <c r="K1067" s="97"/>
    </row>
    <row r="1068" spans="1:11" x14ac:dyDescent="0.2">
      <c r="A1068" s="94">
        <v>2013</v>
      </c>
      <c r="B1068" s="95" t="s">
        <v>66</v>
      </c>
      <c r="C1068" s="95" t="s">
        <v>41</v>
      </c>
      <c r="D1068" s="95" t="s">
        <v>40</v>
      </c>
      <c r="E1068" s="95" t="s">
        <v>67</v>
      </c>
      <c r="F1068" s="95" t="s">
        <v>67</v>
      </c>
      <c r="G1068" s="96">
        <v>6747014269</v>
      </c>
      <c r="H1068" s="95"/>
      <c r="K1068" s="97"/>
    </row>
    <row r="1069" spans="1:11" x14ac:dyDescent="0.2">
      <c r="A1069" s="91">
        <v>2013</v>
      </c>
      <c r="B1069" s="92" t="s">
        <v>66</v>
      </c>
      <c r="C1069" s="92" t="s">
        <v>41</v>
      </c>
      <c r="D1069" s="92" t="s">
        <v>40</v>
      </c>
      <c r="E1069" s="92" t="s">
        <v>69</v>
      </c>
      <c r="F1069" s="92" t="s">
        <v>71</v>
      </c>
      <c r="G1069" s="93">
        <v>403766941</v>
      </c>
      <c r="H1069" s="92"/>
      <c r="K1069" s="97"/>
    </row>
    <row r="1070" spans="1:11" x14ac:dyDescent="0.2">
      <c r="A1070" s="94">
        <v>2013</v>
      </c>
      <c r="B1070" s="95" t="s">
        <v>66</v>
      </c>
      <c r="C1070" s="95" t="s">
        <v>41</v>
      </c>
      <c r="D1070" s="95" t="s">
        <v>40</v>
      </c>
      <c r="E1070" s="95" t="s">
        <v>69</v>
      </c>
      <c r="F1070" s="95" t="s">
        <v>70</v>
      </c>
      <c r="G1070" s="96">
        <v>298542756</v>
      </c>
      <c r="H1070" s="95"/>
      <c r="K1070" s="97"/>
    </row>
    <row r="1071" spans="1:11" x14ac:dyDescent="0.2">
      <c r="A1071" s="91">
        <v>2013</v>
      </c>
      <c r="B1071" s="92" t="s">
        <v>66</v>
      </c>
      <c r="C1071" s="92" t="s">
        <v>41</v>
      </c>
      <c r="D1071" s="92" t="s">
        <v>42</v>
      </c>
      <c r="E1071" s="92" t="s">
        <v>67</v>
      </c>
      <c r="F1071" s="92" t="s">
        <v>67</v>
      </c>
      <c r="G1071" s="93">
        <v>6482565884</v>
      </c>
      <c r="H1071" s="92"/>
      <c r="K1071" s="97"/>
    </row>
    <row r="1072" spans="1:11" x14ac:dyDescent="0.2">
      <c r="A1072" s="94">
        <v>2013</v>
      </c>
      <c r="B1072" s="95" t="s">
        <v>66</v>
      </c>
      <c r="C1072" s="95" t="s">
        <v>41</v>
      </c>
      <c r="D1072" s="95" t="s">
        <v>42</v>
      </c>
      <c r="E1072" s="95" t="s">
        <v>69</v>
      </c>
      <c r="F1072" s="95" t="s">
        <v>71</v>
      </c>
      <c r="G1072" s="96">
        <v>600941484</v>
      </c>
      <c r="H1072" s="95"/>
      <c r="K1072" s="97"/>
    </row>
    <row r="1073" spans="1:11" x14ac:dyDescent="0.2">
      <c r="A1073" s="91">
        <v>2013</v>
      </c>
      <c r="B1073" s="92" t="s">
        <v>66</v>
      </c>
      <c r="C1073" s="92" t="s">
        <v>41</v>
      </c>
      <c r="D1073" s="92" t="s">
        <v>42</v>
      </c>
      <c r="E1073" s="92" t="s">
        <v>69</v>
      </c>
      <c r="F1073" s="92" t="s">
        <v>70</v>
      </c>
      <c r="G1073" s="93">
        <v>1008810881</v>
      </c>
      <c r="H1073" s="92"/>
      <c r="K1073" s="97"/>
    </row>
    <row r="1074" spans="1:11" x14ac:dyDescent="0.2">
      <c r="A1074" s="94">
        <v>2013</v>
      </c>
      <c r="B1074" s="95" t="s">
        <v>66</v>
      </c>
      <c r="C1074" s="95" t="s">
        <v>41</v>
      </c>
      <c r="D1074" s="95" t="s">
        <v>43</v>
      </c>
      <c r="E1074" s="95" t="s">
        <v>67</v>
      </c>
      <c r="F1074" s="95" t="s">
        <v>67</v>
      </c>
      <c r="G1074" s="96">
        <v>6531897314</v>
      </c>
      <c r="H1074" s="95"/>
      <c r="K1074" s="97"/>
    </row>
    <row r="1075" spans="1:11" x14ac:dyDescent="0.2">
      <c r="A1075" s="91">
        <v>2013</v>
      </c>
      <c r="B1075" s="92" t="s">
        <v>66</v>
      </c>
      <c r="C1075" s="92" t="s">
        <v>41</v>
      </c>
      <c r="D1075" s="92" t="s">
        <v>43</v>
      </c>
      <c r="E1075" s="92" t="s">
        <v>69</v>
      </c>
      <c r="F1075" s="92" t="s">
        <v>71</v>
      </c>
      <c r="G1075" s="93">
        <v>672117687</v>
      </c>
      <c r="H1075" s="92"/>
      <c r="K1075" s="97"/>
    </row>
    <row r="1076" spans="1:11" x14ac:dyDescent="0.2">
      <c r="A1076" s="94">
        <v>2013</v>
      </c>
      <c r="B1076" s="95" t="s">
        <v>66</v>
      </c>
      <c r="C1076" s="95" t="s">
        <v>41</v>
      </c>
      <c r="D1076" s="95" t="s">
        <v>43</v>
      </c>
      <c r="E1076" s="95" t="s">
        <v>69</v>
      </c>
      <c r="F1076" s="95" t="s">
        <v>70</v>
      </c>
      <c r="G1076" s="96">
        <v>712996199</v>
      </c>
      <c r="H1076" s="95"/>
      <c r="K1076" s="97"/>
    </row>
    <row r="1077" spans="1:11" x14ac:dyDescent="0.2">
      <c r="A1077" s="91">
        <v>2013</v>
      </c>
      <c r="B1077" s="92" t="s">
        <v>66</v>
      </c>
      <c r="C1077" s="92" t="s">
        <v>41</v>
      </c>
      <c r="D1077" s="92" t="s">
        <v>44</v>
      </c>
      <c r="E1077" s="92" t="s">
        <v>67</v>
      </c>
      <c r="F1077" s="92" t="s">
        <v>67</v>
      </c>
      <c r="G1077" s="93">
        <v>8275544135</v>
      </c>
      <c r="H1077" s="92"/>
      <c r="K1077" s="97"/>
    </row>
    <row r="1078" spans="1:11" x14ac:dyDescent="0.2">
      <c r="A1078" s="94">
        <v>2013</v>
      </c>
      <c r="B1078" s="95" t="s">
        <v>66</v>
      </c>
      <c r="C1078" s="95" t="s">
        <v>41</v>
      </c>
      <c r="D1078" s="95" t="s">
        <v>44</v>
      </c>
      <c r="E1078" s="95" t="s">
        <v>69</v>
      </c>
      <c r="F1078" s="95" t="s">
        <v>71</v>
      </c>
      <c r="G1078" s="96">
        <v>1090791351</v>
      </c>
      <c r="H1078" s="95"/>
      <c r="K1078" s="97"/>
    </row>
    <row r="1079" spans="1:11" x14ac:dyDescent="0.2">
      <c r="A1079" s="91">
        <v>2013</v>
      </c>
      <c r="B1079" s="92" t="s">
        <v>66</v>
      </c>
      <c r="C1079" s="92" t="s">
        <v>41</v>
      </c>
      <c r="D1079" s="92" t="s">
        <v>44</v>
      </c>
      <c r="E1079" s="92" t="s">
        <v>69</v>
      </c>
      <c r="F1079" s="92" t="s">
        <v>70</v>
      </c>
      <c r="G1079" s="93">
        <v>817661325</v>
      </c>
      <c r="H1079" s="92"/>
      <c r="K1079" s="97"/>
    </row>
    <row r="1080" spans="1:11" x14ac:dyDescent="0.2">
      <c r="A1080" s="94">
        <v>2013</v>
      </c>
      <c r="B1080" s="95" t="s">
        <v>66</v>
      </c>
      <c r="C1080" s="95" t="s">
        <v>41</v>
      </c>
      <c r="D1080" s="95" t="s">
        <v>45</v>
      </c>
      <c r="E1080" s="95" t="s">
        <v>67</v>
      </c>
      <c r="F1080" s="95" t="s">
        <v>67</v>
      </c>
      <c r="G1080" s="96">
        <v>24298335754</v>
      </c>
      <c r="H1080" s="95"/>
      <c r="K1080" s="97"/>
    </row>
    <row r="1081" spans="1:11" x14ac:dyDescent="0.2">
      <c r="A1081" s="91">
        <v>2013</v>
      </c>
      <c r="B1081" s="92" t="s">
        <v>66</v>
      </c>
      <c r="C1081" s="92" t="s">
        <v>41</v>
      </c>
      <c r="D1081" s="92" t="s">
        <v>45</v>
      </c>
      <c r="E1081" s="92" t="s">
        <v>69</v>
      </c>
      <c r="F1081" s="92" t="s">
        <v>71</v>
      </c>
      <c r="G1081" s="93">
        <v>3068832557</v>
      </c>
      <c r="H1081" s="92"/>
      <c r="K1081" s="97"/>
    </row>
    <row r="1082" spans="1:11" x14ac:dyDescent="0.2">
      <c r="A1082" s="94">
        <v>2013</v>
      </c>
      <c r="B1082" s="95" t="s">
        <v>66</v>
      </c>
      <c r="C1082" s="95" t="s">
        <v>41</v>
      </c>
      <c r="D1082" s="95" t="s">
        <v>45</v>
      </c>
      <c r="E1082" s="95" t="s">
        <v>69</v>
      </c>
      <c r="F1082" s="95" t="s">
        <v>70</v>
      </c>
      <c r="G1082" s="96">
        <v>4932015194</v>
      </c>
      <c r="H1082" s="95"/>
      <c r="K1082" s="97"/>
    </row>
    <row r="1083" spans="1:11" x14ac:dyDescent="0.2">
      <c r="A1083" s="91">
        <v>2013</v>
      </c>
      <c r="B1083" s="92" t="s">
        <v>66</v>
      </c>
      <c r="C1083" s="92" t="s">
        <v>47</v>
      </c>
      <c r="D1083" s="92" t="s">
        <v>46</v>
      </c>
      <c r="E1083" s="92" t="s">
        <v>67</v>
      </c>
      <c r="F1083" s="92" t="s">
        <v>67</v>
      </c>
      <c r="G1083" s="93">
        <v>22601867569</v>
      </c>
      <c r="H1083" s="92"/>
      <c r="K1083" s="97"/>
    </row>
    <row r="1084" spans="1:11" x14ac:dyDescent="0.2">
      <c r="A1084" s="94">
        <v>2013</v>
      </c>
      <c r="B1084" s="95" t="s">
        <v>66</v>
      </c>
      <c r="C1084" s="95" t="s">
        <v>47</v>
      </c>
      <c r="D1084" s="95" t="s">
        <v>46</v>
      </c>
      <c r="E1084" s="95" t="s">
        <v>69</v>
      </c>
      <c r="F1084" s="95" t="s">
        <v>71</v>
      </c>
      <c r="G1084" s="96">
        <v>4192372837</v>
      </c>
      <c r="H1084" s="95"/>
      <c r="K1084" s="97"/>
    </row>
    <row r="1085" spans="1:11" x14ac:dyDescent="0.2">
      <c r="A1085" s="91">
        <v>2013</v>
      </c>
      <c r="B1085" s="92" t="s">
        <v>66</v>
      </c>
      <c r="C1085" s="92" t="s">
        <v>47</v>
      </c>
      <c r="D1085" s="92" t="s">
        <v>46</v>
      </c>
      <c r="E1085" s="92" t="s">
        <v>69</v>
      </c>
      <c r="F1085" s="92" t="s">
        <v>70</v>
      </c>
      <c r="G1085" s="93">
        <v>9174603537</v>
      </c>
      <c r="H1085" s="92"/>
      <c r="K1085" s="97"/>
    </row>
    <row r="1086" spans="1:11" x14ac:dyDescent="0.2">
      <c r="A1086" s="94">
        <v>2013</v>
      </c>
      <c r="B1086" s="95" t="s">
        <v>66</v>
      </c>
      <c r="C1086" s="95" t="s">
        <v>47</v>
      </c>
      <c r="D1086" s="95" t="s">
        <v>48</v>
      </c>
      <c r="E1086" s="95" t="s">
        <v>72</v>
      </c>
      <c r="F1086" s="95" t="s">
        <v>73</v>
      </c>
      <c r="G1086" s="96">
        <v>85026052616</v>
      </c>
      <c r="H1086" s="95"/>
      <c r="K1086" s="97"/>
    </row>
    <row r="1087" spans="1:11" x14ac:dyDescent="0.2">
      <c r="A1087" s="91">
        <v>2013</v>
      </c>
      <c r="B1087" s="92" t="s">
        <v>66</v>
      </c>
      <c r="C1087" s="92" t="s">
        <v>47</v>
      </c>
      <c r="D1087" s="92" t="s">
        <v>48</v>
      </c>
      <c r="E1087" s="92" t="s">
        <v>67</v>
      </c>
      <c r="F1087" s="92" t="s">
        <v>74</v>
      </c>
      <c r="G1087" s="93">
        <v>90248313650</v>
      </c>
      <c r="H1087" s="92"/>
      <c r="K1087" s="97"/>
    </row>
    <row r="1088" spans="1:11" x14ac:dyDescent="0.2">
      <c r="A1088" s="94">
        <v>2013</v>
      </c>
      <c r="B1088" s="95" t="s">
        <v>66</v>
      </c>
      <c r="C1088" s="95" t="s">
        <v>47</v>
      </c>
      <c r="D1088" s="95" t="s">
        <v>48</v>
      </c>
      <c r="E1088" s="95" t="s">
        <v>69</v>
      </c>
      <c r="F1088" s="95" t="s">
        <v>71</v>
      </c>
      <c r="G1088" s="96">
        <v>48681000004</v>
      </c>
      <c r="H1088" s="95"/>
      <c r="K1088" s="97"/>
    </row>
    <row r="1089" spans="1:11" x14ac:dyDescent="0.2">
      <c r="A1089" s="91">
        <v>2013</v>
      </c>
      <c r="B1089" s="92" t="s">
        <v>66</v>
      </c>
      <c r="C1089" s="92" t="s">
        <v>47</v>
      </c>
      <c r="D1089" s="92" t="s">
        <v>48</v>
      </c>
      <c r="E1089" s="92" t="s">
        <v>69</v>
      </c>
      <c r="F1089" s="92" t="s">
        <v>70</v>
      </c>
      <c r="G1089" s="93">
        <v>83750794801</v>
      </c>
      <c r="H1089" s="92"/>
      <c r="K1089" s="97"/>
    </row>
    <row r="1090" spans="1:11" x14ac:dyDescent="0.2">
      <c r="A1090" s="94">
        <v>2014</v>
      </c>
      <c r="B1090" s="95" t="s">
        <v>66</v>
      </c>
      <c r="C1090" s="95" t="s">
        <v>4</v>
      </c>
      <c r="D1090" s="95" t="s">
        <v>3</v>
      </c>
      <c r="E1090" s="95" t="s">
        <v>67</v>
      </c>
      <c r="F1090" s="95" t="s">
        <v>67</v>
      </c>
      <c r="G1090" s="96">
        <v>19449053548</v>
      </c>
      <c r="H1090" s="95"/>
      <c r="K1090" s="97"/>
    </row>
    <row r="1091" spans="1:11" x14ac:dyDescent="0.2">
      <c r="A1091" s="91">
        <v>2014</v>
      </c>
      <c r="B1091" s="92" t="s">
        <v>66</v>
      </c>
      <c r="C1091" s="92" t="s">
        <v>4</v>
      </c>
      <c r="D1091" s="92" t="s">
        <v>3</v>
      </c>
      <c r="E1091" s="92" t="s">
        <v>69</v>
      </c>
      <c r="F1091" s="92" t="s">
        <v>71</v>
      </c>
      <c r="G1091" s="93">
        <v>2895191205</v>
      </c>
      <c r="H1091" s="92"/>
      <c r="K1091" s="97"/>
    </row>
    <row r="1092" spans="1:11" x14ac:dyDescent="0.2">
      <c r="A1092" s="94">
        <v>2014</v>
      </c>
      <c r="B1092" s="95" t="s">
        <v>66</v>
      </c>
      <c r="C1092" s="95" t="s">
        <v>4</v>
      </c>
      <c r="D1092" s="95" t="s">
        <v>3</v>
      </c>
      <c r="E1092" s="95" t="s">
        <v>69</v>
      </c>
      <c r="F1092" s="95" t="s">
        <v>70</v>
      </c>
      <c r="G1092" s="96">
        <v>8967282187</v>
      </c>
      <c r="H1092" s="95"/>
      <c r="K1092" s="97"/>
    </row>
    <row r="1093" spans="1:11" x14ac:dyDescent="0.2">
      <c r="A1093" s="91">
        <v>2014</v>
      </c>
      <c r="B1093" s="92" t="s">
        <v>66</v>
      </c>
      <c r="C1093" s="92" t="s">
        <v>4</v>
      </c>
      <c r="D1093" s="92" t="s">
        <v>5</v>
      </c>
      <c r="E1093" s="92" t="s">
        <v>67</v>
      </c>
      <c r="F1093" s="92" t="s">
        <v>67</v>
      </c>
      <c r="G1093" s="93">
        <v>99797715006</v>
      </c>
      <c r="H1093" s="92"/>
      <c r="K1093" s="97"/>
    </row>
    <row r="1094" spans="1:11" x14ac:dyDescent="0.2">
      <c r="A1094" s="94">
        <v>2014</v>
      </c>
      <c r="B1094" s="95" t="s">
        <v>66</v>
      </c>
      <c r="C1094" s="95" t="s">
        <v>4</v>
      </c>
      <c r="D1094" s="95" t="s">
        <v>5</v>
      </c>
      <c r="E1094" s="95" t="s">
        <v>69</v>
      </c>
      <c r="F1094" s="95" t="s">
        <v>71</v>
      </c>
      <c r="G1094" s="96">
        <v>16191785274</v>
      </c>
      <c r="H1094" s="95"/>
      <c r="K1094" s="97"/>
    </row>
    <row r="1095" spans="1:11" x14ac:dyDescent="0.2">
      <c r="A1095" s="91">
        <v>2014</v>
      </c>
      <c r="B1095" s="92" t="s">
        <v>66</v>
      </c>
      <c r="C1095" s="92" t="s">
        <v>4</v>
      </c>
      <c r="D1095" s="92" t="s">
        <v>5</v>
      </c>
      <c r="E1095" s="92" t="s">
        <v>69</v>
      </c>
      <c r="F1095" s="92" t="s">
        <v>70</v>
      </c>
      <c r="G1095" s="93">
        <v>14222985474</v>
      </c>
      <c r="H1095" s="92"/>
      <c r="K1095" s="97"/>
    </row>
    <row r="1096" spans="1:11" x14ac:dyDescent="0.2">
      <c r="A1096" s="94">
        <v>2014</v>
      </c>
      <c r="B1096" s="95" t="s">
        <v>66</v>
      </c>
      <c r="C1096" s="95" t="s">
        <v>4</v>
      </c>
      <c r="D1096" s="95" t="s">
        <v>6</v>
      </c>
      <c r="E1096" s="95" t="s">
        <v>67</v>
      </c>
      <c r="F1096" s="95" t="s">
        <v>67</v>
      </c>
      <c r="G1096" s="96">
        <v>12146783594</v>
      </c>
      <c r="H1096" s="95"/>
      <c r="K1096" s="97"/>
    </row>
    <row r="1097" spans="1:11" x14ac:dyDescent="0.2">
      <c r="A1097" s="91">
        <v>2014</v>
      </c>
      <c r="B1097" s="92" t="s">
        <v>66</v>
      </c>
      <c r="C1097" s="92" t="s">
        <v>4</v>
      </c>
      <c r="D1097" s="92" t="s">
        <v>6</v>
      </c>
      <c r="E1097" s="92" t="s">
        <v>69</v>
      </c>
      <c r="F1097" s="92" t="s">
        <v>71</v>
      </c>
      <c r="G1097" s="93">
        <v>457763517</v>
      </c>
      <c r="H1097" s="92"/>
      <c r="K1097" s="97"/>
    </row>
    <row r="1098" spans="1:11" x14ac:dyDescent="0.2">
      <c r="A1098" s="94">
        <v>2014</v>
      </c>
      <c r="B1098" s="95" t="s">
        <v>66</v>
      </c>
      <c r="C1098" s="95" t="s">
        <v>4</v>
      </c>
      <c r="D1098" s="95" t="s">
        <v>6</v>
      </c>
      <c r="E1098" s="95" t="s">
        <v>69</v>
      </c>
      <c r="F1098" s="95" t="s">
        <v>70</v>
      </c>
      <c r="G1098" s="96">
        <v>1020532557</v>
      </c>
      <c r="H1098" s="95"/>
      <c r="K1098" s="97"/>
    </row>
    <row r="1099" spans="1:11" x14ac:dyDescent="0.2">
      <c r="A1099" s="91">
        <v>2014</v>
      </c>
      <c r="B1099" s="92" t="s">
        <v>66</v>
      </c>
      <c r="C1099" s="92" t="s">
        <v>4</v>
      </c>
      <c r="D1099" s="92" t="s">
        <v>7</v>
      </c>
      <c r="E1099" s="92" t="s">
        <v>67</v>
      </c>
      <c r="F1099" s="92" t="s">
        <v>67</v>
      </c>
      <c r="G1099" s="93">
        <v>16726568981</v>
      </c>
      <c r="H1099" s="92"/>
      <c r="K1099" s="97"/>
    </row>
    <row r="1100" spans="1:11" x14ac:dyDescent="0.2">
      <c r="A1100" s="94">
        <v>2014</v>
      </c>
      <c r="B1100" s="95" t="s">
        <v>66</v>
      </c>
      <c r="C1100" s="95" t="s">
        <v>4</v>
      </c>
      <c r="D1100" s="95" t="s">
        <v>7</v>
      </c>
      <c r="E1100" s="95" t="s">
        <v>69</v>
      </c>
      <c r="F1100" s="95" t="s">
        <v>71</v>
      </c>
      <c r="G1100" s="96">
        <v>3071257949</v>
      </c>
      <c r="H1100" s="95"/>
      <c r="K1100" s="97"/>
    </row>
    <row r="1101" spans="1:11" x14ac:dyDescent="0.2">
      <c r="A1101" s="91">
        <v>2014</v>
      </c>
      <c r="B1101" s="92" t="s">
        <v>66</v>
      </c>
      <c r="C1101" s="92" t="s">
        <v>4</v>
      </c>
      <c r="D1101" s="92" t="s">
        <v>7</v>
      </c>
      <c r="E1101" s="92" t="s">
        <v>69</v>
      </c>
      <c r="F1101" s="92" t="s">
        <v>70</v>
      </c>
      <c r="G1101" s="93">
        <v>4718353572</v>
      </c>
      <c r="H1101" s="92"/>
      <c r="K1101" s="97"/>
    </row>
    <row r="1102" spans="1:11" x14ac:dyDescent="0.2">
      <c r="A1102" s="94">
        <v>2014</v>
      </c>
      <c r="B1102" s="95" t="s">
        <v>66</v>
      </c>
      <c r="C1102" s="95" t="s">
        <v>4</v>
      </c>
      <c r="D1102" s="95" t="s">
        <v>8</v>
      </c>
      <c r="E1102" s="95" t="s">
        <v>67</v>
      </c>
      <c r="F1102" s="95" t="s">
        <v>67</v>
      </c>
      <c r="G1102" s="96">
        <v>10679803334</v>
      </c>
      <c r="H1102" s="95"/>
      <c r="K1102" s="97"/>
    </row>
    <row r="1103" spans="1:11" x14ac:dyDescent="0.2">
      <c r="A1103" s="91">
        <v>2014</v>
      </c>
      <c r="B1103" s="92" t="s">
        <v>66</v>
      </c>
      <c r="C1103" s="92" t="s">
        <v>4</v>
      </c>
      <c r="D1103" s="92" t="s">
        <v>8</v>
      </c>
      <c r="E1103" s="92" t="s">
        <v>69</v>
      </c>
      <c r="F1103" s="92" t="s">
        <v>71</v>
      </c>
      <c r="G1103" s="93">
        <v>448114681</v>
      </c>
      <c r="H1103" s="92"/>
      <c r="K1103" s="97"/>
    </row>
    <row r="1104" spans="1:11" x14ac:dyDescent="0.2">
      <c r="A1104" s="94">
        <v>2014</v>
      </c>
      <c r="B1104" s="95" t="s">
        <v>66</v>
      </c>
      <c r="C1104" s="95" t="s">
        <v>4</v>
      </c>
      <c r="D1104" s="95" t="s">
        <v>8</v>
      </c>
      <c r="E1104" s="95" t="s">
        <v>69</v>
      </c>
      <c r="F1104" s="95" t="s">
        <v>70</v>
      </c>
      <c r="G1104" s="96">
        <v>846896517</v>
      </c>
      <c r="H1104" s="95"/>
      <c r="K1104" s="97"/>
    </row>
    <row r="1105" spans="1:11" x14ac:dyDescent="0.2">
      <c r="A1105" s="91">
        <v>2014</v>
      </c>
      <c r="B1105" s="92" t="s">
        <v>66</v>
      </c>
      <c r="C1105" s="92" t="s">
        <v>4</v>
      </c>
      <c r="D1105" s="92" t="s">
        <v>9</v>
      </c>
      <c r="E1105" s="92" t="s">
        <v>67</v>
      </c>
      <c r="F1105" s="92" t="s">
        <v>67</v>
      </c>
      <c r="G1105" s="93">
        <v>60432678891</v>
      </c>
      <c r="H1105" s="92"/>
      <c r="K1105" s="97"/>
    </row>
    <row r="1106" spans="1:11" x14ac:dyDescent="0.2">
      <c r="A1106" s="94">
        <v>2014</v>
      </c>
      <c r="B1106" s="95" t="s">
        <v>66</v>
      </c>
      <c r="C1106" s="95" t="s">
        <v>4</v>
      </c>
      <c r="D1106" s="95" t="s">
        <v>9</v>
      </c>
      <c r="E1106" s="95" t="s">
        <v>69</v>
      </c>
      <c r="F1106" s="95" t="s">
        <v>71</v>
      </c>
      <c r="G1106" s="96">
        <v>13004063672</v>
      </c>
      <c r="H1106" s="95"/>
      <c r="K1106" s="97"/>
    </row>
    <row r="1107" spans="1:11" x14ac:dyDescent="0.2">
      <c r="A1107" s="91">
        <v>2014</v>
      </c>
      <c r="B1107" s="92" t="s">
        <v>66</v>
      </c>
      <c r="C1107" s="92" t="s">
        <v>4</v>
      </c>
      <c r="D1107" s="92" t="s">
        <v>9</v>
      </c>
      <c r="E1107" s="92" t="s">
        <v>69</v>
      </c>
      <c r="F1107" s="92" t="s">
        <v>70</v>
      </c>
      <c r="G1107" s="93">
        <v>19383584370</v>
      </c>
      <c r="H1107" s="92"/>
      <c r="K1107" s="97"/>
    </row>
    <row r="1108" spans="1:11" x14ac:dyDescent="0.2">
      <c r="A1108" s="94">
        <v>2014</v>
      </c>
      <c r="B1108" s="95" t="s">
        <v>66</v>
      </c>
      <c r="C1108" s="95" t="s">
        <v>4</v>
      </c>
      <c r="D1108" s="95" t="s">
        <v>10</v>
      </c>
      <c r="E1108" s="95" t="s">
        <v>67</v>
      </c>
      <c r="F1108" s="95" t="s">
        <v>67</v>
      </c>
      <c r="G1108" s="96">
        <v>1559269046</v>
      </c>
      <c r="H1108" s="95"/>
      <c r="K1108" s="97"/>
    </row>
    <row r="1109" spans="1:11" x14ac:dyDescent="0.2">
      <c r="A1109" s="91">
        <v>2014</v>
      </c>
      <c r="B1109" s="92" t="s">
        <v>66</v>
      </c>
      <c r="C1109" s="92" t="s">
        <v>4</v>
      </c>
      <c r="D1109" s="92" t="s">
        <v>10</v>
      </c>
      <c r="E1109" s="92" t="s">
        <v>69</v>
      </c>
      <c r="F1109" s="92" t="s">
        <v>71</v>
      </c>
      <c r="G1109" s="93">
        <v>115660067</v>
      </c>
      <c r="H1109" s="92"/>
      <c r="K1109" s="97"/>
    </row>
    <row r="1110" spans="1:11" x14ac:dyDescent="0.2">
      <c r="A1110" s="94">
        <v>2014</v>
      </c>
      <c r="B1110" s="95" t="s">
        <v>66</v>
      </c>
      <c r="C1110" s="95" t="s">
        <v>4</v>
      </c>
      <c r="D1110" s="95" t="s">
        <v>10</v>
      </c>
      <c r="E1110" s="95" t="s">
        <v>69</v>
      </c>
      <c r="F1110" s="95" t="s">
        <v>70</v>
      </c>
      <c r="G1110" s="96">
        <v>38553356</v>
      </c>
      <c r="H1110" s="95"/>
      <c r="K1110" s="97"/>
    </row>
    <row r="1111" spans="1:11" x14ac:dyDescent="0.2">
      <c r="A1111" s="91">
        <v>2014</v>
      </c>
      <c r="B1111" s="92" t="s">
        <v>66</v>
      </c>
      <c r="C1111" s="92" t="s">
        <v>4</v>
      </c>
      <c r="D1111" s="92" t="s">
        <v>11</v>
      </c>
      <c r="E1111" s="92" t="s">
        <v>67</v>
      </c>
      <c r="F1111" s="92" t="s">
        <v>67</v>
      </c>
      <c r="G1111" s="93">
        <v>6478892292</v>
      </c>
      <c r="H1111" s="92"/>
      <c r="K1111" s="97"/>
    </row>
    <row r="1112" spans="1:11" x14ac:dyDescent="0.2">
      <c r="A1112" s="94">
        <v>2014</v>
      </c>
      <c r="B1112" s="95" t="s">
        <v>66</v>
      </c>
      <c r="C1112" s="95" t="s">
        <v>4</v>
      </c>
      <c r="D1112" s="95" t="s">
        <v>11</v>
      </c>
      <c r="E1112" s="95" t="s">
        <v>69</v>
      </c>
      <c r="F1112" s="95" t="s">
        <v>71</v>
      </c>
      <c r="G1112" s="96">
        <v>909468748</v>
      </c>
      <c r="H1112" s="95"/>
      <c r="K1112" s="97"/>
    </row>
    <row r="1113" spans="1:11" x14ac:dyDescent="0.2">
      <c r="A1113" s="91">
        <v>2014</v>
      </c>
      <c r="B1113" s="92" t="s">
        <v>66</v>
      </c>
      <c r="C1113" s="92" t="s">
        <v>4</v>
      </c>
      <c r="D1113" s="92" t="s">
        <v>11</v>
      </c>
      <c r="E1113" s="92" t="s">
        <v>69</v>
      </c>
      <c r="F1113" s="92" t="s">
        <v>70</v>
      </c>
      <c r="G1113" s="93">
        <v>2608715202</v>
      </c>
      <c r="H1113" s="92"/>
      <c r="K1113" s="97"/>
    </row>
    <row r="1114" spans="1:11" x14ac:dyDescent="0.2">
      <c r="A1114" s="94">
        <v>2014</v>
      </c>
      <c r="B1114" s="95" t="s">
        <v>66</v>
      </c>
      <c r="C1114" s="95" t="s">
        <v>4</v>
      </c>
      <c r="D1114" s="95" t="s">
        <v>12</v>
      </c>
      <c r="E1114" s="95" t="s">
        <v>67</v>
      </c>
      <c r="F1114" s="95" t="s">
        <v>67</v>
      </c>
      <c r="G1114" s="96">
        <v>7413725091</v>
      </c>
      <c r="H1114" s="95"/>
      <c r="K1114" s="97"/>
    </row>
    <row r="1115" spans="1:11" x14ac:dyDescent="0.2">
      <c r="A1115" s="91">
        <v>2014</v>
      </c>
      <c r="B1115" s="92" t="s">
        <v>66</v>
      </c>
      <c r="C1115" s="92" t="s">
        <v>4</v>
      </c>
      <c r="D1115" s="92" t="s">
        <v>12</v>
      </c>
      <c r="E1115" s="92" t="s">
        <v>69</v>
      </c>
      <c r="F1115" s="92" t="s">
        <v>71</v>
      </c>
      <c r="G1115" s="93">
        <v>954813817</v>
      </c>
      <c r="H1115" s="92"/>
      <c r="K1115" s="97"/>
    </row>
    <row r="1116" spans="1:11" x14ac:dyDescent="0.2">
      <c r="A1116" s="94">
        <v>2014</v>
      </c>
      <c r="B1116" s="95" t="s">
        <v>66</v>
      </c>
      <c r="C1116" s="95" t="s">
        <v>4</v>
      </c>
      <c r="D1116" s="95" t="s">
        <v>12</v>
      </c>
      <c r="E1116" s="95" t="s">
        <v>69</v>
      </c>
      <c r="F1116" s="95" t="s">
        <v>70</v>
      </c>
      <c r="G1116" s="96">
        <v>2476266432</v>
      </c>
      <c r="H1116" s="95"/>
      <c r="K1116" s="97"/>
    </row>
    <row r="1117" spans="1:11" x14ac:dyDescent="0.2">
      <c r="A1117" s="91">
        <v>2014</v>
      </c>
      <c r="B1117" s="92" t="s">
        <v>66</v>
      </c>
      <c r="C1117" s="92" t="s">
        <v>4</v>
      </c>
      <c r="D1117" s="92" t="s">
        <v>13</v>
      </c>
      <c r="E1117" s="92" t="s">
        <v>67</v>
      </c>
      <c r="F1117" s="92" t="s">
        <v>67</v>
      </c>
      <c r="G1117" s="93">
        <v>11465539276</v>
      </c>
      <c r="H1117" s="92"/>
      <c r="K1117" s="97"/>
    </row>
    <row r="1118" spans="1:11" x14ac:dyDescent="0.2">
      <c r="A1118" s="94">
        <v>2014</v>
      </c>
      <c r="B1118" s="95" t="s">
        <v>66</v>
      </c>
      <c r="C1118" s="95" t="s">
        <v>4</v>
      </c>
      <c r="D1118" s="95" t="s">
        <v>13</v>
      </c>
      <c r="E1118" s="95" t="s">
        <v>69</v>
      </c>
      <c r="F1118" s="95" t="s">
        <v>71</v>
      </c>
      <c r="G1118" s="96">
        <v>986294146</v>
      </c>
      <c r="H1118" s="95"/>
      <c r="K1118" s="97"/>
    </row>
    <row r="1119" spans="1:11" x14ac:dyDescent="0.2">
      <c r="A1119" s="91">
        <v>2014</v>
      </c>
      <c r="B1119" s="92" t="s">
        <v>66</v>
      </c>
      <c r="C1119" s="92" t="s">
        <v>4</v>
      </c>
      <c r="D1119" s="92" t="s">
        <v>13</v>
      </c>
      <c r="E1119" s="92" t="s">
        <v>69</v>
      </c>
      <c r="F1119" s="92" t="s">
        <v>70</v>
      </c>
      <c r="G1119" s="93">
        <v>3120627337</v>
      </c>
      <c r="H1119" s="92"/>
      <c r="K1119" s="97"/>
    </row>
    <row r="1120" spans="1:11" x14ac:dyDescent="0.2">
      <c r="A1120" s="94">
        <v>2014</v>
      </c>
      <c r="B1120" s="95" t="s">
        <v>66</v>
      </c>
      <c r="C1120" s="95" t="s">
        <v>4</v>
      </c>
      <c r="D1120" s="95" t="s">
        <v>14</v>
      </c>
      <c r="E1120" s="95" t="s">
        <v>67</v>
      </c>
      <c r="F1120" s="95" t="s">
        <v>67</v>
      </c>
      <c r="G1120" s="96">
        <v>8191778237</v>
      </c>
      <c r="H1120" s="95"/>
      <c r="K1120" s="97"/>
    </row>
    <row r="1121" spans="1:11" x14ac:dyDescent="0.2">
      <c r="A1121" s="91">
        <v>2014</v>
      </c>
      <c r="B1121" s="92" t="s">
        <v>66</v>
      </c>
      <c r="C1121" s="92" t="s">
        <v>4</v>
      </c>
      <c r="D1121" s="92" t="s">
        <v>14</v>
      </c>
      <c r="E1121" s="92" t="s">
        <v>69</v>
      </c>
      <c r="F1121" s="92" t="s">
        <v>71</v>
      </c>
      <c r="G1121" s="93">
        <v>420276624</v>
      </c>
      <c r="H1121" s="92"/>
      <c r="K1121" s="97"/>
    </row>
    <row r="1122" spans="1:11" x14ac:dyDescent="0.2">
      <c r="A1122" s="94">
        <v>2014</v>
      </c>
      <c r="B1122" s="95" t="s">
        <v>66</v>
      </c>
      <c r="C1122" s="95" t="s">
        <v>4</v>
      </c>
      <c r="D1122" s="95" t="s">
        <v>14</v>
      </c>
      <c r="E1122" s="95" t="s">
        <v>69</v>
      </c>
      <c r="F1122" s="95" t="s">
        <v>70</v>
      </c>
      <c r="G1122" s="96">
        <v>960967535</v>
      </c>
      <c r="H1122" s="95"/>
      <c r="K1122" s="97"/>
    </row>
    <row r="1123" spans="1:11" x14ac:dyDescent="0.2">
      <c r="A1123" s="91">
        <v>2014</v>
      </c>
      <c r="B1123" s="92" t="s">
        <v>66</v>
      </c>
      <c r="C1123" s="92" t="s">
        <v>4</v>
      </c>
      <c r="D1123" s="92" t="s">
        <v>15</v>
      </c>
      <c r="E1123" s="92" t="s">
        <v>67</v>
      </c>
      <c r="F1123" s="92" t="s">
        <v>67</v>
      </c>
      <c r="G1123" s="93">
        <v>8664425422</v>
      </c>
      <c r="H1123" s="92"/>
      <c r="K1123" s="97"/>
    </row>
    <row r="1124" spans="1:11" x14ac:dyDescent="0.2">
      <c r="A1124" s="94">
        <v>2014</v>
      </c>
      <c r="B1124" s="95" t="s">
        <v>66</v>
      </c>
      <c r="C1124" s="95" t="s">
        <v>4</v>
      </c>
      <c r="D1124" s="95" t="s">
        <v>15</v>
      </c>
      <c r="E1124" s="95" t="s">
        <v>69</v>
      </c>
      <c r="F1124" s="95" t="s">
        <v>71</v>
      </c>
      <c r="G1124" s="96">
        <v>1614990782</v>
      </c>
      <c r="H1124" s="95"/>
      <c r="K1124" s="97"/>
    </row>
    <row r="1125" spans="1:11" x14ac:dyDescent="0.2">
      <c r="A1125" s="91">
        <v>2014</v>
      </c>
      <c r="B1125" s="92" t="s">
        <v>66</v>
      </c>
      <c r="C1125" s="92" t="s">
        <v>4</v>
      </c>
      <c r="D1125" s="92" t="s">
        <v>15</v>
      </c>
      <c r="E1125" s="92" t="s">
        <v>69</v>
      </c>
      <c r="F1125" s="92" t="s">
        <v>70</v>
      </c>
      <c r="G1125" s="93">
        <v>1532532283</v>
      </c>
      <c r="H1125" s="92"/>
      <c r="K1125" s="97"/>
    </row>
    <row r="1126" spans="1:11" x14ac:dyDescent="0.2">
      <c r="A1126" s="94">
        <v>2014</v>
      </c>
      <c r="B1126" s="95" t="s">
        <v>66</v>
      </c>
      <c r="C1126" s="95" t="s">
        <v>17</v>
      </c>
      <c r="D1126" s="95" t="s">
        <v>16</v>
      </c>
      <c r="E1126" s="95" t="s">
        <v>67</v>
      </c>
      <c r="F1126" s="95" t="s">
        <v>67</v>
      </c>
      <c r="G1126" s="96">
        <v>1104869266</v>
      </c>
      <c r="H1126" s="95"/>
      <c r="K1126" s="97"/>
    </row>
    <row r="1127" spans="1:11" x14ac:dyDescent="0.2">
      <c r="A1127" s="91">
        <v>2014</v>
      </c>
      <c r="B1127" s="92" t="s">
        <v>66</v>
      </c>
      <c r="C1127" s="92" t="s">
        <v>17</v>
      </c>
      <c r="D1127" s="92" t="s">
        <v>16</v>
      </c>
      <c r="E1127" s="92" t="s">
        <v>69</v>
      </c>
      <c r="F1127" s="92" t="s">
        <v>71</v>
      </c>
      <c r="G1127" s="93">
        <v>126178399</v>
      </c>
      <c r="H1127" s="92"/>
      <c r="K1127" s="97"/>
    </row>
    <row r="1128" spans="1:11" x14ac:dyDescent="0.2">
      <c r="A1128" s="94">
        <v>2014</v>
      </c>
      <c r="B1128" s="95" t="s">
        <v>66</v>
      </c>
      <c r="C1128" s="95" t="s">
        <v>17</v>
      </c>
      <c r="D1128" s="95" t="s">
        <v>16</v>
      </c>
      <c r="E1128" s="95" t="s">
        <v>69</v>
      </c>
      <c r="F1128" s="95" t="s">
        <v>70</v>
      </c>
      <c r="G1128" s="96">
        <v>173163427</v>
      </c>
      <c r="H1128" s="95"/>
      <c r="K1128" s="97"/>
    </row>
    <row r="1129" spans="1:11" x14ac:dyDescent="0.2">
      <c r="A1129" s="91">
        <v>2014</v>
      </c>
      <c r="B1129" s="92" t="s">
        <v>66</v>
      </c>
      <c r="C1129" s="92" t="s">
        <v>17</v>
      </c>
      <c r="D1129" s="92" t="s">
        <v>18</v>
      </c>
      <c r="E1129" s="92" t="s">
        <v>67</v>
      </c>
      <c r="F1129" s="92" t="s">
        <v>67</v>
      </c>
      <c r="G1129" s="93">
        <v>2226511222</v>
      </c>
      <c r="H1129" s="92"/>
      <c r="K1129" s="97"/>
    </row>
    <row r="1130" spans="1:11" x14ac:dyDescent="0.2">
      <c r="A1130" s="94">
        <v>2014</v>
      </c>
      <c r="B1130" s="95" t="s">
        <v>66</v>
      </c>
      <c r="C1130" s="95" t="s">
        <v>17</v>
      </c>
      <c r="D1130" s="95" t="s">
        <v>18</v>
      </c>
      <c r="E1130" s="95" t="s">
        <v>69</v>
      </c>
      <c r="F1130" s="95" t="s">
        <v>71</v>
      </c>
      <c r="G1130" s="96">
        <v>423717462</v>
      </c>
      <c r="H1130" s="95"/>
      <c r="K1130" s="97"/>
    </row>
    <row r="1131" spans="1:11" x14ac:dyDescent="0.2">
      <c r="A1131" s="91">
        <v>2014</v>
      </c>
      <c r="B1131" s="92" t="s">
        <v>66</v>
      </c>
      <c r="C1131" s="92" t="s">
        <v>17</v>
      </c>
      <c r="D1131" s="92" t="s">
        <v>18</v>
      </c>
      <c r="E1131" s="92" t="s">
        <v>69</v>
      </c>
      <c r="F1131" s="92" t="s">
        <v>70</v>
      </c>
      <c r="G1131" s="93">
        <v>504259957</v>
      </c>
      <c r="H1131" s="92"/>
      <c r="K1131" s="97"/>
    </row>
    <row r="1132" spans="1:11" x14ac:dyDescent="0.2">
      <c r="A1132" s="94">
        <v>2014</v>
      </c>
      <c r="B1132" s="95" t="s">
        <v>66</v>
      </c>
      <c r="C1132" s="95" t="s">
        <v>17</v>
      </c>
      <c r="D1132" s="95" t="s">
        <v>19</v>
      </c>
      <c r="E1132" s="95" t="s">
        <v>67</v>
      </c>
      <c r="F1132" s="95" t="s">
        <v>67</v>
      </c>
      <c r="G1132" s="96">
        <v>5460845633</v>
      </c>
      <c r="H1132" s="95"/>
      <c r="K1132" s="97"/>
    </row>
    <row r="1133" spans="1:11" x14ac:dyDescent="0.2">
      <c r="A1133" s="91">
        <v>2014</v>
      </c>
      <c r="B1133" s="92" t="s">
        <v>66</v>
      </c>
      <c r="C1133" s="92" t="s">
        <v>17</v>
      </c>
      <c r="D1133" s="92" t="s">
        <v>19</v>
      </c>
      <c r="E1133" s="92" t="s">
        <v>69</v>
      </c>
      <c r="F1133" s="92" t="s">
        <v>71</v>
      </c>
      <c r="G1133" s="93">
        <v>900065864</v>
      </c>
      <c r="H1133" s="92"/>
      <c r="K1133" s="97"/>
    </row>
    <row r="1134" spans="1:11" x14ac:dyDescent="0.2">
      <c r="A1134" s="94">
        <v>2014</v>
      </c>
      <c r="B1134" s="95" t="s">
        <v>66</v>
      </c>
      <c r="C1134" s="95" t="s">
        <v>17</v>
      </c>
      <c r="D1134" s="95" t="s">
        <v>19</v>
      </c>
      <c r="E1134" s="95" t="s">
        <v>69</v>
      </c>
      <c r="F1134" s="95" t="s">
        <v>70</v>
      </c>
      <c r="G1134" s="96">
        <v>382446520</v>
      </c>
      <c r="H1134" s="95"/>
      <c r="K1134" s="97"/>
    </row>
    <row r="1135" spans="1:11" x14ac:dyDescent="0.2">
      <c r="A1135" s="91">
        <v>2014</v>
      </c>
      <c r="B1135" s="92" t="s">
        <v>66</v>
      </c>
      <c r="C1135" s="92" t="s">
        <v>17</v>
      </c>
      <c r="D1135" s="92" t="s">
        <v>20</v>
      </c>
      <c r="E1135" s="92" t="s">
        <v>67</v>
      </c>
      <c r="F1135" s="92" t="s">
        <v>67</v>
      </c>
      <c r="G1135" s="93">
        <v>1550687163</v>
      </c>
      <c r="H1135" s="92"/>
      <c r="K1135" s="97"/>
    </row>
    <row r="1136" spans="1:11" x14ac:dyDescent="0.2">
      <c r="A1136" s="94">
        <v>2014</v>
      </c>
      <c r="B1136" s="95" t="s">
        <v>66</v>
      </c>
      <c r="C1136" s="95" t="s">
        <v>17</v>
      </c>
      <c r="D1136" s="95" t="s">
        <v>20</v>
      </c>
      <c r="E1136" s="95" t="s">
        <v>69</v>
      </c>
      <c r="F1136" s="95" t="s">
        <v>71</v>
      </c>
      <c r="G1136" s="96">
        <v>161880192</v>
      </c>
      <c r="H1136" s="95"/>
      <c r="K1136" s="97"/>
    </row>
    <row r="1137" spans="1:11" x14ac:dyDescent="0.2">
      <c r="A1137" s="91">
        <v>2014</v>
      </c>
      <c r="B1137" s="92" t="s">
        <v>66</v>
      </c>
      <c r="C1137" s="92" t="s">
        <v>17</v>
      </c>
      <c r="D1137" s="92" t="s">
        <v>20</v>
      </c>
      <c r="E1137" s="92" t="s">
        <v>69</v>
      </c>
      <c r="F1137" s="92" t="s">
        <v>70</v>
      </c>
      <c r="G1137" s="93">
        <v>622538524</v>
      </c>
      <c r="H1137" s="92"/>
      <c r="K1137" s="97"/>
    </row>
    <row r="1138" spans="1:11" x14ac:dyDescent="0.2">
      <c r="A1138" s="94">
        <v>2014</v>
      </c>
      <c r="B1138" s="95" t="s">
        <v>66</v>
      </c>
      <c r="C1138" s="95" t="s">
        <v>17</v>
      </c>
      <c r="D1138" s="95" t="s">
        <v>21</v>
      </c>
      <c r="E1138" s="95" t="s">
        <v>67</v>
      </c>
      <c r="F1138" s="95" t="s">
        <v>67</v>
      </c>
      <c r="G1138" s="96">
        <v>3984924787</v>
      </c>
      <c r="H1138" s="95"/>
      <c r="K1138" s="97"/>
    </row>
    <row r="1139" spans="1:11" x14ac:dyDescent="0.2">
      <c r="A1139" s="91">
        <v>2014</v>
      </c>
      <c r="B1139" s="92" t="s">
        <v>66</v>
      </c>
      <c r="C1139" s="92" t="s">
        <v>17</v>
      </c>
      <c r="D1139" s="92" t="s">
        <v>21</v>
      </c>
      <c r="E1139" s="92" t="s">
        <v>69</v>
      </c>
      <c r="F1139" s="92" t="s">
        <v>71</v>
      </c>
      <c r="G1139" s="93">
        <v>774767272</v>
      </c>
      <c r="H1139" s="92"/>
      <c r="K1139" s="97"/>
    </row>
    <row r="1140" spans="1:11" x14ac:dyDescent="0.2">
      <c r="A1140" s="94">
        <v>2014</v>
      </c>
      <c r="B1140" s="95" t="s">
        <v>66</v>
      </c>
      <c r="C1140" s="95" t="s">
        <v>17</v>
      </c>
      <c r="D1140" s="95" t="s">
        <v>21</v>
      </c>
      <c r="E1140" s="95" t="s">
        <v>69</v>
      </c>
      <c r="F1140" s="95" t="s">
        <v>70</v>
      </c>
      <c r="G1140" s="96">
        <v>910755372</v>
      </c>
      <c r="H1140" s="95"/>
      <c r="K1140" s="97"/>
    </row>
    <row r="1141" spans="1:11" x14ac:dyDescent="0.2">
      <c r="A1141" s="91">
        <v>2014</v>
      </c>
      <c r="B1141" s="92" t="s">
        <v>66</v>
      </c>
      <c r="C1141" s="92" t="s">
        <v>17</v>
      </c>
      <c r="D1141" s="92" t="s">
        <v>22</v>
      </c>
      <c r="E1141" s="92" t="s">
        <v>67</v>
      </c>
      <c r="F1141" s="92" t="s">
        <v>67</v>
      </c>
      <c r="G1141" s="93">
        <v>1693608361</v>
      </c>
      <c r="H1141" s="92"/>
      <c r="K1141" s="97"/>
    </row>
    <row r="1142" spans="1:11" x14ac:dyDescent="0.2">
      <c r="A1142" s="94">
        <v>2014</v>
      </c>
      <c r="B1142" s="95" t="s">
        <v>66</v>
      </c>
      <c r="C1142" s="95" t="s">
        <v>17</v>
      </c>
      <c r="D1142" s="95" t="s">
        <v>22</v>
      </c>
      <c r="E1142" s="95" t="s">
        <v>69</v>
      </c>
      <c r="F1142" s="95" t="s">
        <v>71</v>
      </c>
      <c r="G1142" s="96">
        <v>209260023</v>
      </c>
      <c r="H1142" s="95"/>
      <c r="K1142" s="97"/>
    </row>
    <row r="1143" spans="1:11" x14ac:dyDescent="0.2">
      <c r="A1143" s="91">
        <v>2014</v>
      </c>
      <c r="B1143" s="92" t="s">
        <v>66</v>
      </c>
      <c r="C1143" s="92" t="s">
        <v>17</v>
      </c>
      <c r="D1143" s="92" t="s">
        <v>22</v>
      </c>
      <c r="E1143" s="92" t="s">
        <v>69</v>
      </c>
      <c r="F1143" s="92" t="s">
        <v>70</v>
      </c>
      <c r="G1143" s="93">
        <v>195279071</v>
      </c>
      <c r="H1143" s="92"/>
      <c r="K1143" s="97"/>
    </row>
    <row r="1144" spans="1:11" x14ac:dyDescent="0.2">
      <c r="A1144" s="94">
        <v>2014</v>
      </c>
      <c r="B1144" s="95" t="s">
        <v>66</v>
      </c>
      <c r="C1144" s="95" t="s">
        <v>17</v>
      </c>
      <c r="D1144" s="95" t="s">
        <v>23</v>
      </c>
      <c r="E1144" s="95" t="s">
        <v>67</v>
      </c>
      <c r="F1144" s="95" t="s">
        <v>67</v>
      </c>
      <c r="G1144" s="96">
        <v>1998182074</v>
      </c>
      <c r="H1144" s="95"/>
      <c r="K1144" s="97"/>
    </row>
    <row r="1145" spans="1:11" x14ac:dyDescent="0.2">
      <c r="A1145" s="91">
        <v>2014</v>
      </c>
      <c r="B1145" s="92" t="s">
        <v>66</v>
      </c>
      <c r="C1145" s="92" t="s">
        <v>17</v>
      </c>
      <c r="D1145" s="92" t="s">
        <v>23</v>
      </c>
      <c r="E1145" s="92" t="s">
        <v>69</v>
      </c>
      <c r="F1145" s="92" t="s">
        <v>71</v>
      </c>
      <c r="G1145" s="93">
        <v>325563982</v>
      </c>
      <c r="H1145" s="92"/>
      <c r="K1145" s="97"/>
    </row>
    <row r="1146" spans="1:11" x14ac:dyDescent="0.2">
      <c r="A1146" s="94">
        <v>2014</v>
      </c>
      <c r="B1146" s="95" t="s">
        <v>66</v>
      </c>
      <c r="C1146" s="95" t="s">
        <v>17</v>
      </c>
      <c r="D1146" s="95" t="s">
        <v>23</v>
      </c>
      <c r="E1146" s="95" t="s">
        <v>69</v>
      </c>
      <c r="F1146" s="95" t="s">
        <v>70</v>
      </c>
      <c r="G1146" s="96">
        <v>475747714</v>
      </c>
      <c r="H1146" s="95"/>
      <c r="K1146" s="97"/>
    </row>
    <row r="1147" spans="1:11" x14ac:dyDescent="0.2">
      <c r="A1147" s="91">
        <v>2014</v>
      </c>
      <c r="B1147" s="92" t="s">
        <v>66</v>
      </c>
      <c r="C1147" s="92" t="s">
        <v>17</v>
      </c>
      <c r="D1147" s="92" t="s">
        <v>24</v>
      </c>
      <c r="E1147" s="92" t="s">
        <v>67</v>
      </c>
      <c r="F1147" s="92" t="s">
        <v>67</v>
      </c>
      <c r="G1147" s="93">
        <v>19917300119</v>
      </c>
      <c r="H1147" s="92"/>
      <c r="K1147" s="97"/>
    </row>
    <row r="1148" spans="1:11" x14ac:dyDescent="0.2">
      <c r="A1148" s="94">
        <v>2014</v>
      </c>
      <c r="B1148" s="95" t="s">
        <v>66</v>
      </c>
      <c r="C1148" s="95" t="s">
        <v>17</v>
      </c>
      <c r="D1148" s="95" t="s">
        <v>24</v>
      </c>
      <c r="E1148" s="95" t="s">
        <v>69</v>
      </c>
      <c r="F1148" s="95" t="s">
        <v>71</v>
      </c>
      <c r="G1148" s="96">
        <v>3518432767</v>
      </c>
      <c r="H1148" s="95"/>
      <c r="K1148" s="97"/>
    </row>
    <row r="1149" spans="1:11" x14ac:dyDescent="0.2">
      <c r="A1149" s="91">
        <v>2014</v>
      </c>
      <c r="B1149" s="92" t="s">
        <v>66</v>
      </c>
      <c r="C1149" s="92" t="s">
        <v>17</v>
      </c>
      <c r="D1149" s="92" t="s">
        <v>24</v>
      </c>
      <c r="E1149" s="92" t="s">
        <v>69</v>
      </c>
      <c r="F1149" s="92" t="s">
        <v>70</v>
      </c>
      <c r="G1149" s="93">
        <v>2932206282</v>
      </c>
      <c r="H1149" s="92"/>
      <c r="K1149" s="97"/>
    </row>
    <row r="1150" spans="1:11" x14ac:dyDescent="0.2">
      <c r="A1150" s="94">
        <v>2014</v>
      </c>
      <c r="B1150" s="95" t="s">
        <v>66</v>
      </c>
      <c r="C1150" s="95" t="s">
        <v>17</v>
      </c>
      <c r="D1150" s="95" t="s">
        <v>25</v>
      </c>
      <c r="E1150" s="95" t="s">
        <v>67</v>
      </c>
      <c r="F1150" s="95" t="s">
        <v>67</v>
      </c>
      <c r="G1150" s="96">
        <v>2829227526</v>
      </c>
      <c r="H1150" s="95"/>
      <c r="K1150" s="97"/>
    </row>
    <row r="1151" spans="1:11" x14ac:dyDescent="0.2">
      <c r="A1151" s="91">
        <v>2014</v>
      </c>
      <c r="B1151" s="92" t="s">
        <v>66</v>
      </c>
      <c r="C1151" s="92" t="s">
        <v>17</v>
      </c>
      <c r="D1151" s="92" t="s">
        <v>25</v>
      </c>
      <c r="E1151" s="92" t="s">
        <v>69</v>
      </c>
      <c r="F1151" s="92" t="s">
        <v>71</v>
      </c>
      <c r="G1151" s="93">
        <v>326059741</v>
      </c>
      <c r="H1151" s="92"/>
      <c r="K1151" s="97"/>
    </row>
    <row r="1152" spans="1:11" x14ac:dyDescent="0.2">
      <c r="A1152" s="94">
        <v>2014</v>
      </c>
      <c r="B1152" s="95" t="s">
        <v>66</v>
      </c>
      <c r="C1152" s="95" t="s">
        <v>17</v>
      </c>
      <c r="D1152" s="95" t="s">
        <v>25</v>
      </c>
      <c r="E1152" s="95" t="s">
        <v>69</v>
      </c>
      <c r="F1152" s="95" t="s">
        <v>70</v>
      </c>
      <c r="G1152" s="96">
        <v>268299864</v>
      </c>
      <c r="H1152" s="95"/>
      <c r="K1152" s="97"/>
    </row>
    <row r="1153" spans="1:11" x14ac:dyDescent="0.2">
      <c r="A1153" s="91">
        <v>2014</v>
      </c>
      <c r="B1153" s="92" t="s">
        <v>66</v>
      </c>
      <c r="C1153" s="92" t="s">
        <v>27</v>
      </c>
      <c r="D1153" s="92" t="s">
        <v>26</v>
      </c>
      <c r="E1153" s="92" t="s">
        <v>67</v>
      </c>
      <c r="F1153" s="92" t="s">
        <v>67</v>
      </c>
      <c r="G1153" s="93">
        <v>35789177289</v>
      </c>
      <c r="H1153" s="92"/>
      <c r="K1153" s="97"/>
    </row>
    <row r="1154" spans="1:11" x14ac:dyDescent="0.2">
      <c r="A1154" s="94">
        <v>2014</v>
      </c>
      <c r="B1154" s="95" t="s">
        <v>66</v>
      </c>
      <c r="C1154" s="95" t="s">
        <v>27</v>
      </c>
      <c r="D1154" s="95" t="s">
        <v>26</v>
      </c>
      <c r="E1154" s="95" t="s">
        <v>69</v>
      </c>
      <c r="F1154" s="95" t="s">
        <v>71</v>
      </c>
      <c r="G1154" s="96">
        <v>6626497837</v>
      </c>
      <c r="H1154" s="95"/>
      <c r="K1154" s="97"/>
    </row>
    <row r="1155" spans="1:11" x14ac:dyDescent="0.2">
      <c r="A1155" s="91">
        <v>2014</v>
      </c>
      <c r="B1155" s="92" t="s">
        <v>66</v>
      </c>
      <c r="C1155" s="92" t="s">
        <v>27</v>
      </c>
      <c r="D1155" s="92" t="s">
        <v>26</v>
      </c>
      <c r="E1155" s="92" t="s">
        <v>69</v>
      </c>
      <c r="F1155" s="92" t="s">
        <v>70</v>
      </c>
      <c r="G1155" s="93">
        <v>14317534846</v>
      </c>
      <c r="H1155" s="92"/>
      <c r="K1155" s="97"/>
    </row>
    <row r="1156" spans="1:11" x14ac:dyDescent="0.2">
      <c r="A1156" s="94">
        <v>2014</v>
      </c>
      <c r="B1156" s="95" t="s">
        <v>66</v>
      </c>
      <c r="C1156" s="95" t="s">
        <v>27</v>
      </c>
      <c r="D1156" s="95" t="s">
        <v>28</v>
      </c>
      <c r="E1156" s="95" t="s">
        <v>67</v>
      </c>
      <c r="F1156" s="95" t="s">
        <v>67</v>
      </c>
      <c r="G1156" s="96">
        <v>48198643985</v>
      </c>
      <c r="H1156" s="95"/>
      <c r="K1156" s="97"/>
    </row>
    <row r="1157" spans="1:11" x14ac:dyDescent="0.2">
      <c r="A1157" s="91">
        <v>2014</v>
      </c>
      <c r="B1157" s="92" t="s">
        <v>66</v>
      </c>
      <c r="C1157" s="92" t="s">
        <v>27</v>
      </c>
      <c r="D1157" s="92" t="s">
        <v>28</v>
      </c>
      <c r="E1157" s="92" t="s">
        <v>69</v>
      </c>
      <c r="F1157" s="92" t="s">
        <v>71</v>
      </c>
      <c r="G1157" s="93">
        <v>11957055865</v>
      </c>
      <c r="H1157" s="92"/>
      <c r="K1157" s="97"/>
    </row>
    <row r="1158" spans="1:11" x14ac:dyDescent="0.2">
      <c r="A1158" s="94">
        <v>2014</v>
      </c>
      <c r="B1158" s="95" t="s">
        <v>66</v>
      </c>
      <c r="C1158" s="95" t="s">
        <v>27</v>
      </c>
      <c r="D1158" s="95" t="s">
        <v>28</v>
      </c>
      <c r="E1158" s="95" t="s">
        <v>69</v>
      </c>
      <c r="F1158" s="95" t="s">
        <v>70</v>
      </c>
      <c r="G1158" s="96">
        <v>16814171182</v>
      </c>
      <c r="H1158" s="95"/>
      <c r="K1158" s="97"/>
    </row>
    <row r="1159" spans="1:11" x14ac:dyDescent="0.2">
      <c r="A1159" s="91">
        <v>2014</v>
      </c>
      <c r="B1159" s="92" t="s">
        <v>66</v>
      </c>
      <c r="C1159" s="92" t="s">
        <v>27</v>
      </c>
      <c r="D1159" s="92" t="s">
        <v>29</v>
      </c>
      <c r="E1159" s="92" t="s">
        <v>67</v>
      </c>
      <c r="F1159" s="92" t="s">
        <v>67</v>
      </c>
      <c r="G1159" s="93">
        <v>18614624140</v>
      </c>
      <c r="H1159" s="92"/>
      <c r="K1159" s="97"/>
    </row>
    <row r="1160" spans="1:11" x14ac:dyDescent="0.2">
      <c r="A1160" s="94">
        <v>2014</v>
      </c>
      <c r="B1160" s="95" t="s">
        <v>66</v>
      </c>
      <c r="C1160" s="95" t="s">
        <v>27</v>
      </c>
      <c r="D1160" s="95" t="s">
        <v>29</v>
      </c>
      <c r="E1160" s="95" t="s">
        <v>69</v>
      </c>
      <c r="F1160" s="95" t="s">
        <v>71</v>
      </c>
      <c r="G1160" s="96">
        <v>4966310380</v>
      </c>
      <c r="H1160" s="95"/>
      <c r="K1160" s="97"/>
    </row>
    <row r="1161" spans="1:11" x14ac:dyDescent="0.2">
      <c r="A1161" s="91">
        <v>2014</v>
      </c>
      <c r="B1161" s="92" t="s">
        <v>66</v>
      </c>
      <c r="C1161" s="92" t="s">
        <v>27</v>
      </c>
      <c r="D1161" s="92" t="s">
        <v>29</v>
      </c>
      <c r="E1161" s="92" t="s">
        <v>69</v>
      </c>
      <c r="F1161" s="92" t="s">
        <v>70</v>
      </c>
      <c r="G1161" s="93">
        <v>3920869946</v>
      </c>
      <c r="H1161" s="92"/>
      <c r="K1161" s="97"/>
    </row>
    <row r="1162" spans="1:11" x14ac:dyDescent="0.2">
      <c r="A1162" s="94">
        <v>2014</v>
      </c>
      <c r="B1162" s="95" t="s">
        <v>66</v>
      </c>
      <c r="C1162" s="95" t="s">
        <v>27</v>
      </c>
      <c r="D1162" s="95" t="s">
        <v>30</v>
      </c>
      <c r="E1162" s="95" t="s">
        <v>67</v>
      </c>
      <c r="F1162" s="95" t="s">
        <v>67</v>
      </c>
      <c r="G1162" s="96">
        <v>38666647373</v>
      </c>
      <c r="H1162" s="95"/>
      <c r="K1162" s="97"/>
    </row>
    <row r="1163" spans="1:11" x14ac:dyDescent="0.2">
      <c r="A1163" s="91">
        <v>2014</v>
      </c>
      <c r="B1163" s="92" t="s">
        <v>66</v>
      </c>
      <c r="C1163" s="92" t="s">
        <v>27</v>
      </c>
      <c r="D1163" s="92" t="s">
        <v>30</v>
      </c>
      <c r="E1163" s="92" t="s">
        <v>69</v>
      </c>
      <c r="F1163" s="92" t="s">
        <v>71</v>
      </c>
      <c r="G1163" s="93">
        <v>8334937282</v>
      </c>
      <c r="H1163" s="92"/>
      <c r="K1163" s="97"/>
    </row>
    <row r="1164" spans="1:11" x14ac:dyDescent="0.2">
      <c r="A1164" s="94">
        <v>2014</v>
      </c>
      <c r="B1164" s="95" t="s">
        <v>66</v>
      </c>
      <c r="C1164" s="95" t="s">
        <v>27</v>
      </c>
      <c r="D1164" s="95" t="s">
        <v>30</v>
      </c>
      <c r="E1164" s="95" t="s">
        <v>69</v>
      </c>
      <c r="F1164" s="95" t="s">
        <v>70</v>
      </c>
      <c r="G1164" s="96">
        <v>14571711959</v>
      </c>
      <c r="H1164" s="95"/>
      <c r="K1164" s="97"/>
    </row>
    <row r="1165" spans="1:11" x14ac:dyDescent="0.2">
      <c r="A1165" s="91">
        <v>2014</v>
      </c>
      <c r="B1165" s="92" t="s">
        <v>66</v>
      </c>
      <c r="C1165" s="92" t="s">
        <v>27</v>
      </c>
      <c r="D1165" s="92" t="s">
        <v>31</v>
      </c>
      <c r="E1165" s="92" t="s">
        <v>67</v>
      </c>
      <c r="F1165" s="92" t="s">
        <v>67</v>
      </c>
      <c r="G1165" s="93">
        <v>9290253564</v>
      </c>
      <c r="H1165" s="92"/>
      <c r="K1165" s="97"/>
    </row>
    <row r="1166" spans="1:11" x14ac:dyDescent="0.2">
      <c r="A1166" s="94">
        <v>2014</v>
      </c>
      <c r="B1166" s="95" t="s">
        <v>66</v>
      </c>
      <c r="C1166" s="95" t="s">
        <v>27</v>
      </c>
      <c r="D1166" s="95" t="s">
        <v>31</v>
      </c>
      <c r="E1166" s="95" t="s">
        <v>69</v>
      </c>
      <c r="F1166" s="95" t="s">
        <v>71</v>
      </c>
      <c r="G1166" s="96">
        <v>3310504694</v>
      </c>
      <c r="H1166" s="95"/>
      <c r="K1166" s="97"/>
    </row>
    <row r="1167" spans="1:11" x14ac:dyDescent="0.2">
      <c r="A1167" s="91">
        <v>2014</v>
      </c>
      <c r="B1167" s="92" t="s">
        <v>66</v>
      </c>
      <c r="C1167" s="92" t="s">
        <v>27</v>
      </c>
      <c r="D1167" s="92" t="s">
        <v>31</v>
      </c>
      <c r="E1167" s="92" t="s">
        <v>69</v>
      </c>
      <c r="F1167" s="92" t="s">
        <v>70</v>
      </c>
      <c r="G1167" s="93">
        <v>7441013337</v>
      </c>
      <c r="H1167" s="92"/>
      <c r="K1167" s="97"/>
    </row>
    <row r="1168" spans="1:11" x14ac:dyDescent="0.2">
      <c r="A1168" s="94">
        <v>2014</v>
      </c>
      <c r="B1168" s="95" t="s">
        <v>66</v>
      </c>
      <c r="C1168" s="95" t="s">
        <v>27</v>
      </c>
      <c r="D1168" s="95" t="s">
        <v>32</v>
      </c>
      <c r="E1168" s="95" t="s">
        <v>67</v>
      </c>
      <c r="F1168" s="95" t="s">
        <v>67</v>
      </c>
      <c r="G1168" s="96">
        <v>16995565278</v>
      </c>
      <c r="H1168" s="95"/>
      <c r="K1168" s="97"/>
    </row>
    <row r="1169" spans="1:11" x14ac:dyDescent="0.2">
      <c r="A1169" s="91">
        <v>2014</v>
      </c>
      <c r="B1169" s="92" t="s">
        <v>66</v>
      </c>
      <c r="C1169" s="92" t="s">
        <v>27</v>
      </c>
      <c r="D1169" s="92" t="s">
        <v>32</v>
      </c>
      <c r="E1169" s="92" t="s">
        <v>69</v>
      </c>
      <c r="F1169" s="92" t="s">
        <v>71</v>
      </c>
      <c r="G1169" s="93">
        <v>6106252639</v>
      </c>
      <c r="H1169" s="92"/>
      <c r="K1169" s="97"/>
    </row>
    <row r="1170" spans="1:11" x14ac:dyDescent="0.2">
      <c r="A1170" s="94">
        <v>2014</v>
      </c>
      <c r="B1170" s="95" t="s">
        <v>66</v>
      </c>
      <c r="C1170" s="95" t="s">
        <v>27</v>
      </c>
      <c r="D1170" s="95" t="s">
        <v>32</v>
      </c>
      <c r="E1170" s="95" t="s">
        <v>69</v>
      </c>
      <c r="F1170" s="95" t="s">
        <v>70</v>
      </c>
      <c r="G1170" s="96">
        <v>5229040423</v>
      </c>
      <c r="H1170" s="95"/>
      <c r="K1170" s="97"/>
    </row>
    <row r="1171" spans="1:11" x14ac:dyDescent="0.2">
      <c r="A1171" s="91">
        <v>2014</v>
      </c>
      <c r="B1171" s="92" t="s">
        <v>66</v>
      </c>
      <c r="C1171" s="92" t="s">
        <v>27</v>
      </c>
      <c r="D1171" s="92" t="s">
        <v>33</v>
      </c>
      <c r="E1171" s="92" t="s">
        <v>67</v>
      </c>
      <c r="F1171" s="92" t="s">
        <v>67</v>
      </c>
      <c r="G1171" s="93">
        <v>33408446057</v>
      </c>
      <c r="H1171" s="92"/>
      <c r="K1171" s="97"/>
    </row>
    <row r="1172" spans="1:11" x14ac:dyDescent="0.2">
      <c r="A1172" s="94">
        <v>2014</v>
      </c>
      <c r="B1172" s="95" t="s">
        <v>66</v>
      </c>
      <c r="C1172" s="95" t="s">
        <v>27</v>
      </c>
      <c r="D1172" s="95" t="s">
        <v>33</v>
      </c>
      <c r="E1172" s="95" t="s">
        <v>69</v>
      </c>
      <c r="F1172" s="95" t="s">
        <v>71</v>
      </c>
      <c r="G1172" s="96">
        <v>11490562881</v>
      </c>
      <c r="H1172" s="95"/>
      <c r="K1172" s="97"/>
    </row>
    <row r="1173" spans="1:11" x14ac:dyDescent="0.2">
      <c r="A1173" s="91">
        <v>2014</v>
      </c>
      <c r="B1173" s="92" t="s">
        <v>66</v>
      </c>
      <c r="C1173" s="92" t="s">
        <v>27</v>
      </c>
      <c r="D1173" s="92" t="s">
        <v>33</v>
      </c>
      <c r="E1173" s="92" t="s">
        <v>69</v>
      </c>
      <c r="F1173" s="92" t="s">
        <v>70</v>
      </c>
      <c r="G1173" s="93">
        <v>27490232574</v>
      </c>
      <c r="H1173" s="92"/>
      <c r="K1173" s="97"/>
    </row>
    <row r="1174" spans="1:11" x14ac:dyDescent="0.2">
      <c r="A1174" s="94">
        <v>2014</v>
      </c>
      <c r="B1174" s="95" t="s">
        <v>66</v>
      </c>
      <c r="C1174" s="95" t="s">
        <v>35</v>
      </c>
      <c r="D1174" s="95" t="s">
        <v>34</v>
      </c>
      <c r="E1174" s="95" t="s">
        <v>67</v>
      </c>
      <c r="F1174" s="95" t="s">
        <v>67</v>
      </c>
      <c r="G1174" s="96">
        <v>4915273237</v>
      </c>
      <c r="H1174" s="95"/>
      <c r="K1174" s="97"/>
    </row>
    <row r="1175" spans="1:11" x14ac:dyDescent="0.2">
      <c r="A1175" s="91">
        <v>2014</v>
      </c>
      <c r="B1175" s="92" t="s">
        <v>66</v>
      </c>
      <c r="C1175" s="92" t="s">
        <v>35</v>
      </c>
      <c r="D1175" s="92" t="s">
        <v>34</v>
      </c>
      <c r="E1175" s="92" t="s">
        <v>69</v>
      </c>
      <c r="F1175" s="92" t="s">
        <v>71</v>
      </c>
      <c r="G1175" s="93">
        <v>682874162</v>
      </c>
      <c r="H1175" s="92"/>
      <c r="K1175" s="97"/>
    </row>
    <row r="1176" spans="1:11" x14ac:dyDescent="0.2">
      <c r="A1176" s="94">
        <v>2014</v>
      </c>
      <c r="B1176" s="95" t="s">
        <v>66</v>
      </c>
      <c r="C1176" s="95" t="s">
        <v>35</v>
      </c>
      <c r="D1176" s="95" t="s">
        <v>34</v>
      </c>
      <c r="E1176" s="95" t="s">
        <v>69</v>
      </c>
      <c r="F1176" s="95" t="s">
        <v>70</v>
      </c>
      <c r="G1176" s="96">
        <v>511774377</v>
      </c>
      <c r="H1176" s="95"/>
      <c r="K1176" s="97"/>
    </row>
    <row r="1177" spans="1:11" x14ac:dyDescent="0.2">
      <c r="A1177" s="91">
        <v>2014</v>
      </c>
      <c r="B1177" s="92" t="s">
        <v>66</v>
      </c>
      <c r="C1177" s="92" t="s">
        <v>35</v>
      </c>
      <c r="D1177" s="92" t="s">
        <v>36</v>
      </c>
      <c r="E1177" s="92" t="s">
        <v>67</v>
      </c>
      <c r="F1177" s="92" t="s">
        <v>67</v>
      </c>
      <c r="G1177" s="93">
        <v>20710608843</v>
      </c>
      <c r="H1177" s="92"/>
      <c r="K1177" s="97"/>
    </row>
    <row r="1178" spans="1:11" x14ac:dyDescent="0.2">
      <c r="A1178" s="94">
        <v>2014</v>
      </c>
      <c r="B1178" s="95" t="s">
        <v>66</v>
      </c>
      <c r="C1178" s="95" t="s">
        <v>35</v>
      </c>
      <c r="D1178" s="95" t="s">
        <v>36</v>
      </c>
      <c r="E1178" s="95" t="s">
        <v>69</v>
      </c>
      <c r="F1178" s="95" t="s">
        <v>71</v>
      </c>
      <c r="G1178" s="96">
        <v>5050009062</v>
      </c>
      <c r="H1178" s="95"/>
      <c r="K1178" s="97"/>
    </row>
    <row r="1179" spans="1:11" x14ac:dyDescent="0.2">
      <c r="A1179" s="91">
        <v>2014</v>
      </c>
      <c r="B1179" s="92" t="s">
        <v>66</v>
      </c>
      <c r="C1179" s="92" t="s">
        <v>35</v>
      </c>
      <c r="D1179" s="92" t="s">
        <v>36</v>
      </c>
      <c r="E1179" s="92" t="s">
        <v>69</v>
      </c>
      <c r="F1179" s="92" t="s">
        <v>70</v>
      </c>
      <c r="G1179" s="93">
        <v>2256491458</v>
      </c>
      <c r="H1179" s="92"/>
      <c r="K1179" s="97"/>
    </row>
    <row r="1180" spans="1:11" x14ac:dyDescent="0.2">
      <c r="A1180" s="94">
        <v>2014</v>
      </c>
      <c r="B1180" s="95" t="s">
        <v>66</v>
      </c>
      <c r="C1180" s="95" t="s">
        <v>35</v>
      </c>
      <c r="D1180" s="95" t="s">
        <v>37</v>
      </c>
      <c r="E1180" s="95" t="s">
        <v>67</v>
      </c>
      <c r="F1180" s="95" t="s">
        <v>67</v>
      </c>
      <c r="G1180" s="96">
        <v>3422745420</v>
      </c>
      <c r="H1180" s="95"/>
      <c r="K1180" s="97"/>
    </row>
    <row r="1181" spans="1:11" x14ac:dyDescent="0.2">
      <c r="A1181" s="91">
        <v>2014</v>
      </c>
      <c r="B1181" s="92" t="s">
        <v>66</v>
      </c>
      <c r="C1181" s="92" t="s">
        <v>35</v>
      </c>
      <c r="D1181" s="92" t="s">
        <v>37</v>
      </c>
      <c r="E1181" s="92" t="s">
        <v>69</v>
      </c>
      <c r="F1181" s="92" t="s">
        <v>71</v>
      </c>
      <c r="G1181" s="93">
        <v>666806373</v>
      </c>
      <c r="H1181" s="92"/>
      <c r="K1181" s="97"/>
    </row>
    <row r="1182" spans="1:11" x14ac:dyDescent="0.2">
      <c r="A1182" s="94">
        <v>2014</v>
      </c>
      <c r="B1182" s="95" t="s">
        <v>66</v>
      </c>
      <c r="C1182" s="95" t="s">
        <v>35</v>
      </c>
      <c r="D1182" s="95" t="s">
        <v>37</v>
      </c>
      <c r="E1182" s="95" t="s">
        <v>69</v>
      </c>
      <c r="F1182" s="95" t="s">
        <v>70</v>
      </c>
      <c r="G1182" s="96">
        <v>776240963</v>
      </c>
      <c r="H1182" s="95"/>
      <c r="K1182" s="97"/>
    </row>
    <row r="1183" spans="1:11" x14ac:dyDescent="0.2">
      <c r="A1183" s="91">
        <v>2014</v>
      </c>
      <c r="B1183" s="92" t="s">
        <v>66</v>
      </c>
      <c r="C1183" s="92" t="s">
        <v>35</v>
      </c>
      <c r="D1183" s="92" t="s">
        <v>38</v>
      </c>
      <c r="E1183" s="92" t="s">
        <v>67</v>
      </c>
      <c r="F1183" s="92" t="s">
        <v>67</v>
      </c>
      <c r="G1183" s="93">
        <v>7659786029</v>
      </c>
      <c r="H1183" s="92"/>
      <c r="K1183" s="97"/>
    </row>
    <row r="1184" spans="1:11" x14ac:dyDescent="0.2">
      <c r="A1184" s="94">
        <v>2014</v>
      </c>
      <c r="B1184" s="95" t="s">
        <v>66</v>
      </c>
      <c r="C1184" s="95" t="s">
        <v>35</v>
      </c>
      <c r="D1184" s="95" t="s">
        <v>38</v>
      </c>
      <c r="E1184" s="95" t="s">
        <v>69</v>
      </c>
      <c r="F1184" s="95" t="s">
        <v>71</v>
      </c>
      <c r="G1184" s="96">
        <v>1394319587</v>
      </c>
      <c r="H1184" s="95"/>
      <c r="K1184" s="97"/>
    </row>
    <row r="1185" spans="1:11" x14ac:dyDescent="0.2">
      <c r="A1185" s="91">
        <v>2014</v>
      </c>
      <c r="B1185" s="92" t="s">
        <v>66</v>
      </c>
      <c r="C1185" s="92" t="s">
        <v>35</v>
      </c>
      <c r="D1185" s="92" t="s">
        <v>38</v>
      </c>
      <c r="E1185" s="92" t="s">
        <v>69</v>
      </c>
      <c r="F1185" s="92" t="s">
        <v>70</v>
      </c>
      <c r="G1185" s="93">
        <v>1269936829</v>
      </c>
      <c r="H1185" s="92"/>
      <c r="K1185" s="97"/>
    </row>
    <row r="1186" spans="1:11" x14ac:dyDescent="0.2">
      <c r="A1186" s="94">
        <v>2014</v>
      </c>
      <c r="B1186" s="95" t="s">
        <v>66</v>
      </c>
      <c r="C1186" s="95" t="s">
        <v>35</v>
      </c>
      <c r="D1186" s="95" t="s">
        <v>39</v>
      </c>
      <c r="E1186" s="95" t="s">
        <v>67</v>
      </c>
      <c r="F1186" s="95" t="s">
        <v>67</v>
      </c>
      <c r="G1186" s="96">
        <v>19627254589</v>
      </c>
      <c r="H1186" s="95"/>
      <c r="K1186" s="97"/>
    </row>
    <row r="1187" spans="1:11" x14ac:dyDescent="0.2">
      <c r="A1187" s="91">
        <v>2014</v>
      </c>
      <c r="B1187" s="92" t="s">
        <v>66</v>
      </c>
      <c r="C1187" s="92" t="s">
        <v>35</v>
      </c>
      <c r="D1187" s="92" t="s">
        <v>39</v>
      </c>
      <c r="E1187" s="92" t="s">
        <v>69</v>
      </c>
      <c r="F1187" s="92" t="s">
        <v>71</v>
      </c>
      <c r="G1187" s="93">
        <v>4306262611</v>
      </c>
      <c r="H1187" s="92"/>
      <c r="K1187" s="97"/>
    </row>
    <row r="1188" spans="1:11" x14ac:dyDescent="0.2">
      <c r="A1188" s="94">
        <v>2014</v>
      </c>
      <c r="B1188" s="95" t="s">
        <v>66</v>
      </c>
      <c r="C1188" s="95" t="s">
        <v>35</v>
      </c>
      <c r="D1188" s="95" t="s">
        <v>39</v>
      </c>
      <c r="E1188" s="95" t="s">
        <v>69</v>
      </c>
      <c r="F1188" s="95" t="s">
        <v>70</v>
      </c>
      <c r="G1188" s="96">
        <v>2976138507</v>
      </c>
      <c r="H1188" s="95"/>
      <c r="K1188" s="97"/>
    </row>
    <row r="1189" spans="1:11" x14ac:dyDescent="0.2">
      <c r="A1189" s="91">
        <v>2014</v>
      </c>
      <c r="B1189" s="92" t="s">
        <v>66</v>
      </c>
      <c r="C1189" s="92" t="s">
        <v>41</v>
      </c>
      <c r="D1189" s="92" t="s">
        <v>40</v>
      </c>
      <c r="E1189" s="92" t="s">
        <v>67</v>
      </c>
      <c r="F1189" s="92" t="s">
        <v>67</v>
      </c>
      <c r="G1189" s="93">
        <v>6871306020</v>
      </c>
      <c r="H1189" s="92"/>
      <c r="K1189" s="97"/>
    </row>
    <row r="1190" spans="1:11" x14ac:dyDescent="0.2">
      <c r="A1190" s="94">
        <v>2014</v>
      </c>
      <c r="B1190" s="95" t="s">
        <v>66</v>
      </c>
      <c r="C1190" s="95" t="s">
        <v>41</v>
      </c>
      <c r="D1190" s="95" t="s">
        <v>40</v>
      </c>
      <c r="E1190" s="95" t="s">
        <v>69</v>
      </c>
      <c r="F1190" s="95" t="s">
        <v>71</v>
      </c>
      <c r="G1190" s="96">
        <v>476392405</v>
      </c>
      <c r="H1190" s="95"/>
      <c r="K1190" s="97"/>
    </row>
    <row r="1191" spans="1:11" x14ac:dyDescent="0.2">
      <c r="A1191" s="91">
        <v>2014</v>
      </c>
      <c r="B1191" s="92" t="s">
        <v>66</v>
      </c>
      <c r="C1191" s="92" t="s">
        <v>41</v>
      </c>
      <c r="D1191" s="92" t="s">
        <v>40</v>
      </c>
      <c r="E1191" s="92" t="s">
        <v>69</v>
      </c>
      <c r="F1191" s="92" t="s">
        <v>70</v>
      </c>
      <c r="G1191" s="93">
        <v>340524510</v>
      </c>
      <c r="H1191" s="92"/>
      <c r="K1191" s="97"/>
    </row>
    <row r="1192" spans="1:11" x14ac:dyDescent="0.2">
      <c r="A1192" s="94">
        <v>2014</v>
      </c>
      <c r="B1192" s="95" t="s">
        <v>66</v>
      </c>
      <c r="C1192" s="95" t="s">
        <v>41</v>
      </c>
      <c r="D1192" s="95" t="s">
        <v>42</v>
      </c>
      <c r="E1192" s="95" t="s">
        <v>67</v>
      </c>
      <c r="F1192" s="95" t="s">
        <v>67</v>
      </c>
      <c r="G1192" s="96">
        <v>7056355678</v>
      </c>
      <c r="H1192" s="95"/>
      <c r="K1192" s="97"/>
    </row>
    <row r="1193" spans="1:11" x14ac:dyDescent="0.2">
      <c r="A1193" s="91">
        <v>2014</v>
      </c>
      <c r="B1193" s="92" t="s">
        <v>66</v>
      </c>
      <c r="C1193" s="92" t="s">
        <v>41</v>
      </c>
      <c r="D1193" s="92" t="s">
        <v>42</v>
      </c>
      <c r="E1193" s="92" t="s">
        <v>69</v>
      </c>
      <c r="F1193" s="92" t="s">
        <v>71</v>
      </c>
      <c r="G1193" s="93">
        <v>706181151</v>
      </c>
      <c r="H1193" s="92"/>
      <c r="K1193" s="97"/>
    </row>
    <row r="1194" spans="1:11" x14ac:dyDescent="0.2">
      <c r="A1194" s="94">
        <v>2014</v>
      </c>
      <c r="B1194" s="95" t="s">
        <v>66</v>
      </c>
      <c r="C1194" s="95" t="s">
        <v>41</v>
      </c>
      <c r="D1194" s="95" t="s">
        <v>42</v>
      </c>
      <c r="E1194" s="95" t="s">
        <v>69</v>
      </c>
      <c r="F1194" s="95" t="s">
        <v>70</v>
      </c>
      <c r="G1194" s="96">
        <v>1238394129</v>
      </c>
      <c r="H1194" s="95"/>
      <c r="K1194" s="97"/>
    </row>
    <row r="1195" spans="1:11" x14ac:dyDescent="0.2">
      <c r="A1195" s="91">
        <v>2014</v>
      </c>
      <c r="B1195" s="92" t="s">
        <v>66</v>
      </c>
      <c r="C1195" s="92" t="s">
        <v>41</v>
      </c>
      <c r="D1195" s="92" t="s">
        <v>43</v>
      </c>
      <c r="E1195" s="92" t="s">
        <v>67</v>
      </c>
      <c r="F1195" s="92" t="s">
        <v>67</v>
      </c>
      <c r="G1195" s="93">
        <v>6697794918</v>
      </c>
      <c r="H1195" s="92"/>
      <c r="K1195" s="97"/>
    </row>
    <row r="1196" spans="1:11" x14ac:dyDescent="0.2">
      <c r="A1196" s="94">
        <v>2014</v>
      </c>
      <c r="B1196" s="95" t="s">
        <v>66</v>
      </c>
      <c r="C1196" s="95" t="s">
        <v>41</v>
      </c>
      <c r="D1196" s="95" t="s">
        <v>43</v>
      </c>
      <c r="E1196" s="95" t="s">
        <v>69</v>
      </c>
      <c r="F1196" s="95" t="s">
        <v>71</v>
      </c>
      <c r="G1196" s="96">
        <v>875278290</v>
      </c>
      <c r="H1196" s="95"/>
      <c r="K1196" s="97"/>
    </row>
    <row r="1197" spans="1:11" x14ac:dyDescent="0.2">
      <c r="A1197" s="91">
        <v>2014</v>
      </c>
      <c r="B1197" s="92" t="s">
        <v>66</v>
      </c>
      <c r="C1197" s="92" t="s">
        <v>41</v>
      </c>
      <c r="D1197" s="92" t="s">
        <v>43</v>
      </c>
      <c r="E1197" s="92" t="s">
        <v>69</v>
      </c>
      <c r="F1197" s="92" t="s">
        <v>70</v>
      </c>
      <c r="G1197" s="93">
        <v>792926237</v>
      </c>
      <c r="H1197" s="92"/>
      <c r="K1197" s="97"/>
    </row>
    <row r="1198" spans="1:11" x14ac:dyDescent="0.2">
      <c r="A1198" s="94">
        <v>2014</v>
      </c>
      <c r="B1198" s="95" t="s">
        <v>66</v>
      </c>
      <c r="C1198" s="95" t="s">
        <v>41</v>
      </c>
      <c r="D1198" s="95" t="s">
        <v>44</v>
      </c>
      <c r="E1198" s="95" t="s">
        <v>67</v>
      </c>
      <c r="F1198" s="95" t="s">
        <v>67</v>
      </c>
      <c r="G1198" s="96">
        <v>8678254699</v>
      </c>
      <c r="H1198" s="95"/>
      <c r="K1198" s="97"/>
    </row>
    <row r="1199" spans="1:11" x14ac:dyDescent="0.2">
      <c r="A1199" s="91">
        <v>2014</v>
      </c>
      <c r="B1199" s="92" t="s">
        <v>66</v>
      </c>
      <c r="C1199" s="92" t="s">
        <v>41</v>
      </c>
      <c r="D1199" s="92" t="s">
        <v>44</v>
      </c>
      <c r="E1199" s="92" t="s">
        <v>69</v>
      </c>
      <c r="F1199" s="92" t="s">
        <v>71</v>
      </c>
      <c r="G1199" s="93">
        <v>1255349113</v>
      </c>
      <c r="H1199" s="92"/>
      <c r="K1199" s="97"/>
    </row>
    <row r="1200" spans="1:11" x14ac:dyDescent="0.2">
      <c r="A1200" s="94">
        <v>2014</v>
      </c>
      <c r="B1200" s="95" t="s">
        <v>66</v>
      </c>
      <c r="C1200" s="95" t="s">
        <v>41</v>
      </c>
      <c r="D1200" s="95" t="s">
        <v>44</v>
      </c>
      <c r="E1200" s="95" t="s">
        <v>69</v>
      </c>
      <c r="F1200" s="95" t="s">
        <v>70</v>
      </c>
      <c r="G1200" s="96">
        <v>1062113955</v>
      </c>
      <c r="H1200" s="95"/>
      <c r="K1200" s="97"/>
    </row>
    <row r="1201" spans="1:11" x14ac:dyDescent="0.2">
      <c r="A1201" s="91">
        <v>2014</v>
      </c>
      <c r="B1201" s="92" t="s">
        <v>66</v>
      </c>
      <c r="C1201" s="92" t="s">
        <v>41</v>
      </c>
      <c r="D1201" s="92" t="s">
        <v>45</v>
      </c>
      <c r="E1201" s="92" t="s">
        <v>67</v>
      </c>
      <c r="F1201" s="92" t="s">
        <v>67</v>
      </c>
      <c r="G1201" s="93">
        <v>25316330137</v>
      </c>
      <c r="H1201" s="92"/>
      <c r="K1201" s="97"/>
    </row>
    <row r="1202" spans="1:11" x14ac:dyDescent="0.2">
      <c r="A1202" s="94">
        <v>2014</v>
      </c>
      <c r="B1202" s="95" t="s">
        <v>66</v>
      </c>
      <c r="C1202" s="95" t="s">
        <v>41</v>
      </c>
      <c r="D1202" s="95" t="s">
        <v>45</v>
      </c>
      <c r="E1202" s="95" t="s">
        <v>69</v>
      </c>
      <c r="F1202" s="95" t="s">
        <v>71</v>
      </c>
      <c r="G1202" s="96">
        <v>3617463407</v>
      </c>
      <c r="H1202" s="95"/>
      <c r="K1202" s="97"/>
    </row>
    <row r="1203" spans="1:11" x14ac:dyDescent="0.2">
      <c r="A1203" s="91">
        <v>2014</v>
      </c>
      <c r="B1203" s="92" t="s">
        <v>66</v>
      </c>
      <c r="C1203" s="92" t="s">
        <v>41</v>
      </c>
      <c r="D1203" s="92" t="s">
        <v>45</v>
      </c>
      <c r="E1203" s="92" t="s">
        <v>69</v>
      </c>
      <c r="F1203" s="92" t="s">
        <v>70</v>
      </c>
      <c r="G1203" s="93">
        <v>6161896125</v>
      </c>
      <c r="H1203" s="92"/>
      <c r="K1203" s="97"/>
    </row>
    <row r="1204" spans="1:11" x14ac:dyDescent="0.2">
      <c r="A1204" s="94">
        <v>2014</v>
      </c>
      <c r="B1204" s="95" t="s">
        <v>66</v>
      </c>
      <c r="C1204" s="95" t="s">
        <v>47</v>
      </c>
      <c r="D1204" s="95" t="s">
        <v>46</v>
      </c>
      <c r="E1204" s="95" t="s">
        <v>67</v>
      </c>
      <c r="F1204" s="95" t="s">
        <v>67</v>
      </c>
      <c r="G1204" s="96">
        <v>21561223654</v>
      </c>
      <c r="H1204" s="95"/>
      <c r="K1204" s="97"/>
    </row>
    <row r="1205" spans="1:11" x14ac:dyDescent="0.2">
      <c r="A1205" s="91">
        <v>2014</v>
      </c>
      <c r="B1205" s="92" t="s">
        <v>66</v>
      </c>
      <c r="C1205" s="92" t="s">
        <v>47</v>
      </c>
      <c r="D1205" s="92" t="s">
        <v>46</v>
      </c>
      <c r="E1205" s="92" t="s">
        <v>69</v>
      </c>
      <c r="F1205" s="92" t="s">
        <v>71</v>
      </c>
      <c r="G1205" s="93">
        <v>4403582238</v>
      </c>
      <c r="H1205" s="92"/>
      <c r="K1205" s="97"/>
    </row>
    <row r="1206" spans="1:11" x14ac:dyDescent="0.2">
      <c r="A1206" s="94">
        <v>2014</v>
      </c>
      <c r="B1206" s="95" t="s">
        <v>66</v>
      </c>
      <c r="C1206" s="95" t="s">
        <v>47</v>
      </c>
      <c r="D1206" s="95" t="s">
        <v>46</v>
      </c>
      <c r="E1206" s="95" t="s">
        <v>69</v>
      </c>
      <c r="F1206" s="95" t="s">
        <v>70</v>
      </c>
      <c r="G1206" s="96">
        <v>9049191076</v>
      </c>
      <c r="H1206" s="95"/>
      <c r="K1206" s="97"/>
    </row>
    <row r="1207" spans="1:11" x14ac:dyDescent="0.2">
      <c r="A1207" s="91">
        <v>2014</v>
      </c>
      <c r="B1207" s="92" t="s">
        <v>66</v>
      </c>
      <c r="C1207" s="92" t="s">
        <v>47</v>
      </c>
      <c r="D1207" s="92" t="s">
        <v>48</v>
      </c>
      <c r="E1207" s="92" t="s">
        <v>72</v>
      </c>
      <c r="F1207" s="92" t="s">
        <v>73</v>
      </c>
      <c r="G1207" s="93">
        <v>91026355335</v>
      </c>
      <c r="H1207" s="92"/>
      <c r="K1207" s="97"/>
    </row>
    <row r="1208" spans="1:11" x14ac:dyDescent="0.2">
      <c r="A1208" s="94">
        <v>2014</v>
      </c>
      <c r="B1208" s="95" t="s">
        <v>66</v>
      </c>
      <c r="C1208" s="95" t="s">
        <v>47</v>
      </c>
      <c r="D1208" s="95" t="s">
        <v>48</v>
      </c>
      <c r="E1208" s="95" t="s">
        <v>67</v>
      </c>
      <c r="F1208" s="95" t="s">
        <v>74</v>
      </c>
      <c r="G1208" s="96">
        <v>92089086297</v>
      </c>
      <c r="H1208" s="95"/>
      <c r="K1208" s="97"/>
    </row>
    <row r="1209" spans="1:11" x14ac:dyDescent="0.2">
      <c r="A1209" s="91">
        <v>2014</v>
      </c>
      <c r="B1209" s="92" t="s">
        <v>66</v>
      </c>
      <c r="C1209" s="92" t="s">
        <v>47</v>
      </c>
      <c r="D1209" s="92" t="s">
        <v>48</v>
      </c>
      <c r="E1209" s="92" t="s">
        <v>69</v>
      </c>
      <c r="F1209" s="92" t="s">
        <v>71</v>
      </c>
      <c r="G1209" s="93">
        <v>52476999998</v>
      </c>
      <c r="H1209" s="92"/>
      <c r="K1209" s="97"/>
    </row>
    <row r="1210" spans="1:11" x14ac:dyDescent="0.2">
      <c r="A1210" s="94">
        <v>2014</v>
      </c>
      <c r="B1210" s="95" t="s">
        <v>66</v>
      </c>
      <c r="C1210" s="95" t="s">
        <v>47</v>
      </c>
      <c r="D1210" s="95" t="s">
        <v>48</v>
      </c>
      <c r="E1210" s="95" t="s">
        <v>69</v>
      </c>
      <c r="F1210" s="95" t="s">
        <v>70</v>
      </c>
      <c r="G1210" s="96">
        <v>88188137272</v>
      </c>
      <c r="H1210" s="95"/>
      <c r="K1210" s="97"/>
    </row>
    <row r="1211" spans="1:11" x14ac:dyDescent="0.2">
      <c r="A1211" s="91">
        <v>2015</v>
      </c>
      <c r="B1211" s="92" t="s">
        <v>66</v>
      </c>
      <c r="C1211" s="92" t="s">
        <v>4</v>
      </c>
      <c r="D1211" s="92" t="s">
        <v>3</v>
      </c>
      <c r="E1211" s="92" t="s">
        <v>67</v>
      </c>
      <c r="F1211" s="92" t="s">
        <v>67</v>
      </c>
      <c r="G1211" s="93">
        <v>17183187390</v>
      </c>
      <c r="H1211" s="92"/>
      <c r="K1211" s="97"/>
    </row>
    <row r="1212" spans="1:11" x14ac:dyDescent="0.2">
      <c r="A1212" s="94">
        <v>2015</v>
      </c>
      <c r="B1212" s="95" t="s">
        <v>66</v>
      </c>
      <c r="C1212" s="95" t="s">
        <v>4</v>
      </c>
      <c r="D1212" s="95" t="s">
        <v>3</v>
      </c>
      <c r="E1212" s="95" t="s">
        <v>69</v>
      </c>
      <c r="F1212" s="95" t="s">
        <v>71</v>
      </c>
      <c r="G1212" s="96">
        <v>2863569611</v>
      </c>
      <c r="H1212" s="95"/>
      <c r="K1212" s="97"/>
    </row>
    <row r="1213" spans="1:11" x14ac:dyDescent="0.2">
      <c r="A1213" s="91">
        <v>2015</v>
      </c>
      <c r="B1213" s="92" t="s">
        <v>66</v>
      </c>
      <c r="C1213" s="92" t="s">
        <v>4</v>
      </c>
      <c r="D1213" s="92" t="s">
        <v>3</v>
      </c>
      <c r="E1213" s="92" t="s">
        <v>69</v>
      </c>
      <c r="F1213" s="92" t="s">
        <v>70</v>
      </c>
      <c r="G1213" s="93">
        <v>8273844823</v>
      </c>
      <c r="H1213" s="92"/>
      <c r="K1213" s="97"/>
    </row>
    <row r="1214" spans="1:11" x14ac:dyDescent="0.2">
      <c r="A1214" s="94">
        <v>2015</v>
      </c>
      <c r="B1214" s="95" t="s">
        <v>66</v>
      </c>
      <c r="C1214" s="95" t="s">
        <v>4</v>
      </c>
      <c r="D1214" s="95" t="s">
        <v>5</v>
      </c>
      <c r="E1214" s="95" t="s">
        <v>67</v>
      </c>
      <c r="F1214" s="95" t="s">
        <v>67</v>
      </c>
      <c r="G1214" s="96">
        <v>97178238811</v>
      </c>
      <c r="H1214" s="95"/>
      <c r="K1214" s="97"/>
    </row>
    <row r="1215" spans="1:11" x14ac:dyDescent="0.2">
      <c r="A1215" s="91">
        <v>2015</v>
      </c>
      <c r="B1215" s="92" t="s">
        <v>66</v>
      </c>
      <c r="C1215" s="92" t="s">
        <v>4</v>
      </c>
      <c r="D1215" s="92" t="s">
        <v>5</v>
      </c>
      <c r="E1215" s="92" t="s">
        <v>69</v>
      </c>
      <c r="F1215" s="92" t="s">
        <v>71</v>
      </c>
      <c r="G1215" s="93">
        <v>21456665657</v>
      </c>
      <c r="H1215" s="92"/>
      <c r="K1215" s="97"/>
    </row>
    <row r="1216" spans="1:11" x14ac:dyDescent="0.2">
      <c r="A1216" s="94">
        <v>2015</v>
      </c>
      <c r="B1216" s="95" t="s">
        <v>66</v>
      </c>
      <c r="C1216" s="95" t="s">
        <v>4</v>
      </c>
      <c r="D1216" s="95" t="s">
        <v>5</v>
      </c>
      <c r="E1216" s="95" t="s">
        <v>69</v>
      </c>
      <c r="F1216" s="95" t="s">
        <v>70</v>
      </c>
      <c r="G1216" s="96">
        <v>20373594370</v>
      </c>
      <c r="H1216" s="95"/>
      <c r="K1216" s="97"/>
    </row>
    <row r="1217" spans="1:11" x14ac:dyDescent="0.2">
      <c r="A1217" s="91">
        <v>2015</v>
      </c>
      <c r="B1217" s="92" t="s">
        <v>66</v>
      </c>
      <c r="C1217" s="92" t="s">
        <v>4</v>
      </c>
      <c r="D1217" s="92" t="s">
        <v>6</v>
      </c>
      <c r="E1217" s="92" t="s">
        <v>67</v>
      </c>
      <c r="F1217" s="92" t="s">
        <v>67</v>
      </c>
      <c r="G1217" s="93">
        <v>11390599937</v>
      </c>
      <c r="H1217" s="92"/>
      <c r="K1217" s="97"/>
    </row>
    <row r="1218" spans="1:11" x14ac:dyDescent="0.2">
      <c r="A1218" s="94">
        <v>2015</v>
      </c>
      <c r="B1218" s="95" t="s">
        <v>66</v>
      </c>
      <c r="C1218" s="95" t="s">
        <v>4</v>
      </c>
      <c r="D1218" s="95" t="s">
        <v>6</v>
      </c>
      <c r="E1218" s="95" t="s">
        <v>69</v>
      </c>
      <c r="F1218" s="95" t="s">
        <v>71</v>
      </c>
      <c r="G1218" s="96">
        <v>522568998</v>
      </c>
      <c r="H1218" s="95"/>
      <c r="K1218" s="97"/>
    </row>
    <row r="1219" spans="1:11" x14ac:dyDescent="0.2">
      <c r="A1219" s="91">
        <v>2015</v>
      </c>
      <c r="B1219" s="92" t="s">
        <v>66</v>
      </c>
      <c r="C1219" s="92" t="s">
        <v>4</v>
      </c>
      <c r="D1219" s="92" t="s">
        <v>6</v>
      </c>
      <c r="E1219" s="92" t="s">
        <v>69</v>
      </c>
      <c r="F1219" s="92" t="s">
        <v>70</v>
      </c>
      <c r="G1219" s="93">
        <v>1057010025</v>
      </c>
      <c r="H1219" s="92"/>
      <c r="K1219" s="97"/>
    </row>
    <row r="1220" spans="1:11" x14ac:dyDescent="0.2">
      <c r="A1220" s="94">
        <v>2015</v>
      </c>
      <c r="B1220" s="95" t="s">
        <v>66</v>
      </c>
      <c r="C1220" s="95" t="s">
        <v>4</v>
      </c>
      <c r="D1220" s="95" t="s">
        <v>7</v>
      </c>
      <c r="E1220" s="95" t="s">
        <v>67</v>
      </c>
      <c r="F1220" s="95" t="s">
        <v>67</v>
      </c>
      <c r="G1220" s="96">
        <v>16491623810</v>
      </c>
      <c r="H1220" s="95"/>
      <c r="K1220" s="97"/>
    </row>
    <row r="1221" spans="1:11" x14ac:dyDescent="0.2">
      <c r="A1221" s="91">
        <v>2015</v>
      </c>
      <c r="B1221" s="92" t="s">
        <v>66</v>
      </c>
      <c r="C1221" s="92" t="s">
        <v>4</v>
      </c>
      <c r="D1221" s="92" t="s">
        <v>7</v>
      </c>
      <c r="E1221" s="92" t="s">
        <v>69</v>
      </c>
      <c r="F1221" s="92" t="s">
        <v>71</v>
      </c>
      <c r="G1221" s="93">
        <v>3570559711</v>
      </c>
      <c r="H1221" s="92"/>
      <c r="K1221" s="97"/>
    </row>
    <row r="1222" spans="1:11" x14ac:dyDescent="0.2">
      <c r="A1222" s="94">
        <v>2015</v>
      </c>
      <c r="B1222" s="95" t="s">
        <v>66</v>
      </c>
      <c r="C1222" s="95" t="s">
        <v>4</v>
      </c>
      <c r="D1222" s="95" t="s">
        <v>7</v>
      </c>
      <c r="E1222" s="95" t="s">
        <v>69</v>
      </c>
      <c r="F1222" s="95" t="s">
        <v>70</v>
      </c>
      <c r="G1222" s="96">
        <v>5034344485</v>
      </c>
      <c r="H1222" s="95"/>
      <c r="K1222" s="97"/>
    </row>
    <row r="1223" spans="1:11" x14ac:dyDescent="0.2">
      <c r="A1223" s="91">
        <v>2015</v>
      </c>
      <c r="B1223" s="92" t="s">
        <v>66</v>
      </c>
      <c r="C1223" s="92" t="s">
        <v>4</v>
      </c>
      <c r="D1223" s="92" t="s">
        <v>8</v>
      </c>
      <c r="E1223" s="92" t="s">
        <v>67</v>
      </c>
      <c r="F1223" s="92" t="s">
        <v>67</v>
      </c>
      <c r="G1223" s="93">
        <v>9562653943</v>
      </c>
      <c r="H1223" s="92"/>
      <c r="K1223" s="97"/>
    </row>
    <row r="1224" spans="1:11" x14ac:dyDescent="0.2">
      <c r="A1224" s="94">
        <v>2015</v>
      </c>
      <c r="B1224" s="95" t="s">
        <v>66</v>
      </c>
      <c r="C1224" s="95" t="s">
        <v>4</v>
      </c>
      <c r="D1224" s="95" t="s">
        <v>8</v>
      </c>
      <c r="E1224" s="95" t="s">
        <v>69</v>
      </c>
      <c r="F1224" s="95" t="s">
        <v>71</v>
      </c>
      <c r="G1224" s="96">
        <v>626232373</v>
      </c>
      <c r="H1224" s="95"/>
      <c r="K1224" s="97"/>
    </row>
    <row r="1225" spans="1:11" x14ac:dyDescent="0.2">
      <c r="A1225" s="91">
        <v>2015</v>
      </c>
      <c r="B1225" s="92" t="s">
        <v>66</v>
      </c>
      <c r="C1225" s="92" t="s">
        <v>4</v>
      </c>
      <c r="D1225" s="92" t="s">
        <v>8</v>
      </c>
      <c r="E1225" s="92" t="s">
        <v>69</v>
      </c>
      <c r="F1225" s="92" t="s">
        <v>70</v>
      </c>
      <c r="G1225" s="93">
        <v>982107281</v>
      </c>
      <c r="H1225" s="92"/>
      <c r="K1225" s="97"/>
    </row>
    <row r="1226" spans="1:11" x14ac:dyDescent="0.2">
      <c r="A1226" s="94">
        <v>2015</v>
      </c>
      <c r="B1226" s="95" t="s">
        <v>66</v>
      </c>
      <c r="C1226" s="95" t="s">
        <v>4</v>
      </c>
      <c r="D1226" s="95" t="s">
        <v>9</v>
      </c>
      <c r="E1226" s="95" t="s">
        <v>67</v>
      </c>
      <c r="F1226" s="95" t="s">
        <v>67</v>
      </c>
      <c r="G1226" s="96">
        <v>54393868662</v>
      </c>
      <c r="H1226" s="95"/>
      <c r="K1226" s="97"/>
    </row>
    <row r="1227" spans="1:11" x14ac:dyDescent="0.2">
      <c r="A1227" s="91">
        <v>2015</v>
      </c>
      <c r="B1227" s="92" t="s">
        <v>66</v>
      </c>
      <c r="C1227" s="92" t="s">
        <v>4</v>
      </c>
      <c r="D1227" s="92" t="s">
        <v>9</v>
      </c>
      <c r="E1227" s="92" t="s">
        <v>69</v>
      </c>
      <c r="F1227" s="92" t="s">
        <v>71</v>
      </c>
      <c r="G1227" s="93">
        <v>12707850965</v>
      </c>
      <c r="H1227" s="92"/>
      <c r="K1227" s="97"/>
    </row>
    <row r="1228" spans="1:11" x14ac:dyDescent="0.2">
      <c r="A1228" s="94">
        <v>2015</v>
      </c>
      <c r="B1228" s="95" t="s">
        <v>66</v>
      </c>
      <c r="C1228" s="95" t="s">
        <v>4</v>
      </c>
      <c r="D1228" s="95" t="s">
        <v>9</v>
      </c>
      <c r="E1228" s="95" t="s">
        <v>69</v>
      </c>
      <c r="F1228" s="95" t="s">
        <v>70</v>
      </c>
      <c r="G1228" s="96">
        <v>18481637963</v>
      </c>
      <c r="H1228" s="95"/>
      <c r="K1228" s="97"/>
    </row>
    <row r="1229" spans="1:11" x14ac:dyDescent="0.2">
      <c r="A1229" s="91">
        <v>2015</v>
      </c>
      <c r="B1229" s="92" t="s">
        <v>66</v>
      </c>
      <c r="C1229" s="92" t="s">
        <v>4</v>
      </c>
      <c r="D1229" s="92" t="s">
        <v>10</v>
      </c>
      <c r="E1229" s="92" t="s">
        <v>67</v>
      </c>
      <c r="F1229" s="92" t="s">
        <v>67</v>
      </c>
      <c r="G1229" s="93">
        <v>1462134167</v>
      </c>
      <c r="H1229" s="92"/>
      <c r="K1229" s="97"/>
    </row>
    <row r="1230" spans="1:11" x14ac:dyDescent="0.2">
      <c r="A1230" s="94">
        <v>2015</v>
      </c>
      <c r="B1230" s="95" t="s">
        <v>66</v>
      </c>
      <c r="C1230" s="95" t="s">
        <v>4</v>
      </c>
      <c r="D1230" s="95" t="s">
        <v>10</v>
      </c>
      <c r="E1230" s="95" t="s">
        <v>69</v>
      </c>
      <c r="F1230" s="95" t="s">
        <v>71</v>
      </c>
      <c r="G1230" s="96">
        <v>153524088</v>
      </c>
      <c r="H1230" s="95"/>
      <c r="K1230" s="97"/>
    </row>
    <row r="1231" spans="1:11" x14ac:dyDescent="0.2">
      <c r="A1231" s="91">
        <v>2015</v>
      </c>
      <c r="B1231" s="92" t="s">
        <v>66</v>
      </c>
      <c r="C1231" s="92" t="s">
        <v>4</v>
      </c>
      <c r="D1231" s="92" t="s">
        <v>10</v>
      </c>
      <c r="E1231" s="92" t="s">
        <v>69</v>
      </c>
      <c r="F1231" s="92" t="s">
        <v>70</v>
      </c>
      <c r="G1231" s="93">
        <v>45857844</v>
      </c>
      <c r="H1231" s="92"/>
      <c r="K1231" s="97"/>
    </row>
    <row r="1232" spans="1:11" x14ac:dyDescent="0.2">
      <c r="A1232" s="94">
        <v>2015</v>
      </c>
      <c r="B1232" s="95" t="s">
        <v>66</v>
      </c>
      <c r="C1232" s="95" t="s">
        <v>4</v>
      </c>
      <c r="D1232" s="95" t="s">
        <v>11</v>
      </c>
      <c r="E1232" s="95" t="s">
        <v>67</v>
      </c>
      <c r="F1232" s="95" t="s">
        <v>67</v>
      </c>
      <c r="G1232" s="96">
        <v>5502878947</v>
      </c>
      <c r="H1232" s="95"/>
      <c r="K1232" s="97"/>
    </row>
    <row r="1233" spans="1:11" x14ac:dyDescent="0.2">
      <c r="A1233" s="91">
        <v>2015</v>
      </c>
      <c r="B1233" s="92" t="s">
        <v>66</v>
      </c>
      <c r="C1233" s="92" t="s">
        <v>4</v>
      </c>
      <c r="D1233" s="92" t="s">
        <v>11</v>
      </c>
      <c r="E1233" s="92" t="s">
        <v>69</v>
      </c>
      <c r="F1233" s="92" t="s">
        <v>71</v>
      </c>
      <c r="G1233" s="93">
        <v>941733654</v>
      </c>
      <c r="H1233" s="92"/>
      <c r="K1233" s="97"/>
    </row>
    <row r="1234" spans="1:11" x14ac:dyDescent="0.2">
      <c r="A1234" s="94">
        <v>2015</v>
      </c>
      <c r="B1234" s="95" t="s">
        <v>66</v>
      </c>
      <c r="C1234" s="95" t="s">
        <v>4</v>
      </c>
      <c r="D1234" s="95" t="s">
        <v>11</v>
      </c>
      <c r="E1234" s="95" t="s">
        <v>69</v>
      </c>
      <c r="F1234" s="95" t="s">
        <v>70</v>
      </c>
      <c r="G1234" s="96">
        <v>2145199550</v>
      </c>
      <c r="H1234" s="95"/>
      <c r="K1234" s="97"/>
    </row>
    <row r="1235" spans="1:11" x14ac:dyDescent="0.2">
      <c r="A1235" s="91">
        <v>2015</v>
      </c>
      <c r="B1235" s="92" t="s">
        <v>66</v>
      </c>
      <c r="C1235" s="92" t="s">
        <v>4</v>
      </c>
      <c r="D1235" s="92" t="s">
        <v>12</v>
      </c>
      <c r="E1235" s="92" t="s">
        <v>67</v>
      </c>
      <c r="F1235" s="92" t="s">
        <v>67</v>
      </c>
      <c r="G1235" s="93">
        <v>6471000863</v>
      </c>
      <c r="H1235" s="92"/>
      <c r="K1235" s="97"/>
    </row>
    <row r="1236" spans="1:11" x14ac:dyDescent="0.2">
      <c r="A1236" s="94">
        <v>2015</v>
      </c>
      <c r="B1236" s="95" t="s">
        <v>66</v>
      </c>
      <c r="C1236" s="95" t="s">
        <v>4</v>
      </c>
      <c r="D1236" s="95" t="s">
        <v>12</v>
      </c>
      <c r="E1236" s="95" t="s">
        <v>69</v>
      </c>
      <c r="F1236" s="95" t="s">
        <v>71</v>
      </c>
      <c r="G1236" s="96">
        <v>966460692</v>
      </c>
      <c r="H1236" s="95"/>
      <c r="K1236" s="97"/>
    </row>
    <row r="1237" spans="1:11" x14ac:dyDescent="0.2">
      <c r="A1237" s="91">
        <v>2015</v>
      </c>
      <c r="B1237" s="92" t="s">
        <v>66</v>
      </c>
      <c r="C1237" s="92" t="s">
        <v>4</v>
      </c>
      <c r="D1237" s="92" t="s">
        <v>12</v>
      </c>
      <c r="E1237" s="92" t="s">
        <v>69</v>
      </c>
      <c r="F1237" s="92" t="s">
        <v>70</v>
      </c>
      <c r="G1237" s="93">
        <v>2431704919</v>
      </c>
      <c r="H1237" s="92"/>
      <c r="K1237" s="97"/>
    </row>
    <row r="1238" spans="1:11" x14ac:dyDescent="0.2">
      <c r="A1238" s="94">
        <v>2015</v>
      </c>
      <c r="B1238" s="95" t="s">
        <v>66</v>
      </c>
      <c r="C1238" s="95" t="s">
        <v>4</v>
      </c>
      <c r="D1238" s="95" t="s">
        <v>13</v>
      </c>
      <c r="E1238" s="95" t="s">
        <v>67</v>
      </c>
      <c r="F1238" s="95" t="s">
        <v>67</v>
      </c>
      <c r="G1238" s="96">
        <v>9853245082</v>
      </c>
      <c r="H1238" s="95"/>
      <c r="K1238" s="97"/>
    </row>
    <row r="1239" spans="1:11" x14ac:dyDescent="0.2">
      <c r="A1239" s="91">
        <v>2015</v>
      </c>
      <c r="B1239" s="92" t="s">
        <v>66</v>
      </c>
      <c r="C1239" s="92" t="s">
        <v>4</v>
      </c>
      <c r="D1239" s="92" t="s">
        <v>13</v>
      </c>
      <c r="E1239" s="92" t="s">
        <v>69</v>
      </c>
      <c r="F1239" s="92" t="s">
        <v>71</v>
      </c>
      <c r="G1239" s="93">
        <v>1027436261</v>
      </c>
      <c r="H1239" s="92"/>
      <c r="K1239" s="97"/>
    </row>
    <row r="1240" spans="1:11" x14ac:dyDescent="0.2">
      <c r="A1240" s="94">
        <v>2015</v>
      </c>
      <c r="B1240" s="95" t="s">
        <v>66</v>
      </c>
      <c r="C1240" s="95" t="s">
        <v>4</v>
      </c>
      <c r="D1240" s="95" t="s">
        <v>13</v>
      </c>
      <c r="E1240" s="95" t="s">
        <v>69</v>
      </c>
      <c r="F1240" s="95" t="s">
        <v>70</v>
      </c>
      <c r="G1240" s="96">
        <v>3344233163</v>
      </c>
      <c r="H1240" s="95"/>
      <c r="K1240" s="97"/>
    </row>
    <row r="1241" spans="1:11" x14ac:dyDescent="0.2">
      <c r="A1241" s="91">
        <v>2015</v>
      </c>
      <c r="B1241" s="92" t="s">
        <v>66</v>
      </c>
      <c r="C1241" s="92" t="s">
        <v>4</v>
      </c>
      <c r="D1241" s="92" t="s">
        <v>14</v>
      </c>
      <c r="E1241" s="92" t="s">
        <v>67</v>
      </c>
      <c r="F1241" s="92" t="s">
        <v>67</v>
      </c>
      <c r="G1241" s="93">
        <v>7689330776</v>
      </c>
      <c r="H1241" s="92"/>
      <c r="K1241" s="97"/>
    </row>
    <row r="1242" spans="1:11" x14ac:dyDescent="0.2">
      <c r="A1242" s="94">
        <v>2015</v>
      </c>
      <c r="B1242" s="95" t="s">
        <v>66</v>
      </c>
      <c r="C1242" s="95" t="s">
        <v>4</v>
      </c>
      <c r="D1242" s="95" t="s">
        <v>14</v>
      </c>
      <c r="E1242" s="95" t="s">
        <v>69</v>
      </c>
      <c r="F1242" s="95" t="s">
        <v>71</v>
      </c>
      <c r="G1242" s="96">
        <v>474778966</v>
      </c>
      <c r="H1242" s="95"/>
      <c r="K1242" s="97"/>
    </row>
    <row r="1243" spans="1:11" x14ac:dyDescent="0.2">
      <c r="A1243" s="91">
        <v>2015</v>
      </c>
      <c r="B1243" s="92" t="s">
        <v>66</v>
      </c>
      <c r="C1243" s="92" t="s">
        <v>4</v>
      </c>
      <c r="D1243" s="92" t="s">
        <v>14</v>
      </c>
      <c r="E1243" s="92" t="s">
        <v>69</v>
      </c>
      <c r="F1243" s="92" t="s">
        <v>70</v>
      </c>
      <c r="G1243" s="93">
        <v>1011593056</v>
      </c>
      <c r="H1243" s="92"/>
      <c r="K1243" s="97"/>
    </row>
    <row r="1244" spans="1:11" x14ac:dyDescent="0.2">
      <c r="A1244" s="94">
        <v>2015</v>
      </c>
      <c r="B1244" s="95" t="s">
        <v>66</v>
      </c>
      <c r="C1244" s="95" t="s">
        <v>4</v>
      </c>
      <c r="D1244" s="95" t="s">
        <v>15</v>
      </c>
      <c r="E1244" s="95" t="s">
        <v>67</v>
      </c>
      <c r="F1244" s="95" t="s">
        <v>67</v>
      </c>
      <c r="G1244" s="96">
        <v>8705562030</v>
      </c>
      <c r="H1244" s="95"/>
      <c r="K1244" s="97"/>
    </row>
    <row r="1245" spans="1:11" x14ac:dyDescent="0.2">
      <c r="A1245" s="91">
        <v>2015</v>
      </c>
      <c r="B1245" s="92" t="s">
        <v>66</v>
      </c>
      <c r="C1245" s="92" t="s">
        <v>4</v>
      </c>
      <c r="D1245" s="92" t="s">
        <v>15</v>
      </c>
      <c r="E1245" s="92" t="s">
        <v>69</v>
      </c>
      <c r="F1245" s="92" t="s">
        <v>71</v>
      </c>
      <c r="G1245" s="93">
        <v>1971018739</v>
      </c>
      <c r="H1245" s="92"/>
      <c r="K1245" s="97"/>
    </row>
    <row r="1246" spans="1:11" x14ac:dyDescent="0.2">
      <c r="A1246" s="94">
        <v>2015</v>
      </c>
      <c r="B1246" s="95" t="s">
        <v>66</v>
      </c>
      <c r="C1246" s="95" t="s">
        <v>4</v>
      </c>
      <c r="D1246" s="95" t="s">
        <v>15</v>
      </c>
      <c r="E1246" s="95" t="s">
        <v>69</v>
      </c>
      <c r="F1246" s="95" t="s">
        <v>70</v>
      </c>
      <c r="G1246" s="96">
        <v>1637201372</v>
      </c>
      <c r="H1246" s="95"/>
      <c r="K1246" s="97"/>
    </row>
    <row r="1247" spans="1:11" x14ac:dyDescent="0.2">
      <c r="A1247" s="91">
        <v>2015</v>
      </c>
      <c r="B1247" s="92" t="s">
        <v>66</v>
      </c>
      <c r="C1247" s="92" t="s">
        <v>17</v>
      </c>
      <c r="D1247" s="92" t="s">
        <v>16</v>
      </c>
      <c r="E1247" s="92" t="s">
        <v>67</v>
      </c>
      <c r="F1247" s="92" t="s">
        <v>67</v>
      </c>
      <c r="G1247" s="93">
        <v>879370853</v>
      </c>
      <c r="H1247" s="92"/>
      <c r="K1247" s="97"/>
    </row>
    <row r="1248" spans="1:11" x14ac:dyDescent="0.2">
      <c r="A1248" s="94">
        <v>2015</v>
      </c>
      <c r="B1248" s="95" t="s">
        <v>66</v>
      </c>
      <c r="C1248" s="95" t="s">
        <v>17</v>
      </c>
      <c r="D1248" s="95" t="s">
        <v>16</v>
      </c>
      <c r="E1248" s="95" t="s">
        <v>69</v>
      </c>
      <c r="F1248" s="95" t="s">
        <v>71</v>
      </c>
      <c r="G1248" s="96">
        <v>137387414</v>
      </c>
      <c r="H1248" s="95"/>
      <c r="K1248" s="97"/>
    </row>
    <row r="1249" spans="1:11" x14ac:dyDescent="0.2">
      <c r="A1249" s="91">
        <v>2015</v>
      </c>
      <c r="B1249" s="92" t="s">
        <v>66</v>
      </c>
      <c r="C1249" s="92" t="s">
        <v>17</v>
      </c>
      <c r="D1249" s="92" t="s">
        <v>16</v>
      </c>
      <c r="E1249" s="92" t="s">
        <v>69</v>
      </c>
      <c r="F1249" s="92" t="s">
        <v>70</v>
      </c>
      <c r="G1249" s="93">
        <v>169726998</v>
      </c>
      <c r="H1249" s="92"/>
      <c r="K1249" s="97"/>
    </row>
    <row r="1250" spans="1:11" x14ac:dyDescent="0.2">
      <c r="A1250" s="94">
        <v>2015</v>
      </c>
      <c r="B1250" s="95" t="s">
        <v>66</v>
      </c>
      <c r="C1250" s="95" t="s">
        <v>17</v>
      </c>
      <c r="D1250" s="95" t="s">
        <v>18</v>
      </c>
      <c r="E1250" s="95" t="s">
        <v>67</v>
      </c>
      <c r="F1250" s="95" t="s">
        <v>67</v>
      </c>
      <c r="G1250" s="96">
        <v>1989639225</v>
      </c>
      <c r="H1250" s="95"/>
      <c r="K1250" s="97"/>
    </row>
    <row r="1251" spans="1:11" x14ac:dyDescent="0.2">
      <c r="A1251" s="91">
        <v>2015</v>
      </c>
      <c r="B1251" s="92" t="s">
        <v>66</v>
      </c>
      <c r="C1251" s="92" t="s">
        <v>17</v>
      </c>
      <c r="D1251" s="92" t="s">
        <v>18</v>
      </c>
      <c r="E1251" s="92" t="s">
        <v>69</v>
      </c>
      <c r="F1251" s="92" t="s">
        <v>71</v>
      </c>
      <c r="G1251" s="93">
        <v>405636067</v>
      </c>
      <c r="H1251" s="92"/>
      <c r="K1251" s="97"/>
    </row>
    <row r="1252" spans="1:11" x14ac:dyDescent="0.2">
      <c r="A1252" s="94">
        <v>2015</v>
      </c>
      <c r="B1252" s="95" t="s">
        <v>66</v>
      </c>
      <c r="C1252" s="95" t="s">
        <v>17</v>
      </c>
      <c r="D1252" s="95" t="s">
        <v>18</v>
      </c>
      <c r="E1252" s="95" t="s">
        <v>69</v>
      </c>
      <c r="F1252" s="95" t="s">
        <v>70</v>
      </c>
      <c r="G1252" s="96">
        <v>472146987</v>
      </c>
      <c r="H1252" s="95"/>
      <c r="K1252" s="97"/>
    </row>
    <row r="1253" spans="1:11" x14ac:dyDescent="0.2">
      <c r="A1253" s="91">
        <v>2015</v>
      </c>
      <c r="B1253" s="92" t="s">
        <v>66</v>
      </c>
      <c r="C1253" s="92" t="s">
        <v>17</v>
      </c>
      <c r="D1253" s="92" t="s">
        <v>19</v>
      </c>
      <c r="E1253" s="92" t="s">
        <v>67</v>
      </c>
      <c r="F1253" s="92" t="s">
        <v>67</v>
      </c>
      <c r="G1253" s="93">
        <v>5155473313</v>
      </c>
      <c r="H1253" s="92"/>
      <c r="K1253" s="97"/>
    </row>
    <row r="1254" spans="1:11" x14ac:dyDescent="0.2">
      <c r="A1254" s="94">
        <v>2015</v>
      </c>
      <c r="B1254" s="95" t="s">
        <v>66</v>
      </c>
      <c r="C1254" s="95" t="s">
        <v>17</v>
      </c>
      <c r="D1254" s="95" t="s">
        <v>19</v>
      </c>
      <c r="E1254" s="95" t="s">
        <v>69</v>
      </c>
      <c r="F1254" s="95" t="s">
        <v>71</v>
      </c>
      <c r="G1254" s="96">
        <v>891755709</v>
      </c>
      <c r="H1254" s="95"/>
      <c r="K1254" s="97"/>
    </row>
    <row r="1255" spans="1:11" x14ac:dyDescent="0.2">
      <c r="A1255" s="91">
        <v>2015</v>
      </c>
      <c r="B1255" s="92" t="s">
        <v>66</v>
      </c>
      <c r="C1255" s="92" t="s">
        <v>17</v>
      </c>
      <c r="D1255" s="92" t="s">
        <v>19</v>
      </c>
      <c r="E1255" s="92" t="s">
        <v>69</v>
      </c>
      <c r="F1255" s="92" t="s">
        <v>70</v>
      </c>
      <c r="G1255" s="93">
        <v>403743492</v>
      </c>
      <c r="H1255" s="92"/>
      <c r="K1255" s="97"/>
    </row>
    <row r="1256" spans="1:11" x14ac:dyDescent="0.2">
      <c r="A1256" s="94">
        <v>2015</v>
      </c>
      <c r="B1256" s="95" t="s">
        <v>66</v>
      </c>
      <c r="C1256" s="95" t="s">
        <v>17</v>
      </c>
      <c r="D1256" s="95" t="s">
        <v>20</v>
      </c>
      <c r="E1256" s="95" t="s">
        <v>67</v>
      </c>
      <c r="F1256" s="95" t="s">
        <v>67</v>
      </c>
      <c r="G1256" s="96">
        <v>1305306687</v>
      </c>
      <c r="H1256" s="95"/>
      <c r="K1256" s="97"/>
    </row>
    <row r="1257" spans="1:11" x14ac:dyDescent="0.2">
      <c r="A1257" s="91">
        <v>2015</v>
      </c>
      <c r="B1257" s="92" t="s">
        <v>66</v>
      </c>
      <c r="C1257" s="92" t="s">
        <v>17</v>
      </c>
      <c r="D1257" s="92" t="s">
        <v>20</v>
      </c>
      <c r="E1257" s="92" t="s">
        <v>69</v>
      </c>
      <c r="F1257" s="92" t="s">
        <v>71</v>
      </c>
      <c r="G1257" s="93">
        <v>193182035</v>
      </c>
      <c r="H1257" s="92"/>
      <c r="K1257" s="97"/>
    </row>
    <row r="1258" spans="1:11" x14ac:dyDescent="0.2">
      <c r="A1258" s="94">
        <v>2015</v>
      </c>
      <c r="B1258" s="95" t="s">
        <v>66</v>
      </c>
      <c r="C1258" s="95" t="s">
        <v>17</v>
      </c>
      <c r="D1258" s="95" t="s">
        <v>20</v>
      </c>
      <c r="E1258" s="95" t="s">
        <v>69</v>
      </c>
      <c r="F1258" s="95" t="s">
        <v>70</v>
      </c>
      <c r="G1258" s="96">
        <v>639118255</v>
      </c>
      <c r="H1258" s="95"/>
      <c r="K1258" s="97"/>
    </row>
    <row r="1259" spans="1:11" x14ac:dyDescent="0.2">
      <c r="A1259" s="91">
        <v>2015</v>
      </c>
      <c r="B1259" s="92" t="s">
        <v>66</v>
      </c>
      <c r="C1259" s="92" t="s">
        <v>17</v>
      </c>
      <c r="D1259" s="92" t="s">
        <v>21</v>
      </c>
      <c r="E1259" s="92" t="s">
        <v>67</v>
      </c>
      <c r="F1259" s="92" t="s">
        <v>67</v>
      </c>
      <c r="G1259" s="93">
        <v>3369478150</v>
      </c>
      <c r="H1259" s="92"/>
      <c r="K1259" s="97"/>
    </row>
    <row r="1260" spans="1:11" x14ac:dyDescent="0.2">
      <c r="A1260" s="94">
        <v>2015</v>
      </c>
      <c r="B1260" s="95" t="s">
        <v>66</v>
      </c>
      <c r="C1260" s="95" t="s">
        <v>17</v>
      </c>
      <c r="D1260" s="95" t="s">
        <v>21</v>
      </c>
      <c r="E1260" s="95" t="s">
        <v>69</v>
      </c>
      <c r="F1260" s="95" t="s">
        <v>71</v>
      </c>
      <c r="G1260" s="96">
        <v>797386485</v>
      </c>
      <c r="H1260" s="95"/>
      <c r="K1260" s="97"/>
    </row>
    <row r="1261" spans="1:11" x14ac:dyDescent="0.2">
      <c r="A1261" s="91">
        <v>2015</v>
      </c>
      <c r="B1261" s="92" t="s">
        <v>66</v>
      </c>
      <c r="C1261" s="92" t="s">
        <v>17</v>
      </c>
      <c r="D1261" s="92" t="s">
        <v>21</v>
      </c>
      <c r="E1261" s="92" t="s">
        <v>69</v>
      </c>
      <c r="F1261" s="92" t="s">
        <v>70</v>
      </c>
      <c r="G1261" s="93">
        <v>915330464</v>
      </c>
      <c r="H1261" s="92"/>
      <c r="K1261" s="97"/>
    </row>
    <row r="1262" spans="1:11" x14ac:dyDescent="0.2">
      <c r="A1262" s="94">
        <v>2015</v>
      </c>
      <c r="B1262" s="95" t="s">
        <v>66</v>
      </c>
      <c r="C1262" s="95" t="s">
        <v>17</v>
      </c>
      <c r="D1262" s="95" t="s">
        <v>22</v>
      </c>
      <c r="E1262" s="95" t="s">
        <v>67</v>
      </c>
      <c r="F1262" s="95" t="s">
        <v>67</v>
      </c>
      <c r="G1262" s="96">
        <v>1143441696</v>
      </c>
      <c r="H1262" s="95"/>
      <c r="K1262" s="97"/>
    </row>
    <row r="1263" spans="1:11" x14ac:dyDescent="0.2">
      <c r="A1263" s="91">
        <v>2015</v>
      </c>
      <c r="B1263" s="92" t="s">
        <v>66</v>
      </c>
      <c r="C1263" s="92" t="s">
        <v>17</v>
      </c>
      <c r="D1263" s="92" t="s">
        <v>22</v>
      </c>
      <c r="E1263" s="92" t="s">
        <v>69</v>
      </c>
      <c r="F1263" s="92" t="s">
        <v>71</v>
      </c>
      <c r="G1263" s="93">
        <v>284132222</v>
      </c>
      <c r="H1263" s="92"/>
      <c r="K1263" s="97"/>
    </row>
    <row r="1264" spans="1:11" x14ac:dyDescent="0.2">
      <c r="A1264" s="94">
        <v>2015</v>
      </c>
      <c r="B1264" s="95" t="s">
        <v>66</v>
      </c>
      <c r="C1264" s="95" t="s">
        <v>17</v>
      </c>
      <c r="D1264" s="95" t="s">
        <v>22</v>
      </c>
      <c r="E1264" s="95" t="s">
        <v>69</v>
      </c>
      <c r="F1264" s="95" t="s">
        <v>70</v>
      </c>
      <c r="G1264" s="96">
        <v>337318159</v>
      </c>
      <c r="H1264" s="95"/>
      <c r="K1264" s="97"/>
    </row>
    <row r="1265" spans="1:11" x14ac:dyDescent="0.2">
      <c r="A1265" s="91">
        <v>2015</v>
      </c>
      <c r="B1265" s="92" t="s">
        <v>66</v>
      </c>
      <c r="C1265" s="92" t="s">
        <v>17</v>
      </c>
      <c r="D1265" s="92" t="s">
        <v>23</v>
      </c>
      <c r="E1265" s="92" t="s">
        <v>67</v>
      </c>
      <c r="F1265" s="92" t="s">
        <v>67</v>
      </c>
      <c r="G1265" s="93">
        <v>1823068664</v>
      </c>
      <c r="H1265" s="92"/>
      <c r="K1265" s="97"/>
    </row>
    <row r="1266" spans="1:11" x14ac:dyDescent="0.2">
      <c r="A1266" s="94">
        <v>2015</v>
      </c>
      <c r="B1266" s="95" t="s">
        <v>66</v>
      </c>
      <c r="C1266" s="95" t="s">
        <v>17</v>
      </c>
      <c r="D1266" s="95" t="s">
        <v>23</v>
      </c>
      <c r="E1266" s="95" t="s">
        <v>69</v>
      </c>
      <c r="F1266" s="95" t="s">
        <v>71</v>
      </c>
      <c r="G1266" s="96">
        <v>356001340</v>
      </c>
      <c r="H1266" s="95"/>
      <c r="K1266" s="97"/>
    </row>
    <row r="1267" spans="1:11" x14ac:dyDescent="0.2">
      <c r="A1267" s="91">
        <v>2015</v>
      </c>
      <c r="B1267" s="92" t="s">
        <v>66</v>
      </c>
      <c r="C1267" s="92" t="s">
        <v>17</v>
      </c>
      <c r="D1267" s="92" t="s">
        <v>23</v>
      </c>
      <c r="E1267" s="92" t="s">
        <v>69</v>
      </c>
      <c r="F1267" s="92" t="s">
        <v>70</v>
      </c>
      <c r="G1267" s="93">
        <v>488790784</v>
      </c>
      <c r="H1267" s="92"/>
      <c r="K1267" s="97"/>
    </row>
    <row r="1268" spans="1:11" x14ac:dyDescent="0.2">
      <c r="A1268" s="94">
        <v>2015</v>
      </c>
      <c r="B1268" s="95" t="s">
        <v>66</v>
      </c>
      <c r="C1268" s="95" t="s">
        <v>17</v>
      </c>
      <c r="D1268" s="95" t="s">
        <v>24</v>
      </c>
      <c r="E1268" s="95" t="s">
        <v>67</v>
      </c>
      <c r="F1268" s="95" t="s">
        <v>67</v>
      </c>
      <c r="G1268" s="96">
        <v>17889576749</v>
      </c>
      <c r="H1268" s="95"/>
      <c r="K1268" s="97"/>
    </row>
    <row r="1269" spans="1:11" x14ac:dyDescent="0.2">
      <c r="A1269" s="91">
        <v>2015</v>
      </c>
      <c r="B1269" s="92" t="s">
        <v>66</v>
      </c>
      <c r="C1269" s="92" t="s">
        <v>17</v>
      </c>
      <c r="D1269" s="92" t="s">
        <v>24</v>
      </c>
      <c r="E1269" s="92" t="s">
        <v>69</v>
      </c>
      <c r="F1269" s="92" t="s">
        <v>71</v>
      </c>
      <c r="G1269" s="93">
        <v>3695940484</v>
      </c>
      <c r="H1269" s="92"/>
      <c r="K1269" s="97"/>
    </row>
    <row r="1270" spans="1:11" x14ac:dyDescent="0.2">
      <c r="A1270" s="94">
        <v>2015</v>
      </c>
      <c r="B1270" s="95" t="s">
        <v>66</v>
      </c>
      <c r="C1270" s="95" t="s">
        <v>17</v>
      </c>
      <c r="D1270" s="95" t="s">
        <v>24</v>
      </c>
      <c r="E1270" s="95" t="s">
        <v>69</v>
      </c>
      <c r="F1270" s="95" t="s">
        <v>70</v>
      </c>
      <c r="G1270" s="96">
        <v>3622015953</v>
      </c>
      <c r="H1270" s="95"/>
      <c r="K1270" s="97"/>
    </row>
    <row r="1271" spans="1:11" x14ac:dyDescent="0.2">
      <c r="A1271" s="91">
        <v>2015</v>
      </c>
      <c r="B1271" s="92" t="s">
        <v>66</v>
      </c>
      <c r="C1271" s="92" t="s">
        <v>17</v>
      </c>
      <c r="D1271" s="92" t="s">
        <v>25</v>
      </c>
      <c r="E1271" s="92" t="s">
        <v>67</v>
      </c>
      <c r="F1271" s="92" t="s">
        <v>67</v>
      </c>
      <c r="G1271" s="93">
        <v>1799455755</v>
      </c>
      <c r="H1271" s="92"/>
      <c r="K1271" s="97"/>
    </row>
    <row r="1272" spans="1:11" x14ac:dyDescent="0.2">
      <c r="A1272" s="94">
        <v>2015</v>
      </c>
      <c r="B1272" s="95" t="s">
        <v>66</v>
      </c>
      <c r="C1272" s="95" t="s">
        <v>17</v>
      </c>
      <c r="D1272" s="95" t="s">
        <v>25</v>
      </c>
      <c r="E1272" s="95" t="s">
        <v>69</v>
      </c>
      <c r="F1272" s="95" t="s">
        <v>71</v>
      </c>
      <c r="G1272" s="96">
        <v>256182500</v>
      </c>
      <c r="H1272" s="95"/>
      <c r="K1272" s="97"/>
    </row>
    <row r="1273" spans="1:11" x14ac:dyDescent="0.2">
      <c r="A1273" s="91">
        <v>2015</v>
      </c>
      <c r="B1273" s="92" t="s">
        <v>66</v>
      </c>
      <c r="C1273" s="92" t="s">
        <v>17</v>
      </c>
      <c r="D1273" s="92" t="s">
        <v>25</v>
      </c>
      <c r="E1273" s="92" t="s">
        <v>69</v>
      </c>
      <c r="F1273" s="92" t="s">
        <v>70</v>
      </c>
      <c r="G1273" s="93">
        <v>215010658</v>
      </c>
      <c r="H1273" s="92"/>
      <c r="K1273" s="97"/>
    </row>
    <row r="1274" spans="1:11" x14ac:dyDescent="0.2">
      <c r="A1274" s="94">
        <v>2015</v>
      </c>
      <c r="B1274" s="95" t="s">
        <v>66</v>
      </c>
      <c r="C1274" s="95" t="s">
        <v>27</v>
      </c>
      <c r="D1274" s="95" t="s">
        <v>26</v>
      </c>
      <c r="E1274" s="95" t="s">
        <v>67</v>
      </c>
      <c r="F1274" s="95" t="s">
        <v>67</v>
      </c>
      <c r="G1274" s="96">
        <v>29331964303</v>
      </c>
      <c r="H1274" s="95"/>
      <c r="K1274" s="97"/>
    </row>
    <row r="1275" spans="1:11" x14ac:dyDescent="0.2">
      <c r="A1275" s="91">
        <v>2015</v>
      </c>
      <c r="B1275" s="92" t="s">
        <v>66</v>
      </c>
      <c r="C1275" s="92" t="s">
        <v>27</v>
      </c>
      <c r="D1275" s="92" t="s">
        <v>26</v>
      </c>
      <c r="E1275" s="92" t="s">
        <v>69</v>
      </c>
      <c r="F1275" s="92" t="s">
        <v>71</v>
      </c>
      <c r="G1275" s="93">
        <v>5710000516</v>
      </c>
      <c r="H1275" s="92"/>
      <c r="K1275" s="97"/>
    </row>
    <row r="1276" spans="1:11" x14ac:dyDescent="0.2">
      <c r="A1276" s="94">
        <v>2015</v>
      </c>
      <c r="B1276" s="95" t="s">
        <v>66</v>
      </c>
      <c r="C1276" s="95" t="s">
        <v>27</v>
      </c>
      <c r="D1276" s="95" t="s">
        <v>26</v>
      </c>
      <c r="E1276" s="95" t="s">
        <v>69</v>
      </c>
      <c r="F1276" s="95" t="s">
        <v>70</v>
      </c>
      <c r="G1276" s="96">
        <v>13049285727</v>
      </c>
      <c r="H1276" s="95"/>
      <c r="K1276" s="97"/>
    </row>
    <row r="1277" spans="1:11" x14ac:dyDescent="0.2">
      <c r="A1277" s="91">
        <v>2015</v>
      </c>
      <c r="B1277" s="92" t="s">
        <v>66</v>
      </c>
      <c r="C1277" s="92" t="s">
        <v>27</v>
      </c>
      <c r="D1277" s="92" t="s">
        <v>28</v>
      </c>
      <c r="E1277" s="92" t="s">
        <v>67</v>
      </c>
      <c r="F1277" s="92" t="s">
        <v>67</v>
      </c>
      <c r="G1277" s="93">
        <v>41759717220</v>
      </c>
      <c r="H1277" s="92"/>
      <c r="K1277" s="97"/>
    </row>
    <row r="1278" spans="1:11" x14ac:dyDescent="0.2">
      <c r="A1278" s="94">
        <v>2015</v>
      </c>
      <c r="B1278" s="95" t="s">
        <v>66</v>
      </c>
      <c r="C1278" s="95" t="s">
        <v>27</v>
      </c>
      <c r="D1278" s="95" t="s">
        <v>28</v>
      </c>
      <c r="E1278" s="95" t="s">
        <v>69</v>
      </c>
      <c r="F1278" s="95" t="s">
        <v>71</v>
      </c>
      <c r="G1278" s="96">
        <v>10750438197</v>
      </c>
      <c r="H1278" s="95"/>
      <c r="K1278" s="97"/>
    </row>
    <row r="1279" spans="1:11" x14ac:dyDescent="0.2">
      <c r="A1279" s="91">
        <v>2015</v>
      </c>
      <c r="B1279" s="92" t="s">
        <v>66</v>
      </c>
      <c r="C1279" s="92" t="s">
        <v>27</v>
      </c>
      <c r="D1279" s="92" t="s">
        <v>28</v>
      </c>
      <c r="E1279" s="92" t="s">
        <v>69</v>
      </c>
      <c r="F1279" s="92" t="s">
        <v>70</v>
      </c>
      <c r="G1279" s="93">
        <v>15439356896</v>
      </c>
      <c r="H1279" s="92"/>
      <c r="K1279" s="97"/>
    </row>
    <row r="1280" spans="1:11" x14ac:dyDescent="0.2">
      <c r="A1280" s="94">
        <v>2015</v>
      </c>
      <c r="B1280" s="95" t="s">
        <v>66</v>
      </c>
      <c r="C1280" s="95" t="s">
        <v>27</v>
      </c>
      <c r="D1280" s="95" t="s">
        <v>29</v>
      </c>
      <c r="E1280" s="95" t="s">
        <v>67</v>
      </c>
      <c r="F1280" s="95" t="s">
        <v>67</v>
      </c>
      <c r="G1280" s="96">
        <v>16012875352</v>
      </c>
      <c r="H1280" s="95"/>
      <c r="K1280" s="97"/>
    </row>
    <row r="1281" spans="1:11" x14ac:dyDescent="0.2">
      <c r="A1281" s="91">
        <v>2015</v>
      </c>
      <c r="B1281" s="92" t="s">
        <v>66</v>
      </c>
      <c r="C1281" s="92" t="s">
        <v>27</v>
      </c>
      <c r="D1281" s="92" t="s">
        <v>29</v>
      </c>
      <c r="E1281" s="92" t="s">
        <v>69</v>
      </c>
      <c r="F1281" s="92" t="s">
        <v>71</v>
      </c>
      <c r="G1281" s="93">
        <v>4579181440</v>
      </c>
      <c r="H1281" s="92"/>
      <c r="K1281" s="97"/>
    </row>
    <row r="1282" spans="1:11" x14ac:dyDescent="0.2">
      <c r="A1282" s="94">
        <v>2015</v>
      </c>
      <c r="B1282" s="95" t="s">
        <v>66</v>
      </c>
      <c r="C1282" s="95" t="s">
        <v>27</v>
      </c>
      <c r="D1282" s="95" t="s">
        <v>29</v>
      </c>
      <c r="E1282" s="95" t="s">
        <v>69</v>
      </c>
      <c r="F1282" s="95" t="s">
        <v>70</v>
      </c>
      <c r="G1282" s="96">
        <v>3676898678</v>
      </c>
      <c r="H1282" s="95"/>
      <c r="K1282" s="97"/>
    </row>
    <row r="1283" spans="1:11" x14ac:dyDescent="0.2">
      <c r="A1283" s="91">
        <v>2015</v>
      </c>
      <c r="B1283" s="92" t="s">
        <v>66</v>
      </c>
      <c r="C1283" s="92" t="s">
        <v>27</v>
      </c>
      <c r="D1283" s="92" t="s">
        <v>30</v>
      </c>
      <c r="E1283" s="92" t="s">
        <v>67</v>
      </c>
      <c r="F1283" s="92" t="s">
        <v>67</v>
      </c>
      <c r="G1283" s="93">
        <v>33152605367</v>
      </c>
      <c r="H1283" s="92"/>
      <c r="K1283" s="97"/>
    </row>
    <row r="1284" spans="1:11" x14ac:dyDescent="0.2">
      <c r="A1284" s="94">
        <v>2015</v>
      </c>
      <c r="B1284" s="95" t="s">
        <v>66</v>
      </c>
      <c r="C1284" s="95" t="s">
        <v>27</v>
      </c>
      <c r="D1284" s="95" t="s">
        <v>30</v>
      </c>
      <c r="E1284" s="95" t="s">
        <v>69</v>
      </c>
      <c r="F1284" s="95" t="s">
        <v>71</v>
      </c>
      <c r="G1284" s="96">
        <v>7674948328</v>
      </c>
      <c r="H1284" s="95"/>
      <c r="K1284" s="97"/>
    </row>
    <row r="1285" spans="1:11" x14ac:dyDescent="0.2">
      <c r="A1285" s="91">
        <v>2015</v>
      </c>
      <c r="B1285" s="92" t="s">
        <v>66</v>
      </c>
      <c r="C1285" s="92" t="s">
        <v>27</v>
      </c>
      <c r="D1285" s="92" t="s">
        <v>30</v>
      </c>
      <c r="E1285" s="92" t="s">
        <v>69</v>
      </c>
      <c r="F1285" s="92" t="s">
        <v>70</v>
      </c>
      <c r="G1285" s="93">
        <v>13746612077</v>
      </c>
      <c r="H1285" s="92"/>
      <c r="K1285" s="97"/>
    </row>
    <row r="1286" spans="1:11" x14ac:dyDescent="0.2">
      <c r="A1286" s="94">
        <v>2015</v>
      </c>
      <c r="B1286" s="95" t="s">
        <v>66</v>
      </c>
      <c r="C1286" s="95" t="s">
        <v>27</v>
      </c>
      <c r="D1286" s="95" t="s">
        <v>31</v>
      </c>
      <c r="E1286" s="95" t="s">
        <v>67</v>
      </c>
      <c r="F1286" s="95" t="s">
        <v>67</v>
      </c>
      <c r="G1286" s="96">
        <v>7414884941</v>
      </c>
      <c r="H1286" s="95"/>
      <c r="K1286" s="97"/>
    </row>
    <row r="1287" spans="1:11" x14ac:dyDescent="0.2">
      <c r="A1287" s="91">
        <v>2015</v>
      </c>
      <c r="B1287" s="92" t="s">
        <v>66</v>
      </c>
      <c r="C1287" s="92" t="s">
        <v>27</v>
      </c>
      <c r="D1287" s="92" t="s">
        <v>31</v>
      </c>
      <c r="E1287" s="92" t="s">
        <v>69</v>
      </c>
      <c r="F1287" s="92" t="s">
        <v>71</v>
      </c>
      <c r="G1287" s="93">
        <v>2997091766</v>
      </c>
      <c r="H1287" s="92"/>
      <c r="K1287" s="97"/>
    </row>
    <row r="1288" spans="1:11" x14ac:dyDescent="0.2">
      <c r="A1288" s="94">
        <v>2015</v>
      </c>
      <c r="B1288" s="95" t="s">
        <v>66</v>
      </c>
      <c r="C1288" s="95" t="s">
        <v>27</v>
      </c>
      <c r="D1288" s="95" t="s">
        <v>31</v>
      </c>
      <c r="E1288" s="95" t="s">
        <v>69</v>
      </c>
      <c r="F1288" s="95" t="s">
        <v>70</v>
      </c>
      <c r="G1288" s="96">
        <v>6764646473</v>
      </c>
      <c r="H1288" s="95"/>
      <c r="K1288" s="97"/>
    </row>
    <row r="1289" spans="1:11" x14ac:dyDescent="0.2">
      <c r="A1289" s="91">
        <v>2015</v>
      </c>
      <c r="B1289" s="92" t="s">
        <v>66</v>
      </c>
      <c r="C1289" s="92" t="s">
        <v>27</v>
      </c>
      <c r="D1289" s="92" t="s">
        <v>32</v>
      </c>
      <c r="E1289" s="92" t="s">
        <v>67</v>
      </c>
      <c r="F1289" s="92" t="s">
        <v>67</v>
      </c>
      <c r="G1289" s="93">
        <v>14493224127</v>
      </c>
      <c r="H1289" s="92"/>
      <c r="K1289" s="97"/>
    </row>
    <row r="1290" spans="1:11" x14ac:dyDescent="0.2">
      <c r="A1290" s="94">
        <v>2015</v>
      </c>
      <c r="B1290" s="95" t="s">
        <v>66</v>
      </c>
      <c r="C1290" s="95" t="s">
        <v>27</v>
      </c>
      <c r="D1290" s="95" t="s">
        <v>32</v>
      </c>
      <c r="E1290" s="95" t="s">
        <v>69</v>
      </c>
      <c r="F1290" s="95" t="s">
        <v>71</v>
      </c>
      <c r="G1290" s="96">
        <v>5402649870</v>
      </c>
      <c r="H1290" s="95"/>
      <c r="K1290" s="97"/>
    </row>
    <row r="1291" spans="1:11" x14ac:dyDescent="0.2">
      <c r="A1291" s="91">
        <v>2015</v>
      </c>
      <c r="B1291" s="92" t="s">
        <v>66</v>
      </c>
      <c r="C1291" s="92" t="s">
        <v>27</v>
      </c>
      <c r="D1291" s="92" t="s">
        <v>32</v>
      </c>
      <c r="E1291" s="92" t="s">
        <v>69</v>
      </c>
      <c r="F1291" s="92" t="s">
        <v>70</v>
      </c>
      <c r="G1291" s="93">
        <v>4971584273</v>
      </c>
      <c r="H1291" s="92"/>
      <c r="K1291" s="97"/>
    </row>
    <row r="1292" spans="1:11" x14ac:dyDescent="0.2">
      <c r="A1292" s="94">
        <v>2015</v>
      </c>
      <c r="B1292" s="95" t="s">
        <v>66</v>
      </c>
      <c r="C1292" s="95" t="s">
        <v>27</v>
      </c>
      <c r="D1292" s="95" t="s">
        <v>33</v>
      </c>
      <c r="E1292" s="95" t="s">
        <v>67</v>
      </c>
      <c r="F1292" s="95" t="s">
        <v>67</v>
      </c>
      <c r="G1292" s="96">
        <v>29698434280</v>
      </c>
      <c r="H1292" s="95"/>
      <c r="K1292" s="97"/>
    </row>
    <row r="1293" spans="1:11" x14ac:dyDescent="0.2">
      <c r="A1293" s="91">
        <v>2015</v>
      </c>
      <c r="B1293" s="92" t="s">
        <v>66</v>
      </c>
      <c r="C1293" s="92" t="s">
        <v>27</v>
      </c>
      <c r="D1293" s="92" t="s">
        <v>33</v>
      </c>
      <c r="E1293" s="92" t="s">
        <v>69</v>
      </c>
      <c r="F1293" s="92" t="s">
        <v>71</v>
      </c>
      <c r="G1293" s="93">
        <v>11108885307</v>
      </c>
      <c r="H1293" s="92"/>
      <c r="K1293" s="97"/>
    </row>
    <row r="1294" spans="1:11" x14ac:dyDescent="0.2">
      <c r="A1294" s="94">
        <v>2015</v>
      </c>
      <c r="B1294" s="95" t="s">
        <v>66</v>
      </c>
      <c r="C1294" s="95" t="s">
        <v>27</v>
      </c>
      <c r="D1294" s="95" t="s">
        <v>33</v>
      </c>
      <c r="E1294" s="95" t="s">
        <v>69</v>
      </c>
      <c r="F1294" s="95" t="s">
        <v>70</v>
      </c>
      <c r="G1294" s="96">
        <v>27219441815</v>
      </c>
      <c r="H1294" s="95"/>
      <c r="K1294" s="97"/>
    </row>
    <row r="1295" spans="1:11" x14ac:dyDescent="0.2">
      <c r="A1295" s="91">
        <v>2015</v>
      </c>
      <c r="B1295" s="92" t="s">
        <v>66</v>
      </c>
      <c r="C1295" s="92" t="s">
        <v>35</v>
      </c>
      <c r="D1295" s="92" t="s">
        <v>34</v>
      </c>
      <c r="E1295" s="92" t="s">
        <v>67</v>
      </c>
      <c r="F1295" s="92" t="s">
        <v>67</v>
      </c>
      <c r="G1295" s="93">
        <v>4355421814</v>
      </c>
      <c r="H1295" s="92"/>
      <c r="K1295" s="97"/>
    </row>
    <row r="1296" spans="1:11" x14ac:dyDescent="0.2">
      <c r="A1296" s="94">
        <v>2015</v>
      </c>
      <c r="B1296" s="95" t="s">
        <v>66</v>
      </c>
      <c r="C1296" s="95" t="s">
        <v>35</v>
      </c>
      <c r="D1296" s="95" t="s">
        <v>34</v>
      </c>
      <c r="E1296" s="95" t="s">
        <v>69</v>
      </c>
      <c r="F1296" s="95" t="s">
        <v>71</v>
      </c>
      <c r="G1296" s="96">
        <v>665177502</v>
      </c>
      <c r="H1296" s="95"/>
      <c r="K1296" s="97"/>
    </row>
    <row r="1297" spans="1:11" x14ac:dyDescent="0.2">
      <c r="A1297" s="91">
        <v>2015</v>
      </c>
      <c r="B1297" s="92" t="s">
        <v>66</v>
      </c>
      <c r="C1297" s="92" t="s">
        <v>35</v>
      </c>
      <c r="D1297" s="92" t="s">
        <v>34</v>
      </c>
      <c r="E1297" s="92" t="s">
        <v>69</v>
      </c>
      <c r="F1297" s="92" t="s">
        <v>70</v>
      </c>
      <c r="G1297" s="93">
        <v>514875948</v>
      </c>
      <c r="H1297" s="92"/>
      <c r="K1297" s="97"/>
    </row>
    <row r="1298" spans="1:11" x14ac:dyDescent="0.2">
      <c r="A1298" s="94">
        <v>2015</v>
      </c>
      <c r="B1298" s="95" t="s">
        <v>66</v>
      </c>
      <c r="C1298" s="95" t="s">
        <v>35</v>
      </c>
      <c r="D1298" s="95" t="s">
        <v>36</v>
      </c>
      <c r="E1298" s="95" t="s">
        <v>67</v>
      </c>
      <c r="F1298" s="95" t="s">
        <v>67</v>
      </c>
      <c r="G1298" s="96">
        <v>12869000706</v>
      </c>
      <c r="H1298" s="95"/>
      <c r="K1298" s="97"/>
    </row>
    <row r="1299" spans="1:11" x14ac:dyDescent="0.2">
      <c r="A1299" s="91">
        <v>2015</v>
      </c>
      <c r="B1299" s="92" t="s">
        <v>66</v>
      </c>
      <c r="C1299" s="92" t="s">
        <v>35</v>
      </c>
      <c r="D1299" s="92" t="s">
        <v>36</v>
      </c>
      <c r="E1299" s="92" t="s">
        <v>69</v>
      </c>
      <c r="F1299" s="92" t="s">
        <v>71</v>
      </c>
      <c r="G1299" s="93">
        <v>3786042694</v>
      </c>
      <c r="H1299" s="92"/>
      <c r="K1299" s="97"/>
    </row>
    <row r="1300" spans="1:11" x14ac:dyDescent="0.2">
      <c r="A1300" s="94">
        <v>2015</v>
      </c>
      <c r="B1300" s="95" t="s">
        <v>66</v>
      </c>
      <c r="C1300" s="95" t="s">
        <v>35</v>
      </c>
      <c r="D1300" s="95" t="s">
        <v>36</v>
      </c>
      <c r="E1300" s="95" t="s">
        <v>69</v>
      </c>
      <c r="F1300" s="95" t="s">
        <v>70</v>
      </c>
      <c r="G1300" s="96">
        <v>1876571917</v>
      </c>
      <c r="H1300" s="95"/>
      <c r="K1300" s="97"/>
    </row>
    <row r="1301" spans="1:11" x14ac:dyDescent="0.2">
      <c r="A1301" s="91">
        <v>2015</v>
      </c>
      <c r="B1301" s="92" t="s">
        <v>66</v>
      </c>
      <c r="C1301" s="92" t="s">
        <v>35</v>
      </c>
      <c r="D1301" s="92" t="s">
        <v>37</v>
      </c>
      <c r="E1301" s="92" t="s">
        <v>67</v>
      </c>
      <c r="F1301" s="92" t="s">
        <v>67</v>
      </c>
      <c r="G1301" s="93">
        <v>3102313993</v>
      </c>
      <c r="H1301" s="92"/>
      <c r="K1301" s="97"/>
    </row>
    <row r="1302" spans="1:11" x14ac:dyDescent="0.2">
      <c r="A1302" s="94">
        <v>2015</v>
      </c>
      <c r="B1302" s="95" t="s">
        <v>66</v>
      </c>
      <c r="C1302" s="95" t="s">
        <v>35</v>
      </c>
      <c r="D1302" s="95" t="s">
        <v>37</v>
      </c>
      <c r="E1302" s="95" t="s">
        <v>69</v>
      </c>
      <c r="F1302" s="95" t="s">
        <v>71</v>
      </c>
      <c r="G1302" s="96">
        <v>671528495</v>
      </c>
      <c r="H1302" s="95"/>
      <c r="K1302" s="97"/>
    </row>
    <row r="1303" spans="1:11" x14ac:dyDescent="0.2">
      <c r="A1303" s="91">
        <v>2015</v>
      </c>
      <c r="B1303" s="92" t="s">
        <v>66</v>
      </c>
      <c r="C1303" s="92" t="s">
        <v>35</v>
      </c>
      <c r="D1303" s="92" t="s">
        <v>37</v>
      </c>
      <c r="E1303" s="92" t="s">
        <v>69</v>
      </c>
      <c r="F1303" s="92" t="s">
        <v>70</v>
      </c>
      <c r="G1303" s="93">
        <v>724171085</v>
      </c>
      <c r="H1303" s="92"/>
      <c r="K1303" s="97"/>
    </row>
    <row r="1304" spans="1:11" x14ac:dyDescent="0.2">
      <c r="A1304" s="94">
        <v>2015</v>
      </c>
      <c r="B1304" s="95" t="s">
        <v>66</v>
      </c>
      <c r="C1304" s="95" t="s">
        <v>35</v>
      </c>
      <c r="D1304" s="95" t="s">
        <v>38</v>
      </c>
      <c r="E1304" s="95" t="s">
        <v>67</v>
      </c>
      <c r="F1304" s="95" t="s">
        <v>67</v>
      </c>
      <c r="G1304" s="96">
        <v>5617304251</v>
      </c>
      <c r="H1304" s="95"/>
      <c r="K1304" s="97"/>
    </row>
    <row r="1305" spans="1:11" x14ac:dyDescent="0.2">
      <c r="A1305" s="91">
        <v>2015</v>
      </c>
      <c r="B1305" s="92" t="s">
        <v>66</v>
      </c>
      <c r="C1305" s="92" t="s">
        <v>35</v>
      </c>
      <c r="D1305" s="92" t="s">
        <v>38</v>
      </c>
      <c r="E1305" s="92" t="s">
        <v>69</v>
      </c>
      <c r="F1305" s="92" t="s">
        <v>71</v>
      </c>
      <c r="G1305" s="93">
        <v>1117175591</v>
      </c>
      <c r="H1305" s="92"/>
      <c r="K1305" s="97"/>
    </row>
    <row r="1306" spans="1:11" x14ac:dyDescent="0.2">
      <c r="A1306" s="94">
        <v>2015</v>
      </c>
      <c r="B1306" s="95" t="s">
        <v>66</v>
      </c>
      <c r="C1306" s="95" t="s">
        <v>35</v>
      </c>
      <c r="D1306" s="95" t="s">
        <v>38</v>
      </c>
      <c r="E1306" s="95" t="s">
        <v>69</v>
      </c>
      <c r="F1306" s="95" t="s">
        <v>70</v>
      </c>
      <c r="G1306" s="96">
        <v>1057349620</v>
      </c>
      <c r="H1306" s="95"/>
      <c r="K1306" s="97"/>
    </row>
    <row r="1307" spans="1:11" x14ac:dyDescent="0.2">
      <c r="A1307" s="91">
        <v>2015</v>
      </c>
      <c r="B1307" s="92" t="s">
        <v>66</v>
      </c>
      <c r="C1307" s="92" t="s">
        <v>35</v>
      </c>
      <c r="D1307" s="92" t="s">
        <v>39</v>
      </c>
      <c r="E1307" s="92" t="s">
        <v>67</v>
      </c>
      <c r="F1307" s="92" t="s">
        <v>67</v>
      </c>
      <c r="G1307" s="93">
        <v>16857300699</v>
      </c>
      <c r="H1307" s="92"/>
      <c r="K1307" s="97"/>
    </row>
    <row r="1308" spans="1:11" x14ac:dyDescent="0.2">
      <c r="A1308" s="94">
        <v>2015</v>
      </c>
      <c r="B1308" s="95" t="s">
        <v>66</v>
      </c>
      <c r="C1308" s="95" t="s">
        <v>35</v>
      </c>
      <c r="D1308" s="95" t="s">
        <v>39</v>
      </c>
      <c r="E1308" s="95" t="s">
        <v>69</v>
      </c>
      <c r="F1308" s="95" t="s">
        <v>71</v>
      </c>
      <c r="G1308" s="96">
        <v>4031204310</v>
      </c>
      <c r="H1308" s="95"/>
      <c r="K1308" s="97"/>
    </row>
    <row r="1309" spans="1:11" x14ac:dyDescent="0.2">
      <c r="A1309" s="91">
        <v>2015</v>
      </c>
      <c r="B1309" s="92" t="s">
        <v>66</v>
      </c>
      <c r="C1309" s="92" t="s">
        <v>35</v>
      </c>
      <c r="D1309" s="92" t="s">
        <v>39</v>
      </c>
      <c r="E1309" s="92" t="s">
        <v>69</v>
      </c>
      <c r="F1309" s="92" t="s">
        <v>70</v>
      </c>
      <c r="G1309" s="93">
        <v>2974194221</v>
      </c>
      <c r="H1309" s="92"/>
      <c r="K1309" s="97"/>
    </row>
    <row r="1310" spans="1:11" x14ac:dyDescent="0.2">
      <c r="A1310" s="94">
        <v>2015</v>
      </c>
      <c r="B1310" s="95" t="s">
        <v>66</v>
      </c>
      <c r="C1310" s="95" t="s">
        <v>41</v>
      </c>
      <c r="D1310" s="95" t="s">
        <v>40</v>
      </c>
      <c r="E1310" s="95" t="s">
        <v>67</v>
      </c>
      <c r="F1310" s="95" t="s">
        <v>67</v>
      </c>
      <c r="G1310" s="96">
        <v>5676706359</v>
      </c>
      <c r="H1310" s="95"/>
      <c r="K1310" s="97"/>
    </row>
    <row r="1311" spans="1:11" x14ac:dyDescent="0.2">
      <c r="A1311" s="91">
        <v>2015</v>
      </c>
      <c r="B1311" s="92" t="s">
        <v>66</v>
      </c>
      <c r="C1311" s="92" t="s">
        <v>41</v>
      </c>
      <c r="D1311" s="92" t="s">
        <v>40</v>
      </c>
      <c r="E1311" s="92" t="s">
        <v>69</v>
      </c>
      <c r="F1311" s="92" t="s">
        <v>71</v>
      </c>
      <c r="G1311" s="93">
        <v>430892561</v>
      </c>
      <c r="H1311" s="92"/>
      <c r="K1311" s="97"/>
    </row>
    <row r="1312" spans="1:11" x14ac:dyDescent="0.2">
      <c r="A1312" s="94">
        <v>2015</v>
      </c>
      <c r="B1312" s="95" t="s">
        <v>66</v>
      </c>
      <c r="C1312" s="95" t="s">
        <v>41</v>
      </c>
      <c r="D1312" s="95" t="s">
        <v>40</v>
      </c>
      <c r="E1312" s="95" t="s">
        <v>69</v>
      </c>
      <c r="F1312" s="95" t="s">
        <v>70</v>
      </c>
      <c r="G1312" s="96">
        <v>323733575</v>
      </c>
      <c r="H1312" s="95"/>
      <c r="K1312" s="97"/>
    </row>
    <row r="1313" spans="1:11" x14ac:dyDescent="0.2">
      <c r="A1313" s="91">
        <v>2015</v>
      </c>
      <c r="B1313" s="92" t="s">
        <v>66</v>
      </c>
      <c r="C1313" s="92" t="s">
        <v>41</v>
      </c>
      <c r="D1313" s="92" t="s">
        <v>42</v>
      </c>
      <c r="E1313" s="92" t="s">
        <v>67</v>
      </c>
      <c r="F1313" s="92" t="s">
        <v>67</v>
      </c>
      <c r="G1313" s="93">
        <v>7239648807</v>
      </c>
      <c r="H1313" s="92"/>
      <c r="K1313" s="97"/>
    </row>
    <row r="1314" spans="1:11" x14ac:dyDescent="0.2">
      <c r="A1314" s="94">
        <v>2015</v>
      </c>
      <c r="B1314" s="95" t="s">
        <v>66</v>
      </c>
      <c r="C1314" s="95" t="s">
        <v>41</v>
      </c>
      <c r="D1314" s="95" t="s">
        <v>42</v>
      </c>
      <c r="E1314" s="95" t="s">
        <v>69</v>
      </c>
      <c r="F1314" s="95" t="s">
        <v>71</v>
      </c>
      <c r="G1314" s="96">
        <v>754954498</v>
      </c>
      <c r="H1314" s="95"/>
      <c r="K1314" s="97"/>
    </row>
    <row r="1315" spans="1:11" x14ac:dyDescent="0.2">
      <c r="A1315" s="91">
        <v>2015</v>
      </c>
      <c r="B1315" s="92" t="s">
        <v>66</v>
      </c>
      <c r="C1315" s="92" t="s">
        <v>41</v>
      </c>
      <c r="D1315" s="92" t="s">
        <v>42</v>
      </c>
      <c r="E1315" s="92" t="s">
        <v>69</v>
      </c>
      <c r="F1315" s="92" t="s">
        <v>70</v>
      </c>
      <c r="G1315" s="93">
        <v>1421613926</v>
      </c>
      <c r="H1315" s="92"/>
      <c r="K1315" s="97"/>
    </row>
    <row r="1316" spans="1:11" x14ac:dyDescent="0.2">
      <c r="A1316" s="94">
        <v>2015</v>
      </c>
      <c r="B1316" s="95" t="s">
        <v>66</v>
      </c>
      <c r="C1316" s="95" t="s">
        <v>41</v>
      </c>
      <c r="D1316" s="95" t="s">
        <v>43</v>
      </c>
      <c r="E1316" s="95" t="s">
        <v>67</v>
      </c>
      <c r="F1316" s="95" t="s">
        <v>67</v>
      </c>
      <c r="G1316" s="96">
        <v>6712491526</v>
      </c>
      <c r="H1316" s="95"/>
      <c r="K1316" s="97"/>
    </row>
    <row r="1317" spans="1:11" x14ac:dyDescent="0.2">
      <c r="A1317" s="91">
        <v>2015</v>
      </c>
      <c r="B1317" s="92" t="s">
        <v>66</v>
      </c>
      <c r="C1317" s="92" t="s">
        <v>41</v>
      </c>
      <c r="D1317" s="92" t="s">
        <v>43</v>
      </c>
      <c r="E1317" s="92" t="s">
        <v>69</v>
      </c>
      <c r="F1317" s="92" t="s">
        <v>71</v>
      </c>
      <c r="G1317" s="93">
        <v>1002977964</v>
      </c>
      <c r="H1317" s="92"/>
      <c r="K1317" s="97"/>
    </row>
    <row r="1318" spans="1:11" x14ac:dyDescent="0.2">
      <c r="A1318" s="94">
        <v>2015</v>
      </c>
      <c r="B1318" s="95" t="s">
        <v>66</v>
      </c>
      <c r="C1318" s="95" t="s">
        <v>41</v>
      </c>
      <c r="D1318" s="95" t="s">
        <v>43</v>
      </c>
      <c r="E1318" s="95" t="s">
        <v>69</v>
      </c>
      <c r="F1318" s="95" t="s">
        <v>70</v>
      </c>
      <c r="G1318" s="96">
        <v>902838322</v>
      </c>
      <c r="H1318" s="95"/>
      <c r="K1318" s="97"/>
    </row>
    <row r="1319" spans="1:11" x14ac:dyDescent="0.2">
      <c r="A1319" s="91">
        <v>2015</v>
      </c>
      <c r="B1319" s="92" t="s">
        <v>66</v>
      </c>
      <c r="C1319" s="92" t="s">
        <v>41</v>
      </c>
      <c r="D1319" s="92" t="s">
        <v>44</v>
      </c>
      <c r="E1319" s="92" t="s">
        <v>67</v>
      </c>
      <c r="F1319" s="92" t="s">
        <v>67</v>
      </c>
      <c r="G1319" s="93">
        <v>8978612678</v>
      </c>
      <c r="H1319" s="92"/>
      <c r="K1319" s="97"/>
    </row>
    <row r="1320" spans="1:11" x14ac:dyDescent="0.2">
      <c r="A1320" s="94">
        <v>2015</v>
      </c>
      <c r="B1320" s="95" t="s">
        <v>66</v>
      </c>
      <c r="C1320" s="95" t="s">
        <v>41</v>
      </c>
      <c r="D1320" s="95" t="s">
        <v>44</v>
      </c>
      <c r="E1320" s="95" t="s">
        <v>69</v>
      </c>
      <c r="F1320" s="95" t="s">
        <v>71</v>
      </c>
      <c r="G1320" s="96">
        <v>1424331719</v>
      </c>
      <c r="H1320" s="95"/>
      <c r="K1320" s="97"/>
    </row>
    <row r="1321" spans="1:11" x14ac:dyDescent="0.2">
      <c r="A1321" s="91">
        <v>2015</v>
      </c>
      <c r="B1321" s="92" t="s">
        <v>66</v>
      </c>
      <c r="C1321" s="92" t="s">
        <v>41</v>
      </c>
      <c r="D1321" s="92" t="s">
        <v>44</v>
      </c>
      <c r="E1321" s="92" t="s">
        <v>69</v>
      </c>
      <c r="F1321" s="92" t="s">
        <v>70</v>
      </c>
      <c r="G1321" s="93">
        <v>1310712003</v>
      </c>
      <c r="H1321" s="92"/>
      <c r="K1321" s="97"/>
    </row>
    <row r="1322" spans="1:11" x14ac:dyDescent="0.2">
      <c r="A1322" s="94">
        <v>2015</v>
      </c>
      <c r="B1322" s="95" t="s">
        <v>66</v>
      </c>
      <c r="C1322" s="95" t="s">
        <v>41</v>
      </c>
      <c r="D1322" s="95" t="s">
        <v>45</v>
      </c>
      <c r="E1322" s="95" t="s">
        <v>67</v>
      </c>
      <c r="F1322" s="95" t="s">
        <v>67</v>
      </c>
      <c r="G1322" s="96">
        <v>24618139354</v>
      </c>
      <c r="H1322" s="95"/>
      <c r="K1322" s="97"/>
    </row>
    <row r="1323" spans="1:11" x14ac:dyDescent="0.2">
      <c r="A1323" s="91">
        <v>2015</v>
      </c>
      <c r="B1323" s="92" t="s">
        <v>66</v>
      </c>
      <c r="C1323" s="92" t="s">
        <v>41</v>
      </c>
      <c r="D1323" s="92" t="s">
        <v>45</v>
      </c>
      <c r="E1323" s="92" t="s">
        <v>69</v>
      </c>
      <c r="F1323" s="92" t="s">
        <v>71</v>
      </c>
      <c r="G1323" s="93">
        <v>3797320382</v>
      </c>
      <c r="H1323" s="92"/>
      <c r="K1323" s="97"/>
    </row>
    <row r="1324" spans="1:11" x14ac:dyDescent="0.2">
      <c r="A1324" s="94">
        <v>2015</v>
      </c>
      <c r="B1324" s="95" t="s">
        <v>66</v>
      </c>
      <c r="C1324" s="95" t="s">
        <v>41</v>
      </c>
      <c r="D1324" s="95" t="s">
        <v>45</v>
      </c>
      <c r="E1324" s="95" t="s">
        <v>69</v>
      </c>
      <c r="F1324" s="95" t="s">
        <v>70</v>
      </c>
      <c r="G1324" s="96">
        <v>6612901279</v>
      </c>
      <c r="H1324" s="95"/>
      <c r="K1324" s="97"/>
    </row>
    <row r="1325" spans="1:11" x14ac:dyDescent="0.2">
      <c r="A1325" s="91">
        <v>2015</v>
      </c>
      <c r="B1325" s="92" t="s">
        <v>66</v>
      </c>
      <c r="C1325" s="92" t="s">
        <v>47</v>
      </c>
      <c r="D1325" s="92" t="s">
        <v>46</v>
      </c>
      <c r="E1325" s="92" t="s">
        <v>67</v>
      </c>
      <c r="F1325" s="92" t="s">
        <v>67</v>
      </c>
      <c r="G1325" s="93">
        <v>18888699353</v>
      </c>
      <c r="H1325" s="92"/>
      <c r="K1325" s="97"/>
    </row>
    <row r="1326" spans="1:11" x14ac:dyDescent="0.2">
      <c r="A1326" s="94">
        <v>2015</v>
      </c>
      <c r="B1326" s="95" t="s">
        <v>66</v>
      </c>
      <c r="C1326" s="95" t="s">
        <v>47</v>
      </c>
      <c r="D1326" s="95" t="s">
        <v>46</v>
      </c>
      <c r="E1326" s="95" t="s">
        <v>69</v>
      </c>
      <c r="F1326" s="95" t="s">
        <v>71</v>
      </c>
      <c r="G1326" s="96">
        <v>3884471014</v>
      </c>
      <c r="H1326" s="95"/>
      <c r="K1326" s="97"/>
    </row>
    <row r="1327" spans="1:11" x14ac:dyDescent="0.2">
      <c r="A1327" s="91">
        <v>2015</v>
      </c>
      <c r="B1327" s="92" t="s">
        <v>66</v>
      </c>
      <c r="C1327" s="92" t="s">
        <v>47</v>
      </c>
      <c r="D1327" s="92" t="s">
        <v>46</v>
      </c>
      <c r="E1327" s="92" t="s">
        <v>69</v>
      </c>
      <c r="F1327" s="92" t="s">
        <v>70</v>
      </c>
      <c r="G1327" s="93">
        <v>7769616240</v>
      </c>
      <c r="H1327" s="92"/>
      <c r="K1327" s="97"/>
    </row>
    <row r="1328" spans="1:11" x14ac:dyDescent="0.2">
      <c r="A1328" s="94">
        <v>2015</v>
      </c>
      <c r="B1328" s="95" t="s">
        <v>66</v>
      </c>
      <c r="C1328" s="95" t="s">
        <v>47</v>
      </c>
      <c r="D1328" s="95" t="s">
        <v>48</v>
      </c>
      <c r="E1328" s="95" t="s">
        <v>72</v>
      </c>
      <c r="F1328" s="95" t="s">
        <v>73</v>
      </c>
      <c r="G1328" s="96">
        <v>92528058299</v>
      </c>
      <c r="H1328" s="95"/>
      <c r="K1328" s="97"/>
    </row>
    <row r="1329" spans="1:11" x14ac:dyDescent="0.2">
      <c r="A1329" s="91">
        <v>2015</v>
      </c>
      <c r="B1329" s="92" t="s">
        <v>66</v>
      </c>
      <c r="C1329" s="92" t="s">
        <v>47</v>
      </c>
      <c r="D1329" s="92" t="s">
        <v>48</v>
      </c>
      <c r="E1329" s="92" t="s">
        <v>67</v>
      </c>
      <c r="F1329" s="92" t="s">
        <v>74</v>
      </c>
      <c r="G1329" s="93">
        <v>92638916093</v>
      </c>
      <c r="H1329" s="92"/>
      <c r="K1329" s="97"/>
    </row>
    <row r="1330" spans="1:11" x14ac:dyDescent="0.2">
      <c r="A1330" s="94">
        <v>2015</v>
      </c>
      <c r="B1330" s="95" t="s">
        <v>66</v>
      </c>
      <c r="C1330" s="95" t="s">
        <v>47</v>
      </c>
      <c r="D1330" s="95" t="s">
        <v>48</v>
      </c>
      <c r="E1330" s="95" t="s">
        <v>69</v>
      </c>
      <c r="F1330" s="95" t="s">
        <v>71</v>
      </c>
      <c r="G1330" s="96">
        <v>56899999998</v>
      </c>
      <c r="H1330" s="95"/>
      <c r="K1330" s="97"/>
    </row>
    <row r="1331" spans="1:11" x14ac:dyDescent="0.2">
      <c r="A1331" s="91">
        <v>2015</v>
      </c>
      <c r="B1331" s="92" t="s">
        <v>66</v>
      </c>
      <c r="C1331" s="92" t="s">
        <v>47</v>
      </c>
      <c r="D1331" s="92" t="s">
        <v>48</v>
      </c>
      <c r="E1331" s="92" t="s">
        <v>69</v>
      </c>
      <c r="F1331" s="92" t="s">
        <v>70</v>
      </c>
      <c r="G1331" s="93">
        <v>93362948881</v>
      </c>
      <c r="H1331" s="92"/>
      <c r="K1331" s="97"/>
    </row>
    <row r="1332" spans="1:11" x14ac:dyDescent="0.2">
      <c r="A1332" s="94">
        <v>2016</v>
      </c>
      <c r="B1332" s="95" t="s">
        <v>66</v>
      </c>
      <c r="C1332" s="95" t="s">
        <v>4</v>
      </c>
      <c r="D1332" s="95" t="s">
        <v>3</v>
      </c>
      <c r="E1332" s="95" t="s">
        <v>67</v>
      </c>
      <c r="F1332" s="95" t="s">
        <v>67</v>
      </c>
      <c r="G1332" s="96">
        <v>21862282389</v>
      </c>
      <c r="H1332" s="95"/>
      <c r="K1332" s="97"/>
    </row>
    <row r="1333" spans="1:11" x14ac:dyDescent="0.2">
      <c r="A1333" s="91">
        <v>2016</v>
      </c>
      <c r="B1333" s="92" t="s">
        <v>66</v>
      </c>
      <c r="C1333" s="92" t="s">
        <v>4</v>
      </c>
      <c r="D1333" s="92" t="s">
        <v>3</v>
      </c>
      <c r="E1333" s="92" t="s">
        <v>69</v>
      </c>
      <c r="F1333" s="92" t="s">
        <v>71</v>
      </c>
      <c r="G1333" s="93">
        <v>4499547688</v>
      </c>
      <c r="H1333" s="92"/>
      <c r="K1333" s="97"/>
    </row>
    <row r="1334" spans="1:11" x14ac:dyDescent="0.2">
      <c r="A1334" s="94">
        <v>2016</v>
      </c>
      <c r="B1334" s="95" t="s">
        <v>66</v>
      </c>
      <c r="C1334" s="95" t="s">
        <v>4</v>
      </c>
      <c r="D1334" s="95" t="s">
        <v>3</v>
      </c>
      <c r="E1334" s="95" t="s">
        <v>69</v>
      </c>
      <c r="F1334" s="95" t="s">
        <v>70</v>
      </c>
      <c r="G1334" s="96">
        <v>10447170939</v>
      </c>
      <c r="H1334" s="95"/>
      <c r="K1334" s="97"/>
    </row>
    <row r="1335" spans="1:11" x14ac:dyDescent="0.2">
      <c r="A1335" s="91">
        <v>2016</v>
      </c>
      <c r="B1335" s="92" t="s">
        <v>66</v>
      </c>
      <c r="C1335" s="92" t="s">
        <v>4</v>
      </c>
      <c r="D1335" s="92" t="s">
        <v>5</v>
      </c>
      <c r="E1335" s="92" t="s">
        <v>67</v>
      </c>
      <c r="F1335" s="92" t="s">
        <v>67</v>
      </c>
      <c r="G1335" s="93">
        <v>87227100777</v>
      </c>
      <c r="H1335" s="92"/>
      <c r="K1335" s="97"/>
    </row>
    <row r="1336" spans="1:11" x14ac:dyDescent="0.2">
      <c r="A1336" s="94">
        <v>2016</v>
      </c>
      <c r="B1336" s="95" t="s">
        <v>66</v>
      </c>
      <c r="C1336" s="95" t="s">
        <v>4</v>
      </c>
      <c r="D1336" s="95" t="s">
        <v>5</v>
      </c>
      <c r="E1336" s="95" t="s">
        <v>69</v>
      </c>
      <c r="F1336" s="95" t="s">
        <v>71</v>
      </c>
      <c r="G1336" s="96">
        <v>26497337429</v>
      </c>
      <c r="H1336" s="95"/>
      <c r="K1336" s="97"/>
    </row>
    <row r="1337" spans="1:11" x14ac:dyDescent="0.2">
      <c r="A1337" s="91">
        <v>2016</v>
      </c>
      <c r="B1337" s="92" t="s">
        <v>66</v>
      </c>
      <c r="C1337" s="92" t="s">
        <v>4</v>
      </c>
      <c r="D1337" s="92" t="s">
        <v>5</v>
      </c>
      <c r="E1337" s="92" t="s">
        <v>69</v>
      </c>
      <c r="F1337" s="92" t="s">
        <v>70</v>
      </c>
      <c r="G1337" s="93">
        <v>24731018481</v>
      </c>
      <c r="H1337" s="92"/>
      <c r="K1337" s="97"/>
    </row>
    <row r="1338" spans="1:11" x14ac:dyDescent="0.2">
      <c r="A1338" s="94">
        <v>2016</v>
      </c>
      <c r="B1338" s="95" t="s">
        <v>66</v>
      </c>
      <c r="C1338" s="95" t="s">
        <v>4</v>
      </c>
      <c r="D1338" s="95" t="s">
        <v>6</v>
      </c>
      <c r="E1338" s="95" t="s">
        <v>67</v>
      </c>
      <c r="F1338" s="95" t="s">
        <v>67</v>
      </c>
      <c r="G1338" s="96">
        <v>10366190520</v>
      </c>
      <c r="H1338" s="95"/>
      <c r="K1338" s="97"/>
    </row>
    <row r="1339" spans="1:11" x14ac:dyDescent="0.2">
      <c r="A1339" s="91">
        <v>2016</v>
      </c>
      <c r="B1339" s="92" t="s">
        <v>66</v>
      </c>
      <c r="C1339" s="92" t="s">
        <v>4</v>
      </c>
      <c r="D1339" s="92" t="s">
        <v>6</v>
      </c>
      <c r="E1339" s="92" t="s">
        <v>69</v>
      </c>
      <c r="F1339" s="92" t="s">
        <v>71</v>
      </c>
      <c r="G1339" s="93">
        <v>651448530</v>
      </c>
      <c r="H1339" s="92"/>
      <c r="K1339" s="97"/>
    </row>
    <row r="1340" spans="1:11" x14ac:dyDescent="0.2">
      <c r="A1340" s="94">
        <v>2016</v>
      </c>
      <c r="B1340" s="95" t="s">
        <v>66</v>
      </c>
      <c r="C1340" s="95" t="s">
        <v>4</v>
      </c>
      <c r="D1340" s="95" t="s">
        <v>6</v>
      </c>
      <c r="E1340" s="95" t="s">
        <v>69</v>
      </c>
      <c r="F1340" s="95" t="s">
        <v>70</v>
      </c>
      <c r="G1340" s="96">
        <v>1070545273</v>
      </c>
      <c r="H1340" s="95"/>
      <c r="K1340" s="97"/>
    </row>
    <row r="1341" spans="1:11" x14ac:dyDescent="0.2">
      <c r="A1341" s="91">
        <v>2016</v>
      </c>
      <c r="B1341" s="92" t="s">
        <v>66</v>
      </c>
      <c r="C1341" s="92" t="s">
        <v>4</v>
      </c>
      <c r="D1341" s="92" t="s">
        <v>7</v>
      </c>
      <c r="E1341" s="92" t="s">
        <v>67</v>
      </c>
      <c r="F1341" s="92" t="s">
        <v>67</v>
      </c>
      <c r="G1341" s="93">
        <v>17742879438</v>
      </c>
      <c r="H1341" s="92"/>
      <c r="K1341" s="97"/>
    </row>
    <row r="1342" spans="1:11" x14ac:dyDescent="0.2">
      <c r="A1342" s="94">
        <v>2016</v>
      </c>
      <c r="B1342" s="95" t="s">
        <v>66</v>
      </c>
      <c r="C1342" s="95" t="s">
        <v>4</v>
      </c>
      <c r="D1342" s="95" t="s">
        <v>7</v>
      </c>
      <c r="E1342" s="95" t="s">
        <v>69</v>
      </c>
      <c r="F1342" s="95" t="s">
        <v>71</v>
      </c>
      <c r="G1342" s="96">
        <v>4642652844</v>
      </c>
      <c r="H1342" s="95"/>
      <c r="K1342" s="97"/>
    </row>
    <row r="1343" spans="1:11" x14ac:dyDescent="0.2">
      <c r="A1343" s="91">
        <v>2016</v>
      </c>
      <c r="B1343" s="92" t="s">
        <v>66</v>
      </c>
      <c r="C1343" s="92" t="s">
        <v>4</v>
      </c>
      <c r="D1343" s="92" t="s">
        <v>7</v>
      </c>
      <c r="E1343" s="92" t="s">
        <v>69</v>
      </c>
      <c r="F1343" s="92" t="s">
        <v>70</v>
      </c>
      <c r="G1343" s="93">
        <v>5634293098</v>
      </c>
      <c r="H1343" s="92"/>
      <c r="K1343" s="97"/>
    </row>
    <row r="1344" spans="1:11" x14ac:dyDescent="0.2">
      <c r="A1344" s="94">
        <v>2016</v>
      </c>
      <c r="B1344" s="95" t="s">
        <v>66</v>
      </c>
      <c r="C1344" s="95" t="s">
        <v>4</v>
      </c>
      <c r="D1344" s="95" t="s">
        <v>8</v>
      </c>
      <c r="E1344" s="95" t="s">
        <v>67</v>
      </c>
      <c r="F1344" s="95" t="s">
        <v>67</v>
      </c>
      <c r="G1344" s="96">
        <v>9372223652</v>
      </c>
      <c r="H1344" s="95"/>
      <c r="K1344" s="97"/>
    </row>
    <row r="1345" spans="1:11" x14ac:dyDescent="0.2">
      <c r="A1345" s="91">
        <v>2016</v>
      </c>
      <c r="B1345" s="92" t="s">
        <v>66</v>
      </c>
      <c r="C1345" s="92" t="s">
        <v>4</v>
      </c>
      <c r="D1345" s="92" t="s">
        <v>8</v>
      </c>
      <c r="E1345" s="92" t="s">
        <v>69</v>
      </c>
      <c r="F1345" s="92" t="s">
        <v>71</v>
      </c>
      <c r="G1345" s="93">
        <v>1144392883</v>
      </c>
      <c r="H1345" s="92"/>
      <c r="K1345" s="97"/>
    </row>
    <row r="1346" spans="1:11" x14ac:dyDescent="0.2">
      <c r="A1346" s="94">
        <v>2016</v>
      </c>
      <c r="B1346" s="95" t="s">
        <v>66</v>
      </c>
      <c r="C1346" s="95" t="s">
        <v>4</v>
      </c>
      <c r="D1346" s="95" t="s">
        <v>8</v>
      </c>
      <c r="E1346" s="95" t="s">
        <v>69</v>
      </c>
      <c r="F1346" s="95" t="s">
        <v>70</v>
      </c>
      <c r="G1346" s="96">
        <v>1161146278</v>
      </c>
      <c r="H1346" s="95"/>
      <c r="K1346" s="97"/>
    </row>
    <row r="1347" spans="1:11" x14ac:dyDescent="0.2">
      <c r="A1347" s="91">
        <v>2016</v>
      </c>
      <c r="B1347" s="92" t="s">
        <v>66</v>
      </c>
      <c r="C1347" s="92" t="s">
        <v>4</v>
      </c>
      <c r="D1347" s="92" t="s">
        <v>9</v>
      </c>
      <c r="E1347" s="92" t="s">
        <v>67</v>
      </c>
      <c r="F1347" s="92" t="s">
        <v>67</v>
      </c>
      <c r="G1347" s="93">
        <v>59188556625</v>
      </c>
      <c r="H1347" s="92"/>
      <c r="K1347" s="97"/>
    </row>
    <row r="1348" spans="1:11" x14ac:dyDescent="0.2">
      <c r="A1348" s="94">
        <v>2016</v>
      </c>
      <c r="B1348" s="95" t="s">
        <v>66</v>
      </c>
      <c r="C1348" s="95" t="s">
        <v>4</v>
      </c>
      <c r="D1348" s="95" t="s">
        <v>9</v>
      </c>
      <c r="E1348" s="95" t="s">
        <v>69</v>
      </c>
      <c r="F1348" s="95" t="s">
        <v>71</v>
      </c>
      <c r="G1348" s="96">
        <v>14540121612</v>
      </c>
      <c r="H1348" s="95"/>
      <c r="K1348" s="97"/>
    </row>
    <row r="1349" spans="1:11" x14ac:dyDescent="0.2">
      <c r="A1349" s="91">
        <v>2016</v>
      </c>
      <c r="B1349" s="92" t="s">
        <v>66</v>
      </c>
      <c r="C1349" s="92" t="s">
        <v>4</v>
      </c>
      <c r="D1349" s="92" t="s">
        <v>9</v>
      </c>
      <c r="E1349" s="92" t="s">
        <v>69</v>
      </c>
      <c r="F1349" s="92" t="s">
        <v>70</v>
      </c>
      <c r="G1349" s="93">
        <v>21853814111</v>
      </c>
      <c r="H1349" s="92"/>
      <c r="K1349" s="97"/>
    </row>
    <row r="1350" spans="1:11" x14ac:dyDescent="0.2">
      <c r="A1350" s="94">
        <v>2016</v>
      </c>
      <c r="B1350" s="95" t="s">
        <v>66</v>
      </c>
      <c r="C1350" s="95" t="s">
        <v>4</v>
      </c>
      <c r="D1350" s="95" t="s">
        <v>10</v>
      </c>
      <c r="E1350" s="95" t="s">
        <v>67</v>
      </c>
      <c r="F1350" s="95" t="s">
        <v>67</v>
      </c>
      <c r="G1350" s="96">
        <v>1394996852</v>
      </c>
      <c r="H1350" s="95"/>
      <c r="K1350" s="97"/>
    </row>
    <row r="1351" spans="1:11" x14ac:dyDescent="0.2">
      <c r="A1351" s="91">
        <v>2016</v>
      </c>
      <c r="B1351" s="92" t="s">
        <v>66</v>
      </c>
      <c r="C1351" s="92" t="s">
        <v>4</v>
      </c>
      <c r="D1351" s="92" t="s">
        <v>10</v>
      </c>
      <c r="E1351" s="92" t="s">
        <v>69</v>
      </c>
      <c r="F1351" s="92" t="s">
        <v>71</v>
      </c>
      <c r="G1351" s="93">
        <v>194478973</v>
      </c>
      <c r="H1351" s="92"/>
      <c r="K1351" s="97"/>
    </row>
    <row r="1352" spans="1:11" x14ac:dyDescent="0.2">
      <c r="A1352" s="94">
        <v>2016</v>
      </c>
      <c r="B1352" s="95" t="s">
        <v>66</v>
      </c>
      <c r="C1352" s="95" t="s">
        <v>4</v>
      </c>
      <c r="D1352" s="95" t="s">
        <v>10</v>
      </c>
      <c r="E1352" s="95" t="s">
        <v>69</v>
      </c>
      <c r="F1352" s="95" t="s">
        <v>70</v>
      </c>
      <c r="G1352" s="96">
        <v>51696942</v>
      </c>
      <c r="H1352" s="95"/>
      <c r="K1352" s="97"/>
    </row>
    <row r="1353" spans="1:11" x14ac:dyDescent="0.2">
      <c r="A1353" s="91">
        <v>2016</v>
      </c>
      <c r="B1353" s="92" t="s">
        <v>66</v>
      </c>
      <c r="C1353" s="92" t="s">
        <v>4</v>
      </c>
      <c r="D1353" s="92" t="s">
        <v>11</v>
      </c>
      <c r="E1353" s="92" t="s">
        <v>67</v>
      </c>
      <c r="F1353" s="92" t="s">
        <v>67</v>
      </c>
      <c r="G1353" s="93">
        <v>5043268800</v>
      </c>
      <c r="H1353" s="92"/>
      <c r="K1353" s="97"/>
    </row>
    <row r="1354" spans="1:11" x14ac:dyDescent="0.2">
      <c r="A1354" s="94">
        <v>2016</v>
      </c>
      <c r="B1354" s="95" t="s">
        <v>66</v>
      </c>
      <c r="C1354" s="95" t="s">
        <v>4</v>
      </c>
      <c r="D1354" s="95" t="s">
        <v>11</v>
      </c>
      <c r="E1354" s="95" t="s">
        <v>69</v>
      </c>
      <c r="F1354" s="95" t="s">
        <v>71</v>
      </c>
      <c r="G1354" s="96">
        <v>1068780713</v>
      </c>
      <c r="H1354" s="95"/>
      <c r="K1354" s="97"/>
    </row>
    <row r="1355" spans="1:11" x14ac:dyDescent="0.2">
      <c r="A1355" s="91">
        <v>2016</v>
      </c>
      <c r="B1355" s="92" t="s">
        <v>66</v>
      </c>
      <c r="C1355" s="92" t="s">
        <v>4</v>
      </c>
      <c r="D1355" s="92" t="s">
        <v>11</v>
      </c>
      <c r="E1355" s="92" t="s">
        <v>69</v>
      </c>
      <c r="F1355" s="92" t="s">
        <v>70</v>
      </c>
      <c r="G1355" s="93">
        <v>2302230662</v>
      </c>
      <c r="H1355" s="92"/>
      <c r="K1355" s="97"/>
    </row>
    <row r="1356" spans="1:11" x14ac:dyDescent="0.2">
      <c r="A1356" s="94">
        <v>2016</v>
      </c>
      <c r="B1356" s="95" t="s">
        <v>66</v>
      </c>
      <c r="C1356" s="95" t="s">
        <v>4</v>
      </c>
      <c r="D1356" s="95" t="s">
        <v>12</v>
      </c>
      <c r="E1356" s="95" t="s">
        <v>67</v>
      </c>
      <c r="F1356" s="95" t="s">
        <v>67</v>
      </c>
      <c r="G1356" s="96">
        <v>7064411050</v>
      </c>
      <c r="H1356" s="95"/>
      <c r="K1356" s="97"/>
    </row>
    <row r="1357" spans="1:11" x14ac:dyDescent="0.2">
      <c r="A1357" s="91">
        <v>2016</v>
      </c>
      <c r="B1357" s="92" t="s">
        <v>66</v>
      </c>
      <c r="C1357" s="92" t="s">
        <v>4</v>
      </c>
      <c r="D1357" s="92" t="s">
        <v>12</v>
      </c>
      <c r="E1357" s="92" t="s">
        <v>69</v>
      </c>
      <c r="F1357" s="92" t="s">
        <v>71</v>
      </c>
      <c r="G1357" s="93">
        <v>1161651187</v>
      </c>
      <c r="H1357" s="92"/>
      <c r="K1357" s="97"/>
    </row>
    <row r="1358" spans="1:11" x14ac:dyDescent="0.2">
      <c r="A1358" s="94">
        <v>2016</v>
      </c>
      <c r="B1358" s="95" t="s">
        <v>66</v>
      </c>
      <c r="C1358" s="95" t="s">
        <v>4</v>
      </c>
      <c r="D1358" s="95" t="s">
        <v>12</v>
      </c>
      <c r="E1358" s="95" t="s">
        <v>69</v>
      </c>
      <c r="F1358" s="95" t="s">
        <v>70</v>
      </c>
      <c r="G1358" s="96">
        <v>3028301587</v>
      </c>
      <c r="H1358" s="95"/>
      <c r="K1358" s="97"/>
    </row>
    <row r="1359" spans="1:11" x14ac:dyDescent="0.2">
      <c r="A1359" s="91">
        <v>2016</v>
      </c>
      <c r="B1359" s="92" t="s">
        <v>66</v>
      </c>
      <c r="C1359" s="92" t="s">
        <v>4</v>
      </c>
      <c r="D1359" s="92" t="s">
        <v>13</v>
      </c>
      <c r="E1359" s="92" t="s">
        <v>67</v>
      </c>
      <c r="F1359" s="92" t="s">
        <v>67</v>
      </c>
      <c r="G1359" s="93">
        <v>9766619137</v>
      </c>
      <c r="H1359" s="92"/>
      <c r="K1359" s="97"/>
    </row>
    <row r="1360" spans="1:11" x14ac:dyDescent="0.2">
      <c r="A1360" s="94">
        <v>2016</v>
      </c>
      <c r="B1360" s="95" t="s">
        <v>66</v>
      </c>
      <c r="C1360" s="95" t="s">
        <v>4</v>
      </c>
      <c r="D1360" s="95" t="s">
        <v>13</v>
      </c>
      <c r="E1360" s="95" t="s">
        <v>69</v>
      </c>
      <c r="F1360" s="95" t="s">
        <v>71</v>
      </c>
      <c r="G1360" s="96">
        <v>1233932535</v>
      </c>
      <c r="H1360" s="95"/>
      <c r="K1360" s="97"/>
    </row>
    <row r="1361" spans="1:11" x14ac:dyDescent="0.2">
      <c r="A1361" s="91">
        <v>2016</v>
      </c>
      <c r="B1361" s="92" t="s">
        <v>66</v>
      </c>
      <c r="C1361" s="92" t="s">
        <v>4</v>
      </c>
      <c r="D1361" s="92" t="s">
        <v>13</v>
      </c>
      <c r="E1361" s="92" t="s">
        <v>69</v>
      </c>
      <c r="F1361" s="92" t="s">
        <v>70</v>
      </c>
      <c r="G1361" s="93">
        <v>3800338302</v>
      </c>
      <c r="H1361" s="92"/>
      <c r="K1361" s="97"/>
    </row>
    <row r="1362" spans="1:11" x14ac:dyDescent="0.2">
      <c r="A1362" s="94">
        <v>2016</v>
      </c>
      <c r="B1362" s="95" t="s">
        <v>66</v>
      </c>
      <c r="C1362" s="95" t="s">
        <v>4</v>
      </c>
      <c r="D1362" s="95" t="s">
        <v>14</v>
      </c>
      <c r="E1362" s="95" t="s">
        <v>67</v>
      </c>
      <c r="F1362" s="95" t="s">
        <v>67</v>
      </c>
      <c r="G1362" s="96">
        <v>7405957430</v>
      </c>
      <c r="H1362" s="95"/>
      <c r="K1362" s="97"/>
    </row>
    <row r="1363" spans="1:11" x14ac:dyDescent="0.2">
      <c r="A1363" s="91">
        <v>2016</v>
      </c>
      <c r="B1363" s="92" t="s">
        <v>66</v>
      </c>
      <c r="C1363" s="92" t="s">
        <v>4</v>
      </c>
      <c r="D1363" s="92" t="s">
        <v>14</v>
      </c>
      <c r="E1363" s="92" t="s">
        <v>69</v>
      </c>
      <c r="F1363" s="92" t="s">
        <v>71</v>
      </c>
      <c r="G1363" s="93">
        <v>555286040</v>
      </c>
      <c r="H1363" s="92"/>
      <c r="K1363" s="97"/>
    </row>
    <row r="1364" spans="1:11" x14ac:dyDescent="0.2">
      <c r="A1364" s="94">
        <v>2016</v>
      </c>
      <c r="B1364" s="95" t="s">
        <v>66</v>
      </c>
      <c r="C1364" s="95" t="s">
        <v>4</v>
      </c>
      <c r="D1364" s="95" t="s">
        <v>14</v>
      </c>
      <c r="E1364" s="95" t="s">
        <v>69</v>
      </c>
      <c r="F1364" s="95" t="s">
        <v>70</v>
      </c>
      <c r="G1364" s="96">
        <v>1131823548</v>
      </c>
      <c r="H1364" s="95"/>
      <c r="K1364" s="97"/>
    </row>
    <row r="1365" spans="1:11" x14ac:dyDescent="0.2">
      <c r="A1365" s="91">
        <v>2016</v>
      </c>
      <c r="B1365" s="92" t="s">
        <v>66</v>
      </c>
      <c r="C1365" s="92" t="s">
        <v>4</v>
      </c>
      <c r="D1365" s="92" t="s">
        <v>15</v>
      </c>
      <c r="E1365" s="92" t="s">
        <v>67</v>
      </c>
      <c r="F1365" s="92" t="s">
        <v>67</v>
      </c>
      <c r="G1365" s="93">
        <v>8498553210</v>
      </c>
      <c r="H1365" s="92"/>
      <c r="K1365" s="97"/>
    </row>
    <row r="1366" spans="1:11" x14ac:dyDescent="0.2">
      <c r="A1366" s="94">
        <v>2016</v>
      </c>
      <c r="B1366" s="95" t="s">
        <v>66</v>
      </c>
      <c r="C1366" s="95" t="s">
        <v>4</v>
      </c>
      <c r="D1366" s="95" t="s">
        <v>15</v>
      </c>
      <c r="E1366" s="95" t="s">
        <v>69</v>
      </c>
      <c r="F1366" s="95" t="s">
        <v>71</v>
      </c>
      <c r="G1366" s="96">
        <v>2241936017</v>
      </c>
      <c r="H1366" s="95"/>
      <c r="K1366" s="97"/>
    </row>
    <row r="1367" spans="1:11" x14ac:dyDescent="0.2">
      <c r="A1367" s="91">
        <v>2016</v>
      </c>
      <c r="B1367" s="92" t="s">
        <v>66</v>
      </c>
      <c r="C1367" s="92" t="s">
        <v>4</v>
      </c>
      <c r="D1367" s="92" t="s">
        <v>15</v>
      </c>
      <c r="E1367" s="92" t="s">
        <v>69</v>
      </c>
      <c r="F1367" s="92" t="s">
        <v>70</v>
      </c>
      <c r="G1367" s="93">
        <v>1694214602</v>
      </c>
      <c r="H1367" s="92"/>
      <c r="K1367" s="97"/>
    </row>
    <row r="1368" spans="1:11" x14ac:dyDescent="0.2">
      <c r="A1368" s="94">
        <v>2016</v>
      </c>
      <c r="B1368" s="95" t="s">
        <v>66</v>
      </c>
      <c r="C1368" s="95" t="s">
        <v>17</v>
      </c>
      <c r="D1368" s="95" t="s">
        <v>16</v>
      </c>
      <c r="E1368" s="95" t="s">
        <v>67</v>
      </c>
      <c r="F1368" s="95" t="s">
        <v>67</v>
      </c>
      <c r="G1368" s="96">
        <v>950530310</v>
      </c>
      <c r="H1368" s="95"/>
      <c r="K1368" s="97"/>
    </row>
    <row r="1369" spans="1:11" x14ac:dyDescent="0.2">
      <c r="A1369" s="91">
        <v>2016</v>
      </c>
      <c r="B1369" s="92" t="s">
        <v>66</v>
      </c>
      <c r="C1369" s="92" t="s">
        <v>17</v>
      </c>
      <c r="D1369" s="92" t="s">
        <v>16</v>
      </c>
      <c r="E1369" s="92" t="s">
        <v>69</v>
      </c>
      <c r="F1369" s="92" t="s">
        <v>71</v>
      </c>
      <c r="G1369" s="93">
        <v>164875931</v>
      </c>
      <c r="H1369" s="92"/>
      <c r="K1369" s="97"/>
    </row>
    <row r="1370" spans="1:11" x14ac:dyDescent="0.2">
      <c r="A1370" s="94">
        <v>2016</v>
      </c>
      <c r="B1370" s="95" t="s">
        <v>66</v>
      </c>
      <c r="C1370" s="95" t="s">
        <v>17</v>
      </c>
      <c r="D1370" s="95" t="s">
        <v>16</v>
      </c>
      <c r="E1370" s="95" t="s">
        <v>69</v>
      </c>
      <c r="F1370" s="95" t="s">
        <v>70</v>
      </c>
      <c r="G1370" s="96">
        <v>203972087</v>
      </c>
      <c r="H1370" s="95"/>
      <c r="K1370" s="97"/>
    </row>
    <row r="1371" spans="1:11" x14ac:dyDescent="0.2">
      <c r="A1371" s="91">
        <v>2016</v>
      </c>
      <c r="B1371" s="92" t="s">
        <v>66</v>
      </c>
      <c r="C1371" s="92" t="s">
        <v>17</v>
      </c>
      <c r="D1371" s="92" t="s">
        <v>18</v>
      </c>
      <c r="E1371" s="92" t="s">
        <v>67</v>
      </c>
      <c r="F1371" s="92" t="s">
        <v>67</v>
      </c>
      <c r="G1371" s="93">
        <v>2045064715</v>
      </c>
      <c r="H1371" s="92"/>
      <c r="K1371" s="97"/>
    </row>
    <row r="1372" spans="1:11" x14ac:dyDescent="0.2">
      <c r="A1372" s="94">
        <v>2016</v>
      </c>
      <c r="B1372" s="95" t="s">
        <v>66</v>
      </c>
      <c r="C1372" s="95" t="s">
        <v>17</v>
      </c>
      <c r="D1372" s="95" t="s">
        <v>18</v>
      </c>
      <c r="E1372" s="95" t="s">
        <v>69</v>
      </c>
      <c r="F1372" s="95" t="s">
        <v>71</v>
      </c>
      <c r="G1372" s="96">
        <v>478044658</v>
      </c>
      <c r="H1372" s="95"/>
      <c r="K1372" s="97"/>
    </row>
    <row r="1373" spans="1:11" x14ac:dyDescent="0.2">
      <c r="A1373" s="91">
        <v>2016</v>
      </c>
      <c r="B1373" s="92" t="s">
        <v>66</v>
      </c>
      <c r="C1373" s="92" t="s">
        <v>17</v>
      </c>
      <c r="D1373" s="92" t="s">
        <v>18</v>
      </c>
      <c r="E1373" s="92" t="s">
        <v>69</v>
      </c>
      <c r="F1373" s="92" t="s">
        <v>70</v>
      </c>
      <c r="G1373" s="93">
        <v>570957311</v>
      </c>
      <c r="H1373" s="92"/>
      <c r="K1373" s="97"/>
    </row>
    <row r="1374" spans="1:11" x14ac:dyDescent="0.2">
      <c r="A1374" s="94">
        <v>2016</v>
      </c>
      <c r="B1374" s="95" t="s">
        <v>66</v>
      </c>
      <c r="C1374" s="95" t="s">
        <v>17</v>
      </c>
      <c r="D1374" s="95" t="s">
        <v>19</v>
      </c>
      <c r="E1374" s="95" t="s">
        <v>67</v>
      </c>
      <c r="F1374" s="95" t="s">
        <v>67</v>
      </c>
      <c r="G1374" s="96">
        <v>5400596004</v>
      </c>
      <c r="H1374" s="95"/>
      <c r="K1374" s="97"/>
    </row>
    <row r="1375" spans="1:11" x14ac:dyDescent="0.2">
      <c r="A1375" s="91">
        <v>2016</v>
      </c>
      <c r="B1375" s="92" t="s">
        <v>66</v>
      </c>
      <c r="C1375" s="92" t="s">
        <v>17</v>
      </c>
      <c r="D1375" s="92" t="s">
        <v>19</v>
      </c>
      <c r="E1375" s="92" t="s">
        <v>69</v>
      </c>
      <c r="F1375" s="92" t="s">
        <v>71</v>
      </c>
      <c r="G1375" s="93">
        <v>998405834</v>
      </c>
      <c r="H1375" s="92"/>
      <c r="K1375" s="97"/>
    </row>
    <row r="1376" spans="1:11" x14ac:dyDescent="0.2">
      <c r="A1376" s="94">
        <v>2016</v>
      </c>
      <c r="B1376" s="95" t="s">
        <v>66</v>
      </c>
      <c r="C1376" s="95" t="s">
        <v>17</v>
      </c>
      <c r="D1376" s="95" t="s">
        <v>19</v>
      </c>
      <c r="E1376" s="95" t="s">
        <v>69</v>
      </c>
      <c r="F1376" s="95" t="s">
        <v>70</v>
      </c>
      <c r="G1376" s="96">
        <v>527475999</v>
      </c>
      <c r="H1376" s="95"/>
      <c r="K1376" s="97"/>
    </row>
    <row r="1377" spans="1:11" x14ac:dyDescent="0.2">
      <c r="A1377" s="91">
        <v>2016</v>
      </c>
      <c r="B1377" s="92" t="s">
        <v>66</v>
      </c>
      <c r="C1377" s="92" t="s">
        <v>17</v>
      </c>
      <c r="D1377" s="92" t="s">
        <v>20</v>
      </c>
      <c r="E1377" s="92" t="s">
        <v>67</v>
      </c>
      <c r="F1377" s="92" t="s">
        <v>67</v>
      </c>
      <c r="G1377" s="93">
        <v>1321195212</v>
      </c>
      <c r="H1377" s="92"/>
      <c r="K1377" s="97"/>
    </row>
    <row r="1378" spans="1:11" x14ac:dyDescent="0.2">
      <c r="A1378" s="94">
        <v>2016</v>
      </c>
      <c r="B1378" s="95" t="s">
        <v>66</v>
      </c>
      <c r="C1378" s="95" t="s">
        <v>17</v>
      </c>
      <c r="D1378" s="95" t="s">
        <v>20</v>
      </c>
      <c r="E1378" s="95" t="s">
        <v>69</v>
      </c>
      <c r="F1378" s="95" t="s">
        <v>71</v>
      </c>
      <c r="G1378" s="96">
        <v>239512317</v>
      </c>
      <c r="H1378" s="95"/>
      <c r="K1378" s="97"/>
    </row>
    <row r="1379" spans="1:11" x14ac:dyDescent="0.2">
      <c r="A1379" s="91">
        <v>2016</v>
      </c>
      <c r="B1379" s="92" t="s">
        <v>66</v>
      </c>
      <c r="C1379" s="92" t="s">
        <v>17</v>
      </c>
      <c r="D1379" s="92" t="s">
        <v>20</v>
      </c>
      <c r="E1379" s="92" t="s">
        <v>69</v>
      </c>
      <c r="F1379" s="92" t="s">
        <v>70</v>
      </c>
      <c r="G1379" s="93">
        <v>765516919</v>
      </c>
      <c r="H1379" s="92"/>
      <c r="K1379" s="97"/>
    </row>
    <row r="1380" spans="1:11" x14ac:dyDescent="0.2">
      <c r="A1380" s="94">
        <v>2016</v>
      </c>
      <c r="B1380" s="95" t="s">
        <v>66</v>
      </c>
      <c r="C1380" s="95" t="s">
        <v>17</v>
      </c>
      <c r="D1380" s="95" t="s">
        <v>21</v>
      </c>
      <c r="E1380" s="95" t="s">
        <v>67</v>
      </c>
      <c r="F1380" s="95" t="s">
        <v>67</v>
      </c>
      <c r="G1380" s="96">
        <v>3332663633</v>
      </c>
      <c r="H1380" s="95"/>
      <c r="K1380" s="97"/>
    </row>
    <row r="1381" spans="1:11" x14ac:dyDescent="0.2">
      <c r="A1381" s="91">
        <v>2016</v>
      </c>
      <c r="B1381" s="92" t="s">
        <v>66</v>
      </c>
      <c r="C1381" s="92" t="s">
        <v>17</v>
      </c>
      <c r="D1381" s="92" t="s">
        <v>21</v>
      </c>
      <c r="E1381" s="92" t="s">
        <v>69</v>
      </c>
      <c r="F1381" s="92" t="s">
        <v>71</v>
      </c>
      <c r="G1381" s="93">
        <v>949653922</v>
      </c>
      <c r="H1381" s="92"/>
      <c r="K1381" s="97"/>
    </row>
    <row r="1382" spans="1:11" x14ac:dyDescent="0.2">
      <c r="A1382" s="94">
        <v>2016</v>
      </c>
      <c r="B1382" s="95" t="s">
        <v>66</v>
      </c>
      <c r="C1382" s="95" t="s">
        <v>17</v>
      </c>
      <c r="D1382" s="95" t="s">
        <v>21</v>
      </c>
      <c r="E1382" s="95" t="s">
        <v>69</v>
      </c>
      <c r="F1382" s="95" t="s">
        <v>70</v>
      </c>
      <c r="G1382" s="96">
        <v>878706278</v>
      </c>
      <c r="H1382" s="95"/>
      <c r="K1382" s="97"/>
    </row>
    <row r="1383" spans="1:11" x14ac:dyDescent="0.2">
      <c r="A1383" s="91">
        <v>2016</v>
      </c>
      <c r="B1383" s="92" t="s">
        <v>66</v>
      </c>
      <c r="C1383" s="92" t="s">
        <v>17</v>
      </c>
      <c r="D1383" s="92" t="s">
        <v>22</v>
      </c>
      <c r="E1383" s="92" t="s">
        <v>67</v>
      </c>
      <c r="F1383" s="92" t="s">
        <v>67</v>
      </c>
      <c r="G1383" s="93">
        <v>1128857912</v>
      </c>
      <c r="H1383" s="92"/>
      <c r="K1383" s="97"/>
    </row>
    <row r="1384" spans="1:11" x14ac:dyDescent="0.2">
      <c r="A1384" s="94">
        <v>2016</v>
      </c>
      <c r="B1384" s="95" t="s">
        <v>66</v>
      </c>
      <c r="C1384" s="95" t="s">
        <v>17</v>
      </c>
      <c r="D1384" s="95" t="s">
        <v>22</v>
      </c>
      <c r="E1384" s="95" t="s">
        <v>69</v>
      </c>
      <c r="F1384" s="95" t="s">
        <v>71</v>
      </c>
      <c r="G1384" s="96">
        <v>332407444</v>
      </c>
      <c r="H1384" s="95"/>
      <c r="K1384" s="97"/>
    </row>
    <row r="1385" spans="1:11" x14ac:dyDescent="0.2">
      <c r="A1385" s="91">
        <v>2016</v>
      </c>
      <c r="B1385" s="92" t="s">
        <v>66</v>
      </c>
      <c r="C1385" s="92" t="s">
        <v>17</v>
      </c>
      <c r="D1385" s="92" t="s">
        <v>22</v>
      </c>
      <c r="E1385" s="92" t="s">
        <v>69</v>
      </c>
      <c r="F1385" s="92" t="s">
        <v>70</v>
      </c>
      <c r="G1385" s="93">
        <v>410001824</v>
      </c>
      <c r="H1385" s="92"/>
      <c r="K1385" s="97"/>
    </row>
    <row r="1386" spans="1:11" x14ac:dyDescent="0.2">
      <c r="A1386" s="94">
        <v>2016</v>
      </c>
      <c r="B1386" s="95" t="s">
        <v>66</v>
      </c>
      <c r="C1386" s="95" t="s">
        <v>17</v>
      </c>
      <c r="D1386" s="95" t="s">
        <v>23</v>
      </c>
      <c r="E1386" s="95" t="s">
        <v>67</v>
      </c>
      <c r="F1386" s="95" t="s">
        <v>67</v>
      </c>
      <c r="G1386" s="96">
        <v>1861060634</v>
      </c>
      <c r="H1386" s="95"/>
      <c r="K1386" s="97"/>
    </row>
    <row r="1387" spans="1:11" x14ac:dyDescent="0.2">
      <c r="A1387" s="91">
        <v>2016</v>
      </c>
      <c r="B1387" s="92" t="s">
        <v>66</v>
      </c>
      <c r="C1387" s="92" t="s">
        <v>17</v>
      </c>
      <c r="D1387" s="92" t="s">
        <v>23</v>
      </c>
      <c r="E1387" s="92" t="s">
        <v>69</v>
      </c>
      <c r="F1387" s="92" t="s">
        <v>71</v>
      </c>
      <c r="G1387" s="93">
        <v>424767712</v>
      </c>
      <c r="H1387" s="92"/>
      <c r="K1387" s="97"/>
    </row>
    <row r="1388" spans="1:11" x14ac:dyDescent="0.2">
      <c r="A1388" s="94">
        <v>2016</v>
      </c>
      <c r="B1388" s="95" t="s">
        <v>66</v>
      </c>
      <c r="C1388" s="95" t="s">
        <v>17</v>
      </c>
      <c r="D1388" s="95" t="s">
        <v>23</v>
      </c>
      <c r="E1388" s="95" t="s">
        <v>69</v>
      </c>
      <c r="F1388" s="95" t="s">
        <v>70</v>
      </c>
      <c r="G1388" s="96">
        <v>569087818</v>
      </c>
      <c r="H1388" s="95"/>
      <c r="K1388" s="97"/>
    </row>
    <row r="1389" spans="1:11" x14ac:dyDescent="0.2">
      <c r="A1389" s="91">
        <v>2016</v>
      </c>
      <c r="B1389" s="92" t="s">
        <v>66</v>
      </c>
      <c r="C1389" s="92" t="s">
        <v>17</v>
      </c>
      <c r="D1389" s="92" t="s">
        <v>24</v>
      </c>
      <c r="E1389" s="92" t="s">
        <v>67</v>
      </c>
      <c r="F1389" s="92" t="s">
        <v>67</v>
      </c>
      <c r="G1389" s="93">
        <v>17261896915</v>
      </c>
      <c r="H1389" s="92"/>
      <c r="K1389" s="97"/>
    </row>
    <row r="1390" spans="1:11" x14ac:dyDescent="0.2">
      <c r="A1390" s="94">
        <v>2016</v>
      </c>
      <c r="B1390" s="95" t="s">
        <v>66</v>
      </c>
      <c r="C1390" s="95" t="s">
        <v>17</v>
      </c>
      <c r="D1390" s="95" t="s">
        <v>24</v>
      </c>
      <c r="E1390" s="95" t="s">
        <v>69</v>
      </c>
      <c r="F1390" s="95" t="s">
        <v>71</v>
      </c>
      <c r="G1390" s="96">
        <v>4094949814</v>
      </c>
      <c r="H1390" s="95"/>
      <c r="K1390" s="97"/>
    </row>
    <row r="1391" spans="1:11" x14ac:dyDescent="0.2">
      <c r="A1391" s="91">
        <v>2016</v>
      </c>
      <c r="B1391" s="92" t="s">
        <v>66</v>
      </c>
      <c r="C1391" s="92" t="s">
        <v>17</v>
      </c>
      <c r="D1391" s="92" t="s">
        <v>24</v>
      </c>
      <c r="E1391" s="92" t="s">
        <v>69</v>
      </c>
      <c r="F1391" s="92" t="s">
        <v>70</v>
      </c>
      <c r="G1391" s="93">
        <v>5116443014</v>
      </c>
      <c r="H1391" s="92"/>
      <c r="K1391" s="97"/>
    </row>
    <row r="1392" spans="1:11" x14ac:dyDescent="0.2">
      <c r="A1392" s="94">
        <v>2016</v>
      </c>
      <c r="B1392" s="95" t="s">
        <v>66</v>
      </c>
      <c r="C1392" s="95" t="s">
        <v>17</v>
      </c>
      <c r="D1392" s="95" t="s">
        <v>25</v>
      </c>
      <c r="E1392" s="95" t="s">
        <v>67</v>
      </c>
      <c r="F1392" s="95" t="s">
        <v>67</v>
      </c>
      <c r="G1392" s="96">
        <v>1738137447</v>
      </c>
      <c r="H1392" s="95"/>
      <c r="K1392" s="97"/>
    </row>
    <row r="1393" spans="1:11" x14ac:dyDescent="0.2">
      <c r="A1393" s="91">
        <v>2016</v>
      </c>
      <c r="B1393" s="92" t="s">
        <v>66</v>
      </c>
      <c r="C1393" s="92" t="s">
        <v>17</v>
      </c>
      <c r="D1393" s="92" t="s">
        <v>25</v>
      </c>
      <c r="E1393" s="92" t="s">
        <v>69</v>
      </c>
      <c r="F1393" s="92" t="s">
        <v>71</v>
      </c>
      <c r="G1393" s="93">
        <v>279018426</v>
      </c>
      <c r="H1393" s="92"/>
      <c r="K1393" s="97"/>
    </row>
    <row r="1394" spans="1:11" x14ac:dyDescent="0.2">
      <c r="A1394" s="94">
        <v>2016</v>
      </c>
      <c r="B1394" s="95" t="s">
        <v>66</v>
      </c>
      <c r="C1394" s="95" t="s">
        <v>17</v>
      </c>
      <c r="D1394" s="95" t="s">
        <v>25</v>
      </c>
      <c r="E1394" s="95" t="s">
        <v>69</v>
      </c>
      <c r="F1394" s="95" t="s">
        <v>70</v>
      </c>
      <c r="G1394" s="96">
        <v>243509374</v>
      </c>
      <c r="H1394" s="95"/>
      <c r="K1394" s="97"/>
    </row>
    <row r="1395" spans="1:11" x14ac:dyDescent="0.2">
      <c r="A1395" s="91">
        <v>2016</v>
      </c>
      <c r="B1395" s="92" t="s">
        <v>66</v>
      </c>
      <c r="C1395" s="92" t="s">
        <v>27</v>
      </c>
      <c r="D1395" s="92" t="s">
        <v>26</v>
      </c>
      <c r="E1395" s="92" t="s">
        <v>67</v>
      </c>
      <c r="F1395" s="92" t="s">
        <v>67</v>
      </c>
      <c r="G1395" s="93">
        <v>28213121105</v>
      </c>
      <c r="H1395" s="92"/>
      <c r="K1395" s="97"/>
    </row>
    <row r="1396" spans="1:11" x14ac:dyDescent="0.2">
      <c r="A1396" s="94">
        <v>2016</v>
      </c>
      <c r="B1396" s="95" t="s">
        <v>66</v>
      </c>
      <c r="C1396" s="95" t="s">
        <v>27</v>
      </c>
      <c r="D1396" s="95" t="s">
        <v>26</v>
      </c>
      <c r="E1396" s="95" t="s">
        <v>69</v>
      </c>
      <c r="F1396" s="95" t="s">
        <v>71</v>
      </c>
      <c r="G1396" s="96">
        <v>5865542410</v>
      </c>
      <c r="H1396" s="95"/>
      <c r="K1396" s="97"/>
    </row>
    <row r="1397" spans="1:11" x14ac:dyDescent="0.2">
      <c r="A1397" s="91">
        <v>2016</v>
      </c>
      <c r="B1397" s="92" t="s">
        <v>66</v>
      </c>
      <c r="C1397" s="92" t="s">
        <v>27</v>
      </c>
      <c r="D1397" s="92" t="s">
        <v>26</v>
      </c>
      <c r="E1397" s="92" t="s">
        <v>69</v>
      </c>
      <c r="F1397" s="92" t="s">
        <v>70</v>
      </c>
      <c r="G1397" s="93">
        <v>13834495537</v>
      </c>
      <c r="H1397" s="92"/>
      <c r="K1397" s="97"/>
    </row>
    <row r="1398" spans="1:11" x14ac:dyDescent="0.2">
      <c r="A1398" s="94">
        <v>2016</v>
      </c>
      <c r="B1398" s="95" t="s">
        <v>66</v>
      </c>
      <c r="C1398" s="95" t="s">
        <v>27</v>
      </c>
      <c r="D1398" s="95" t="s">
        <v>28</v>
      </c>
      <c r="E1398" s="95" t="s">
        <v>67</v>
      </c>
      <c r="F1398" s="95" t="s">
        <v>67</v>
      </c>
      <c r="G1398" s="96">
        <v>40650152327</v>
      </c>
      <c r="H1398" s="95"/>
      <c r="K1398" s="97"/>
    </row>
    <row r="1399" spans="1:11" x14ac:dyDescent="0.2">
      <c r="A1399" s="91">
        <v>2016</v>
      </c>
      <c r="B1399" s="92" t="s">
        <v>66</v>
      </c>
      <c r="C1399" s="92" t="s">
        <v>27</v>
      </c>
      <c r="D1399" s="92" t="s">
        <v>28</v>
      </c>
      <c r="E1399" s="92" t="s">
        <v>69</v>
      </c>
      <c r="F1399" s="92" t="s">
        <v>71</v>
      </c>
      <c r="G1399" s="93">
        <v>10840911101</v>
      </c>
      <c r="H1399" s="92"/>
      <c r="K1399" s="97"/>
    </row>
    <row r="1400" spans="1:11" x14ac:dyDescent="0.2">
      <c r="A1400" s="94">
        <v>2016</v>
      </c>
      <c r="B1400" s="95" t="s">
        <v>66</v>
      </c>
      <c r="C1400" s="95" t="s">
        <v>27</v>
      </c>
      <c r="D1400" s="95" t="s">
        <v>28</v>
      </c>
      <c r="E1400" s="95" t="s">
        <v>69</v>
      </c>
      <c r="F1400" s="95" t="s">
        <v>70</v>
      </c>
      <c r="G1400" s="96">
        <v>16299522296</v>
      </c>
      <c r="H1400" s="95"/>
      <c r="K1400" s="97"/>
    </row>
    <row r="1401" spans="1:11" x14ac:dyDescent="0.2">
      <c r="A1401" s="91">
        <v>2016</v>
      </c>
      <c r="B1401" s="92" t="s">
        <v>66</v>
      </c>
      <c r="C1401" s="92" t="s">
        <v>27</v>
      </c>
      <c r="D1401" s="92" t="s">
        <v>29</v>
      </c>
      <c r="E1401" s="92" t="s">
        <v>67</v>
      </c>
      <c r="F1401" s="92" t="s">
        <v>67</v>
      </c>
      <c r="G1401" s="93">
        <v>15282170188</v>
      </c>
      <c r="H1401" s="92"/>
      <c r="K1401" s="97"/>
    </row>
    <row r="1402" spans="1:11" x14ac:dyDescent="0.2">
      <c r="A1402" s="94">
        <v>2016</v>
      </c>
      <c r="B1402" s="95" t="s">
        <v>66</v>
      </c>
      <c r="C1402" s="95" t="s">
        <v>27</v>
      </c>
      <c r="D1402" s="95" t="s">
        <v>29</v>
      </c>
      <c r="E1402" s="95" t="s">
        <v>69</v>
      </c>
      <c r="F1402" s="95" t="s">
        <v>71</v>
      </c>
      <c r="G1402" s="96">
        <v>4682928867</v>
      </c>
      <c r="H1402" s="95"/>
      <c r="K1402" s="97"/>
    </row>
    <row r="1403" spans="1:11" x14ac:dyDescent="0.2">
      <c r="A1403" s="91">
        <v>2016</v>
      </c>
      <c r="B1403" s="92" t="s">
        <v>66</v>
      </c>
      <c r="C1403" s="92" t="s">
        <v>27</v>
      </c>
      <c r="D1403" s="92" t="s">
        <v>29</v>
      </c>
      <c r="E1403" s="92" t="s">
        <v>69</v>
      </c>
      <c r="F1403" s="92" t="s">
        <v>70</v>
      </c>
      <c r="G1403" s="93">
        <v>3904790138</v>
      </c>
      <c r="H1403" s="92"/>
      <c r="K1403" s="97"/>
    </row>
    <row r="1404" spans="1:11" x14ac:dyDescent="0.2">
      <c r="A1404" s="94">
        <v>2016</v>
      </c>
      <c r="B1404" s="95" t="s">
        <v>66</v>
      </c>
      <c r="C1404" s="95" t="s">
        <v>27</v>
      </c>
      <c r="D1404" s="95" t="s">
        <v>30</v>
      </c>
      <c r="E1404" s="95" t="s">
        <v>67</v>
      </c>
      <c r="F1404" s="95" t="s">
        <v>67</v>
      </c>
      <c r="G1404" s="96">
        <v>32874882640</v>
      </c>
      <c r="H1404" s="95"/>
      <c r="K1404" s="97"/>
    </row>
    <row r="1405" spans="1:11" x14ac:dyDescent="0.2">
      <c r="A1405" s="91">
        <v>2016</v>
      </c>
      <c r="B1405" s="92" t="s">
        <v>66</v>
      </c>
      <c r="C1405" s="92" t="s">
        <v>27</v>
      </c>
      <c r="D1405" s="92" t="s">
        <v>30</v>
      </c>
      <c r="E1405" s="92" t="s">
        <v>69</v>
      </c>
      <c r="F1405" s="92" t="s">
        <v>71</v>
      </c>
      <c r="G1405" s="93">
        <v>8335959271</v>
      </c>
      <c r="H1405" s="92"/>
      <c r="K1405" s="97"/>
    </row>
    <row r="1406" spans="1:11" x14ac:dyDescent="0.2">
      <c r="A1406" s="94">
        <v>2016</v>
      </c>
      <c r="B1406" s="95" t="s">
        <v>66</v>
      </c>
      <c r="C1406" s="95" t="s">
        <v>27</v>
      </c>
      <c r="D1406" s="95" t="s">
        <v>30</v>
      </c>
      <c r="E1406" s="95" t="s">
        <v>69</v>
      </c>
      <c r="F1406" s="95" t="s">
        <v>70</v>
      </c>
      <c r="G1406" s="96">
        <v>15674977907</v>
      </c>
      <c r="H1406" s="95"/>
      <c r="K1406" s="97"/>
    </row>
    <row r="1407" spans="1:11" x14ac:dyDescent="0.2">
      <c r="A1407" s="91">
        <v>2016</v>
      </c>
      <c r="B1407" s="92" t="s">
        <v>66</v>
      </c>
      <c r="C1407" s="92" t="s">
        <v>27</v>
      </c>
      <c r="D1407" s="92" t="s">
        <v>31</v>
      </c>
      <c r="E1407" s="92" t="s">
        <v>67</v>
      </c>
      <c r="F1407" s="92" t="s">
        <v>67</v>
      </c>
      <c r="G1407" s="93">
        <v>10098312379</v>
      </c>
      <c r="H1407" s="92"/>
      <c r="K1407" s="97"/>
    </row>
    <row r="1408" spans="1:11" x14ac:dyDescent="0.2">
      <c r="A1408" s="94">
        <v>2016</v>
      </c>
      <c r="B1408" s="95" t="s">
        <v>66</v>
      </c>
      <c r="C1408" s="95" t="s">
        <v>27</v>
      </c>
      <c r="D1408" s="95" t="s">
        <v>31</v>
      </c>
      <c r="E1408" s="95" t="s">
        <v>69</v>
      </c>
      <c r="F1408" s="95" t="s">
        <v>71</v>
      </c>
      <c r="G1408" s="96">
        <v>4031554292</v>
      </c>
      <c r="H1408" s="95"/>
      <c r="K1408" s="97"/>
    </row>
    <row r="1409" spans="1:11" x14ac:dyDescent="0.2">
      <c r="A1409" s="91">
        <v>2016</v>
      </c>
      <c r="B1409" s="92" t="s">
        <v>66</v>
      </c>
      <c r="C1409" s="92" t="s">
        <v>27</v>
      </c>
      <c r="D1409" s="92" t="s">
        <v>31</v>
      </c>
      <c r="E1409" s="92" t="s">
        <v>69</v>
      </c>
      <c r="F1409" s="92" t="s">
        <v>70</v>
      </c>
      <c r="G1409" s="93">
        <v>7162766781</v>
      </c>
      <c r="H1409" s="92"/>
      <c r="K1409" s="97"/>
    </row>
    <row r="1410" spans="1:11" x14ac:dyDescent="0.2">
      <c r="A1410" s="94">
        <v>2016</v>
      </c>
      <c r="B1410" s="95" t="s">
        <v>66</v>
      </c>
      <c r="C1410" s="95" t="s">
        <v>27</v>
      </c>
      <c r="D1410" s="95" t="s">
        <v>32</v>
      </c>
      <c r="E1410" s="95" t="s">
        <v>67</v>
      </c>
      <c r="F1410" s="95" t="s">
        <v>67</v>
      </c>
      <c r="G1410" s="96">
        <v>15470461443</v>
      </c>
      <c r="H1410" s="95"/>
      <c r="K1410" s="97"/>
    </row>
    <row r="1411" spans="1:11" x14ac:dyDescent="0.2">
      <c r="A1411" s="91">
        <v>2016</v>
      </c>
      <c r="B1411" s="92" t="s">
        <v>66</v>
      </c>
      <c r="C1411" s="92" t="s">
        <v>27</v>
      </c>
      <c r="D1411" s="92" t="s">
        <v>32</v>
      </c>
      <c r="E1411" s="92" t="s">
        <v>69</v>
      </c>
      <c r="F1411" s="92" t="s">
        <v>71</v>
      </c>
      <c r="G1411" s="93">
        <v>5944197468</v>
      </c>
      <c r="H1411" s="92"/>
      <c r="K1411" s="97"/>
    </row>
    <row r="1412" spans="1:11" x14ac:dyDescent="0.2">
      <c r="A1412" s="94">
        <v>2016</v>
      </c>
      <c r="B1412" s="95" t="s">
        <v>66</v>
      </c>
      <c r="C1412" s="95" t="s">
        <v>27</v>
      </c>
      <c r="D1412" s="95" t="s">
        <v>32</v>
      </c>
      <c r="E1412" s="95" t="s">
        <v>69</v>
      </c>
      <c r="F1412" s="95" t="s">
        <v>70</v>
      </c>
      <c r="G1412" s="96">
        <v>5431643496</v>
      </c>
      <c r="H1412" s="95"/>
      <c r="K1412" s="97"/>
    </row>
    <row r="1413" spans="1:11" x14ac:dyDescent="0.2">
      <c r="A1413" s="91">
        <v>2016</v>
      </c>
      <c r="B1413" s="92" t="s">
        <v>66</v>
      </c>
      <c r="C1413" s="92" t="s">
        <v>27</v>
      </c>
      <c r="D1413" s="92" t="s">
        <v>33</v>
      </c>
      <c r="E1413" s="92" t="s">
        <v>67</v>
      </c>
      <c r="F1413" s="92" t="s">
        <v>67</v>
      </c>
      <c r="G1413" s="93">
        <v>25753688863</v>
      </c>
      <c r="H1413" s="92"/>
      <c r="K1413" s="97"/>
    </row>
    <row r="1414" spans="1:11" x14ac:dyDescent="0.2">
      <c r="A1414" s="94">
        <v>2016</v>
      </c>
      <c r="B1414" s="95" t="s">
        <v>66</v>
      </c>
      <c r="C1414" s="95" t="s">
        <v>27</v>
      </c>
      <c r="D1414" s="95" t="s">
        <v>33</v>
      </c>
      <c r="E1414" s="95" t="s">
        <v>69</v>
      </c>
      <c r="F1414" s="95" t="s">
        <v>71</v>
      </c>
      <c r="G1414" s="96">
        <v>10340858824</v>
      </c>
      <c r="H1414" s="95"/>
      <c r="K1414" s="97"/>
    </row>
    <row r="1415" spans="1:11" x14ac:dyDescent="0.2">
      <c r="A1415" s="91">
        <v>2016</v>
      </c>
      <c r="B1415" s="92" t="s">
        <v>66</v>
      </c>
      <c r="C1415" s="92" t="s">
        <v>27</v>
      </c>
      <c r="D1415" s="92" t="s">
        <v>33</v>
      </c>
      <c r="E1415" s="92" t="s">
        <v>69</v>
      </c>
      <c r="F1415" s="92" t="s">
        <v>70</v>
      </c>
      <c r="G1415" s="93">
        <v>25332061660</v>
      </c>
      <c r="H1415" s="92"/>
      <c r="K1415" s="97"/>
    </row>
    <row r="1416" spans="1:11" x14ac:dyDescent="0.2">
      <c r="A1416" s="94">
        <v>2016</v>
      </c>
      <c r="B1416" s="95" t="s">
        <v>66</v>
      </c>
      <c r="C1416" s="95" t="s">
        <v>35</v>
      </c>
      <c r="D1416" s="95" t="s">
        <v>34</v>
      </c>
      <c r="E1416" s="95" t="s">
        <v>67</v>
      </c>
      <c r="F1416" s="95" t="s">
        <v>67</v>
      </c>
      <c r="G1416" s="96">
        <v>3105416673</v>
      </c>
      <c r="H1416" s="95"/>
      <c r="K1416" s="97"/>
    </row>
    <row r="1417" spans="1:11" x14ac:dyDescent="0.2">
      <c r="A1417" s="91">
        <v>2016</v>
      </c>
      <c r="B1417" s="92" t="s">
        <v>66</v>
      </c>
      <c r="C1417" s="92" t="s">
        <v>35</v>
      </c>
      <c r="D1417" s="92" t="s">
        <v>34</v>
      </c>
      <c r="E1417" s="92" t="s">
        <v>69</v>
      </c>
      <c r="F1417" s="92" t="s">
        <v>71</v>
      </c>
      <c r="G1417" s="93">
        <v>575617134</v>
      </c>
      <c r="H1417" s="92"/>
      <c r="K1417" s="97"/>
    </row>
    <row r="1418" spans="1:11" x14ac:dyDescent="0.2">
      <c r="A1418" s="94">
        <v>2016</v>
      </c>
      <c r="B1418" s="95" t="s">
        <v>66</v>
      </c>
      <c r="C1418" s="95" t="s">
        <v>35</v>
      </c>
      <c r="D1418" s="95" t="s">
        <v>34</v>
      </c>
      <c r="E1418" s="95" t="s">
        <v>69</v>
      </c>
      <c r="F1418" s="95" t="s">
        <v>70</v>
      </c>
      <c r="G1418" s="96">
        <v>435736190</v>
      </c>
      <c r="H1418" s="95"/>
      <c r="K1418" s="97"/>
    </row>
    <row r="1419" spans="1:11" x14ac:dyDescent="0.2">
      <c r="A1419" s="91">
        <v>2016</v>
      </c>
      <c r="B1419" s="92" t="s">
        <v>66</v>
      </c>
      <c r="C1419" s="92" t="s">
        <v>35</v>
      </c>
      <c r="D1419" s="92" t="s">
        <v>36</v>
      </c>
      <c r="E1419" s="92" t="s">
        <v>67</v>
      </c>
      <c r="F1419" s="92" t="s">
        <v>67</v>
      </c>
      <c r="G1419" s="93">
        <v>11383405061</v>
      </c>
      <c r="H1419" s="92"/>
      <c r="K1419" s="97"/>
    </row>
    <row r="1420" spans="1:11" x14ac:dyDescent="0.2">
      <c r="A1420" s="94">
        <v>2016</v>
      </c>
      <c r="B1420" s="95" t="s">
        <v>66</v>
      </c>
      <c r="C1420" s="95" t="s">
        <v>35</v>
      </c>
      <c r="D1420" s="95" t="s">
        <v>36</v>
      </c>
      <c r="E1420" s="95" t="s">
        <v>69</v>
      </c>
      <c r="F1420" s="95" t="s">
        <v>71</v>
      </c>
      <c r="G1420" s="96">
        <v>3967964739</v>
      </c>
      <c r="H1420" s="95"/>
      <c r="K1420" s="97"/>
    </row>
    <row r="1421" spans="1:11" x14ac:dyDescent="0.2">
      <c r="A1421" s="91">
        <v>2016</v>
      </c>
      <c r="B1421" s="92" t="s">
        <v>66</v>
      </c>
      <c r="C1421" s="92" t="s">
        <v>35</v>
      </c>
      <c r="D1421" s="92" t="s">
        <v>36</v>
      </c>
      <c r="E1421" s="92" t="s">
        <v>69</v>
      </c>
      <c r="F1421" s="92" t="s">
        <v>70</v>
      </c>
      <c r="G1421" s="93">
        <v>2117480390</v>
      </c>
      <c r="H1421" s="92"/>
      <c r="K1421" s="97"/>
    </row>
    <row r="1422" spans="1:11" x14ac:dyDescent="0.2">
      <c r="A1422" s="94">
        <v>2016</v>
      </c>
      <c r="B1422" s="95" t="s">
        <v>66</v>
      </c>
      <c r="C1422" s="95" t="s">
        <v>35</v>
      </c>
      <c r="D1422" s="95" t="s">
        <v>37</v>
      </c>
      <c r="E1422" s="95" t="s">
        <v>67</v>
      </c>
      <c r="F1422" s="95" t="s">
        <v>67</v>
      </c>
      <c r="G1422" s="96">
        <v>3114316678</v>
      </c>
      <c r="H1422" s="95"/>
      <c r="K1422" s="97"/>
    </row>
    <row r="1423" spans="1:11" x14ac:dyDescent="0.2">
      <c r="A1423" s="91">
        <v>2016</v>
      </c>
      <c r="B1423" s="92" t="s">
        <v>66</v>
      </c>
      <c r="C1423" s="92" t="s">
        <v>35</v>
      </c>
      <c r="D1423" s="92" t="s">
        <v>37</v>
      </c>
      <c r="E1423" s="92" t="s">
        <v>69</v>
      </c>
      <c r="F1423" s="92" t="s">
        <v>71</v>
      </c>
      <c r="G1423" s="93">
        <v>748510693</v>
      </c>
      <c r="H1423" s="92"/>
      <c r="K1423" s="97"/>
    </row>
    <row r="1424" spans="1:11" x14ac:dyDescent="0.2">
      <c r="A1424" s="94">
        <v>2016</v>
      </c>
      <c r="B1424" s="95" t="s">
        <v>66</v>
      </c>
      <c r="C1424" s="95" t="s">
        <v>35</v>
      </c>
      <c r="D1424" s="95" t="s">
        <v>37</v>
      </c>
      <c r="E1424" s="95" t="s">
        <v>69</v>
      </c>
      <c r="F1424" s="95" t="s">
        <v>70</v>
      </c>
      <c r="G1424" s="96">
        <v>796114677</v>
      </c>
      <c r="H1424" s="95"/>
      <c r="K1424" s="97"/>
    </row>
    <row r="1425" spans="1:11" x14ac:dyDescent="0.2">
      <c r="A1425" s="91">
        <v>2016</v>
      </c>
      <c r="B1425" s="92" t="s">
        <v>66</v>
      </c>
      <c r="C1425" s="92" t="s">
        <v>35</v>
      </c>
      <c r="D1425" s="92" t="s">
        <v>38</v>
      </c>
      <c r="E1425" s="92" t="s">
        <v>67</v>
      </c>
      <c r="F1425" s="92" t="s">
        <v>67</v>
      </c>
      <c r="G1425" s="93">
        <v>5148422182</v>
      </c>
      <c r="H1425" s="92"/>
      <c r="K1425" s="97"/>
    </row>
    <row r="1426" spans="1:11" x14ac:dyDescent="0.2">
      <c r="A1426" s="94">
        <v>2016</v>
      </c>
      <c r="B1426" s="95" t="s">
        <v>66</v>
      </c>
      <c r="C1426" s="95" t="s">
        <v>35</v>
      </c>
      <c r="D1426" s="95" t="s">
        <v>38</v>
      </c>
      <c r="E1426" s="95" t="s">
        <v>69</v>
      </c>
      <c r="F1426" s="95" t="s">
        <v>71</v>
      </c>
      <c r="G1426" s="96">
        <v>1166455616</v>
      </c>
      <c r="H1426" s="95"/>
      <c r="K1426" s="97"/>
    </row>
    <row r="1427" spans="1:11" x14ac:dyDescent="0.2">
      <c r="A1427" s="91">
        <v>2016</v>
      </c>
      <c r="B1427" s="92" t="s">
        <v>66</v>
      </c>
      <c r="C1427" s="92" t="s">
        <v>35</v>
      </c>
      <c r="D1427" s="92" t="s">
        <v>38</v>
      </c>
      <c r="E1427" s="92" t="s">
        <v>69</v>
      </c>
      <c r="F1427" s="92" t="s">
        <v>70</v>
      </c>
      <c r="G1427" s="93">
        <v>1145833748</v>
      </c>
      <c r="H1427" s="92"/>
      <c r="K1427" s="97"/>
    </row>
    <row r="1428" spans="1:11" x14ac:dyDescent="0.2">
      <c r="A1428" s="94">
        <v>2016</v>
      </c>
      <c r="B1428" s="95" t="s">
        <v>66</v>
      </c>
      <c r="C1428" s="95" t="s">
        <v>35</v>
      </c>
      <c r="D1428" s="95" t="s">
        <v>39</v>
      </c>
      <c r="E1428" s="95" t="s">
        <v>67</v>
      </c>
      <c r="F1428" s="95" t="s">
        <v>67</v>
      </c>
      <c r="G1428" s="96">
        <v>15045476412</v>
      </c>
      <c r="H1428" s="95"/>
      <c r="K1428" s="97"/>
    </row>
    <row r="1429" spans="1:11" x14ac:dyDescent="0.2">
      <c r="A1429" s="91">
        <v>2016</v>
      </c>
      <c r="B1429" s="92" t="s">
        <v>66</v>
      </c>
      <c r="C1429" s="92" t="s">
        <v>35</v>
      </c>
      <c r="D1429" s="92" t="s">
        <v>39</v>
      </c>
      <c r="E1429" s="92" t="s">
        <v>69</v>
      </c>
      <c r="F1429" s="92" t="s">
        <v>71</v>
      </c>
      <c r="G1429" s="93">
        <v>3870514184</v>
      </c>
      <c r="H1429" s="92"/>
      <c r="K1429" s="97"/>
    </row>
    <row r="1430" spans="1:11" x14ac:dyDescent="0.2">
      <c r="A1430" s="94">
        <v>2016</v>
      </c>
      <c r="B1430" s="95" t="s">
        <v>66</v>
      </c>
      <c r="C1430" s="95" t="s">
        <v>35</v>
      </c>
      <c r="D1430" s="95" t="s">
        <v>39</v>
      </c>
      <c r="E1430" s="95" t="s">
        <v>69</v>
      </c>
      <c r="F1430" s="95" t="s">
        <v>70</v>
      </c>
      <c r="G1430" s="96">
        <v>2957675857</v>
      </c>
      <c r="H1430" s="95"/>
      <c r="K1430" s="97"/>
    </row>
    <row r="1431" spans="1:11" x14ac:dyDescent="0.2">
      <c r="A1431" s="91">
        <v>2016</v>
      </c>
      <c r="B1431" s="92" t="s">
        <v>66</v>
      </c>
      <c r="C1431" s="92" t="s">
        <v>41</v>
      </c>
      <c r="D1431" s="92" t="s">
        <v>40</v>
      </c>
      <c r="E1431" s="92" t="s">
        <v>67</v>
      </c>
      <c r="F1431" s="92" t="s">
        <v>67</v>
      </c>
      <c r="G1431" s="93">
        <v>4184077856</v>
      </c>
      <c r="H1431" s="92"/>
      <c r="K1431" s="97"/>
    </row>
    <row r="1432" spans="1:11" x14ac:dyDescent="0.2">
      <c r="A1432" s="94">
        <v>2016</v>
      </c>
      <c r="B1432" s="95" t="s">
        <v>66</v>
      </c>
      <c r="C1432" s="95" t="s">
        <v>41</v>
      </c>
      <c r="D1432" s="95" t="s">
        <v>40</v>
      </c>
      <c r="E1432" s="95" t="s">
        <v>69</v>
      </c>
      <c r="F1432" s="95" t="s">
        <v>71</v>
      </c>
      <c r="G1432" s="96">
        <v>335481343</v>
      </c>
      <c r="H1432" s="95"/>
      <c r="K1432" s="97"/>
    </row>
    <row r="1433" spans="1:11" x14ac:dyDescent="0.2">
      <c r="A1433" s="91">
        <v>2016</v>
      </c>
      <c r="B1433" s="92" t="s">
        <v>66</v>
      </c>
      <c r="C1433" s="92" t="s">
        <v>41</v>
      </c>
      <c r="D1433" s="92" t="s">
        <v>40</v>
      </c>
      <c r="E1433" s="92" t="s">
        <v>69</v>
      </c>
      <c r="F1433" s="92" t="s">
        <v>70</v>
      </c>
      <c r="G1433" s="93">
        <v>233300352</v>
      </c>
      <c r="H1433" s="92"/>
      <c r="K1433" s="97"/>
    </row>
    <row r="1434" spans="1:11" x14ac:dyDescent="0.2">
      <c r="A1434" s="94">
        <v>2016</v>
      </c>
      <c r="B1434" s="95" t="s">
        <v>66</v>
      </c>
      <c r="C1434" s="95" t="s">
        <v>41</v>
      </c>
      <c r="D1434" s="95" t="s">
        <v>42</v>
      </c>
      <c r="E1434" s="95" t="s">
        <v>67</v>
      </c>
      <c r="F1434" s="95" t="s">
        <v>67</v>
      </c>
      <c r="G1434" s="96">
        <v>7752760431</v>
      </c>
      <c r="H1434" s="95"/>
      <c r="K1434" s="97"/>
    </row>
    <row r="1435" spans="1:11" x14ac:dyDescent="0.2">
      <c r="A1435" s="91">
        <v>2016</v>
      </c>
      <c r="B1435" s="92" t="s">
        <v>66</v>
      </c>
      <c r="C1435" s="92" t="s">
        <v>41</v>
      </c>
      <c r="D1435" s="92" t="s">
        <v>42</v>
      </c>
      <c r="E1435" s="92" t="s">
        <v>69</v>
      </c>
      <c r="F1435" s="92" t="s">
        <v>71</v>
      </c>
      <c r="G1435" s="93">
        <v>844589703</v>
      </c>
      <c r="H1435" s="92"/>
      <c r="K1435" s="97"/>
    </row>
    <row r="1436" spans="1:11" x14ac:dyDescent="0.2">
      <c r="A1436" s="94">
        <v>2016</v>
      </c>
      <c r="B1436" s="95" t="s">
        <v>66</v>
      </c>
      <c r="C1436" s="95" t="s">
        <v>41</v>
      </c>
      <c r="D1436" s="95" t="s">
        <v>42</v>
      </c>
      <c r="E1436" s="95" t="s">
        <v>69</v>
      </c>
      <c r="F1436" s="95" t="s">
        <v>70</v>
      </c>
      <c r="G1436" s="96">
        <v>1695405537</v>
      </c>
      <c r="H1436" s="95"/>
      <c r="K1436" s="97"/>
    </row>
    <row r="1437" spans="1:11" x14ac:dyDescent="0.2">
      <c r="A1437" s="91">
        <v>2016</v>
      </c>
      <c r="B1437" s="92" t="s">
        <v>66</v>
      </c>
      <c r="C1437" s="92" t="s">
        <v>41</v>
      </c>
      <c r="D1437" s="92" t="s">
        <v>43</v>
      </c>
      <c r="E1437" s="92" t="s">
        <v>67</v>
      </c>
      <c r="F1437" s="92" t="s">
        <v>67</v>
      </c>
      <c r="G1437" s="93">
        <v>7827497763</v>
      </c>
      <c r="H1437" s="92"/>
      <c r="K1437" s="97"/>
    </row>
    <row r="1438" spans="1:11" x14ac:dyDescent="0.2">
      <c r="A1438" s="94">
        <v>2016</v>
      </c>
      <c r="B1438" s="95" t="s">
        <v>66</v>
      </c>
      <c r="C1438" s="95" t="s">
        <v>41</v>
      </c>
      <c r="D1438" s="95" t="s">
        <v>43</v>
      </c>
      <c r="E1438" s="95" t="s">
        <v>69</v>
      </c>
      <c r="F1438" s="95" t="s">
        <v>71</v>
      </c>
      <c r="G1438" s="96">
        <v>1313722783</v>
      </c>
      <c r="H1438" s="95"/>
      <c r="K1438" s="97"/>
    </row>
    <row r="1439" spans="1:11" x14ac:dyDescent="0.2">
      <c r="A1439" s="91">
        <v>2016</v>
      </c>
      <c r="B1439" s="92" t="s">
        <v>66</v>
      </c>
      <c r="C1439" s="92" t="s">
        <v>41</v>
      </c>
      <c r="D1439" s="92" t="s">
        <v>43</v>
      </c>
      <c r="E1439" s="92" t="s">
        <v>69</v>
      </c>
      <c r="F1439" s="92" t="s">
        <v>70</v>
      </c>
      <c r="G1439" s="93">
        <v>1070948023</v>
      </c>
      <c r="H1439" s="92"/>
      <c r="K1439" s="97"/>
    </row>
    <row r="1440" spans="1:11" x14ac:dyDescent="0.2">
      <c r="A1440" s="94">
        <v>2016</v>
      </c>
      <c r="B1440" s="95" t="s">
        <v>66</v>
      </c>
      <c r="C1440" s="95" t="s">
        <v>41</v>
      </c>
      <c r="D1440" s="95" t="s">
        <v>44</v>
      </c>
      <c r="E1440" s="95" t="s">
        <v>67</v>
      </c>
      <c r="F1440" s="95" t="s">
        <v>67</v>
      </c>
      <c r="G1440" s="96">
        <v>9214405800</v>
      </c>
      <c r="H1440" s="95"/>
      <c r="K1440" s="97"/>
    </row>
    <row r="1441" spans="1:11" x14ac:dyDescent="0.2">
      <c r="A1441" s="91">
        <v>2016</v>
      </c>
      <c r="B1441" s="92" t="s">
        <v>66</v>
      </c>
      <c r="C1441" s="92" t="s">
        <v>41</v>
      </c>
      <c r="D1441" s="92" t="s">
        <v>44</v>
      </c>
      <c r="E1441" s="92" t="s">
        <v>69</v>
      </c>
      <c r="F1441" s="92" t="s">
        <v>71</v>
      </c>
      <c r="G1441" s="93">
        <v>1597613340</v>
      </c>
      <c r="H1441" s="92"/>
      <c r="K1441" s="97"/>
    </row>
    <row r="1442" spans="1:11" x14ac:dyDescent="0.2">
      <c r="A1442" s="94">
        <v>2016</v>
      </c>
      <c r="B1442" s="95" t="s">
        <v>66</v>
      </c>
      <c r="C1442" s="95" t="s">
        <v>41</v>
      </c>
      <c r="D1442" s="95" t="s">
        <v>44</v>
      </c>
      <c r="E1442" s="95" t="s">
        <v>69</v>
      </c>
      <c r="F1442" s="95" t="s">
        <v>70</v>
      </c>
      <c r="G1442" s="96">
        <v>1591041691</v>
      </c>
      <c r="H1442" s="95"/>
      <c r="K1442" s="97"/>
    </row>
    <row r="1443" spans="1:11" x14ac:dyDescent="0.2">
      <c r="A1443" s="91">
        <v>2016</v>
      </c>
      <c r="B1443" s="92" t="s">
        <v>66</v>
      </c>
      <c r="C1443" s="92" t="s">
        <v>41</v>
      </c>
      <c r="D1443" s="92" t="s">
        <v>45</v>
      </c>
      <c r="E1443" s="92" t="s">
        <v>67</v>
      </c>
      <c r="F1443" s="92" t="s">
        <v>67</v>
      </c>
      <c r="G1443" s="93">
        <v>23959668915</v>
      </c>
      <c r="H1443" s="92"/>
      <c r="K1443" s="97"/>
    </row>
    <row r="1444" spans="1:11" x14ac:dyDescent="0.2">
      <c r="A1444" s="94">
        <v>2016</v>
      </c>
      <c r="B1444" s="95" t="s">
        <v>66</v>
      </c>
      <c r="C1444" s="95" t="s">
        <v>41</v>
      </c>
      <c r="D1444" s="95" t="s">
        <v>45</v>
      </c>
      <c r="E1444" s="95" t="s">
        <v>69</v>
      </c>
      <c r="F1444" s="95" t="s">
        <v>71</v>
      </c>
      <c r="G1444" s="96">
        <v>3884646352</v>
      </c>
      <c r="H1444" s="95"/>
      <c r="K1444" s="97"/>
    </row>
    <row r="1445" spans="1:11" x14ac:dyDescent="0.2">
      <c r="A1445" s="91">
        <v>2016</v>
      </c>
      <c r="B1445" s="92" t="s">
        <v>66</v>
      </c>
      <c r="C1445" s="92" t="s">
        <v>41</v>
      </c>
      <c r="D1445" s="92" t="s">
        <v>45</v>
      </c>
      <c r="E1445" s="92" t="s">
        <v>69</v>
      </c>
      <c r="F1445" s="92" t="s">
        <v>70</v>
      </c>
      <c r="G1445" s="93">
        <v>6987621574</v>
      </c>
      <c r="H1445" s="92"/>
      <c r="K1445" s="97"/>
    </row>
    <row r="1446" spans="1:11" x14ac:dyDescent="0.2">
      <c r="A1446" s="94">
        <v>2016</v>
      </c>
      <c r="B1446" s="95" t="s">
        <v>66</v>
      </c>
      <c r="C1446" s="95" t="s">
        <v>47</v>
      </c>
      <c r="D1446" s="95" t="s">
        <v>46</v>
      </c>
      <c r="E1446" s="95" t="s">
        <v>67</v>
      </c>
      <c r="F1446" s="95" t="s">
        <v>67</v>
      </c>
      <c r="G1446" s="96">
        <v>19010857022</v>
      </c>
      <c r="H1446" s="95"/>
      <c r="K1446" s="97"/>
    </row>
    <row r="1447" spans="1:11" x14ac:dyDescent="0.2">
      <c r="A1447" s="91">
        <v>2016</v>
      </c>
      <c r="B1447" s="92" t="s">
        <v>66</v>
      </c>
      <c r="C1447" s="92" t="s">
        <v>47</v>
      </c>
      <c r="D1447" s="92" t="s">
        <v>46</v>
      </c>
      <c r="E1447" s="92" t="s">
        <v>69</v>
      </c>
      <c r="F1447" s="92" t="s">
        <v>71</v>
      </c>
      <c r="G1447" s="93">
        <v>4430286912</v>
      </c>
      <c r="H1447" s="92"/>
      <c r="K1447" s="97"/>
    </row>
    <row r="1448" spans="1:11" x14ac:dyDescent="0.2">
      <c r="A1448" s="94">
        <v>2016</v>
      </c>
      <c r="B1448" s="95" t="s">
        <v>66</v>
      </c>
      <c r="C1448" s="95" t="s">
        <v>47</v>
      </c>
      <c r="D1448" s="95" t="s">
        <v>46</v>
      </c>
      <c r="E1448" s="95" t="s">
        <v>69</v>
      </c>
      <c r="F1448" s="95" t="s">
        <v>70</v>
      </c>
      <c r="G1448" s="96">
        <v>8060224822</v>
      </c>
      <c r="H1448" s="95"/>
      <c r="K1448" s="97"/>
    </row>
    <row r="1449" spans="1:11" x14ac:dyDescent="0.2">
      <c r="A1449" s="91">
        <v>2016</v>
      </c>
      <c r="B1449" s="92" t="s">
        <v>66</v>
      </c>
      <c r="C1449" s="92" t="s">
        <v>47</v>
      </c>
      <c r="D1449" s="92" t="s">
        <v>48</v>
      </c>
      <c r="E1449" s="92" t="s">
        <v>72</v>
      </c>
      <c r="F1449" s="92" t="s">
        <v>73</v>
      </c>
      <c r="G1449" s="93">
        <v>88475235918</v>
      </c>
      <c r="H1449" s="92"/>
      <c r="K1449" s="97"/>
    </row>
    <row r="1450" spans="1:11" x14ac:dyDescent="0.2">
      <c r="A1450" s="94">
        <v>2016</v>
      </c>
      <c r="B1450" s="95" t="s">
        <v>66</v>
      </c>
      <c r="C1450" s="95" t="s">
        <v>47</v>
      </c>
      <c r="D1450" s="95" t="s">
        <v>48</v>
      </c>
      <c r="E1450" s="95" t="s">
        <v>67</v>
      </c>
      <c r="F1450" s="95" t="s">
        <v>74</v>
      </c>
      <c r="G1450" s="96">
        <v>95801091220</v>
      </c>
      <c r="H1450" s="95"/>
      <c r="K1450" s="97"/>
    </row>
    <row r="1451" spans="1:11" x14ac:dyDescent="0.2">
      <c r="A1451" s="91">
        <v>2016</v>
      </c>
      <c r="B1451" s="92" t="s">
        <v>66</v>
      </c>
      <c r="C1451" s="92" t="s">
        <v>47</v>
      </c>
      <c r="D1451" s="92" t="s">
        <v>48</v>
      </c>
      <c r="E1451" s="92" t="s">
        <v>69</v>
      </c>
      <c r="F1451" s="92" t="s">
        <v>71</v>
      </c>
      <c r="G1451" s="93">
        <v>62833999999</v>
      </c>
      <c r="H1451" s="92"/>
      <c r="K1451" s="97"/>
    </row>
    <row r="1452" spans="1:11" x14ac:dyDescent="0.2">
      <c r="A1452" s="94">
        <v>2016</v>
      </c>
      <c r="B1452" s="95" t="s">
        <v>66</v>
      </c>
      <c r="C1452" s="95" t="s">
        <v>47</v>
      </c>
      <c r="D1452" s="95" t="s">
        <v>48</v>
      </c>
      <c r="E1452" s="95" t="s">
        <v>69</v>
      </c>
      <c r="F1452" s="95" t="s">
        <v>70</v>
      </c>
      <c r="G1452" s="96">
        <v>102438760777</v>
      </c>
      <c r="H1452" s="95"/>
      <c r="K1452" s="97"/>
    </row>
    <row r="1453" spans="1:11" x14ac:dyDescent="0.2">
      <c r="A1453" s="91">
        <v>2017</v>
      </c>
      <c r="B1453" s="92" t="s">
        <v>66</v>
      </c>
      <c r="C1453" s="92" t="s">
        <v>4</v>
      </c>
      <c r="D1453" s="92" t="s">
        <v>3</v>
      </c>
      <c r="E1453" s="92" t="s">
        <v>67</v>
      </c>
      <c r="F1453" s="92" t="s">
        <v>67</v>
      </c>
      <c r="G1453" s="93">
        <v>19088813719</v>
      </c>
      <c r="H1453" s="92"/>
      <c r="K1453" s="97"/>
    </row>
    <row r="1454" spans="1:11" x14ac:dyDescent="0.2">
      <c r="A1454" s="94">
        <v>2017</v>
      </c>
      <c r="B1454" s="95" t="s">
        <v>66</v>
      </c>
      <c r="C1454" s="95" t="s">
        <v>4</v>
      </c>
      <c r="D1454" s="95" t="s">
        <v>3</v>
      </c>
      <c r="E1454" s="95" t="s">
        <v>69</v>
      </c>
      <c r="F1454" s="95" t="s">
        <v>71</v>
      </c>
      <c r="G1454" s="96">
        <v>4378754250</v>
      </c>
      <c r="H1454" s="95"/>
      <c r="K1454" s="97"/>
    </row>
    <row r="1455" spans="1:11" x14ac:dyDescent="0.2">
      <c r="A1455" s="91">
        <v>2017</v>
      </c>
      <c r="B1455" s="92" t="s">
        <v>66</v>
      </c>
      <c r="C1455" s="92" t="s">
        <v>4</v>
      </c>
      <c r="D1455" s="92" t="s">
        <v>3</v>
      </c>
      <c r="E1455" s="92" t="s">
        <v>69</v>
      </c>
      <c r="F1455" s="92" t="s">
        <v>70</v>
      </c>
      <c r="G1455" s="93">
        <v>9294957547</v>
      </c>
      <c r="H1455" s="92"/>
      <c r="K1455" s="97"/>
    </row>
    <row r="1456" spans="1:11" x14ac:dyDescent="0.2">
      <c r="A1456" s="94">
        <v>2017</v>
      </c>
      <c r="B1456" s="95" t="s">
        <v>66</v>
      </c>
      <c r="C1456" s="95" t="s">
        <v>4</v>
      </c>
      <c r="D1456" s="95" t="s">
        <v>5</v>
      </c>
      <c r="E1456" s="95" t="s">
        <v>67</v>
      </c>
      <c r="F1456" s="95" t="s">
        <v>67</v>
      </c>
      <c r="G1456" s="96">
        <v>83845995775</v>
      </c>
      <c r="H1456" s="95"/>
      <c r="K1456" s="97"/>
    </row>
    <row r="1457" spans="1:11" x14ac:dyDescent="0.2">
      <c r="A1457" s="91">
        <v>2017</v>
      </c>
      <c r="B1457" s="92" t="s">
        <v>66</v>
      </c>
      <c r="C1457" s="92" t="s">
        <v>4</v>
      </c>
      <c r="D1457" s="92" t="s">
        <v>5</v>
      </c>
      <c r="E1457" s="92" t="s">
        <v>69</v>
      </c>
      <c r="F1457" s="92" t="s">
        <v>71</v>
      </c>
      <c r="G1457" s="93">
        <v>35280328436</v>
      </c>
      <c r="H1457" s="92"/>
      <c r="K1457" s="97"/>
    </row>
    <row r="1458" spans="1:11" x14ac:dyDescent="0.2">
      <c r="A1458" s="94">
        <v>2017</v>
      </c>
      <c r="B1458" s="95" t="s">
        <v>66</v>
      </c>
      <c r="C1458" s="95" t="s">
        <v>4</v>
      </c>
      <c r="D1458" s="95" t="s">
        <v>5</v>
      </c>
      <c r="E1458" s="95" t="s">
        <v>69</v>
      </c>
      <c r="F1458" s="95" t="s">
        <v>70</v>
      </c>
      <c r="G1458" s="96">
        <v>32009994253</v>
      </c>
      <c r="H1458" s="95"/>
      <c r="K1458" s="97"/>
    </row>
    <row r="1459" spans="1:11" x14ac:dyDescent="0.2">
      <c r="A1459" s="91">
        <v>2017</v>
      </c>
      <c r="B1459" s="92" t="s">
        <v>66</v>
      </c>
      <c r="C1459" s="92" t="s">
        <v>4</v>
      </c>
      <c r="D1459" s="92" t="s">
        <v>6</v>
      </c>
      <c r="E1459" s="92" t="s">
        <v>67</v>
      </c>
      <c r="F1459" s="92" t="s">
        <v>67</v>
      </c>
      <c r="G1459" s="93">
        <v>10208007936</v>
      </c>
      <c r="H1459" s="92"/>
      <c r="K1459" s="97"/>
    </row>
    <row r="1460" spans="1:11" x14ac:dyDescent="0.2">
      <c r="A1460" s="94">
        <v>2017</v>
      </c>
      <c r="B1460" s="95" t="s">
        <v>66</v>
      </c>
      <c r="C1460" s="95" t="s">
        <v>4</v>
      </c>
      <c r="D1460" s="95" t="s">
        <v>6</v>
      </c>
      <c r="E1460" s="95" t="s">
        <v>69</v>
      </c>
      <c r="F1460" s="95" t="s">
        <v>71</v>
      </c>
      <c r="G1460" s="96">
        <v>846625220</v>
      </c>
      <c r="H1460" s="95"/>
      <c r="K1460" s="97"/>
    </row>
    <row r="1461" spans="1:11" x14ac:dyDescent="0.2">
      <c r="A1461" s="91">
        <v>2017</v>
      </c>
      <c r="B1461" s="92" t="s">
        <v>66</v>
      </c>
      <c r="C1461" s="92" t="s">
        <v>4</v>
      </c>
      <c r="D1461" s="92" t="s">
        <v>6</v>
      </c>
      <c r="E1461" s="92" t="s">
        <v>69</v>
      </c>
      <c r="F1461" s="92" t="s">
        <v>70</v>
      </c>
      <c r="G1461" s="93">
        <v>1180016041</v>
      </c>
      <c r="H1461" s="92"/>
      <c r="K1461" s="97"/>
    </row>
    <row r="1462" spans="1:11" x14ac:dyDescent="0.2">
      <c r="A1462" s="94">
        <v>2017</v>
      </c>
      <c r="B1462" s="95" t="s">
        <v>66</v>
      </c>
      <c r="C1462" s="95" t="s">
        <v>4</v>
      </c>
      <c r="D1462" s="95" t="s">
        <v>7</v>
      </c>
      <c r="E1462" s="95" t="s">
        <v>67</v>
      </c>
      <c r="F1462" s="95" t="s">
        <v>67</v>
      </c>
      <c r="G1462" s="96">
        <v>18735709025</v>
      </c>
      <c r="H1462" s="95"/>
      <c r="K1462" s="97"/>
    </row>
    <row r="1463" spans="1:11" x14ac:dyDescent="0.2">
      <c r="A1463" s="91">
        <v>2017</v>
      </c>
      <c r="B1463" s="92" t="s">
        <v>66</v>
      </c>
      <c r="C1463" s="92" t="s">
        <v>4</v>
      </c>
      <c r="D1463" s="92" t="s">
        <v>7</v>
      </c>
      <c r="E1463" s="92" t="s">
        <v>69</v>
      </c>
      <c r="F1463" s="92" t="s">
        <v>71</v>
      </c>
      <c r="G1463" s="93">
        <v>5688625552</v>
      </c>
      <c r="H1463" s="92"/>
      <c r="K1463" s="97"/>
    </row>
    <row r="1464" spans="1:11" x14ac:dyDescent="0.2">
      <c r="A1464" s="94">
        <v>2017</v>
      </c>
      <c r="B1464" s="95" t="s">
        <v>66</v>
      </c>
      <c r="C1464" s="95" t="s">
        <v>4</v>
      </c>
      <c r="D1464" s="95" t="s">
        <v>7</v>
      </c>
      <c r="E1464" s="95" t="s">
        <v>69</v>
      </c>
      <c r="F1464" s="95" t="s">
        <v>70</v>
      </c>
      <c r="G1464" s="96">
        <v>6729519398</v>
      </c>
      <c r="H1464" s="95"/>
      <c r="K1464" s="97"/>
    </row>
    <row r="1465" spans="1:11" x14ac:dyDescent="0.2">
      <c r="A1465" s="91">
        <v>2017</v>
      </c>
      <c r="B1465" s="92" t="s">
        <v>66</v>
      </c>
      <c r="C1465" s="92" t="s">
        <v>4</v>
      </c>
      <c r="D1465" s="92" t="s">
        <v>8</v>
      </c>
      <c r="E1465" s="92" t="s">
        <v>67</v>
      </c>
      <c r="F1465" s="92" t="s">
        <v>67</v>
      </c>
      <c r="G1465" s="93">
        <v>9380687842</v>
      </c>
      <c r="H1465" s="92"/>
      <c r="K1465" s="97"/>
    </row>
    <row r="1466" spans="1:11" x14ac:dyDescent="0.2">
      <c r="A1466" s="94">
        <v>2017</v>
      </c>
      <c r="B1466" s="95" t="s">
        <v>66</v>
      </c>
      <c r="C1466" s="95" t="s">
        <v>4</v>
      </c>
      <c r="D1466" s="95" t="s">
        <v>8</v>
      </c>
      <c r="E1466" s="95" t="s">
        <v>69</v>
      </c>
      <c r="F1466" s="95" t="s">
        <v>71</v>
      </c>
      <c r="G1466" s="96">
        <v>1959753275</v>
      </c>
      <c r="H1466" s="95"/>
      <c r="K1466" s="97"/>
    </row>
    <row r="1467" spans="1:11" x14ac:dyDescent="0.2">
      <c r="A1467" s="91">
        <v>2017</v>
      </c>
      <c r="B1467" s="92" t="s">
        <v>66</v>
      </c>
      <c r="C1467" s="92" t="s">
        <v>4</v>
      </c>
      <c r="D1467" s="92" t="s">
        <v>8</v>
      </c>
      <c r="E1467" s="92" t="s">
        <v>69</v>
      </c>
      <c r="F1467" s="92" t="s">
        <v>70</v>
      </c>
      <c r="G1467" s="93">
        <v>1464009797</v>
      </c>
      <c r="H1467" s="92"/>
      <c r="K1467" s="97"/>
    </row>
    <row r="1468" spans="1:11" x14ac:dyDescent="0.2">
      <c r="A1468" s="94">
        <v>2017</v>
      </c>
      <c r="B1468" s="95" t="s">
        <v>66</v>
      </c>
      <c r="C1468" s="95" t="s">
        <v>4</v>
      </c>
      <c r="D1468" s="95" t="s">
        <v>9</v>
      </c>
      <c r="E1468" s="95" t="s">
        <v>67</v>
      </c>
      <c r="F1468" s="95" t="s">
        <v>67</v>
      </c>
      <c r="G1468" s="96">
        <v>57566795206</v>
      </c>
      <c r="H1468" s="95"/>
      <c r="K1468" s="97"/>
    </row>
    <row r="1469" spans="1:11" x14ac:dyDescent="0.2">
      <c r="A1469" s="91">
        <v>2017</v>
      </c>
      <c r="B1469" s="92" t="s">
        <v>66</v>
      </c>
      <c r="C1469" s="92" t="s">
        <v>4</v>
      </c>
      <c r="D1469" s="92" t="s">
        <v>9</v>
      </c>
      <c r="E1469" s="92" t="s">
        <v>69</v>
      </c>
      <c r="F1469" s="92" t="s">
        <v>71</v>
      </c>
      <c r="G1469" s="93">
        <v>15178636560</v>
      </c>
      <c r="H1469" s="92"/>
      <c r="K1469" s="97"/>
    </row>
    <row r="1470" spans="1:11" x14ac:dyDescent="0.2">
      <c r="A1470" s="94">
        <v>2017</v>
      </c>
      <c r="B1470" s="95" t="s">
        <v>66</v>
      </c>
      <c r="C1470" s="95" t="s">
        <v>4</v>
      </c>
      <c r="D1470" s="95" t="s">
        <v>9</v>
      </c>
      <c r="E1470" s="95" t="s">
        <v>69</v>
      </c>
      <c r="F1470" s="95" t="s">
        <v>70</v>
      </c>
      <c r="G1470" s="96">
        <v>22965010237</v>
      </c>
      <c r="H1470" s="95"/>
      <c r="K1470" s="97"/>
    </row>
    <row r="1471" spans="1:11" x14ac:dyDescent="0.2">
      <c r="A1471" s="91">
        <v>2017</v>
      </c>
      <c r="B1471" s="92" t="s">
        <v>66</v>
      </c>
      <c r="C1471" s="92" t="s">
        <v>4</v>
      </c>
      <c r="D1471" s="92" t="s">
        <v>10</v>
      </c>
      <c r="E1471" s="92" t="s">
        <v>67</v>
      </c>
      <c r="F1471" s="92" t="s">
        <v>67</v>
      </c>
      <c r="G1471" s="93">
        <v>1532749004</v>
      </c>
      <c r="H1471" s="92"/>
      <c r="K1471" s="97"/>
    </row>
    <row r="1472" spans="1:11" x14ac:dyDescent="0.2">
      <c r="A1472" s="94">
        <v>2017</v>
      </c>
      <c r="B1472" s="95" t="s">
        <v>66</v>
      </c>
      <c r="C1472" s="95" t="s">
        <v>4</v>
      </c>
      <c r="D1472" s="95" t="s">
        <v>10</v>
      </c>
      <c r="E1472" s="95" t="s">
        <v>69</v>
      </c>
      <c r="F1472" s="95" t="s">
        <v>71</v>
      </c>
      <c r="G1472" s="96">
        <v>263354147</v>
      </c>
      <c r="H1472" s="95"/>
      <c r="K1472" s="97"/>
    </row>
    <row r="1473" spans="1:11" x14ac:dyDescent="0.2">
      <c r="A1473" s="91">
        <v>2017</v>
      </c>
      <c r="B1473" s="92" t="s">
        <v>66</v>
      </c>
      <c r="C1473" s="92" t="s">
        <v>4</v>
      </c>
      <c r="D1473" s="92" t="s">
        <v>10</v>
      </c>
      <c r="E1473" s="92" t="s">
        <v>69</v>
      </c>
      <c r="F1473" s="92" t="s">
        <v>70</v>
      </c>
      <c r="G1473" s="93">
        <v>61774430</v>
      </c>
      <c r="H1473" s="92"/>
      <c r="K1473" s="97"/>
    </row>
    <row r="1474" spans="1:11" x14ac:dyDescent="0.2">
      <c r="A1474" s="94">
        <v>2017</v>
      </c>
      <c r="B1474" s="95" t="s">
        <v>66</v>
      </c>
      <c r="C1474" s="95" t="s">
        <v>4</v>
      </c>
      <c r="D1474" s="95" t="s">
        <v>11</v>
      </c>
      <c r="E1474" s="95" t="s">
        <v>67</v>
      </c>
      <c r="F1474" s="95" t="s">
        <v>67</v>
      </c>
      <c r="G1474" s="96">
        <v>5051418133</v>
      </c>
      <c r="H1474" s="95"/>
      <c r="K1474" s="97"/>
    </row>
    <row r="1475" spans="1:11" x14ac:dyDescent="0.2">
      <c r="A1475" s="91">
        <v>2017</v>
      </c>
      <c r="B1475" s="92" t="s">
        <v>66</v>
      </c>
      <c r="C1475" s="92" t="s">
        <v>4</v>
      </c>
      <c r="D1475" s="92" t="s">
        <v>11</v>
      </c>
      <c r="E1475" s="92" t="s">
        <v>69</v>
      </c>
      <c r="F1475" s="92" t="s">
        <v>71</v>
      </c>
      <c r="G1475" s="93">
        <v>1281353418</v>
      </c>
      <c r="H1475" s="92"/>
      <c r="K1475" s="97"/>
    </row>
    <row r="1476" spans="1:11" x14ac:dyDescent="0.2">
      <c r="A1476" s="94">
        <v>2017</v>
      </c>
      <c r="B1476" s="95" t="s">
        <v>66</v>
      </c>
      <c r="C1476" s="95" t="s">
        <v>4</v>
      </c>
      <c r="D1476" s="95" t="s">
        <v>11</v>
      </c>
      <c r="E1476" s="95" t="s">
        <v>69</v>
      </c>
      <c r="F1476" s="95" t="s">
        <v>70</v>
      </c>
      <c r="G1476" s="96">
        <v>2815754265</v>
      </c>
      <c r="H1476" s="95"/>
      <c r="K1476" s="97"/>
    </row>
    <row r="1477" spans="1:11" x14ac:dyDescent="0.2">
      <c r="A1477" s="91">
        <v>2017</v>
      </c>
      <c r="B1477" s="92" t="s">
        <v>66</v>
      </c>
      <c r="C1477" s="92" t="s">
        <v>4</v>
      </c>
      <c r="D1477" s="92" t="s">
        <v>12</v>
      </c>
      <c r="E1477" s="92" t="s">
        <v>67</v>
      </c>
      <c r="F1477" s="92" t="s">
        <v>67</v>
      </c>
      <c r="G1477" s="93">
        <v>7069872206</v>
      </c>
      <c r="H1477" s="92"/>
      <c r="K1477" s="97"/>
    </row>
    <row r="1478" spans="1:11" x14ac:dyDescent="0.2">
      <c r="A1478" s="94">
        <v>2017</v>
      </c>
      <c r="B1478" s="95" t="s">
        <v>66</v>
      </c>
      <c r="C1478" s="95" t="s">
        <v>4</v>
      </c>
      <c r="D1478" s="95" t="s">
        <v>12</v>
      </c>
      <c r="E1478" s="95" t="s">
        <v>69</v>
      </c>
      <c r="F1478" s="95" t="s">
        <v>71</v>
      </c>
      <c r="G1478" s="96">
        <v>1330235641</v>
      </c>
      <c r="H1478" s="95"/>
      <c r="K1478" s="97"/>
    </row>
    <row r="1479" spans="1:11" x14ac:dyDescent="0.2">
      <c r="A1479" s="91">
        <v>2017</v>
      </c>
      <c r="B1479" s="92" t="s">
        <v>66</v>
      </c>
      <c r="C1479" s="92" t="s">
        <v>4</v>
      </c>
      <c r="D1479" s="92" t="s">
        <v>12</v>
      </c>
      <c r="E1479" s="92" t="s">
        <v>69</v>
      </c>
      <c r="F1479" s="92" t="s">
        <v>70</v>
      </c>
      <c r="G1479" s="93">
        <v>3270380658</v>
      </c>
      <c r="H1479" s="92"/>
      <c r="K1479" s="97"/>
    </row>
    <row r="1480" spans="1:11" x14ac:dyDescent="0.2">
      <c r="A1480" s="94">
        <v>2017</v>
      </c>
      <c r="B1480" s="95" t="s">
        <v>66</v>
      </c>
      <c r="C1480" s="95" t="s">
        <v>4</v>
      </c>
      <c r="D1480" s="95" t="s">
        <v>13</v>
      </c>
      <c r="E1480" s="95" t="s">
        <v>67</v>
      </c>
      <c r="F1480" s="95" t="s">
        <v>67</v>
      </c>
      <c r="G1480" s="96">
        <v>9583131426</v>
      </c>
      <c r="H1480" s="95"/>
      <c r="K1480" s="97"/>
    </row>
    <row r="1481" spans="1:11" x14ac:dyDescent="0.2">
      <c r="A1481" s="91">
        <v>2017</v>
      </c>
      <c r="B1481" s="92" t="s">
        <v>66</v>
      </c>
      <c r="C1481" s="92" t="s">
        <v>4</v>
      </c>
      <c r="D1481" s="92" t="s">
        <v>13</v>
      </c>
      <c r="E1481" s="92" t="s">
        <v>69</v>
      </c>
      <c r="F1481" s="92" t="s">
        <v>71</v>
      </c>
      <c r="G1481" s="93">
        <v>1446884584</v>
      </c>
      <c r="H1481" s="92"/>
      <c r="K1481" s="97"/>
    </row>
    <row r="1482" spans="1:11" x14ac:dyDescent="0.2">
      <c r="A1482" s="94">
        <v>2017</v>
      </c>
      <c r="B1482" s="95" t="s">
        <v>66</v>
      </c>
      <c r="C1482" s="95" t="s">
        <v>4</v>
      </c>
      <c r="D1482" s="95" t="s">
        <v>13</v>
      </c>
      <c r="E1482" s="95" t="s">
        <v>69</v>
      </c>
      <c r="F1482" s="95" t="s">
        <v>70</v>
      </c>
      <c r="G1482" s="96">
        <v>4112249100</v>
      </c>
      <c r="H1482" s="95"/>
      <c r="K1482" s="97"/>
    </row>
    <row r="1483" spans="1:11" x14ac:dyDescent="0.2">
      <c r="A1483" s="91">
        <v>2017</v>
      </c>
      <c r="B1483" s="92" t="s">
        <v>66</v>
      </c>
      <c r="C1483" s="92" t="s">
        <v>4</v>
      </c>
      <c r="D1483" s="92" t="s">
        <v>14</v>
      </c>
      <c r="E1483" s="92" t="s">
        <v>67</v>
      </c>
      <c r="F1483" s="92" t="s">
        <v>67</v>
      </c>
      <c r="G1483" s="93">
        <v>7920871070</v>
      </c>
      <c r="H1483" s="92"/>
      <c r="K1483" s="97"/>
    </row>
    <row r="1484" spans="1:11" x14ac:dyDescent="0.2">
      <c r="A1484" s="94">
        <v>2017</v>
      </c>
      <c r="B1484" s="95" t="s">
        <v>66</v>
      </c>
      <c r="C1484" s="95" t="s">
        <v>4</v>
      </c>
      <c r="D1484" s="95" t="s">
        <v>14</v>
      </c>
      <c r="E1484" s="95" t="s">
        <v>69</v>
      </c>
      <c r="F1484" s="95" t="s">
        <v>71</v>
      </c>
      <c r="G1484" s="96">
        <v>705064303</v>
      </c>
      <c r="H1484" s="95"/>
      <c r="K1484" s="97"/>
    </row>
    <row r="1485" spans="1:11" x14ac:dyDescent="0.2">
      <c r="A1485" s="91">
        <v>2017</v>
      </c>
      <c r="B1485" s="92" t="s">
        <v>66</v>
      </c>
      <c r="C1485" s="92" t="s">
        <v>4</v>
      </c>
      <c r="D1485" s="92" t="s">
        <v>14</v>
      </c>
      <c r="E1485" s="92" t="s">
        <v>69</v>
      </c>
      <c r="F1485" s="92" t="s">
        <v>70</v>
      </c>
      <c r="G1485" s="93">
        <v>1413118749</v>
      </c>
      <c r="H1485" s="92"/>
      <c r="K1485" s="97"/>
    </row>
    <row r="1486" spans="1:11" x14ac:dyDescent="0.2">
      <c r="A1486" s="94">
        <v>2017</v>
      </c>
      <c r="B1486" s="95" t="s">
        <v>66</v>
      </c>
      <c r="C1486" s="95" t="s">
        <v>4</v>
      </c>
      <c r="D1486" s="95" t="s">
        <v>15</v>
      </c>
      <c r="E1486" s="95" t="s">
        <v>67</v>
      </c>
      <c r="F1486" s="95" t="s">
        <v>67</v>
      </c>
      <c r="G1486" s="96">
        <v>9247195812</v>
      </c>
      <c r="H1486" s="95"/>
      <c r="K1486" s="97"/>
    </row>
    <row r="1487" spans="1:11" x14ac:dyDescent="0.2">
      <c r="A1487" s="91">
        <v>2017</v>
      </c>
      <c r="B1487" s="92" t="s">
        <v>66</v>
      </c>
      <c r="C1487" s="92" t="s">
        <v>4</v>
      </c>
      <c r="D1487" s="92" t="s">
        <v>15</v>
      </c>
      <c r="E1487" s="92" t="s">
        <v>69</v>
      </c>
      <c r="F1487" s="92" t="s">
        <v>71</v>
      </c>
      <c r="G1487" s="93">
        <v>2726476734</v>
      </c>
      <c r="H1487" s="92"/>
      <c r="K1487" s="97"/>
    </row>
    <row r="1488" spans="1:11" x14ac:dyDescent="0.2">
      <c r="A1488" s="94">
        <v>2017</v>
      </c>
      <c r="B1488" s="95" t="s">
        <v>66</v>
      </c>
      <c r="C1488" s="95" t="s">
        <v>4</v>
      </c>
      <c r="D1488" s="95" t="s">
        <v>15</v>
      </c>
      <c r="E1488" s="95" t="s">
        <v>69</v>
      </c>
      <c r="F1488" s="95" t="s">
        <v>70</v>
      </c>
      <c r="G1488" s="96">
        <v>1962944550</v>
      </c>
      <c r="H1488" s="95"/>
      <c r="K1488" s="97"/>
    </row>
    <row r="1489" spans="1:11" x14ac:dyDescent="0.2">
      <c r="A1489" s="91">
        <v>2017</v>
      </c>
      <c r="B1489" s="92" t="s">
        <v>66</v>
      </c>
      <c r="C1489" s="92" t="s">
        <v>17</v>
      </c>
      <c r="D1489" s="92" t="s">
        <v>16</v>
      </c>
      <c r="E1489" s="92" t="s">
        <v>67</v>
      </c>
      <c r="F1489" s="92" t="s">
        <v>67</v>
      </c>
      <c r="G1489" s="93">
        <v>1037178995</v>
      </c>
      <c r="H1489" s="92"/>
      <c r="K1489" s="97"/>
    </row>
    <row r="1490" spans="1:11" x14ac:dyDescent="0.2">
      <c r="A1490" s="94">
        <v>2017</v>
      </c>
      <c r="B1490" s="95" t="s">
        <v>66</v>
      </c>
      <c r="C1490" s="95" t="s">
        <v>17</v>
      </c>
      <c r="D1490" s="95" t="s">
        <v>16</v>
      </c>
      <c r="E1490" s="95" t="s">
        <v>69</v>
      </c>
      <c r="F1490" s="95" t="s">
        <v>71</v>
      </c>
      <c r="G1490" s="96">
        <v>226759497</v>
      </c>
      <c r="H1490" s="95"/>
      <c r="K1490" s="97"/>
    </row>
    <row r="1491" spans="1:11" x14ac:dyDescent="0.2">
      <c r="A1491" s="91">
        <v>2017</v>
      </c>
      <c r="B1491" s="92" t="s">
        <v>66</v>
      </c>
      <c r="C1491" s="92" t="s">
        <v>17</v>
      </c>
      <c r="D1491" s="92" t="s">
        <v>16</v>
      </c>
      <c r="E1491" s="92" t="s">
        <v>69</v>
      </c>
      <c r="F1491" s="92" t="s">
        <v>70</v>
      </c>
      <c r="G1491" s="93">
        <v>243203831</v>
      </c>
      <c r="H1491" s="92"/>
      <c r="K1491" s="97"/>
    </row>
    <row r="1492" spans="1:11" x14ac:dyDescent="0.2">
      <c r="A1492" s="94">
        <v>2017</v>
      </c>
      <c r="B1492" s="95" t="s">
        <v>66</v>
      </c>
      <c r="C1492" s="95" t="s">
        <v>17</v>
      </c>
      <c r="D1492" s="95" t="s">
        <v>18</v>
      </c>
      <c r="E1492" s="95" t="s">
        <v>67</v>
      </c>
      <c r="F1492" s="95" t="s">
        <v>67</v>
      </c>
      <c r="G1492" s="96">
        <v>1548369652</v>
      </c>
      <c r="H1492" s="95"/>
      <c r="K1492" s="97"/>
    </row>
    <row r="1493" spans="1:11" x14ac:dyDescent="0.2">
      <c r="A1493" s="91">
        <v>2017</v>
      </c>
      <c r="B1493" s="92" t="s">
        <v>66</v>
      </c>
      <c r="C1493" s="92" t="s">
        <v>17</v>
      </c>
      <c r="D1493" s="92" t="s">
        <v>18</v>
      </c>
      <c r="E1493" s="92" t="s">
        <v>69</v>
      </c>
      <c r="F1493" s="92" t="s">
        <v>71</v>
      </c>
      <c r="G1493" s="93">
        <v>502707910</v>
      </c>
      <c r="H1493" s="92"/>
      <c r="K1493" s="97"/>
    </row>
    <row r="1494" spans="1:11" x14ac:dyDescent="0.2">
      <c r="A1494" s="94">
        <v>2017</v>
      </c>
      <c r="B1494" s="95" t="s">
        <v>66</v>
      </c>
      <c r="C1494" s="95" t="s">
        <v>17</v>
      </c>
      <c r="D1494" s="95" t="s">
        <v>18</v>
      </c>
      <c r="E1494" s="95" t="s">
        <v>69</v>
      </c>
      <c r="F1494" s="95" t="s">
        <v>70</v>
      </c>
      <c r="G1494" s="96">
        <v>802115972</v>
      </c>
      <c r="H1494" s="95"/>
      <c r="K1494" s="97"/>
    </row>
    <row r="1495" spans="1:11" x14ac:dyDescent="0.2">
      <c r="A1495" s="91">
        <v>2017</v>
      </c>
      <c r="B1495" s="92" t="s">
        <v>66</v>
      </c>
      <c r="C1495" s="92" t="s">
        <v>17</v>
      </c>
      <c r="D1495" s="92" t="s">
        <v>19</v>
      </c>
      <c r="E1495" s="92" t="s">
        <v>67</v>
      </c>
      <c r="F1495" s="92" t="s">
        <v>67</v>
      </c>
      <c r="G1495" s="93">
        <v>3232162890</v>
      </c>
      <c r="H1495" s="92"/>
      <c r="K1495" s="97"/>
    </row>
    <row r="1496" spans="1:11" x14ac:dyDescent="0.2">
      <c r="A1496" s="94">
        <v>2017</v>
      </c>
      <c r="B1496" s="95" t="s">
        <v>66</v>
      </c>
      <c r="C1496" s="95" t="s">
        <v>17</v>
      </c>
      <c r="D1496" s="95" t="s">
        <v>19</v>
      </c>
      <c r="E1496" s="95" t="s">
        <v>69</v>
      </c>
      <c r="F1496" s="95" t="s">
        <v>71</v>
      </c>
      <c r="G1496" s="96">
        <v>680420970</v>
      </c>
      <c r="H1496" s="95"/>
      <c r="K1496" s="97"/>
    </row>
    <row r="1497" spans="1:11" x14ac:dyDescent="0.2">
      <c r="A1497" s="91">
        <v>2017</v>
      </c>
      <c r="B1497" s="92" t="s">
        <v>66</v>
      </c>
      <c r="C1497" s="92" t="s">
        <v>17</v>
      </c>
      <c r="D1497" s="92" t="s">
        <v>19</v>
      </c>
      <c r="E1497" s="92" t="s">
        <v>69</v>
      </c>
      <c r="F1497" s="92" t="s">
        <v>70</v>
      </c>
      <c r="G1497" s="93">
        <v>579163278</v>
      </c>
      <c r="H1497" s="92"/>
      <c r="K1497" s="97"/>
    </row>
    <row r="1498" spans="1:11" x14ac:dyDescent="0.2">
      <c r="A1498" s="94">
        <v>2017</v>
      </c>
      <c r="B1498" s="95" t="s">
        <v>66</v>
      </c>
      <c r="C1498" s="95" t="s">
        <v>17</v>
      </c>
      <c r="D1498" s="95" t="s">
        <v>20</v>
      </c>
      <c r="E1498" s="95" t="s">
        <v>67</v>
      </c>
      <c r="F1498" s="95" t="s">
        <v>67</v>
      </c>
      <c r="G1498" s="96">
        <v>961881965</v>
      </c>
      <c r="H1498" s="95"/>
      <c r="K1498" s="97"/>
    </row>
    <row r="1499" spans="1:11" x14ac:dyDescent="0.2">
      <c r="A1499" s="91">
        <v>2017</v>
      </c>
      <c r="B1499" s="92" t="s">
        <v>66</v>
      </c>
      <c r="C1499" s="92" t="s">
        <v>17</v>
      </c>
      <c r="D1499" s="92" t="s">
        <v>20</v>
      </c>
      <c r="E1499" s="92" t="s">
        <v>69</v>
      </c>
      <c r="F1499" s="92" t="s">
        <v>71</v>
      </c>
      <c r="G1499" s="93">
        <v>189406186</v>
      </c>
      <c r="H1499" s="92"/>
      <c r="K1499" s="97"/>
    </row>
    <row r="1500" spans="1:11" x14ac:dyDescent="0.2">
      <c r="A1500" s="94">
        <v>2017</v>
      </c>
      <c r="B1500" s="95" t="s">
        <v>66</v>
      </c>
      <c r="C1500" s="95" t="s">
        <v>17</v>
      </c>
      <c r="D1500" s="95" t="s">
        <v>20</v>
      </c>
      <c r="E1500" s="95" t="s">
        <v>69</v>
      </c>
      <c r="F1500" s="95" t="s">
        <v>70</v>
      </c>
      <c r="G1500" s="96">
        <v>860288819</v>
      </c>
      <c r="H1500" s="95"/>
      <c r="K1500" s="97"/>
    </row>
    <row r="1501" spans="1:11" x14ac:dyDescent="0.2">
      <c r="A1501" s="91">
        <v>2017</v>
      </c>
      <c r="B1501" s="92" t="s">
        <v>66</v>
      </c>
      <c r="C1501" s="92" t="s">
        <v>17</v>
      </c>
      <c r="D1501" s="92" t="s">
        <v>21</v>
      </c>
      <c r="E1501" s="92" t="s">
        <v>67</v>
      </c>
      <c r="F1501" s="92" t="s">
        <v>67</v>
      </c>
      <c r="G1501" s="93">
        <v>2664335890</v>
      </c>
      <c r="H1501" s="92"/>
      <c r="K1501" s="97"/>
    </row>
    <row r="1502" spans="1:11" x14ac:dyDescent="0.2">
      <c r="A1502" s="94">
        <v>2017</v>
      </c>
      <c r="B1502" s="95" t="s">
        <v>66</v>
      </c>
      <c r="C1502" s="95" t="s">
        <v>17</v>
      </c>
      <c r="D1502" s="95" t="s">
        <v>21</v>
      </c>
      <c r="E1502" s="95" t="s">
        <v>69</v>
      </c>
      <c r="F1502" s="95" t="s">
        <v>71</v>
      </c>
      <c r="G1502" s="96">
        <v>699557302</v>
      </c>
      <c r="H1502" s="95"/>
      <c r="K1502" s="97"/>
    </row>
    <row r="1503" spans="1:11" x14ac:dyDescent="0.2">
      <c r="A1503" s="91">
        <v>2017</v>
      </c>
      <c r="B1503" s="92" t="s">
        <v>66</v>
      </c>
      <c r="C1503" s="92" t="s">
        <v>17</v>
      </c>
      <c r="D1503" s="92" t="s">
        <v>21</v>
      </c>
      <c r="E1503" s="92" t="s">
        <v>69</v>
      </c>
      <c r="F1503" s="92" t="s">
        <v>70</v>
      </c>
      <c r="G1503" s="93">
        <v>984066889</v>
      </c>
      <c r="H1503" s="92"/>
      <c r="K1503" s="97"/>
    </row>
    <row r="1504" spans="1:11" x14ac:dyDescent="0.2">
      <c r="A1504" s="94">
        <v>2017</v>
      </c>
      <c r="B1504" s="95" t="s">
        <v>66</v>
      </c>
      <c r="C1504" s="95" t="s">
        <v>17</v>
      </c>
      <c r="D1504" s="95" t="s">
        <v>22</v>
      </c>
      <c r="E1504" s="95" t="s">
        <v>67</v>
      </c>
      <c r="F1504" s="95" t="s">
        <v>67</v>
      </c>
      <c r="G1504" s="96">
        <v>1076643351</v>
      </c>
      <c r="H1504" s="95"/>
      <c r="K1504" s="97"/>
    </row>
    <row r="1505" spans="1:11" x14ac:dyDescent="0.2">
      <c r="A1505" s="91">
        <v>2017</v>
      </c>
      <c r="B1505" s="92" t="s">
        <v>66</v>
      </c>
      <c r="C1505" s="92" t="s">
        <v>17</v>
      </c>
      <c r="D1505" s="92" t="s">
        <v>22</v>
      </c>
      <c r="E1505" s="92" t="s">
        <v>69</v>
      </c>
      <c r="F1505" s="92" t="s">
        <v>71</v>
      </c>
      <c r="G1505" s="93">
        <v>317095716</v>
      </c>
      <c r="H1505" s="92"/>
      <c r="K1505" s="97"/>
    </row>
    <row r="1506" spans="1:11" x14ac:dyDescent="0.2">
      <c r="A1506" s="94">
        <v>2017</v>
      </c>
      <c r="B1506" s="95" t="s">
        <v>66</v>
      </c>
      <c r="C1506" s="95" t="s">
        <v>17</v>
      </c>
      <c r="D1506" s="95" t="s">
        <v>22</v>
      </c>
      <c r="E1506" s="95" t="s">
        <v>69</v>
      </c>
      <c r="F1506" s="95" t="s">
        <v>70</v>
      </c>
      <c r="G1506" s="96">
        <v>506034490</v>
      </c>
      <c r="H1506" s="95"/>
      <c r="K1506" s="97"/>
    </row>
    <row r="1507" spans="1:11" x14ac:dyDescent="0.2">
      <c r="A1507" s="91">
        <v>2017</v>
      </c>
      <c r="B1507" s="92" t="s">
        <v>66</v>
      </c>
      <c r="C1507" s="92" t="s">
        <v>17</v>
      </c>
      <c r="D1507" s="92" t="s">
        <v>23</v>
      </c>
      <c r="E1507" s="92" t="s">
        <v>67</v>
      </c>
      <c r="F1507" s="92" t="s">
        <v>67</v>
      </c>
      <c r="G1507" s="93">
        <v>1284782155</v>
      </c>
      <c r="H1507" s="92"/>
      <c r="K1507" s="97"/>
    </row>
    <row r="1508" spans="1:11" x14ac:dyDescent="0.2">
      <c r="A1508" s="94">
        <v>2017</v>
      </c>
      <c r="B1508" s="95" t="s">
        <v>66</v>
      </c>
      <c r="C1508" s="95" t="s">
        <v>17</v>
      </c>
      <c r="D1508" s="95" t="s">
        <v>23</v>
      </c>
      <c r="E1508" s="95" t="s">
        <v>69</v>
      </c>
      <c r="F1508" s="95" t="s">
        <v>71</v>
      </c>
      <c r="G1508" s="96">
        <v>323323837</v>
      </c>
      <c r="H1508" s="95"/>
      <c r="K1508" s="97"/>
    </row>
    <row r="1509" spans="1:11" x14ac:dyDescent="0.2">
      <c r="A1509" s="91">
        <v>2017</v>
      </c>
      <c r="B1509" s="92" t="s">
        <v>66</v>
      </c>
      <c r="C1509" s="92" t="s">
        <v>17</v>
      </c>
      <c r="D1509" s="92" t="s">
        <v>23</v>
      </c>
      <c r="E1509" s="92" t="s">
        <v>69</v>
      </c>
      <c r="F1509" s="92" t="s">
        <v>70</v>
      </c>
      <c r="G1509" s="93">
        <v>618055139</v>
      </c>
      <c r="H1509" s="92"/>
      <c r="K1509" s="97"/>
    </row>
    <row r="1510" spans="1:11" x14ac:dyDescent="0.2">
      <c r="A1510" s="94">
        <v>2017</v>
      </c>
      <c r="B1510" s="95" t="s">
        <v>66</v>
      </c>
      <c r="C1510" s="95" t="s">
        <v>17</v>
      </c>
      <c r="D1510" s="95" t="s">
        <v>24</v>
      </c>
      <c r="E1510" s="95" t="s">
        <v>67</v>
      </c>
      <c r="F1510" s="95" t="s">
        <v>67</v>
      </c>
      <c r="G1510" s="96">
        <v>22339041227</v>
      </c>
      <c r="H1510" s="95"/>
      <c r="K1510" s="97"/>
    </row>
    <row r="1511" spans="1:11" x14ac:dyDescent="0.2">
      <c r="A1511" s="91">
        <v>2017</v>
      </c>
      <c r="B1511" s="92" t="s">
        <v>66</v>
      </c>
      <c r="C1511" s="92" t="s">
        <v>17</v>
      </c>
      <c r="D1511" s="92" t="s">
        <v>24</v>
      </c>
      <c r="E1511" s="92" t="s">
        <v>69</v>
      </c>
      <c r="F1511" s="92" t="s">
        <v>71</v>
      </c>
      <c r="G1511" s="93">
        <v>4995247753</v>
      </c>
      <c r="H1511" s="92"/>
      <c r="K1511" s="97"/>
    </row>
    <row r="1512" spans="1:11" x14ac:dyDescent="0.2">
      <c r="A1512" s="94">
        <v>2017</v>
      </c>
      <c r="B1512" s="95" t="s">
        <v>66</v>
      </c>
      <c r="C1512" s="95" t="s">
        <v>17</v>
      </c>
      <c r="D1512" s="95" t="s">
        <v>24</v>
      </c>
      <c r="E1512" s="95" t="s">
        <v>69</v>
      </c>
      <c r="F1512" s="95" t="s">
        <v>70</v>
      </c>
      <c r="G1512" s="96">
        <v>7338223055</v>
      </c>
      <c r="H1512" s="95"/>
      <c r="K1512" s="97"/>
    </row>
    <row r="1513" spans="1:11" x14ac:dyDescent="0.2">
      <c r="A1513" s="91">
        <v>2017</v>
      </c>
      <c r="B1513" s="92" t="s">
        <v>66</v>
      </c>
      <c r="C1513" s="92" t="s">
        <v>17</v>
      </c>
      <c r="D1513" s="92" t="s">
        <v>25</v>
      </c>
      <c r="E1513" s="92" t="s">
        <v>67</v>
      </c>
      <c r="F1513" s="92" t="s">
        <v>67</v>
      </c>
      <c r="G1513" s="93">
        <v>1710307506</v>
      </c>
      <c r="H1513" s="92"/>
      <c r="K1513" s="97"/>
    </row>
    <row r="1514" spans="1:11" x14ac:dyDescent="0.2">
      <c r="A1514" s="94">
        <v>2017</v>
      </c>
      <c r="B1514" s="95" t="s">
        <v>66</v>
      </c>
      <c r="C1514" s="95" t="s">
        <v>17</v>
      </c>
      <c r="D1514" s="95" t="s">
        <v>25</v>
      </c>
      <c r="E1514" s="95" t="s">
        <v>69</v>
      </c>
      <c r="F1514" s="95" t="s">
        <v>71</v>
      </c>
      <c r="G1514" s="96">
        <v>279459127</v>
      </c>
      <c r="H1514" s="95"/>
      <c r="K1514" s="97"/>
    </row>
    <row r="1515" spans="1:11" x14ac:dyDescent="0.2">
      <c r="A1515" s="91">
        <v>2017</v>
      </c>
      <c r="B1515" s="92" t="s">
        <v>66</v>
      </c>
      <c r="C1515" s="92" t="s">
        <v>17</v>
      </c>
      <c r="D1515" s="92" t="s">
        <v>25</v>
      </c>
      <c r="E1515" s="92" t="s">
        <v>69</v>
      </c>
      <c r="F1515" s="92" t="s">
        <v>70</v>
      </c>
      <c r="G1515" s="93">
        <v>317980471</v>
      </c>
      <c r="H1515" s="92"/>
      <c r="K1515" s="97"/>
    </row>
    <row r="1516" spans="1:11" x14ac:dyDescent="0.2">
      <c r="A1516" s="94">
        <v>2017</v>
      </c>
      <c r="B1516" s="95" t="s">
        <v>66</v>
      </c>
      <c r="C1516" s="95" t="s">
        <v>27</v>
      </c>
      <c r="D1516" s="95" t="s">
        <v>26</v>
      </c>
      <c r="E1516" s="95" t="s">
        <v>67</v>
      </c>
      <c r="F1516" s="95" t="s">
        <v>67</v>
      </c>
      <c r="G1516" s="96">
        <v>29163833191</v>
      </c>
      <c r="H1516" s="95"/>
      <c r="K1516" s="97"/>
    </row>
    <row r="1517" spans="1:11" x14ac:dyDescent="0.2">
      <c r="A1517" s="91">
        <v>2017</v>
      </c>
      <c r="B1517" s="92" t="s">
        <v>66</v>
      </c>
      <c r="C1517" s="92" t="s">
        <v>27</v>
      </c>
      <c r="D1517" s="92" t="s">
        <v>26</v>
      </c>
      <c r="E1517" s="92" t="s">
        <v>69</v>
      </c>
      <c r="F1517" s="92" t="s">
        <v>71</v>
      </c>
      <c r="G1517" s="93">
        <v>6303499620</v>
      </c>
      <c r="H1517" s="92"/>
      <c r="K1517" s="97"/>
    </row>
    <row r="1518" spans="1:11" x14ac:dyDescent="0.2">
      <c r="A1518" s="94">
        <v>2017</v>
      </c>
      <c r="B1518" s="95" t="s">
        <v>66</v>
      </c>
      <c r="C1518" s="95" t="s">
        <v>27</v>
      </c>
      <c r="D1518" s="95" t="s">
        <v>26</v>
      </c>
      <c r="E1518" s="95" t="s">
        <v>69</v>
      </c>
      <c r="F1518" s="95" t="s">
        <v>70</v>
      </c>
      <c r="G1518" s="96">
        <v>15782049816</v>
      </c>
      <c r="H1518" s="95"/>
      <c r="K1518" s="97"/>
    </row>
    <row r="1519" spans="1:11" x14ac:dyDescent="0.2">
      <c r="A1519" s="91">
        <v>2017</v>
      </c>
      <c r="B1519" s="92" t="s">
        <v>66</v>
      </c>
      <c r="C1519" s="92" t="s">
        <v>27</v>
      </c>
      <c r="D1519" s="92" t="s">
        <v>28</v>
      </c>
      <c r="E1519" s="92" t="s">
        <v>67</v>
      </c>
      <c r="F1519" s="92" t="s">
        <v>67</v>
      </c>
      <c r="G1519" s="93">
        <v>41968759287</v>
      </c>
      <c r="H1519" s="92"/>
      <c r="K1519" s="97"/>
    </row>
    <row r="1520" spans="1:11" x14ac:dyDescent="0.2">
      <c r="A1520" s="94">
        <v>2017</v>
      </c>
      <c r="B1520" s="95" t="s">
        <v>66</v>
      </c>
      <c r="C1520" s="95" t="s">
        <v>27</v>
      </c>
      <c r="D1520" s="95" t="s">
        <v>28</v>
      </c>
      <c r="E1520" s="95" t="s">
        <v>69</v>
      </c>
      <c r="F1520" s="95" t="s">
        <v>71</v>
      </c>
      <c r="G1520" s="96">
        <v>11684353852</v>
      </c>
      <c r="H1520" s="95"/>
      <c r="K1520" s="97"/>
    </row>
    <row r="1521" spans="1:11" x14ac:dyDescent="0.2">
      <c r="A1521" s="91">
        <v>2017</v>
      </c>
      <c r="B1521" s="92" t="s">
        <v>66</v>
      </c>
      <c r="C1521" s="92" t="s">
        <v>27</v>
      </c>
      <c r="D1521" s="92" t="s">
        <v>28</v>
      </c>
      <c r="E1521" s="92" t="s">
        <v>69</v>
      </c>
      <c r="F1521" s="92" t="s">
        <v>70</v>
      </c>
      <c r="G1521" s="93">
        <v>18563537565</v>
      </c>
      <c r="H1521" s="92"/>
      <c r="K1521" s="97"/>
    </row>
    <row r="1522" spans="1:11" x14ac:dyDescent="0.2">
      <c r="A1522" s="94">
        <v>2017</v>
      </c>
      <c r="B1522" s="95" t="s">
        <v>66</v>
      </c>
      <c r="C1522" s="95" t="s">
        <v>27</v>
      </c>
      <c r="D1522" s="95" t="s">
        <v>29</v>
      </c>
      <c r="E1522" s="95" t="s">
        <v>67</v>
      </c>
      <c r="F1522" s="95" t="s">
        <v>67</v>
      </c>
      <c r="G1522" s="96">
        <v>16109598867</v>
      </c>
      <c r="H1522" s="95"/>
      <c r="K1522" s="97"/>
    </row>
    <row r="1523" spans="1:11" x14ac:dyDescent="0.2">
      <c r="A1523" s="91">
        <v>2017</v>
      </c>
      <c r="B1523" s="92" t="s">
        <v>66</v>
      </c>
      <c r="C1523" s="92" t="s">
        <v>27</v>
      </c>
      <c r="D1523" s="92" t="s">
        <v>29</v>
      </c>
      <c r="E1523" s="92" t="s">
        <v>69</v>
      </c>
      <c r="F1523" s="92" t="s">
        <v>71</v>
      </c>
      <c r="G1523" s="93">
        <v>5207859360</v>
      </c>
      <c r="H1523" s="92"/>
      <c r="K1523" s="97"/>
    </row>
    <row r="1524" spans="1:11" x14ac:dyDescent="0.2">
      <c r="A1524" s="94">
        <v>2017</v>
      </c>
      <c r="B1524" s="95" t="s">
        <v>66</v>
      </c>
      <c r="C1524" s="95" t="s">
        <v>27</v>
      </c>
      <c r="D1524" s="95" t="s">
        <v>29</v>
      </c>
      <c r="E1524" s="95" t="s">
        <v>69</v>
      </c>
      <c r="F1524" s="95" t="s">
        <v>70</v>
      </c>
      <c r="G1524" s="96">
        <v>4480558934</v>
      </c>
      <c r="H1524" s="95"/>
      <c r="K1524" s="97"/>
    </row>
    <row r="1525" spans="1:11" x14ac:dyDescent="0.2">
      <c r="A1525" s="91">
        <v>2017</v>
      </c>
      <c r="B1525" s="92" t="s">
        <v>66</v>
      </c>
      <c r="C1525" s="92" t="s">
        <v>27</v>
      </c>
      <c r="D1525" s="92" t="s">
        <v>30</v>
      </c>
      <c r="E1525" s="92" t="s">
        <v>67</v>
      </c>
      <c r="F1525" s="92" t="s">
        <v>67</v>
      </c>
      <c r="G1525" s="93">
        <v>35224296342</v>
      </c>
      <c r="H1525" s="92"/>
      <c r="K1525" s="97"/>
    </row>
    <row r="1526" spans="1:11" x14ac:dyDescent="0.2">
      <c r="A1526" s="94">
        <v>2017</v>
      </c>
      <c r="B1526" s="95" t="s">
        <v>66</v>
      </c>
      <c r="C1526" s="95" t="s">
        <v>27</v>
      </c>
      <c r="D1526" s="95" t="s">
        <v>30</v>
      </c>
      <c r="E1526" s="95" t="s">
        <v>69</v>
      </c>
      <c r="F1526" s="95" t="s">
        <v>71</v>
      </c>
      <c r="G1526" s="96">
        <v>9510340635</v>
      </c>
      <c r="H1526" s="95"/>
      <c r="K1526" s="97"/>
    </row>
    <row r="1527" spans="1:11" x14ac:dyDescent="0.2">
      <c r="A1527" s="91">
        <v>2017</v>
      </c>
      <c r="B1527" s="92" t="s">
        <v>66</v>
      </c>
      <c r="C1527" s="92" t="s">
        <v>27</v>
      </c>
      <c r="D1527" s="92" t="s">
        <v>30</v>
      </c>
      <c r="E1527" s="92" t="s">
        <v>69</v>
      </c>
      <c r="F1527" s="92" t="s">
        <v>70</v>
      </c>
      <c r="G1527" s="93">
        <v>18348961493</v>
      </c>
      <c r="H1527" s="92"/>
      <c r="K1527" s="97"/>
    </row>
    <row r="1528" spans="1:11" x14ac:dyDescent="0.2">
      <c r="A1528" s="94">
        <v>2017</v>
      </c>
      <c r="B1528" s="95" t="s">
        <v>66</v>
      </c>
      <c r="C1528" s="95" t="s">
        <v>27</v>
      </c>
      <c r="D1528" s="95" t="s">
        <v>31</v>
      </c>
      <c r="E1528" s="95" t="s">
        <v>67</v>
      </c>
      <c r="F1528" s="95" t="s">
        <v>67</v>
      </c>
      <c r="G1528" s="96">
        <v>9599356568</v>
      </c>
      <c r="H1528" s="95"/>
      <c r="K1528" s="97"/>
    </row>
    <row r="1529" spans="1:11" x14ac:dyDescent="0.2">
      <c r="A1529" s="91">
        <v>2017</v>
      </c>
      <c r="B1529" s="92" t="s">
        <v>66</v>
      </c>
      <c r="C1529" s="92" t="s">
        <v>27</v>
      </c>
      <c r="D1529" s="92" t="s">
        <v>31</v>
      </c>
      <c r="E1529" s="92" t="s">
        <v>69</v>
      </c>
      <c r="F1529" s="92" t="s">
        <v>71</v>
      </c>
      <c r="G1529" s="93">
        <v>4507548235</v>
      </c>
      <c r="H1529" s="92"/>
      <c r="K1529" s="97"/>
    </row>
    <row r="1530" spans="1:11" x14ac:dyDescent="0.2">
      <c r="A1530" s="94">
        <v>2017</v>
      </c>
      <c r="B1530" s="95" t="s">
        <v>66</v>
      </c>
      <c r="C1530" s="95" t="s">
        <v>27</v>
      </c>
      <c r="D1530" s="95" t="s">
        <v>31</v>
      </c>
      <c r="E1530" s="95" t="s">
        <v>69</v>
      </c>
      <c r="F1530" s="95" t="s">
        <v>70</v>
      </c>
      <c r="G1530" s="96">
        <v>9709178171</v>
      </c>
      <c r="H1530" s="95"/>
      <c r="K1530" s="97"/>
    </row>
    <row r="1531" spans="1:11" x14ac:dyDescent="0.2">
      <c r="A1531" s="91">
        <v>2017</v>
      </c>
      <c r="B1531" s="92" t="s">
        <v>66</v>
      </c>
      <c r="C1531" s="92" t="s">
        <v>27</v>
      </c>
      <c r="D1531" s="92" t="s">
        <v>32</v>
      </c>
      <c r="E1531" s="92" t="s">
        <v>67</v>
      </c>
      <c r="F1531" s="92" t="s">
        <v>67</v>
      </c>
      <c r="G1531" s="93">
        <v>17088670286</v>
      </c>
      <c r="H1531" s="92"/>
      <c r="K1531" s="97"/>
    </row>
    <row r="1532" spans="1:11" x14ac:dyDescent="0.2">
      <c r="A1532" s="94">
        <v>2017</v>
      </c>
      <c r="B1532" s="95" t="s">
        <v>66</v>
      </c>
      <c r="C1532" s="95" t="s">
        <v>27</v>
      </c>
      <c r="D1532" s="95" t="s">
        <v>32</v>
      </c>
      <c r="E1532" s="95" t="s">
        <v>69</v>
      </c>
      <c r="F1532" s="95" t="s">
        <v>71</v>
      </c>
      <c r="G1532" s="96">
        <v>6622036798</v>
      </c>
      <c r="H1532" s="95"/>
      <c r="K1532" s="97"/>
    </row>
    <row r="1533" spans="1:11" x14ac:dyDescent="0.2">
      <c r="A1533" s="91">
        <v>2017</v>
      </c>
      <c r="B1533" s="92" t="s">
        <v>66</v>
      </c>
      <c r="C1533" s="92" t="s">
        <v>27</v>
      </c>
      <c r="D1533" s="92" t="s">
        <v>32</v>
      </c>
      <c r="E1533" s="92" t="s">
        <v>69</v>
      </c>
      <c r="F1533" s="92" t="s">
        <v>70</v>
      </c>
      <c r="G1533" s="93">
        <v>6222799245</v>
      </c>
      <c r="H1533" s="92"/>
      <c r="K1533" s="97"/>
    </row>
    <row r="1534" spans="1:11" x14ac:dyDescent="0.2">
      <c r="A1534" s="94">
        <v>2017</v>
      </c>
      <c r="B1534" s="95" t="s">
        <v>66</v>
      </c>
      <c r="C1534" s="95" t="s">
        <v>27</v>
      </c>
      <c r="D1534" s="95" t="s">
        <v>33</v>
      </c>
      <c r="E1534" s="95" t="s">
        <v>67</v>
      </c>
      <c r="F1534" s="95" t="s">
        <v>67</v>
      </c>
      <c r="G1534" s="96">
        <v>23894260473</v>
      </c>
      <c r="H1534" s="95"/>
      <c r="K1534" s="97"/>
    </row>
    <row r="1535" spans="1:11" x14ac:dyDescent="0.2">
      <c r="A1535" s="91">
        <v>2017</v>
      </c>
      <c r="B1535" s="92" t="s">
        <v>66</v>
      </c>
      <c r="C1535" s="92" t="s">
        <v>27</v>
      </c>
      <c r="D1535" s="92" t="s">
        <v>33</v>
      </c>
      <c r="E1535" s="92" t="s">
        <v>69</v>
      </c>
      <c r="F1535" s="92" t="s">
        <v>71</v>
      </c>
      <c r="G1535" s="93">
        <v>10662950256</v>
      </c>
      <c r="H1535" s="92"/>
      <c r="K1535" s="97"/>
    </row>
    <row r="1536" spans="1:11" x14ac:dyDescent="0.2">
      <c r="A1536" s="94">
        <v>2017</v>
      </c>
      <c r="B1536" s="95" t="s">
        <v>66</v>
      </c>
      <c r="C1536" s="95" t="s">
        <v>27</v>
      </c>
      <c r="D1536" s="95" t="s">
        <v>33</v>
      </c>
      <c r="E1536" s="95" t="s">
        <v>69</v>
      </c>
      <c r="F1536" s="95" t="s">
        <v>70</v>
      </c>
      <c r="G1536" s="96">
        <v>27074271330</v>
      </c>
      <c r="H1536" s="95"/>
      <c r="K1536" s="97"/>
    </row>
    <row r="1537" spans="1:11" x14ac:dyDescent="0.2">
      <c r="A1537" s="91">
        <v>2017</v>
      </c>
      <c r="B1537" s="92" t="s">
        <v>66</v>
      </c>
      <c r="C1537" s="92" t="s">
        <v>35</v>
      </c>
      <c r="D1537" s="92" t="s">
        <v>34</v>
      </c>
      <c r="E1537" s="92" t="s">
        <v>67</v>
      </c>
      <c r="F1537" s="92" t="s">
        <v>67</v>
      </c>
      <c r="G1537" s="93">
        <v>2620578170</v>
      </c>
      <c r="H1537" s="92"/>
      <c r="K1537" s="97"/>
    </row>
    <row r="1538" spans="1:11" x14ac:dyDescent="0.2">
      <c r="A1538" s="94">
        <v>2017</v>
      </c>
      <c r="B1538" s="95" t="s">
        <v>66</v>
      </c>
      <c r="C1538" s="95" t="s">
        <v>35</v>
      </c>
      <c r="D1538" s="95" t="s">
        <v>34</v>
      </c>
      <c r="E1538" s="95" t="s">
        <v>69</v>
      </c>
      <c r="F1538" s="95" t="s">
        <v>71</v>
      </c>
      <c r="G1538" s="96">
        <v>555648356</v>
      </c>
      <c r="H1538" s="95"/>
      <c r="K1538" s="97"/>
    </row>
    <row r="1539" spans="1:11" x14ac:dyDescent="0.2">
      <c r="A1539" s="91">
        <v>2017</v>
      </c>
      <c r="B1539" s="92" t="s">
        <v>66</v>
      </c>
      <c r="C1539" s="92" t="s">
        <v>35</v>
      </c>
      <c r="D1539" s="92" t="s">
        <v>34</v>
      </c>
      <c r="E1539" s="92" t="s">
        <v>69</v>
      </c>
      <c r="F1539" s="92" t="s">
        <v>70</v>
      </c>
      <c r="G1539" s="93">
        <v>415059844</v>
      </c>
      <c r="H1539" s="92"/>
      <c r="K1539" s="97"/>
    </row>
    <row r="1540" spans="1:11" x14ac:dyDescent="0.2">
      <c r="A1540" s="94">
        <v>2017</v>
      </c>
      <c r="B1540" s="95" t="s">
        <v>66</v>
      </c>
      <c r="C1540" s="95" t="s">
        <v>35</v>
      </c>
      <c r="D1540" s="95" t="s">
        <v>36</v>
      </c>
      <c r="E1540" s="95" t="s">
        <v>67</v>
      </c>
      <c r="F1540" s="95" t="s">
        <v>67</v>
      </c>
      <c r="G1540" s="96">
        <v>11824962165</v>
      </c>
      <c r="H1540" s="95"/>
      <c r="K1540" s="97"/>
    </row>
    <row r="1541" spans="1:11" x14ac:dyDescent="0.2">
      <c r="A1541" s="91">
        <v>2017</v>
      </c>
      <c r="B1541" s="92" t="s">
        <v>66</v>
      </c>
      <c r="C1541" s="92" t="s">
        <v>35</v>
      </c>
      <c r="D1541" s="92" t="s">
        <v>36</v>
      </c>
      <c r="E1541" s="92" t="s">
        <v>69</v>
      </c>
      <c r="F1541" s="92" t="s">
        <v>71</v>
      </c>
      <c r="G1541" s="93">
        <v>4789639890</v>
      </c>
      <c r="H1541" s="92"/>
      <c r="K1541" s="97"/>
    </row>
    <row r="1542" spans="1:11" x14ac:dyDescent="0.2">
      <c r="A1542" s="94">
        <v>2017</v>
      </c>
      <c r="B1542" s="95" t="s">
        <v>66</v>
      </c>
      <c r="C1542" s="95" t="s">
        <v>35</v>
      </c>
      <c r="D1542" s="95" t="s">
        <v>36</v>
      </c>
      <c r="E1542" s="95" t="s">
        <v>69</v>
      </c>
      <c r="F1542" s="95" t="s">
        <v>70</v>
      </c>
      <c r="G1542" s="96">
        <v>2737406425</v>
      </c>
      <c r="H1542" s="95"/>
      <c r="K1542" s="97"/>
    </row>
    <row r="1543" spans="1:11" x14ac:dyDescent="0.2">
      <c r="A1543" s="91">
        <v>2017</v>
      </c>
      <c r="B1543" s="92" t="s">
        <v>66</v>
      </c>
      <c r="C1543" s="92" t="s">
        <v>35</v>
      </c>
      <c r="D1543" s="92" t="s">
        <v>37</v>
      </c>
      <c r="E1543" s="92" t="s">
        <v>67</v>
      </c>
      <c r="F1543" s="92" t="s">
        <v>67</v>
      </c>
      <c r="G1543" s="93">
        <v>3425132976</v>
      </c>
      <c r="H1543" s="92"/>
      <c r="K1543" s="97"/>
    </row>
    <row r="1544" spans="1:11" x14ac:dyDescent="0.2">
      <c r="A1544" s="94">
        <v>2017</v>
      </c>
      <c r="B1544" s="95" t="s">
        <v>66</v>
      </c>
      <c r="C1544" s="95" t="s">
        <v>35</v>
      </c>
      <c r="D1544" s="95" t="s">
        <v>37</v>
      </c>
      <c r="E1544" s="95" t="s">
        <v>69</v>
      </c>
      <c r="F1544" s="95" t="s">
        <v>71</v>
      </c>
      <c r="G1544" s="96">
        <v>955877855</v>
      </c>
      <c r="H1544" s="95"/>
      <c r="K1544" s="97"/>
    </row>
    <row r="1545" spans="1:11" x14ac:dyDescent="0.2">
      <c r="A1545" s="91">
        <v>2017</v>
      </c>
      <c r="B1545" s="92" t="s">
        <v>66</v>
      </c>
      <c r="C1545" s="92" t="s">
        <v>35</v>
      </c>
      <c r="D1545" s="92" t="s">
        <v>37</v>
      </c>
      <c r="E1545" s="92" t="s">
        <v>69</v>
      </c>
      <c r="F1545" s="92" t="s">
        <v>70</v>
      </c>
      <c r="G1545" s="93">
        <v>962953509</v>
      </c>
      <c r="H1545" s="92"/>
      <c r="K1545" s="97"/>
    </row>
    <row r="1546" spans="1:11" x14ac:dyDescent="0.2">
      <c r="A1546" s="94">
        <v>2017</v>
      </c>
      <c r="B1546" s="95" t="s">
        <v>66</v>
      </c>
      <c r="C1546" s="95" t="s">
        <v>35</v>
      </c>
      <c r="D1546" s="95" t="s">
        <v>38</v>
      </c>
      <c r="E1546" s="95" t="s">
        <v>67</v>
      </c>
      <c r="F1546" s="95" t="s">
        <v>67</v>
      </c>
      <c r="G1546" s="96">
        <v>5371850317</v>
      </c>
      <c r="H1546" s="95"/>
      <c r="K1546" s="97"/>
    </row>
    <row r="1547" spans="1:11" x14ac:dyDescent="0.2">
      <c r="A1547" s="91">
        <v>2017</v>
      </c>
      <c r="B1547" s="92" t="s">
        <v>66</v>
      </c>
      <c r="C1547" s="92" t="s">
        <v>35</v>
      </c>
      <c r="D1547" s="92" t="s">
        <v>38</v>
      </c>
      <c r="E1547" s="92" t="s">
        <v>69</v>
      </c>
      <c r="F1547" s="92" t="s">
        <v>71</v>
      </c>
      <c r="G1547" s="93">
        <v>1327149595</v>
      </c>
      <c r="H1547" s="92"/>
      <c r="K1547" s="97"/>
    </row>
    <row r="1548" spans="1:11" x14ac:dyDescent="0.2">
      <c r="A1548" s="94">
        <v>2017</v>
      </c>
      <c r="B1548" s="95" t="s">
        <v>66</v>
      </c>
      <c r="C1548" s="95" t="s">
        <v>35</v>
      </c>
      <c r="D1548" s="95" t="s">
        <v>38</v>
      </c>
      <c r="E1548" s="95" t="s">
        <v>69</v>
      </c>
      <c r="F1548" s="95" t="s">
        <v>70</v>
      </c>
      <c r="G1548" s="96">
        <v>1322809702</v>
      </c>
      <c r="H1548" s="95"/>
      <c r="K1548" s="97"/>
    </row>
    <row r="1549" spans="1:11" x14ac:dyDescent="0.2">
      <c r="A1549" s="91">
        <v>2017</v>
      </c>
      <c r="B1549" s="92" t="s">
        <v>66</v>
      </c>
      <c r="C1549" s="92" t="s">
        <v>35</v>
      </c>
      <c r="D1549" s="92" t="s">
        <v>39</v>
      </c>
      <c r="E1549" s="92" t="s">
        <v>67</v>
      </c>
      <c r="F1549" s="92" t="s">
        <v>67</v>
      </c>
      <c r="G1549" s="93">
        <v>15344714201</v>
      </c>
      <c r="H1549" s="92"/>
      <c r="K1549" s="97"/>
    </row>
    <row r="1550" spans="1:11" x14ac:dyDescent="0.2">
      <c r="A1550" s="94">
        <v>2017</v>
      </c>
      <c r="B1550" s="95" t="s">
        <v>66</v>
      </c>
      <c r="C1550" s="95" t="s">
        <v>35</v>
      </c>
      <c r="D1550" s="95" t="s">
        <v>39</v>
      </c>
      <c r="E1550" s="95" t="s">
        <v>69</v>
      </c>
      <c r="F1550" s="95" t="s">
        <v>71</v>
      </c>
      <c r="G1550" s="96">
        <v>4371250393</v>
      </c>
      <c r="H1550" s="95"/>
      <c r="K1550" s="97"/>
    </row>
    <row r="1551" spans="1:11" x14ac:dyDescent="0.2">
      <c r="A1551" s="91">
        <v>2017</v>
      </c>
      <c r="B1551" s="92" t="s">
        <v>66</v>
      </c>
      <c r="C1551" s="92" t="s">
        <v>35</v>
      </c>
      <c r="D1551" s="92" t="s">
        <v>39</v>
      </c>
      <c r="E1551" s="92" t="s">
        <v>69</v>
      </c>
      <c r="F1551" s="92" t="s">
        <v>70</v>
      </c>
      <c r="G1551" s="93">
        <v>3346212594</v>
      </c>
      <c r="H1551" s="92"/>
      <c r="K1551" s="97"/>
    </row>
    <row r="1552" spans="1:11" x14ac:dyDescent="0.2">
      <c r="A1552" s="94">
        <v>2017</v>
      </c>
      <c r="B1552" s="95" t="s">
        <v>66</v>
      </c>
      <c r="C1552" s="95" t="s">
        <v>41</v>
      </c>
      <c r="D1552" s="95" t="s">
        <v>40</v>
      </c>
      <c r="E1552" s="95" t="s">
        <v>67</v>
      </c>
      <c r="F1552" s="95" t="s">
        <v>67</v>
      </c>
      <c r="G1552" s="96">
        <v>2664157056</v>
      </c>
      <c r="H1552" s="95"/>
      <c r="K1552" s="97"/>
    </row>
    <row r="1553" spans="1:11" x14ac:dyDescent="0.2">
      <c r="A1553" s="91">
        <v>2017</v>
      </c>
      <c r="B1553" s="92" t="s">
        <v>66</v>
      </c>
      <c r="C1553" s="92" t="s">
        <v>41</v>
      </c>
      <c r="D1553" s="92" t="s">
        <v>40</v>
      </c>
      <c r="E1553" s="92" t="s">
        <v>69</v>
      </c>
      <c r="F1553" s="92" t="s">
        <v>71</v>
      </c>
      <c r="G1553" s="93">
        <v>223133431</v>
      </c>
      <c r="H1553" s="92"/>
      <c r="K1553" s="97"/>
    </row>
    <row r="1554" spans="1:11" x14ac:dyDescent="0.2">
      <c r="A1554" s="94">
        <v>2017</v>
      </c>
      <c r="B1554" s="95" t="s">
        <v>66</v>
      </c>
      <c r="C1554" s="95" t="s">
        <v>41</v>
      </c>
      <c r="D1554" s="95" t="s">
        <v>40</v>
      </c>
      <c r="E1554" s="95" t="s">
        <v>69</v>
      </c>
      <c r="F1554" s="95" t="s">
        <v>70</v>
      </c>
      <c r="G1554" s="96">
        <v>180481491</v>
      </c>
      <c r="H1554" s="95"/>
      <c r="K1554" s="97"/>
    </row>
    <row r="1555" spans="1:11" x14ac:dyDescent="0.2">
      <c r="A1555" s="91">
        <v>2017</v>
      </c>
      <c r="B1555" s="92" t="s">
        <v>66</v>
      </c>
      <c r="C1555" s="92" t="s">
        <v>41</v>
      </c>
      <c r="D1555" s="92" t="s">
        <v>42</v>
      </c>
      <c r="E1555" s="92" t="s">
        <v>67</v>
      </c>
      <c r="F1555" s="92" t="s">
        <v>67</v>
      </c>
      <c r="G1555" s="93">
        <v>7915584907</v>
      </c>
      <c r="H1555" s="92"/>
      <c r="K1555" s="97"/>
    </row>
    <row r="1556" spans="1:11" x14ac:dyDescent="0.2">
      <c r="A1556" s="94">
        <v>2017</v>
      </c>
      <c r="B1556" s="95" t="s">
        <v>66</v>
      </c>
      <c r="C1556" s="95" t="s">
        <v>41</v>
      </c>
      <c r="D1556" s="95" t="s">
        <v>42</v>
      </c>
      <c r="E1556" s="95" t="s">
        <v>69</v>
      </c>
      <c r="F1556" s="95" t="s">
        <v>71</v>
      </c>
      <c r="G1556" s="96">
        <v>903735065</v>
      </c>
      <c r="H1556" s="95"/>
      <c r="K1556" s="97"/>
    </row>
    <row r="1557" spans="1:11" x14ac:dyDescent="0.2">
      <c r="A1557" s="91">
        <v>2017</v>
      </c>
      <c r="B1557" s="92" t="s">
        <v>66</v>
      </c>
      <c r="C1557" s="92" t="s">
        <v>41</v>
      </c>
      <c r="D1557" s="92" t="s">
        <v>42</v>
      </c>
      <c r="E1557" s="92" t="s">
        <v>69</v>
      </c>
      <c r="F1557" s="92" t="s">
        <v>70</v>
      </c>
      <c r="G1557" s="93">
        <v>1942502216</v>
      </c>
      <c r="H1557" s="92"/>
      <c r="K1557" s="97"/>
    </row>
    <row r="1558" spans="1:11" x14ac:dyDescent="0.2">
      <c r="A1558" s="94">
        <v>2017</v>
      </c>
      <c r="B1558" s="95" t="s">
        <v>66</v>
      </c>
      <c r="C1558" s="95" t="s">
        <v>41</v>
      </c>
      <c r="D1558" s="95" t="s">
        <v>43</v>
      </c>
      <c r="E1558" s="95" t="s">
        <v>67</v>
      </c>
      <c r="F1558" s="95" t="s">
        <v>67</v>
      </c>
      <c r="G1558" s="96">
        <v>7830860079</v>
      </c>
      <c r="H1558" s="95"/>
      <c r="K1558" s="97"/>
    </row>
    <row r="1559" spans="1:11" x14ac:dyDescent="0.2">
      <c r="A1559" s="91">
        <v>2017</v>
      </c>
      <c r="B1559" s="92" t="s">
        <v>66</v>
      </c>
      <c r="C1559" s="92" t="s">
        <v>41</v>
      </c>
      <c r="D1559" s="92" t="s">
        <v>43</v>
      </c>
      <c r="E1559" s="92" t="s">
        <v>69</v>
      </c>
      <c r="F1559" s="92" t="s">
        <v>71</v>
      </c>
      <c r="G1559" s="93">
        <v>1437808821</v>
      </c>
      <c r="H1559" s="92"/>
      <c r="K1559" s="97"/>
    </row>
    <row r="1560" spans="1:11" x14ac:dyDescent="0.2">
      <c r="A1560" s="94">
        <v>2017</v>
      </c>
      <c r="B1560" s="95" t="s">
        <v>66</v>
      </c>
      <c r="C1560" s="95" t="s">
        <v>41</v>
      </c>
      <c r="D1560" s="95" t="s">
        <v>43</v>
      </c>
      <c r="E1560" s="95" t="s">
        <v>69</v>
      </c>
      <c r="F1560" s="95" t="s">
        <v>70</v>
      </c>
      <c r="G1560" s="96">
        <v>1287422598</v>
      </c>
      <c r="H1560" s="95"/>
      <c r="K1560" s="97"/>
    </row>
    <row r="1561" spans="1:11" x14ac:dyDescent="0.2">
      <c r="A1561" s="91">
        <v>2017</v>
      </c>
      <c r="B1561" s="92" t="s">
        <v>66</v>
      </c>
      <c r="C1561" s="92" t="s">
        <v>41</v>
      </c>
      <c r="D1561" s="92" t="s">
        <v>44</v>
      </c>
      <c r="E1561" s="92" t="s">
        <v>67</v>
      </c>
      <c r="F1561" s="92" t="s">
        <v>67</v>
      </c>
      <c r="G1561" s="93">
        <v>9683481748</v>
      </c>
      <c r="H1561" s="92"/>
      <c r="K1561" s="97"/>
    </row>
    <row r="1562" spans="1:11" x14ac:dyDescent="0.2">
      <c r="A1562" s="94">
        <v>2017</v>
      </c>
      <c r="B1562" s="95" t="s">
        <v>66</v>
      </c>
      <c r="C1562" s="95" t="s">
        <v>41</v>
      </c>
      <c r="D1562" s="95" t="s">
        <v>44</v>
      </c>
      <c r="E1562" s="95" t="s">
        <v>69</v>
      </c>
      <c r="F1562" s="95" t="s">
        <v>71</v>
      </c>
      <c r="G1562" s="96">
        <v>1855312752</v>
      </c>
      <c r="H1562" s="95"/>
      <c r="K1562" s="97"/>
    </row>
    <row r="1563" spans="1:11" x14ac:dyDescent="0.2">
      <c r="A1563" s="91">
        <v>2017</v>
      </c>
      <c r="B1563" s="92" t="s">
        <v>66</v>
      </c>
      <c r="C1563" s="92" t="s">
        <v>41</v>
      </c>
      <c r="D1563" s="92" t="s">
        <v>44</v>
      </c>
      <c r="E1563" s="92" t="s">
        <v>69</v>
      </c>
      <c r="F1563" s="92" t="s">
        <v>70</v>
      </c>
      <c r="G1563" s="93">
        <v>2027494571</v>
      </c>
      <c r="H1563" s="92"/>
      <c r="K1563" s="97"/>
    </row>
    <row r="1564" spans="1:11" x14ac:dyDescent="0.2">
      <c r="A1564" s="94">
        <v>2017</v>
      </c>
      <c r="B1564" s="95" t="s">
        <v>66</v>
      </c>
      <c r="C1564" s="95" t="s">
        <v>41</v>
      </c>
      <c r="D1564" s="95" t="s">
        <v>45</v>
      </c>
      <c r="E1564" s="95" t="s">
        <v>67</v>
      </c>
      <c r="F1564" s="95" t="s">
        <v>67</v>
      </c>
      <c r="G1564" s="96">
        <v>24442246095</v>
      </c>
      <c r="H1564" s="95"/>
      <c r="K1564" s="97"/>
    </row>
    <row r="1565" spans="1:11" x14ac:dyDescent="0.2">
      <c r="A1565" s="91">
        <v>2017</v>
      </c>
      <c r="B1565" s="92" t="s">
        <v>66</v>
      </c>
      <c r="C1565" s="92" t="s">
        <v>41</v>
      </c>
      <c r="D1565" s="92" t="s">
        <v>45</v>
      </c>
      <c r="E1565" s="92" t="s">
        <v>69</v>
      </c>
      <c r="F1565" s="92" t="s">
        <v>71</v>
      </c>
      <c r="G1565" s="93">
        <v>4251609786</v>
      </c>
      <c r="H1565" s="92"/>
      <c r="K1565" s="97"/>
    </row>
    <row r="1566" spans="1:11" x14ac:dyDescent="0.2">
      <c r="A1566" s="94">
        <v>2017</v>
      </c>
      <c r="B1566" s="95" t="s">
        <v>66</v>
      </c>
      <c r="C1566" s="95" t="s">
        <v>41</v>
      </c>
      <c r="D1566" s="95" t="s">
        <v>45</v>
      </c>
      <c r="E1566" s="95" t="s">
        <v>69</v>
      </c>
      <c r="F1566" s="95" t="s">
        <v>70</v>
      </c>
      <c r="G1566" s="96">
        <v>7992619226</v>
      </c>
      <c r="H1566" s="95"/>
      <c r="K1566" s="97"/>
    </row>
    <row r="1567" spans="1:11" x14ac:dyDescent="0.2">
      <c r="A1567" s="91">
        <v>2017</v>
      </c>
      <c r="B1567" s="92" t="s">
        <v>66</v>
      </c>
      <c r="C1567" s="92" t="s">
        <v>47</v>
      </c>
      <c r="D1567" s="92" t="s">
        <v>46</v>
      </c>
      <c r="E1567" s="92" t="s">
        <v>67</v>
      </c>
      <c r="F1567" s="92" t="s">
        <v>67</v>
      </c>
      <c r="G1567" s="93">
        <v>20088599037</v>
      </c>
      <c r="H1567" s="92"/>
      <c r="K1567" s="97"/>
    </row>
    <row r="1568" spans="1:11" x14ac:dyDescent="0.2">
      <c r="A1568" s="94">
        <v>2017</v>
      </c>
      <c r="B1568" s="95" t="s">
        <v>66</v>
      </c>
      <c r="C1568" s="95" t="s">
        <v>47</v>
      </c>
      <c r="D1568" s="95" t="s">
        <v>46</v>
      </c>
      <c r="E1568" s="95" t="s">
        <v>69</v>
      </c>
      <c r="F1568" s="95" t="s">
        <v>71</v>
      </c>
      <c r="G1568" s="96">
        <v>5240606469</v>
      </c>
      <c r="H1568" s="95"/>
      <c r="K1568" s="97"/>
    </row>
    <row r="1569" spans="1:11" x14ac:dyDescent="0.2">
      <c r="A1569" s="91">
        <v>2017</v>
      </c>
      <c r="B1569" s="92" t="s">
        <v>66</v>
      </c>
      <c r="C1569" s="92" t="s">
        <v>47</v>
      </c>
      <c r="D1569" s="92" t="s">
        <v>46</v>
      </c>
      <c r="E1569" s="92" t="s">
        <v>69</v>
      </c>
      <c r="F1569" s="92" t="s">
        <v>70</v>
      </c>
      <c r="G1569" s="93">
        <v>8992939053</v>
      </c>
      <c r="H1569" s="92"/>
      <c r="K1569" s="97"/>
    </row>
    <row r="1570" spans="1:11" x14ac:dyDescent="0.2">
      <c r="A1570" s="94">
        <v>2017</v>
      </c>
      <c r="B1570" s="95" t="s">
        <v>66</v>
      </c>
      <c r="C1570" s="95" t="s">
        <v>47</v>
      </c>
      <c r="D1570" s="95" t="s">
        <v>48</v>
      </c>
      <c r="E1570" s="95" t="s">
        <v>72</v>
      </c>
      <c r="F1570" s="95" t="s">
        <v>73</v>
      </c>
      <c r="G1570" s="96">
        <v>88756076735</v>
      </c>
      <c r="H1570" s="95"/>
      <c r="K1570" s="97"/>
    </row>
    <row r="1571" spans="1:11" x14ac:dyDescent="0.2">
      <c r="A1571" s="91">
        <v>2017</v>
      </c>
      <c r="B1571" s="92" t="s">
        <v>66</v>
      </c>
      <c r="C1571" s="92" t="s">
        <v>47</v>
      </c>
      <c r="D1571" s="92" t="s">
        <v>48</v>
      </c>
      <c r="E1571" s="92" t="s">
        <v>67</v>
      </c>
      <c r="F1571" s="92" t="s">
        <v>74</v>
      </c>
      <c r="G1571" s="93">
        <v>99466647142</v>
      </c>
      <c r="H1571" s="92"/>
      <c r="K1571" s="97"/>
    </row>
    <row r="1572" spans="1:11" x14ac:dyDescent="0.2">
      <c r="A1572" s="94">
        <v>2017</v>
      </c>
      <c r="B1572" s="95" t="s">
        <v>66</v>
      </c>
      <c r="C1572" s="95" t="s">
        <v>47</v>
      </c>
      <c r="D1572" s="95" t="s">
        <v>48</v>
      </c>
      <c r="E1572" s="95" t="s">
        <v>69</v>
      </c>
      <c r="F1572" s="95" t="s">
        <v>71</v>
      </c>
      <c r="G1572" s="96">
        <v>66578999995</v>
      </c>
      <c r="H1572" s="95"/>
      <c r="K1572" s="97"/>
    </row>
    <row r="1573" spans="1:11" x14ac:dyDescent="0.2">
      <c r="A1573" s="91">
        <v>2017</v>
      </c>
      <c r="B1573" s="92" t="s">
        <v>66</v>
      </c>
      <c r="C1573" s="92" t="s">
        <v>47</v>
      </c>
      <c r="D1573" s="92" t="s">
        <v>48</v>
      </c>
      <c r="E1573" s="92" t="s">
        <v>69</v>
      </c>
      <c r="F1573" s="92" t="s">
        <v>70</v>
      </c>
      <c r="G1573" s="93">
        <v>112460055727</v>
      </c>
      <c r="H1573" s="92"/>
      <c r="K1573" s="97"/>
    </row>
    <row r="1574" spans="1:11" x14ac:dyDescent="0.2">
      <c r="A1574" s="94">
        <v>2018</v>
      </c>
      <c r="B1574" s="95" t="s">
        <v>66</v>
      </c>
      <c r="C1574" s="95" t="s">
        <v>4</v>
      </c>
      <c r="D1574" s="95" t="s">
        <v>3</v>
      </c>
      <c r="E1574" s="95" t="s">
        <v>67</v>
      </c>
      <c r="F1574" s="95" t="s">
        <v>67</v>
      </c>
      <c r="G1574" s="96">
        <v>19092646617</v>
      </c>
      <c r="H1574" s="95"/>
      <c r="K1574" s="97"/>
    </row>
    <row r="1575" spans="1:11" x14ac:dyDescent="0.2">
      <c r="A1575" s="91">
        <v>2018</v>
      </c>
      <c r="B1575" s="92" t="s">
        <v>66</v>
      </c>
      <c r="C1575" s="92" t="s">
        <v>4</v>
      </c>
      <c r="D1575" s="92" t="s">
        <v>3</v>
      </c>
      <c r="E1575" s="92" t="s">
        <v>69</v>
      </c>
      <c r="F1575" s="92" t="s">
        <v>71</v>
      </c>
      <c r="G1575" s="93">
        <v>4698406223</v>
      </c>
      <c r="H1575" s="92"/>
      <c r="K1575" s="97"/>
    </row>
    <row r="1576" spans="1:11" x14ac:dyDescent="0.2">
      <c r="A1576" s="94">
        <v>2018</v>
      </c>
      <c r="B1576" s="95" t="s">
        <v>66</v>
      </c>
      <c r="C1576" s="95" t="s">
        <v>4</v>
      </c>
      <c r="D1576" s="95" t="s">
        <v>3</v>
      </c>
      <c r="E1576" s="95" t="s">
        <v>69</v>
      </c>
      <c r="F1576" s="95" t="s">
        <v>70</v>
      </c>
      <c r="G1576" s="96">
        <v>10026705472</v>
      </c>
      <c r="H1576" s="95"/>
      <c r="K1576" s="97"/>
    </row>
    <row r="1577" spans="1:11" x14ac:dyDescent="0.2">
      <c r="A1577" s="91">
        <v>2018</v>
      </c>
      <c r="B1577" s="92" t="s">
        <v>66</v>
      </c>
      <c r="C1577" s="92" t="s">
        <v>4</v>
      </c>
      <c r="D1577" s="92" t="s">
        <v>5</v>
      </c>
      <c r="E1577" s="92" t="s">
        <v>67</v>
      </c>
      <c r="F1577" s="92" t="s">
        <v>67</v>
      </c>
      <c r="G1577" s="93">
        <v>85502078828</v>
      </c>
      <c r="H1577" s="92"/>
      <c r="K1577" s="97"/>
    </row>
    <row r="1578" spans="1:11" x14ac:dyDescent="0.2">
      <c r="A1578" s="94">
        <v>2018</v>
      </c>
      <c r="B1578" s="95" t="s">
        <v>66</v>
      </c>
      <c r="C1578" s="95" t="s">
        <v>4</v>
      </c>
      <c r="D1578" s="95" t="s">
        <v>5</v>
      </c>
      <c r="E1578" s="95" t="s">
        <v>69</v>
      </c>
      <c r="F1578" s="95" t="s">
        <v>71</v>
      </c>
      <c r="G1578" s="96">
        <v>45674298613</v>
      </c>
      <c r="H1578" s="95"/>
      <c r="K1578" s="97"/>
    </row>
    <row r="1579" spans="1:11" x14ac:dyDescent="0.2">
      <c r="A1579" s="91">
        <v>2018</v>
      </c>
      <c r="B1579" s="92" t="s">
        <v>66</v>
      </c>
      <c r="C1579" s="92" t="s">
        <v>4</v>
      </c>
      <c r="D1579" s="92" t="s">
        <v>5</v>
      </c>
      <c r="E1579" s="92" t="s">
        <v>69</v>
      </c>
      <c r="F1579" s="92" t="s">
        <v>70</v>
      </c>
      <c r="G1579" s="93">
        <v>39388901589</v>
      </c>
      <c r="H1579" s="92"/>
      <c r="K1579" s="97"/>
    </row>
    <row r="1580" spans="1:11" x14ac:dyDescent="0.2">
      <c r="A1580" s="94">
        <v>2018</v>
      </c>
      <c r="B1580" s="95" t="s">
        <v>66</v>
      </c>
      <c r="C1580" s="95" t="s">
        <v>4</v>
      </c>
      <c r="D1580" s="95" t="s">
        <v>6</v>
      </c>
      <c r="E1580" s="95" t="s">
        <v>67</v>
      </c>
      <c r="F1580" s="95" t="s">
        <v>67</v>
      </c>
      <c r="G1580" s="96">
        <v>10981927255</v>
      </c>
      <c r="H1580" s="95"/>
      <c r="K1580" s="97"/>
    </row>
    <row r="1581" spans="1:11" x14ac:dyDescent="0.2">
      <c r="A1581" s="91">
        <v>2018</v>
      </c>
      <c r="B1581" s="92" t="s">
        <v>66</v>
      </c>
      <c r="C1581" s="92" t="s">
        <v>4</v>
      </c>
      <c r="D1581" s="92" t="s">
        <v>6</v>
      </c>
      <c r="E1581" s="92" t="s">
        <v>69</v>
      </c>
      <c r="F1581" s="92" t="s">
        <v>71</v>
      </c>
      <c r="G1581" s="93">
        <v>1101580090</v>
      </c>
      <c r="H1581" s="92"/>
      <c r="K1581" s="97"/>
    </row>
    <row r="1582" spans="1:11" x14ac:dyDescent="0.2">
      <c r="A1582" s="94">
        <v>2018</v>
      </c>
      <c r="B1582" s="95" t="s">
        <v>66</v>
      </c>
      <c r="C1582" s="95" t="s">
        <v>4</v>
      </c>
      <c r="D1582" s="95" t="s">
        <v>6</v>
      </c>
      <c r="E1582" s="95" t="s">
        <v>69</v>
      </c>
      <c r="F1582" s="95" t="s">
        <v>70</v>
      </c>
      <c r="G1582" s="96">
        <v>1433127160</v>
      </c>
      <c r="H1582" s="95"/>
      <c r="K1582" s="97"/>
    </row>
    <row r="1583" spans="1:11" x14ac:dyDescent="0.2">
      <c r="A1583" s="91">
        <v>2018</v>
      </c>
      <c r="B1583" s="92" t="s">
        <v>66</v>
      </c>
      <c r="C1583" s="92" t="s">
        <v>4</v>
      </c>
      <c r="D1583" s="92" t="s">
        <v>7</v>
      </c>
      <c r="E1583" s="92" t="s">
        <v>67</v>
      </c>
      <c r="F1583" s="92" t="s">
        <v>67</v>
      </c>
      <c r="G1583" s="93">
        <v>18700388507</v>
      </c>
      <c r="H1583" s="92"/>
      <c r="K1583" s="97"/>
    </row>
    <row r="1584" spans="1:11" x14ac:dyDescent="0.2">
      <c r="A1584" s="94">
        <v>2018</v>
      </c>
      <c r="B1584" s="95" t="s">
        <v>66</v>
      </c>
      <c r="C1584" s="95" t="s">
        <v>4</v>
      </c>
      <c r="D1584" s="95" t="s">
        <v>7</v>
      </c>
      <c r="E1584" s="95" t="s">
        <v>69</v>
      </c>
      <c r="F1584" s="95" t="s">
        <v>71</v>
      </c>
      <c r="G1584" s="96">
        <v>6534929793</v>
      </c>
      <c r="H1584" s="95"/>
      <c r="K1584" s="97"/>
    </row>
    <row r="1585" spans="1:11" x14ac:dyDescent="0.2">
      <c r="A1585" s="91">
        <v>2018</v>
      </c>
      <c r="B1585" s="92" t="s">
        <v>66</v>
      </c>
      <c r="C1585" s="92" t="s">
        <v>4</v>
      </c>
      <c r="D1585" s="92" t="s">
        <v>7</v>
      </c>
      <c r="E1585" s="92" t="s">
        <v>69</v>
      </c>
      <c r="F1585" s="92" t="s">
        <v>70</v>
      </c>
      <c r="G1585" s="93">
        <v>7286815335</v>
      </c>
      <c r="H1585" s="92"/>
      <c r="K1585" s="97"/>
    </row>
    <row r="1586" spans="1:11" x14ac:dyDescent="0.2">
      <c r="A1586" s="94">
        <v>2018</v>
      </c>
      <c r="B1586" s="95" t="s">
        <v>66</v>
      </c>
      <c r="C1586" s="95" t="s">
        <v>4</v>
      </c>
      <c r="D1586" s="95" t="s">
        <v>8</v>
      </c>
      <c r="E1586" s="95" t="s">
        <v>67</v>
      </c>
      <c r="F1586" s="95" t="s">
        <v>67</v>
      </c>
      <c r="G1586" s="96">
        <v>9118576060</v>
      </c>
      <c r="H1586" s="95"/>
      <c r="K1586" s="97"/>
    </row>
    <row r="1587" spans="1:11" x14ac:dyDescent="0.2">
      <c r="A1587" s="91">
        <v>2018</v>
      </c>
      <c r="B1587" s="92" t="s">
        <v>66</v>
      </c>
      <c r="C1587" s="92" t="s">
        <v>4</v>
      </c>
      <c r="D1587" s="92" t="s">
        <v>8</v>
      </c>
      <c r="E1587" s="92" t="s">
        <v>69</v>
      </c>
      <c r="F1587" s="92" t="s">
        <v>71</v>
      </c>
      <c r="G1587" s="93">
        <v>2680415685</v>
      </c>
      <c r="H1587" s="92"/>
      <c r="K1587" s="97"/>
    </row>
    <row r="1588" spans="1:11" x14ac:dyDescent="0.2">
      <c r="A1588" s="94">
        <v>2018</v>
      </c>
      <c r="B1588" s="95" t="s">
        <v>66</v>
      </c>
      <c r="C1588" s="95" t="s">
        <v>4</v>
      </c>
      <c r="D1588" s="95" t="s">
        <v>8</v>
      </c>
      <c r="E1588" s="95" t="s">
        <v>69</v>
      </c>
      <c r="F1588" s="95" t="s">
        <v>70</v>
      </c>
      <c r="G1588" s="96">
        <v>1492717244</v>
      </c>
      <c r="H1588" s="95"/>
      <c r="K1588" s="97"/>
    </row>
    <row r="1589" spans="1:11" x14ac:dyDescent="0.2">
      <c r="A1589" s="91">
        <v>2018</v>
      </c>
      <c r="B1589" s="92" t="s">
        <v>66</v>
      </c>
      <c r="C1589" s="92" t="s">
        <v>4</v>
      </c>
      <c r="D1589" s="92" t="s">
        <v>9</v>
      </c>
      <c r="E1589" s="92" t="s">
        <v>67</v>
      </c>
      <c r="F1589" s="92" t="s">
        <v>67</v>
      </c>
      <c r="G1589" s="93">
        <v>58965673725</v>
      </c>
      <c r="H1589" s="92"/>
      <c r="K1589" s="97"/>
    </row>
    <row r="1590" spans="1:11" x14ac:dyDescent="0.2">
      <c r="A1590" s="94">
        <v>2018</v>
      </c>
      <c r="B1590" s="95" t="s">
        <v>66</v>
      </c>
      <c r="C1590" s="95" t="s">
        <v>4</v>
      </c>
      <c r="D1590" s="95" t="s">
        <v>9</v>
      </c>
      <c r="E1590" s="95" t="s">
        <v>69</v>
      </c>
      <c r="F1590" s="95" t="s">
        <v>71</v>
      </c>
      <c r="G1590" s="96">
        <v>17057769736</v>
      </c>
      <c r="H1590" s="95"/>
      <c r="K1590" s="97"/>
    </row>
    <row r="1591" spans="1:11" x14ac:dyDescent="0.2">
      <c r="A1591" s="91">
        <v>2018</v>
      </c>
      <c r="B1591" s="92" t="s">
        <v>66</v>
      </c>
      <c r="C1591" s="92" t="s">
        <v>4</v>
      </c>
      <c r="D1591" s="92" t="s">
        <v>9</v>
      </c>
      <c r="E1591" s="92" t="s">
        <v>69</v>
      </c>
      <c r="F1591" s="92" t="s">
        <v>70</v>
      </c>
      <c r="G1591" s="93">
        <v>25804143501</v>
      </c>
      <c r="H1591" s="92"/>
      <c r="K1591" s="97"/>
    </row>
    <row r="1592" spans="1:11" x14ac:dyDescent="0.2">
      <c r="A1592" s="94">
        <v>2018</v>
      </c>
      <c r="B1592" s="95" t="s">
        <v>66</v>
      </c>
      <c r="C1592" s="95" t="s">
        <v>4</v>
      </c>
      <c r="D1592" s="95" t="s">
        <v>10</v>
      </c>
      <c r="E1592" s="95" t="s">
        <v>67</v>
      </c>
      <c r="F1592" s="95" t="s">
        <v>67</v>
      </c>
      <c r="G1592" s="96">
        <v>1755960482</v>
      </c>
      <c r="H1592" s="95"/>
      <c r="K1592" s="97"/>
    </row>
    <row r="1593" spans="1:11" x14ac:dyDescent="0.2">
      <c r="A1593" s="91">
        <v>2018</v>
      </c>
      <c r="B1593" s="92" t="s">
        <v>66</v>
      </c>
      <c r="C1593" s="92" t="s">
        <v>4</v>
      </c>
      <c r="D1593" s="92" t="s">
        <v>10</v>
      </c>
      <c r="E1593" s="92" t="s">
        <v>69</v>
      </c>
      <c r="F1593" s="92" t="s">
        <v>71</v>
      </c>
      <c r="G1593" s="93">
        <v>357776948</v>
      </c>
      <c r="H1593" s="92"/>
      <c r="K1593" s="97"/>
    </row>
    <row r="1594" spans="1:11" x14ac:dyDescent="0.2">
      <c r="A1594" s="94">
        <v>2018</v>
      </c>
      <c r="B1594" s="95" t="s">
        <v>66</v>
      </c>
      <c r="C1594" s="95" t="s">
        <v>4</v>
      </c>
      <c r="D1594" s="95" t="s">
        <v>10</v>
      </c>
      <c r="E1594" s="95" t="s">
        <v>69</v>
      </c>
      <c r="F1594" s="95" t="s">
        <v>70</v>
      </c>
      <c r="G1594" s="96">
        <v>81213172</v>
      </c>
      <c r="H1594" s="95"/>
      <c r="K1594" s="97"/>
    </row>
    <row r="1595" spans="1:11" x14ac:dyDescent="0.2">
      <c r="A1595" s="91">
        <v>2018</v>
      </c>
      <c r="B1595" s="92" t="s">
        <v>66</v>
      </c>
      <c r="C1595" s="92" t="s">
        <v>4</v>
      </c>
      <c r="D1595" s="92" t="s">
        <v>11</v>
      </c>
      <c r="E1595" s="92" t="s">
        <v>67</v>
      </c>
      <c r="F1595" s="92" t="s">
        <v>67</v>
      </c>
      <c r="G1595" s="93">
        <v>5412091296</v>
      </c>
      <c r="H1595" s="92"/>
      <c r="K1595" s="97"/>
    </row>
    <row r="1596" spans="1:11" x14ac:dyDescent="0.2">
      <c r="A1596" s="94">
        <v>2018</v>
      </c>
      <c r="B1596" s="95" t="s">
        <v>66</v>
      </c>
      <c r="C1596" s="95" t="s">
        <v>4</v>
      </c>
      <c r="D1596" s="95" t="s">
        <v>11</v>
      </c>
      <c r="E1596" s="95" t="s">
        <v>69</v>
      </c>
      <c r="F1596" s="95" t="s">
        <v>71</v>
      </c>
      <c r="G1596" s="96">
        <v>1416084807</v>
      </c>
      <c r="H1596" s="95"/>
      <c r="K1596" s="97"/>
    </row>
    <row r="1597" spans="1:11" x14ac:dyDescent="0.2">
      <c r="A1597" s="91">
        <v>2018</v>
      </c>
      <c r="B1597" s="92" t="s">
        <v>66</v>
      </c>
      <c r="C1597" s="92" t="s">
        <v>4</v>
      </c>
      <c r="D1597" s="92" t="s">
        <v>11</v>
      </c>
      <c r="E1597" s="92" t="s">
        <v>69</v>
      </c>
      <c r="F1597" s="92" t="s">
        <v>70</v>
      </c>
      <c r="G1597" s="93">
        <v>2309822492</v>
      </c>
      <c r="H1597" s="92"/>
      <c r="K1597" s="97"/>
    </row>
    <row r="1598" spans="1:11" x14ac:dyDescent="0.2">
      <c r="A1598" s="94">
        <v>2018</v>
      </c>
      <c r="B1598" s="95" t="s">
        <v>66</v>
      </c>
      <c r="C1598" s="95" t="s">
        <v>4</v>
      </c>
      <c r="D1598" s="95" t="s">
        <v>12</v>
      </c>
      <c r="E1598" s="95" t="s">
        <v>67</v>
      </c>
      <c r="F1598" s="95" t="s">
        <v>67</v>
      </c>
      <c r="G1598" s="96">
        <v>7211448324</v>
      </c>
      <c r="H1598" s="95"/>
      <c r="K1598" s="97"/>
    </row>
    <row r="1599" spans="1:11" x14ac:dyDescent="0.2">
      <c r="A1599" s="91">
        <v>2018</v>
      </c>
      <c r="B1599" s="92" t="s">
        <v>66</v>
      </c>
      <c r="C1599" s="92" t="s">
        <v>4</v>
      </c>
      <c r="D1599" s="92" t="s">
        <v>12</v>
      </c>
      <c r="E1599" s="92" t="s">
        <v>69</v>
      </c>
      <c r="F1599" s="92" t="s">
        <v>71</v>
      </c>
      <c r="G1599" s="93">
        <v>1550970355</v>
      </c>
      <c r="H1599" s="92"/>
      <c r="K1599" s="97"/>
    </row>
    <row r="1600" spans="1:11" x14ac:dyDescent="0.2">
      <c r="A1600" s="94">
        <v>2018</v>
      </c>
      <c r="B1600" s="95" t="s">
        <v>66</v>
      </c>
      <c r="C1600" s="95" t="s">
        <v>4</v>
      </c>
      <c r="D1600" s="95" t="s">
        <v>12</v>
      </c>
      <c r="E1600" s="95" t="s">
        <v>69</v>
      </c>
      <c r="F1600" s="95" t="s">
        <v>70</v>
      </c>
      <c r="G1600" s="96">
        <v>3694368508</v>
      </c>
      <c r="H1600" s="95"/>
      <c r="K1600" s="97"/>
    </row>
    <row r="1601" spans="1:11" x14ac:dyDescent="0.2">
      <c r="A1601" s="91">
        <v>2018</v>
      </c>
      <c r="B1601" s="92" t="s">
        <v>66</v>
      </c>
      <c r="C1601" s="92" t="s">
        <v>4</v>
      </c>
      <c r="D1601" s="92" t="s">
        <v>13</v>
      </c>
      <c r="E1601" s="92" t="s">
        <v>67</v>
      </c>
      <c r="F1601" s="92" t="s">
        <v>67</v>
      </c>
      <c r="G1601" s="93">
        <v>11772758061</v>
      </c>
      <c r="H1601" s="92"/>
      <c r="K1601" s="97"/>
    </row>
    <row r="1602" spans="1:11" x14ac:dyDescent="0.2">
      <c r="A1602" s="94">
        <v>2018</v>
      </c>
      <c r="B1602" s="95" t="s">
        <v>66</v>
      </c>
      <c r="C1602" s="95" t="s">
        <v>4</v>
      </c>
      <c r="D1602" s="95" t="s">
        <v>13</v>
      </c>
      <c r="E1602" s="95" t="s">
        <v>69</v>
      </c>
      <c r="F1602" s="95" t="s">
        <v>71</v>
      </c>
      <c r="G1602" s="96">
        <v>2481734608</v>
      </c>
      <c r="H1602" s="95"/>
      <c r="K1602" s="97"/>
    </row>
    <row r="1603" spans="1:11" x14ac:dyDescent="0.2">
      <c r="A1603" s="91">
        <v>2018</v>
      </c>
      <c r="B1603" s="92" t="s">
        <v>66</v>
      </c>
      <c r="C1603" s="92" t="s">
        <v>4</v>
      </c>
      <c r="D1603" s="92" t="s">
        <v>13</v>
      </c>
      <c r="E1603" s="92" t="s">
        <v>69</v>
      </c>
      <c r="F1603" s="92" t="s">
        <v>70</v>
      </c>
      <c r="G1603" s="93">
        <v>5834398672</v>
      </c>
      <c r="H1603" s="92"/>
      <c r="K1603" s="97"/>
    </row>
    <row r="1604" spans="1:11" x14ac:dyDescent="0.2">
      <c r="A1604" s="94">
        <v>2018</v>
      </c>
      <c r="B1604" s="95" t="s">
        <v>66</v>
      </c>
      <c r="C1604" s="95" t="s">
        <v>4</v>
      </c>
      <c r="D1604" s="95" t="s">
        <v>14</v>
      </c>
      <c r="E1604" s="95" t="s">
        <v>67</v>
      </c>
      <c r="F1604" s="95" t="s">
        <v>67</v>
      </c>
      <c r="G1604" s="96">
        <v>8417785173</v>
      </c>
      <c r="H1604" s="95"/>
      <c r="K1604" s="97"/>
    </row>
    <row r="1605" spans="1:11" x14ac:dyDescent="0.2">
      <c r="A1605" s="91">
        <v>2018</v>
      </c>
      <c r="B1605" s="92" t="s">
        <v>66</v>
      </c>
      <c r="C1605" s="92" t="s">
        <v>4</v>
      </c>
      <c r="D1605" s="92" t="s">
        <v>14</v>
      </c>
      <c r="E1605" s="92" t="s">
        <v>69</v>
      </c>
      <c r="F1605" s="92" t="s">
        <v>71</v>
      </c>
      <c r="G1605" s="93">
        <v>970080186</v>
      </c>
      <c r="H1605" s="92"/>
      <c r="K1605" s="97"/>
    </row>
    <row r="1606" spans="1:11" x14ac:dyDescent="0.2">
      <c r="A1606" s="94">
        <v>2018</v>
      </c>
      <c r="B1606" s="95" t="s">
        <v>66</v>
      </c>
      <c r="C1606" s="95" t="s">
        <v>4</v>
      </c>
      <c r="D1606" s="95" t="s">
        <v>14</v>
      </c>
      <c r="E1606" s="95" t="s">
        <v>69</v>
      </c>
      <c r="F1606" s="95" t="s">
        <v>70</v>
      </c>
      <c r="G1606" s="96">
        <v>2184042653</v>
      </c>
      <c r="H1606" s="95"/>
      <c r="K1606" s="97"/>
    </row>
    <row r="1607" spans="1:11" x14ac:dyDescent="0.2">
      <c r="A1607" s="91">
        <v>2018</v>
      </c>
      <c r="B1607" s="92" t="s">
        <v>66</v>
      </c>
      <c r="C1607" s="92" t="s">
        <v>4</v>
      </c>
      <c r="D1607" s="92" t="s">
        <v>15</v>
      </c>
      <c r="E1607" s="92" t="s">
        <v>67</v>
      </c>
      <c r="F1607" s="92" t="s">
        <v>67</v>
      </c>
      <c r="G1607" s="93">
        <v>11002301518</v>
      </c>
      <c r="H1607" s="92"/>
      <c r="K1607" s="97"/>
    </row>
    <row r="1608" spans="1:11" x14ac:dyDescent="0.2">
      <c r="A1608" s="94">
        <v>2018</v>
      </c>
      <c r="B1608" s="95" t="s">
        <v>66</v>
      </c>
      <c r="C1608" s="95" t="s">
        <v>4</v>
      </c>
      <c r="D1608" s="95" t="s">
        <v>15</v>
      </c>
      <c r="E1608" s="95" t="s">
        <v>69</v>
      </c>
      <c r="F1608" s="95" t="s">
        <v>71</v>
      </c>
      <c r="G1608" s="96">
        <v>3590721372</v>
      </c>
      <c r="H1608" s="95"/>
      <c r="K1608" s="97"/>
    </row>
    <row r="1609" spans="1:11" x14ac:dyDescent="0.2">
      <c r="A1609" s="91">
        <v>2018</v>
      </c>
      <c r="B1609" s="92" t="s">
        <v>66</v>
      </c>
      <c r="C1609" s="92" t="s">
        <v>4</v>
      </c>
      <c r="D1609" s="92" t="s">
        <v>15</v>
      </c>
      <c r="E1609" s="92" t="s">
        <v>69</v>
      </c>
      <c r="F1609" s="92" t="s">
        <v>70</v>
      </c>
      <c r="G1609" s="93">
        <v>2416173069</v>
      </c>
      <c r="H1609" s="92"/>
      <c r="K1609" s="97"/>
    </row>
    <row r="1610" spans="1:11" x14ac:dyDescent="0.2">
      <c r="A1610" s="94">
        <v>2018</v>
      </c>
      <c r="B1610" s="95" t="s">
        <v>66</v>
      </c>
      <c r="C1610" s="95" t="s">
        <v>17</v>
      </c>
      <c r="D1610" s="95" t="s">
        <v>16</v>
      </c>
      <c r="E1610" s="95" t="s">
        <v>67</v>
      </c>
      <c r="F1610" s="95" t="s">
        <v>67</v>
      </c>
      <c r="G1610" s="96">
        <v>852906081</v>
      </c>
      <c r="H1610" s="95"/>
      <c r="K1610" s="97"/>
    </row>
    <row r="1611" spans="1:11" x14ac:dyDescent="0.2">
      <c r="A1611" s="91">
        <v>2018</v>
      </c>
      <c r="B1611" s="92" t="s">
        <v>66</v>
      </c>
      <c r="C1611" s="92" t="s">
        <v>17</v>
      </c>
      <c r="D1611" s="92" t="s">
        <v>16</v>
      </c>
      <c r="E1611" s="92" t="s">
        <v>69</v>
      </c>
      <c r="F1611" s="92" t="s">
        <v>71</v>
      </c>
      <c r="G1611" s="93">
        <v>262003544</v>
      </c>
      <c r="H1611" s="92"/>
      <c r="K1611" s="97"/>
    </row>
    <row r="1612" spans="1:11" x14ac:dyDescent="0.2">
      <c r="A1612" s="94">
        <v>2018</v>
      </c>
      <c r="B1612" s="95" t="s">
        <v>66</v>
      </c>
      <c r="C1612" s="95" t="s">
        <v>17</v>
      </c>
      <c r="D1612" s="95" t="s">
        <v>16</v>
      </c>
      <c r="E1612" s="95" t="s">
        <v>69</v>
      </c>
      <c r="F1612" s="95" t="s">
        <v>70</v>
      </c>
      <c r="G1612" s="96">
        <v>98618331</v>
      </c>
      <c r="H1612" s="95"/>
      <c r="K1612" s="97"/>
    </row>
    <row r="1613" spans="1:11" x14ac:dyDescent="0.2">
      <c r="A1613" s="91">
        <v>2018</v>
      </c>
      <c r="B1613" s="92" t="s">
        <v>66</v>
      </c>
      <c r="C1613" s="92" t="s">
        <v>17</v>
      </c>
      <c r="D1613" s="92" t="s">
        <v>18</v>
      </c>
      <c r="E1613" s="92" t="s">
        <v>67</v>
      </c>
      <c r="F1613" s="92" t="s">
        <v>67</v>
      </c>
      <c r="G1613" s="93">
        <v>1800209098</v>
      </c>
      <c r="H1613" s="92"/>
      <c r="K1613" s="97"/>
    </row>
    <row r="1614" spans="1:11" x14ac:dyDescent="0.2">
      <c r="A1614" s="94">
        <v>2018</v>
      </c>
      <c r="B1614" s="95" t="s">
        <v>66</v>
      </c>
      <c r="C1614" s="95" t="s">
        <v>17</v>
      </c>
      <c r="D1614" s="95" t="s">
        <v>18</v>
      </c>
      <c r="E1614" s="95" t="s">
        <v>69</v>
      </c>
      <c r="F1614" s="95" t="s">
        <v>71</v>
      </c>
      <c r="G1614" s="96">
        <v>797565022</v>
      </c>
      <c r="H1614" s="95"/>
      <c r="K1614" s="97"/>
    </row>
    <row r="1615" spans="1:11" x14ac:dyDescent="0.2">
      <c r="A1615" s="91">
        <v>2018</v>
      </c>
      <c r="B1615" s="92" t="s">
        <v>66</v>
      </c>
      <c r="C1615" s="92" t="s">
        <v>17</v>
      </c>
      <c r="D1615" s="92" t="s">
        <v>18</v>
      </c>
      <c r="E1615" s="92" t="s">
        <v>69</v>
      </c>
      <c r="F1615" s="92" t="s">
        <v>70</v>
      </c>
      <c r="G1615" s="93">
        <v>1122621634</v>
      </c>
      <c r="H1615" s="92"/>
      <c r="K1615" s="97"/>
    </row>
    <row r="1616" spans="1:11" x14ac:dyDescent="0.2">
      <c r="A1616" s="94">
        <v>2018</v>
      </c>
      <c r="B1616" s="95" t="s">
        <v>66</v>
      </c>
      <c r="C1616" s="95" t="s">
        <v>17</v>
      </c>
      <c r="D1616" s="95" t="s">
        <v>19</v>
      </c>
      <c r="E1616" s="95" t="s">
        <v>67</v>
      </c>
      <c r="F1616" s="95" t="s">
        <v>67</v>
      </c>
      <c r="G1616" s="96">
        <v>3879420271</v>
      </c>
      <c r="H1616" s="95"/>
      <c r="K1616" s="97"/>
    </row>
    <row r="1617" spans="1:11" x14ac:dyDescent="0.2">
      <c r="A1617" s="91">
        <v>2018</v>
      </c>
      <c r="B1617" s="92" t="s">
        <v>66</v>
      </c>
      <c r="C1617" s="92" t="s">
        <v>17</v>
      </c>
      <c r="D1617" s="92" t="s">
        <v>19</v>
      </c>
      <c r="E1617" s="92" t="s">
        <v>69</v>
      </c>
      <c r="F1617" s="92" t="s">
        <v>71</v>
      </c>
      <c r="G1617" s="93">
        <v>1289845155</v>
      </c>
      <c r="H1617" s="92"/>
      <c r="K1617" s="97"/>
    </row>
    <row r="1618" spans="1:11" x14ac:dyDescent="0.2">
      <c r="A1618" s="94">
        <v>2018</v>
      </c>
      <c r="B1618" s="95" t="s">
        <v>66</v>
      </c>
      <c r="C1618" s="95" t="s">
        <v>17</v>
      </c>
      <c r="D1618" s="95" t="s">
        <v>19</v>
      </c>
      <c r="E1618" s="95" t="s">
        <v>69</v>
      </c>
      <c r="F1618" s="95" t="s">
        <v>70</v>
      </c>
      <c r="G1618" s="96">
        <v>780382860</v>
      </c>
      <c r="H1618" s="95"/>
      <c r="K1618" s="97"/>
    </row>
    <row r="1619" spans="1:11" x14ac:dyDescent="0.2">
      <c r="A1619" s="91">
        <v>2018</v>
      </c>
      <c r="B1619" s="92" t="s">
        <v>66</v>
      </c>
      <c r="C1619" s="92" t="s">
        <v>17</v>
      </c>
      <c r="D1619" s="92" t="s">
        <v>20</v>
      </c>
      <c r="E1619" s="92" t="s">
        <v>67</v>
      </c>
      <c r="F1619" s="92" t="s">
        <v>67</v>
      </c>
      <c r="G1619" s="93">
        <v>983338052</v>
      </c>
      <c r="H1619" s="92"/>
      <c r="K1619" s="97"/>
    </row>
    <row r="1620" spans="1:11" x14ac:dyDescent="0.2">
      <c r="A1620" s="94">
        <v>2018</v>
      </c>
      <c r="B1620" s="95" t="s">
        <v>66</v>
      </c>
      <c r="C1620" s="95" t="s">
        <v>17</v>
      </c>
      <c r="D1620" s="95" t="s">
        <v>20</v>
      </c>
      <c r="E1620" s="95" t="s">
        <v>69</v>
      </c>
      <c r="F1620" s="95" t="s">
        <v>71</v>
      </c>
      <c r="G1620" s="96">
        <v>367187405</v>
      </c>
      <c r="H1620" s="95"/>
      <c r="K1620" s="97"/>
    </row>
    <row r="1621" spans="1:11" x14ac:dyDescent="0.2">
      <c r="A1621" s="91">
        <v>2018</v>
      </c>
      <c r="B1621" s="92" t="s">
        <v>66</v>
      </c>
      <c r="C1621" s="92" t="s">
        <v>17</v>
      </c>
      <c r="D1621" s="92" t="s">
        <v>20</v>
      </c>
      <c r="E1621" s="92" t="s">
        <v>69</v>
      </c>
      <c r="F1621" s="92" t="s">
        <v>70</v>
      </c>
      <c r="G1621" s="93">
        <v>2460143011</v>
      </c>
      <c r="H1621" s="92"/>
      <c r="K1621" s="97"/>
    </row>
    <row r="1622" spans="1:11" x14ac:dyDescent="0.2">
      <c r="A1622" s="94">
        <v>2018</v>
      </c>
      <c r="B1622" s="95" t="s">
        <v>66</v>
      </c>
      <c r="C1622" s="95" t="s">
        <v>17</v>
      </c>
      <c r="D1622" s="95" t="s">
        <v>21</v>
      </c>
      <c r="E1622" s="95" t="s">
        <v>67</v>
      </c>
      <c r="F1622" s="95" t="s">
        <v>67</v>
      </c>
      <c r="G1622" s="96">
        <v>2846216290</v>
      </c>
      <c r="H1622" s="95"/>
      <c r="K1622" s="97"/>
    </row>
    <row r="1623" spans="1:11" x14ac:dyDescent="0.2">
      <c r="A1623" s="91">
        <v>2018</v>
      </c>
      <c r="B1623" s="92" t="s">
        <v>66</v>
      </c>
      <c r="C1623" s="92" t="s">
        <v>17</v>
      </c>
      <c r="D1623" s="92" t="s">
        <v>21</v>
      </c>
      <c r="E1623" s="92" t="s">
        <v>69</v>
      </c>
      <c r="F1623" s="92" t="s">
        <v>71</v>
      </c>
      <c r="G1623" s="93">
        <v>963404175</v>
      </c>
      <c r="H1623" s="92"/>
      <c r="K1623" s="97"/>
    </row>
    <row r="1624" spans="1:11" x14ac:dyDescent="0.2">
      <c r="A1624" s="94">
        <v>2018</v>
      </c>
      <c r="B1624" s="95" t="s">
        <v>66</v>
      </c>
      <c r="C1624" s="95" t="s">
        <v>17</v>
      </c>
      <c r="D1624" s="95" t="s">
        <v>21</v>
      </c>
      <c r="E1624" s="95" t="s">
        <v>69</v>
      </c>
      <c r="F1624" s="95" t="s">
        <v>70</v>
      </c>
      <c r="G1624" s="96">
        <v>832154410</v>
      </c>
      <c r="H1624" s="95"/>
      <c r="K1624" s="97"/>
    </row>
    <row r="1625" spans="1:11" x14ac:dyDescent="0.2">
      <c r="A1625" s="91">
        <v>2018</v>
      </c>
      <c r="B1625" s="92" t="s">
        <v>66</v>
      </c>
      <c r="C1625" s="92" t="s">
        <v>17</v>
      </c>
      <c r="D1625" s="92" t="s">
        <v>22</v>
      </c>
      <c r="E1625" s="92" t="s">
        <v>67</v>
      </c>
      <c r="F1625" s="92" t="s">
        <v>67</v>
      </c>
      <c r="G1625" s="93">
        <v>1156416967</v>
      </c>
      <c r="H1625" s="92"/>
      <c r="K1625" s="97"/>
    </row>
    <row r="1626" spans="1:11" x14ac:dyDescent="0.2">
      <c r="A1626" s="94">
        <v>2018</v>
      </c>
      <c r="B1626" s="95" t="s">
        <v>66</v>
      </c>
      <c r="C1626" s="95" t="s">
        <v>17</v>
      </c>
      <c r="D1626" s="95" t="s">
        <v>22</v>
      </c>
      <c r="E1626" s="95" t="s">
        <v>69</v>
      </c>
      <c r="F1626" s="95" t="s">
        <v>71</v>
      </c>
      <c r="G1626" s="96">
        <v>418177988</v>
      </c>
      <c r="H1626" s="95"/>
      <c r="K1626" s="97"/>
    </row>
    <row r="1627" spans="1:11" x14ac:dyDescent="0.2">
      <c r="A1627" s="91">
        <v>2018</v>
      </c>
      <c r="B1627" s="92" t="s">
        <v>66</v>
      </c>
      <c r="C1627" s="92" t="s">
        <v>17</v>
      </c>
      <c r="D1627" s="92" t="s">
        <v>22</v>
      </c>
      <c r="E1627" s="92" t="s">
        <v>69</v>
      </c>
      <c r="F1627" s="92" t="s">
        <v>70</v>
      </c>
      <c r="G1627" s="93">
        <v>493860697</v>
      </c>
      <c r="H1627" s="92"/>
      <c r="K1627" s="97"/>
    </row>
    <row r="1628" spans="1:11" x14ac:dyDescent="0.2">
      <c r="A1628" s="94">
        <v>2018</v>
      </c>
      <c r="B1628" s="95" t="s">
        <v>66</v>
      </c>
      <c r="C1628" s="95" t="s">
        <v>17</v>
      </c>
      <c r="D1628" s="95" t="s">
        <v>23</v>
      </c>
      <c r="E1628" s="95" t="s">
        <v>67</v>
      </c>
      <c r="F1628" s="95" t="s">
        <v>67</v>
      </c>
      <c r="G1628" s="96">
        <v>1244750270</v>
      </c>
      <c r="H1628" s="95"/>
      <c r="K1628" s="97"/>
    </row>
    <row r="1629" spans="1:11" x14ac:dyDescent="0.2">
      <c r="A1629" s="91">
        <v>2018</v>
      </c>
      <c r="B1629" s="92" t="s">
        <v>66</v>
      </c>
      <c r="C1629" s="92" t="s">
        <v>17</v>
      </c>
      <c r="D1629" s="92" t="s">
        <v>23</v>
      </c>
      <c r="E1629" s="92" t="s">
        <v>69</v>
      </c>
      <c r="F1629" s="92" t="s">
        <v>71</v>
      </c>
      <c r="G1629" s="93">
        <v>327878943</v>
      </c>
      <c r="H1629" s="92"/>
      <c r="K1629" s="97"/>
    </row>
    <row r="1630" spans="1:11" x14ac:dyDescent="0.2">
      <c r="A1630" s="94">
        <v>2018</v>
      </c>
      <c r="B1630" s="95" t="s">
        <v>66</v>
      </c>
      <c r="C1630" s="95" t="s">
        <v>17</v>
      </c>
      <c r="D1630" s="95" t="s">
        <v>23</v>
      </c>
      <c r="E1630" s="95" t="s">
        <v>69</v>
      </c>
      <c r="F1630" s="95" t="s">
        <v>70</v>
      </c>
      <c r="G1630" s="96">
        <v>176962522</v>
      </c>
      <c r="H1630" s="95"/>
      <c r="K1630" s="97"/>
    </row>
    <row r="1631" spans="1:11" x14ac:dyDescent="0.2">
      <c r="A1631" s="91">
        <v>2018</v>
      </c>
      <c r="B1631" s="92" t="s">
        <v>66</v>
      </c>
      <c r="C1631" s="92" t="s">
        <v>17</v>
      </c>
      <c r="D1631" s="92" t="s">
        <v>24</v>
      </c>
      <c r="E1631" s="92" t="s">
        <v>67</v>
      </c>
      <c r="F1631" s="92" t="s">
        <v>67</v>
      </c>
      <c r="G1631" s="93">
        <v>22239264928</v>
      </c>
      <c r="H1631" s="92"/>
      <c r="K1631" s="97"/>
    </row>
    <row r="1632" spans="1:11" x14ac:dyDescent="0.2">
      <c r="A1632" s="94">
        <v>2018</v>
      </c>
      <c r="B1632" s="95" t="s">
        <v>66</v>
      </c>
      <c r="C1632" s="95" t="s">
        <v>17</v>
      </c>
      <c r="D1632" s="95" t="s">
        <v>24</v>
      </c>
      <c r="E1632" s="95" t="s">
        <v>69</v>
      </c>
      <c r="F1632" s="95" t="s">
        <v>71</v>
      </c>
      <c r="G1632" s="96">
        <v>5394057673</v>
      </c>
      <c r="H1632" s="95"/>
      <c r="K1632" s="97"/>
    </row>
    <row r="1633" spans="1:11" x14ac:dyDescent="0.2">
      <c r="A1633" s="91">
        <v>2018</v>
      </c>
      <c r="B1633" s="92" t="s">
        <v>66</v>
      </c>
      <c r="C1633" s="92" t="s">
        <v>17</v>
      </c>
      <c r="D1633" s="92" t="s">
        <v>24</v>
      </c>
      <c r="E1633" s="92" t="s">
        <v>69</v>
      </c>
      <c r="F1633" s="92" t="s">
        <v>70</v>
      </c>
      <c r="G1633" s="93">
        <v>7966178698</v>
      </c>
      <c r="H1633" s="92"/>
      <c r="K1633" s="97"/>
    </row>
    <row r="1634" spans="1:11" x14ac:dyDescent="0.2">
      <c r="A1634" s="94">
        <v>2018</v>
      </c>
      <c r="B1634" s="95" t="s">
        <v>66</v>
      </c>
      <c r="C1634" s="95" t="s">
        <v>17</v>
      </c>
      <c r="D1634" s="95" t="s">
        <v>25</v>
      </c>
      <c r="E1634" s="95" t="s">
        <v>67</v>
      </c>
      <c r="F1634" s="95" t="s">
        <v>67</v>
      </c>
      <c r="G1634" s="96">
        <v>1652123450</v>
      </c>
      <c r="H1634" s="95"/>
      <c r="K1634" s="97"/>
    </row>
    <row r="1635" spans="1:11" x14ac:dyDescent="0.2">
      <c r="A1635" s="91">
        <v>2018</v>
      </c>
      <c r="B1635" s="92" t="s">
        <v>66</v>
      </c>
      <c r="C1635" s="92" t="s">
        <v>17</v>
      </c>
      <c r="D1635" s="92" t="s">
        <v>25</v>
      </c>
      <c r="E1635" s="92" t="s">
        <v>69</v>
      </c>
      <c r="F1635" s="92" t="s">
        <v>71</v>
      </c>
      <c r="G1635" s="93">
        <v>325709481</v>
      </c>
      <c r="H1635" s="92"/>
      <c r="K1635" s="97"/>
    </row>
    <row r="1636" spans="1:11" x14ac:dyDescent="0.2">
      <c r="A1636" s="94">
        <v>2018</v>
      </c>
      <c r="B1636" s="95" t="s">
        <v>66</v>
      </c>
      <c r="C1636" s="95" t="s">
        <v>17</v>
      </c>
      <c r="D1636" s="95" t="s">
        <v>25</v>
      </c>
      <c r="E1636" s="95" t="s">
        <v>69</v>
      </c>
      <c r="F1636" s="95" t="s">
        <v>70</v>
      </c>
      <c r="G1636" s="96">
        <v>392076176</v>
      </c>
      <c r="H1636" s="95"/>
      <c r="K1636" s="97"/>
    </row>
    <row r="1637" spans="1:11" x14ac:dyDescent="0.2">
      <c r="A1637" s="91">
        <v>2018</v>
      </c>
      <c r="B1637" s="92" t="s">
        <v>66</v>
      </c>
      <c r="C1637" s="92" t="s">
        <v>27</v>
      </c>
      <c r="D1637" s="92" t="s">
        <v>26</v>
      </c>
      <c r="E1637" s="92" t="s">
        <v>67</v>
      </c>
      <c r="F1637" s="92" t="s">
        <v>67</v>
      </c>
      <c r="G1637" s="93">
        <v>31239267741</v>
      </c>
      <c r="H1637" s="92"/>
      <c r="K1637" s="97"/>
    </row>
    <row r="1638" spans="1:11" x14ac:dyDescent="0.2">
      <c r="A1638" s="94">
        <v>2018</v>
      </c>
      <c r="B1638" s="95" t="s">
        <v>66</v>
      </c>
      <c r="C1638" s="95" t="s">
        <v>27</v>
      </c>
      <c r="D1638" s="95" t="s">
        <v>26</v>
      </c>
      <c r="E1638" s="95" t="s">
        <v>69</v>
      </c>
      <c r="F1638" s="95" t="s">
        <v>71</v>
      </c>
      <c r="G1638" s="96">
        <v>7184329321</v>
      </c>
      <c r="H1638" s="95"/>
      <c r="K1638" s="97"/>
    </row>
    <row r="1639" spans="1:11" x14ac:dyDescent="0.2">
      <c r="A1639" s="91">
        <v>2018</v>
      </c>
      <c r="B1639" s="92" t="s">
        <v>66</v>
      </c>
      <c r="C1639" s="92" t="s">
        <v>27</v>
      </c>
      <c r="D1639" s="92" t="s">
        <v>26</v>
      </c>
      <c r="E1639" s="92" t="s">
        <v>69</v>
      </c>
      <c r="F1639" s="92" t="s">
        <v>70</v>
      </c>
      <c r="G1639" s="93">
        <v>17925174714</v>
      </c>
      <c r="H1639" s="92"/>
      <c r="K1639" s="97"/>
    </row>
    <row r="1640" spans="1:11" x14ac:dyDescent="0.2">
      <c r="A1640" s="94">
        <v>2018</v>
      </c>
      <c r="B1640" s="95" t="s">
        <v>66</v>
      </c>
      <c r="C1640" s="95" t="s">
        <v>27</v>
      </c>
      <c r="D1640" s="95" t="s">
        <v>28</v>
      </c>
      <c r="E1640" s="95" t="s">
        <v>67</v>
      </c>
      <c r="F1640" s="95" t="s">
        <v>67</v>
      </c>
      <c r="G1640" s="96">
        <v>42020373352</v>
      </c>
      <c r="H1640" s="95"/>
      <c r="K1640" s="97"/>
    </row>
    <row r="1641" spans="1:11" x14ac:dyDescent="0.2">
      <c r="A1641" s="91">
        <v>2018</v>
      </c>
      <c r="B1641" s="92" t="s">
        <v>66</v>
      </c>
      <c r="C1641" s="92" t="s">
        <v>27</v>
      </c>
      <c r="D1641" s="92" t="s">
        <v>28</v>
      </c>
      <c r="E1641" s="92" t="s">
        <v>69</v>
      </c>
      <c r="F1641" s="92" t="s">
        <v>71</v>
      </c>
      <c r="G1641" s="93">
        <v>12206617658</v>
      </c>
      <c r="H1641" s="92"/>
      <c r="K1641" s="97"/>
    </row>
    <row r="1642" spans="1:11" x14ac:dyDescent="0.2">
      <c r="A1642" s="94">
        <v>2018</v>
      </c>
      <c r="B1642" s="95" t="s">
        <v>66</v>
      </c>
      <c r="C1642" s="95" t="s">
        <v>27</v>
      </c>
      <c r="D1642" s="95" t="s">
        <v>28</v>
      </c>
      <c r="E1642" s="95" t="s">
        <v>69</v>
      </c>
      <c r="F1642" s="95" t="s">
        <v>70</v>
      </c>
      <c r="G1642" s="96">
        <v>20037432111</v>
      </c>
      <c r="H1642" s="95"/>
      <c r="K1642" s="97"/>
    </row>
    <row r="1643" spans="1:11" x14ac:dyDescent="0.2">
      <c r="A1643" s="91">
        <v>2018</v>
      </c>
      <c r="B1643" s="92" t="s">
        <v>66</v>
      </c>
      <c r="C1643" s="92" t="s">
        <v>27</v>
      </c>
      <c r="D1643" s="92" t="s">
        <v>29</v>
      </c>
      <c r="E1643" s="92" t="s">
        <v>67</v>
      </c>
      <c r="F1643" s="92" t="s">
        <v>67</v>
      </c>
      <c r="G1643" s="93">
        <v>16821024271</v>
      </c>
      <c r="H1643" s="92"/>
      <c r="K1643" s="97"/>
    </row>
    <row r="1644" spans="1:11" x14ac:dyDescent="0.2">
      <c r="A1644" s="94">
        <v>2018</v>
      </c>
      <c r="B1644" s="95" t="s">
        <v>66</v>
      </c>
      <c r="C1644" s="95" t="s">
        <v>27</v>
      </c>
      <c r="D1644" s="95" t="s">
        <v>29</v>
      </c>
      <c r="E1644" s="95" t="s">
        <v>69</v>
      </c>
      <c r="F1644" s="95" t="s">
        <v>71</v>
      </c>
      <c r="G1644" s="96">
        <v>5793669200</v>
      </c>
      <c r="H1644" s="95"/>
      <c r="K1644" s="97"/>
    </row>
    <row r="1645" spans="1:11" x14ac:dyDescent="0.2">
      <c r="A1645" s="91">
        <v>2018</v>
      </c>
      <c r="B1645" s="92" t="s">
        <v>66</v>
      </c>
      <c r="C1645" s="92" t="s">
        <v>27</v>
      </c>
      <c r="D1645" s="92" t="s">
        <v>29</v>
      </c>
      <c r="E1645" s="92" t="s">
        <v>69</v>
      </c>
      <c r="F1645" s="92" t="s">
        <v>70</v>
      </c>
      <c r="G1645" s="93">
        <v>5875271575</v>
      </c>
      <c r="H1645" s="92"/>
      <c r="K1645" s="97"/>
    </row>
    <row r="1646" spans="1:11" x14ac:dyDescent="0.2">
      <c r="A1646" s="94">
        <v>2018</v>
      </c>
      <c r="B1646" s="95" t="s">
        <v>66</v>
      </c>
      <c r="C1646" s="95" t="s">
        <v>27</v>
      </c>
      <c r="D1646" s="95" t="s">
        <v>30</v>
      </c>
      <c r="E1646" s="95" t="s">
        <v>67</v>
      </c>
      <c r="F1646" s="95" t="s">
        <v>67</v>
      </c>
      <c r="G1646" s="96">
        <v>36556575764</v>
      </c>
      <c r="H1646" s="95"/>
      <c r="K1646" s="97"/>
    </row>
    <row r="1647" spans="1:11" x14ac:dyDescent="0.2">
      <c r="A1647" s="91">
        <v>2018</v>
      </c>
      <c r="B1647" s="92" t="s">
        <v>66</v>
      </c>
      <c r="C1647" s="92" t="s">
        <v>27</v>
      </c>
      <c r="D1647" s="92" t="s">
        <v>30</v>
      </c>
      <c r="E1647" s="92" t="s">
        <v>69</v>
      </c>
      <c r="F1647" s="92" t="s">
        <v>71</v>
      </c>
      <c r="G1647" s="93">
        <v>10609237815</v>
      </c>
      <c r="H1647" s="92"/>
      <c r="K1647" s="97"/>
    </row>
    <row r="1648" spans="1:11" x14ac:dyDescent="0.2">
      <c r="A1648" s="94">
        <v>2018</v>
      </c>
      <c r="B1648" s="95" t="s">
        <v>66</v>
      </c>
      <c r="C1648" s="95" t="s">
        <v>27</v>
      </c>
      <c r="D1648" s="95" t="s">
        <v>30</v>
      </c>
      <c r="E1648" s="95" t="s">
        <v>69</v>
      </c>
      <c r="F1648" s="95" t="s">
        <v>70</v>
      </c>
      <c r="G1648" s="96">
        <v>21592442366</v>
      </c>
      <c r="H1648" s="95"/>
      <c r="K1648" s="97"/>
    </row>
    <row r="1649" spans="1:11" x14ac:dyDescent="0.2">
      <c r="A1649" s="91">
        <v>2018</v>
      </c>
      <c r="B1649" s="92" t="s">
        <v>66</v>
      </c>
      <c r="C1649" s="92" t="s">
        <v>27</v>
      </c>
      <c r="D1649" s="92" t="s">
        <v>31</v>
      </c>
      <c r="E1649" s="92" t="s">
        <v>67</v>
      </c>
      <c r="F1649" s="92" t="s">
        <v>67</v>
      </c>
      <c r="G1649" s="93">
        <v>10020241450</v>
      </c>
      <c r="H1649" s="92"/>
      <c r="K1649" s="97"/>
    </row>
    <row r="1650" spans="1:11" x14ac:dyDescent="0.2">
      <c r="A1650" s="94">
        <v>2018</v>
      </c>
      <c r="B1650" s="95" t="s">
        <v>66</v>
      </c>
      <c r="C1650" s="95" t="s">
        <v>27</v>
      </c>
      <c r="D1650" s="95" t="s">
        <v>31</v>
      </c>
      <c r="E1650" s="95" t="s">
        <v>69</v>
      </c>
      <c r="F1650" s="95" t="s">
        <v>71</v>
      </c>
      <c r="G1650" s="96">
        <v>5110933096</v>
      </c>
      <c r="H1650" s="95"/>
      <c r="K1650" s="97"/>
    </row>
    <row r="1651" spans="1:11" x14ac:dyDescent="0.2">
      <c r="A1651" s="91">
        <v>2018</v>
      </c>
      <c r="B1651" s="92" t="s">
        <v>66</v>
      </c>
      <c r="C1651" s="92" t="s">
        <v>27</v>
      </c>
      <c r="D1651" s="92" t="s">
        <v>31</v>
      </c>
      <c r="E1651" s="92" t="s">
        <v>69</v>
      </c>
      <c r="F1651" s="92" t="s">
        <v>70</v>
      </c>
      <c r="G1651" s="93">
        <v>11387839253</v>
      </c>
      <c r="H1651" s="92"/>
      <c r="K1651" s="97"/>
    </row>
    <row r="1652" spans="1:11" x14ac:dyDescent="0.2">
      <c r="A1652" s="94">
        <v>2018</v>
      </c>
      <c r="B1652" s="95" t="s">
        <v>66</v>
      </c>
      <c r="C1652" s="95" t="s">
        <v>27</v>
      </c>
      <c r="D1652" s="95" t="s">
        <v>32</v>
      </c>
      <c r="E1652" s="95" t="s">
        <v>67</v>
      </c>
      <c r="F1652" s="95" t="s">
        <v>67</v>
      </c>
      <c r="G1652" s="96">
        <v>18382349370</v>
      </c>
      <c r="H1652" s="95"/>
      <c r="K1652" s="97"/>
    </row>
    <row r="1653" spans="1:11" x14ac:dyDescent="0.2">
      <c r="A1653" s="91">
        <v>2018</v>
      </c>
      <c r="B1653" s="92" t="s">
        <v>66</v>
      </c>
      <c r="C1653" s="92" t="s">
        <v>27</v>
      </c>
      <c r="D1653" s="92" t="s">
        <v>32</v>
      </c>
      <c r="E1653" s="92" t="s">
        <v>69</v>
      </c>
      <c r="F1653" s="92" t="s">
        <v>71</v>
      </c>
      <c r="G1653" s="93">
        <v>7360039831</v>
      </c>
      <c r="H1653" s="92"/>
      <c r="K1653" s="97"/>
    </row>
    <row r="1654" spans="1:11" x14ac:dyDescent="0.2">
      <c r="A1654" s="94">
        <v>2018</v>
      </c>
      <c r="B1654" s="95" t="s">
        <v>66</v>
      </c>
      <c r="C1654" s="95" t="s">
        <v>27</v>
      </c>
      <c r="D1654" s="95" t="s">
        <v>32</v>
      </c>
      <c r="E1654" s="95" t="s">
        <v>69</v>
      </c>
      <c r="F1654" s="95" t="s">
        <v>70</v>
      </c>
      <c r="G1654" s="96">
        <v>7281819832</v>
      </c>
      <c r="H1654" s="95"/>
      <c r="K1654" s="97"/>
    </row>
    <row r="1655" spans="1:11" x14ac:dyDescent="0.2">
      <c r="A1655" s="91">
        <v>2018</v>
      </c>
      <c r="B1655" s="92" t="s">
        <v>66</v>
      </c>
      <c r="C1655" s="92" t="s">
        <v>27</v>
      </c>
      <c r="D1655" s="92" t="s">
        <v>33</v>
      </c>
      <c r="E1655" s="92" t="s">
        <v>67</v>
      </c>
      <c r="F1655" s="92" t="s">
        <v>67</v>
      </c>
      <c r="G1655" s="93">
        <v>21779212344</v>
      </c>
      <c r="H1655" s="92"/>
      <c r="K1655" s="97"/>
    </row>
    <row r="1656" spans="1:11" x14ac:dyDescent="0.2">
      <c r="A1656" s="94">
        <v>2018</v>
      </c>
      <c r="B1656" s="95" t="s">
        <v>66</v>
      </c>
      <c r="C1656" s="95" t="s">
        <v>27</v>
      </c>
      <c r="D1656" s="95" t="s">
        <v>33</v>
      </c>
      <c r="E1656" s="95" t="s">
        <v>69</v>
      </c>
      <c r="F1656" s="95" t="s">
        <v>71</v>
      </c>
      <c r="G1656" s="96">
        <v>11297524379</v>
      </c>
      <c r="H1656" s="95"/>
      <c r="K1656" s="97"/>
    </row>
    <row r="1657" spans="1:11" x14ac:dyDescent="0.2">
      <c r="A1657" s="91">
        <v>2018</v>
      </c>
      <c r="B1657" s="92" t="s">
        <v>66</v>
      </c>
      <c r="C1657" s="92" t="s">
        <v>27</v>
      </c>
      <c r="D1657" s="92" t="s">
        <v>33</v>
      </c>
      <c r="E1657" s="92" t="s">
        <v>69</v>
      </c>
      <c r="F1657" s="92" t="s">
        <v>70</v>
      </c>
      <c r="G1657" s="93">
        <v>32829812389</v>
      </c>
      <c r="H1657" s="92"/>
      <c r="K1657" s="97"/>
    </row>
    <row r="1658" spans="1:11" x14ac:dyDescent="0.2">
      <c r="A1658" s="94">
        <v>2018</v>
      </c>
      <c r="B1658" s="95" t="s">
        <v>66</v>
      </c>
      <c r="C1658" s="95" t="s">
        <v>35</v>
      </c>
      <c r="D1658" s="95" t="s">
        <v>34</v>
      </c>
      <c r="E1658" s="95" t="s">
        <v>67</v>
      </c>
      <c r="F1658" s="95" t="s">
        <v>67</v>
      </c>
      <c r="G1658" s="96">
        <v>3071905115</v>
      </c>
      <c r="H1658" s="95"/>
      <c r="K1658" s="97"/>
    </row>
    <row r="1659" spans="1:11" x14ac:dyDescent="0.2">
      <c r="A1659" s="91">
        <v>2018</v>
      </c>
      <c r="B1659" s="92" t="s">
        <v>66</v>
      </c>
      <c r="C1659" s="92" t="s">
        <v>35</v>
      </c>
      <c r="D1659" s="92" t="s">
        <v>34</v>
      </c>
      <c r="E1659" s="92" t="s">
        <v>69</v>
      </c>
      <c r="F1659" s="92" t="s">
        <v>71</v>
      </c>
      <c r="G1659" s="93">
        <v>740546338</v>
      </c>
      <c r="H1659" s="92"/>
      <c r="K1659" s="97"/>
    </row>
    <row r="1660" spans="1:11" x14ac:dyDescent="0.2">
      <c r="A1660" s="94">
        <v>2018</v>
      </c>
      <c r="B1660" s="95" t="s">
        <v>66</v>
      </c>
      <c r="C1660" s="95" t="s">
        <v>35</v>
      </c>
      <c r="D1660" s="95" t="s">
        <v>34</v>
      </c>
      <c r="E1660" s="95" t="s">
        <v>69</v>
      </c>
      <c r="F1660" s="95" t="s">
        <v>70</v>
      </c>
      <c r="G1660" s="96">
        <v>620312061</v>
      </c>
      <c r="H1660" s="95"/>
      <c r="K1660" s="97"/>
    </row>
    <row r="1661" spans="1:11" x14ac:dyDescent="0.2">
      <c r="A1661" s="91">
        <v>2018</v>
      </c>
      <c r="B1661" s="92" t="s">
        <v>66</v>
      </c>
      <c r="C1661" s="92" t="s">
        <v>35</v>
      </c>
      <c r="D1661" s="92" t="s">
        <v>36</v>
      </c>
      <c r="E1661" s="92" t="s">
        <v>67</v>
      </c>
      <c r="F1661" s="92" t="s">
        <v>67</v>
      </c>
      <c r="G1661" s="93">
        <v>10705833681</v>
      </c>
      <c r="H1661" s="92"/>
      <c r="K1661" s="97"/>
    </row>
    <row r="1662" spans="1:11" x14ac:dyDescent="0.2">
      <c r="A1662" s="94">
        <v>2018</v>
      </c>
      <c r="B1662" s="95" t="s">
        <v>66</v>
      </c>
      <c r="C1662" s="95" t="s">
        <v>35</v>
      </c>
      <c r="D1662" s="95" t="s">
        <v>36</v>
      </c>
      <c r="E1662" s="95" t="s">
        <v>69</v>
      </c>
      <c r="F1662" s="95" t="s">
        <v>71</v>
      </c>
      <c r="G1662" s="96">
        <v>4379741278</v>
      </c>
      <c r="H1662" s="95"/>
      <c r="K1662" s="97"/>
    </row>
    <row r="1663" spans="1:11" x14ac:dyDescent="0.2">
      <c r="A1663" s="91">
        <v>2018</v>
      </c>
      <c r="B1663" s="92" t="s">
        <v>66</v>
      </c>
      <c r="C1663" s="92" t="s">
        <v>35</v>
      </c>
      <c r="D1663" s="92" t="s">
        <v>36</v>
      </c>
      <c r="E1663" s="92" t="s">
        <v>69</v>
      </c>
      <c r="F1663" s="92" t="s">
        <v>70</v>
      </c>
      <c r="G1663" s="93">
        <v>2903951176</v>
      </c>
      <c r="H1663" s="92"/>
      <c r="K1663" s="97"/>
    </row>
    <row r="1664" spans="1:11" x14ac:dyDescent="0.2">
      <c r="A1664" s="94">
        <v>2018</v>
      </c>
      <c r="B1664" s="95" t="s">
        <v>66</v>
      </c>
      <c r="C1664" s="95" t="s">
        <v>35</v>
      </c>
      <c r="D1664" s="95" t="s">
        <v>37</v>
      </c>
      <c r="E1664" s="95" t="s">
        <v>67</v>
      </c>
      <c r="F1664" s="95" t="s">
        <v>67</v>
      </c>
      <c r="G1664" s="96">
        <v>3049332225</v>
      </c>
      <c r="H1664" s="95"/>
      <c r="K1664" s="97"/>
    </row>
    <row r="1665" spans="1:11" x14ac:dyDescent="0.2">
      <c r="A1665" s="91">
        <v>2018</v>
      </c>
      <c r="B1665" s="92" t="s">
        <v>66</v>
      </c>
      <c r="C1665" s="92" t="s">
        <v>35</v>
      </c>
      <c r="D1665" s="92" t="s">
        <v>37</v>
      </c>
      <c r="E1665" s="92" t="s">
        <v>69</v>
      </c>
      <c r="F1665" s="92" t="s">
        <v>71</v>
      </c>
      <c r="G1665" s="93">
        <v>938742408</v>
      </c>
      <c r="H1665" s="92"/>
      <c r="K1665" s="97"/>
    </row>
    <row r="1666" spans="1:11" x14ac:dyDescent="0.2">
      <c r="A1666" s="94">
        <v>2018</v>
      </c>
      <c r="B1666" s="95" t="s">
        <v>66</v>
      </c>
      <c r="C1666" s="95" t="s">
        <v>35</v>
      </c>
      <c r="D1666" s="95" t="s">
        <v>37</v>
      </c>
      <c r="E1666" s="95" t="s">
        <v>69</v>
      </c>
      <c r="F1666" s="95" t="s">
        <v>70</v>
      </c>
      <c r="G1666" s="96">
        <v>980341615</v>
      </c>
      <c r="H1666" s="95"/>
      <c r="K1666" s="97"/>
    </row>
    <row r="1667" spans="1:11" x14ac:dyDescent="0.2">
      <c r="A1667" s="91">
        <v>2018</v>
      </c>
      <c r="B1667" s="92" t="s">
        <v>66</v>
      </c>
      <c r="C1667" s="92" t="s">
        <v>35</v>
      </c>
      <c r="D1667" s="92" t="s">
        <v>38</v>
      </c>
      <c r="E1667" s="92" t="s">
        <v>67</v>
      </c>
      <c r="F1667" s="92" t="s">
        <v>67</v>
      </c>
      <c r="G1667" s="93">
        <v>5185931035</v>
      </c>
      <c r="H1667" s="92"/>
      <c r="K1667" s="97"/>
    </row>
    <row r="1668" spans="1:11" x14ac:dyDescent="0.2">
      <c r="A1668" s="94">
        <v>2018</v>
      </c>
      <c r="B1668" s="95" t="s">
        <v>66</v>
      </c>
      <c r="C1668" s="95" t="s">
        <v>35</v>
      </c>
      <c r="D1668" s="95" t="s">
        <v>38</v>
      </c>
      <c r="E1668" s="95" t="s">
        <v>69</v>
      </c>
      <c r="F1668" s="95" t="s">
        <v>71</v>
      </c>
      <c r="G1668" s="96">
        <v>1361848729</v>
      </c>
      <c r="H1668" s="95"/>
      <c r="K1668" s="97"/>
    </row>
    <row r="1669" spans="1:11" x14ac:dyDescent="0.2">
      <c r="A1669" s="91">
        <v>2018</v>
      </c>
      <c r="B1669" s="92" t="s">
        <v>66</v>
      </c>
      <c r="C1669" s="92" t="s">
        <v>35</v>
      </c>
      <c r="D1669" s="92" t="s">
        <v>38</v>
      </c>
      <c r="E1669" s="92" t="s">
        <v>69</v>
      </c>
      <c r="F1669" s="92" t="s">
        <v>70</v>
      </c>
      <c r="G1669" s="93">
        <v>1349268812</v>
      </c>
      <c r="H1669" s="92"/>
      <c r="K1669" s="97"/>
    </row>
    <row r="1670" spans="1:11" x14ac:dyDescent="0.2">
      <c r="A1670" s="94">
        <v>2018</v>
      </c>
      <c r="B1670" s="95" t="s">
        <v>66</v>
      </c>
      <c r="C1670" s="95" t="s">
        <v>35</v>
      </c>
      <c r="D1670" s="95" t="s">
        <v>39</v>
      </c>
      <c r="E1670" s="95" t="s">
        <v>67</v>
      </c>
      <c r="F1670" s="95" t="s">
        <v>67</v>
      </c>
      <c r="G1670" s="96">
        <v>14754897193</v>
      </c>
      <c r="H1670" s="95"/>
      <c r="K1670" s="97"/>
    </row>
    <row r="1671" spans="1:11" x14ac:dyDescent="0.2">
      <c r="A1671" s="91">
        <v>2018</v>
      </c>
      <c r="B1671" s="92" t="s">
        <v>66</v>
      </c>
      <c r="C1671" s="92" t="s">
        <v>35</v>
      </c>
      <c r="D1671" s="92" t="s">
        <v>39</v>
      </c>
      <c r="E1671" s="92" t="s">
        <v>69</v>
      </c>
      <c r="F1671" s="92" t="s">
        <v>71</v>
      </c>
      <c r="G1671" s="93">
        <v>4731110497</v>
      </c>
      <c r="H1671" s="92"/>
      <c r="K1671" s="97"/>
    </row>
    <row r="1672" spans="1:11" x14ac:dyDescent="0.2">
      <c r="A1672" s="94">
        <v>2018</v>
      </c>
      <c r="B1672" s="95" t="s">
        <v>66</v>
      </c>
      <c r="C1672" s="95" t="s">
        <v>35</v>
      </c>
      <c r="D1672" s="95" t="s">
        <v>39</v>
      </c>
      <c r="E1672" s="95" t="s">
        <v>69</v>
      </c>
      <c r="F1672" s="95" t="s">
        <v>70</v>
      </c>
      <c r="G1672" s="96">
        <v>3626927587</v>
      </c>
      <c r="H1672" s="95"/>
      <c r="K1672" s="97"/>
    </row>
    <row r="1673" spans="1:11" x14ac:dyDescent="0.2">
      <c r="A1673" s="91">
        <v>2018</v>
      </c>
      <c r="B1673" s="92" t="s">
        <v>66</v>
      </c>
      <c r="C1673" s="92" t="s">
        <v>41</v>
      </c>
      <c r="D1673" s="92" t="s">
        <v>40</v>
      </c>
      <c r="E1673" s="92" t="s">
        <v>67</v>
      </c>
      <c r="F1673" s="92" t="s">
        <v>67</v>
      </c>
      <c r="G1673" s="93">
        <v>2960255446</v>
      </c>
      <c r="H1673" s="92"/>
      <c r="K1673" s="97"/>
    </row>
    <row r="1674" spans="1:11" x14ac:dyDescent="0.2">
      <c r="A1674" s="94">
        <v>2018</v>
      </c>
      <c r="B1674" s="95" t="s">
        <v>66</v>
      </c>
      <c r="C1674" s="95" t="s">
        <v>41</v>
      </c>
      <c r="D1674" s="95" t="s">
        <v>40</v>
      </c>
      <c r="E1674" s="95" t="s">
        <v>69</v>
      </c>
      <c r="F1674" s="95" t="s">
        <v>71</v>
      </c>
      <c r="G1674" s="96">
        <v>371961132</v>
      </c>
      <c r="H1674" s="95"/>
      <c r="K1674" s="97"/>
    </row>
    <row r="1675" spans="1:11" x14ac:dyDescent="0.2">
      <c r="A1675" s="91">
        <v>2018</v>
      </c>
      <c r="B1675" s="92" t="s">
        <v>66</v>
      </c>
      <c r="C1675" s="92" t="s">
        <v>41</v>
      </c>
      <c r="D1675" s="92" t="s">
        <v>40</v>
      </c>
      <c r="E1675" s="92" t="s">
        <v>69</v>
      </c>
      <c r="F1675" s="92" t="s">
        <v>70</v>
      </c>
      <c r="G1675" s="93">
        <v>294682994</v>
      </c>
      <c r="H1675" s="92"/>
      <c r="K1675" s="97"/>
    </row>
    <row r="1676" spans="1:11" x14ac:dyDescent="0.2">
      <c r="A1676" s="94">
        <v>2018</v>
      </c>
      <c r="B1676" s="95" t="s">
        <v>66</v>
      </c>
      <c r="C1676" s="95" t="s">
        <v>41</v>
      </c>
      <c r="D1676" s="95" t="s">
        <v>42</v>
      </c>
      <c r="E1676" s="95" t="s">
        <v>67</v>
      </c>
      <c r="F1676" s="95" t="s">
        <v>67</v>
      </c>
      <c r="G1676" s="96">
        <v>7604605210</v>
      </c>
      <c r="H1676" s="95"/>
      <c r="K1676" s="97"/>
    </row>
    <row r="1677" spans="1:11" x14ac:dyDescent="0.2">
      <c r="A1677" s="91">
        <v>2018</v>
      </c>
      <c r="B1677" s="92" t="s">
        <v>66</v>
      </c>
      <c r="C1677" s="92" t="s">
        <v>41</v>
      </c>
      <c r="D1677" s="92" t="s">
        <v>42</v>
      </c>
      <c r="E1677" s="92" t="s">
        <v>69</v>
      </c>
      <c r="F1677" s="92" t="s">
        <v>71</v>
      </c>
      <c r="G1677" s="93">
        <v>933986432</v>
      </c>
      <c r="H1677" s="92"/>
      <c r="K1677" s="97"/>
    </row>
    <row r="1678" spans="1:11" x14ac:dyDescent="0.2">
      <c r="A1678" s="94">
        <v>2018</v>
      </c>
      <c r="B1678" s="95" t="s">
        <v>66</v>
      </c>
      <c r="C1678" s="95" t="s">
        <v>41</v>
      </c>
      <c r="D1678" s="95" t="s">
        <v>42</v>
      </c>
      <c r="E1678" s="95" t="s">
        <v>69</v>
      </c>
      <c r="F1678" s="95" t="s">
        <v>70</v>
      </c>
      <c r="G1678" s="96">
        <v>2193384102</v>
      </c>
      <c r="H1678" s="95"/>
      <c r="K1678" s="97"/>
    </row>
    <row r="1679" spans="1:11" x14ac:dyDescent="0.2">
      <c r="A1679" s="91">
        <v>2018</v>
      </c>
      <c r="B1679" s="92" t="s">
        <v>66</v>
      </c>
      <c r="C1679" s="92" t="s">
        <v>41</v>
      </c>
      <c r="D1679" s="92" t="s">
        <v>43</v>
      </c>
      <c r="E1679" s="92" t="s">
        <v>67</v>
      </c>
      <c r="F1679" s="92" t="s">
        <v>67</v>
      </c>
      <c r="G1679" s="93">
        <v>7963278090</v>
      </c>
      <c r="H1679" s="92"/>
      <c r="K1679" s="97"/>
    </row>
    <row r="1680" spans="1:11" x14ac:dyDescent="0.2">
      <c r="A1680" s="94">
        <v>2018</v>
      </c>
      <c r="B1680" s="95" t="s">
        <v>66</v>
      </c>
      <c r="C1680" s="95" t="s">
        <v>41</v>
      </c>
      <c r="D1680" s="95" t="s">
        <v>43</v>
      </c>
      <c r="E1680" s="95" t="s">
        <v>69</v>
      </c>
      <c r="F1680" s="95" t="s">
        <v>71</v>
      </c>
      <c r="G1680" s="96">
        <v>1628116287</v>
      </c>
      <c r="H1680" s="95"/>
      <c r="K1680" s="97"/>
    </row>
    <row r="1681" spans="1:11" x14ac:dyDescent="0.2">
      <c r="A1681" s="91">
        <v>2018</v>
      </c>
      <c r="B1681" s="92" t="s">
        <v>66</v>
      </c>
      <c r="C1681" s="92" t="s">
        <v>41</v>
      </c>
      <c r="D1681" s="92" t="s">
        <v>43</v>
      </c>
      <c r="E1681" s="92" t="s">
        <v>69</v>
      </c>
      <c r="F1681" s="92" t="s">
        <v>70</v>
      </c>
      <c r="G1681" s="93">
        <v>1548421041</v>
      </c>
      <c r="H1681" s="92"/>
      <c r="K1681" s="97"/>
    </row>
    <row r="1682" spans="1:11" x14ac:dyDescent="0.2">
      <c r="A1682" s="94">
        <v>2018</v>
      </c>
      <c r="B1682" s="95" t="s">
        <v>66</v>
      </c>
      <c r="C1682" s="95" t="s">
        <v>41</v>
      </c>
      <c r="D1682" s="95" t="s">
        <v>44</v>
      </c>
      <c r="E1682" s="95" t="s">
        <v>67</v>
      </c>
      <c r="F1682" s="95" t="s">
        <v>67</v>
      </c>
      <c r="G1682" s="96">
        <v>9706372296</v>
      </c>
      <c r="H1682" s="95"/>
      <c r="K1682" s="97"/>
    </row>
    <row r="1683" spans="1:11" x14ac:dyDescent="0.2">
      <c r="A1683" s="91">
        <v>2018</v>
      </c>
      <c r="B1683" s="92" t="s">
        <v>66</v>
      </c>
      <c r="C1683" s="92" t="s">
        <v>41</v>
      </c>
      <c r="D1683" s="92" t="s">
        <v>44</v>
      </c>
      <c r="E1683" s="92" t="s">
        <v>69</v>
      </c>
      <c r="F1683" s="92" t="s">
        <v>71</v>
      </c>
      <c r="G1683" s="93">
        <v>2133936960</v>
      </c>
      <c r="H1683" s="92"/>
      <c r="K1683" s="97"/>
    </row>
    <row r="1684" spans="1:11" x14ac:dyDescent="0.2">
      <c r="A1684" s="94">
        <v>2018</v>
      </c>
      <c r="B1684" s="95" t="s">
        <v>66</v>
      </c>
      <c r="C1684" s="95" t="s">
        <v>41</v>
      </c>
      <c r="D1684" s="95" t="s">
        <v>44</v>
      </c>
      <c r="E1684" s="95" t="s">
        <v>69</v>
      </c>
      <c r="F1684" s="95" t="s">
        <v>70</v>
      </c>
      <c r="G1684" s="96">
        <v>2738521446</v>
      </c>
      <c r="H1684" s="95"/>
      <c r="K1684" s="97"/>
    </row>
    <row r="1685" spans="1:11" x14ac:dyDescent="0.2">
      <c r="A1685" s="91">
        <v>2018</v>
      </c>
      <c r="B1685" s="92" t="s">
        <v>66</v>
      </c>
      <c r="C1685" s="92" t="s">
        <v>41</v>
      </c>
      <c r="D1685" s="92" t="s">
        <v>45</v>
      </c>
      <c r="E1685" s="92" t="s">
        <v>67</v>
      </c>
      <c r="F1685" s="92" t="s">
        <v>67</v>
      </c>
      <c r="G1685" s="93">
        <v>24631176107</v>
      </c>
      <c r="H1685" s="92"/>
      <c r="K1685" s="97"/>
    </row>
    <row r="1686" spans="1:11" x14ac:dyDescent="0.2">
      <c r="A1686" s="94">
        <v>2018</v>
      </c>
      <c r="B1686" s="95" t="s">
        <v>66</v>
      </c>
      <c r="C1686" s="95" t="s">
        <v>41</v>
      </c>
      <c r="D1686" s="95" t="s">
        <v>45</v>
      </c>
      <c r="E1686" s="95" t="s">
        <v>69</v>
      </c>
      <c r="F1686" s="95" t="s">
        <v>71</v>
      </c>
      <c r="G1686" s="96">
        <v>4744170829</v>
      </c>
      <c r="H1686" s="95"/>
      <c r="K1686" s="97"/>
    </row>
    <row r="1687" spans="1:11" x14ac:dyDescent="0.2">
      <c r="A1687" s="91">
        <v>2018</v>
      </c>
      <c r="B1687" s="92" t="s">
        <v>66</v>
      </c>
      <c r="C1687" s="92" t="s">
        <v>41</v>
      </c>
      <c r="D1687" s="92" t="s">
        <v>45</v>
      </c>
      <c r="E1687" s="92" t="s">
        <v>69</v>
      </c>
      <c r="F1687" s="92" t="s">
        <v>70</v>
      </c>
      <c r="G1687" s="93">
        <v>9139142044</v>
      </c>
      <c r="H1687" s="92"/>
      <c r="K1687" s="97"/>
    </row>
    <row r="1688" spans="1:11" x14ac:dyDescent="0.2">
      <c r="A1688" s="94">
        <v>2018</v>
      </c>
      <c r="B1688" s="95" t="s">
        <v>66</v>
      </c>
      <c r="C1688" s="95" t="s">
        <v>47</v>
      </c>
      <c r="D1688" s="95" t="s">
        <v>46</v>
      </c>
      <c r="E1688" s="95" t="s">
        <v>72</v>
      </c>
      <c r="F1688" s="95" t="s">
        <v>73</v>
      </c>
      <c r="G1688" s="96">
        <v>8711046143</v>
      </c>
      <c r="H1688" s="95"/>
      <c r="K1688" s="97"/>
    </row>
    <row r="1689" spans="1:11" x14ac:dyDescent="0.2">
      <c r="A1689" s="91">
        <v>2018</v>
      </c>
      <c r="B1689" s="92" t="s">
        <v>66</v>
      </c>
      <c r="C1689" s="92" t="s">
        <v>47</v>
      </c>
      <c r="D1689" s="92" t="s">
        <v>46</v>
      </c>
      <c r="E1689" s="92" t="s">
        <v>67</v>
      </c>
      <c r="F1689" s="92" t="s">
        <v>74</v>
      </c>
      <c r="G1689" s="93">
        <v>10217505852</v>
      </c>
      <c r="H1689" s="92"/>
      <c r="K1689" s="97"/>
    </row>
    <row r="1690" spans="1:11" x14ac:dyDescent="0.2">
      <c r="A1690" s="94">
        <v>2018</v>
      </c>
      <c r="B1690" s="95" t="s">
        <v>66</v>
      </c>
      <c r="C1690" s="95" t="s">
        <v>47</v>
      </c>
      <c r="D1690" s="95" t="s">
        <v>46</v>
      </c>
      <c r="E1690" s="95" t="s">
        <v>69</v>
      </c>
      <c r="F1690" s="95" t="s">
        <v>71</v>
      </c>
      <c r="G1690" s="96">
        <v>8039227733</v>
      </c>
      <c r="H1690" s="95"/>
      <c r="K1690" s="97"/>
    </row>
    <row r="1691" spans="1:11" x14ac:dyDescent="0.2">
      <c r="A1691" s="91">
        <v>2018</v>
      </c>
      <c r="B1691" s="92" t="s">
        <v>66</v>
      </c>
      <c r="C1691" s="92" t="s">
        <v>47</v>
      </c>
      <c r="D1691" s="92" t="s">
        <v>46</v>
      </c>
      <c r="E1691" s="92" t="s">
        <v>69</v>
      </c>
      <c r="F1691" s="92" t="s">
        <v>70</v>
      </c>
      <c r="G1691" s="93">
        <v>11094265479</v>
      </c>
      <c r="H1691" s="92"/>
      <c r="K1691" s="97"/>
    </row>
    <row r="1692" spans="1:11" x14ac:dyDescent="0.2">
      <c r="A1692" s="94">
        <v>2018</v>
      </c>
      <c r="B1692" s="95" t="s">
        <v>66</v>
      </c>
      <c r="C1692" s="95" t="s">
        <v>47</v>
      </c>
      <c r="D1692" s="95" t="s">
        <v>48</v>
      </c>
      <c r="E1692" s="95" t="s">
        <v>72</v>
      </c>
      <c r="F1692" s="95" t="s">
        <v>73</v>
      </c>
      <c r="G1692" s="96">
        <v>87909936323</v>
      </c>
      <c r="H1692" s="95"/>
      <c r="K1692" s="97"/>
    </row>
    <row r="1693" spans="1:11" x14ac:dyDescent="0.2">
      <c r="A1693" s="91">
        <v>2018</v>
      </c>
      <c r="B1693" s="92" t="s">
        <v>66</v>
      </c>
      <c r="C1693" s="92" t="s">
        <v>47</v>
      </c>
      <c r="D1693" s="92" t="s">
        <v>48</v>
      </c>
      <c r="E1693" s="92" t="s">
        <v>67</v>
      </c>
      <c r="F1693" s="92" t="s">
        <v>74</v>
      </c>
      <c r="G1693" s="93">
        <v>103996694371</v>
      </c>
      <c r="H1693" s="92"/>
      <c r="K1693" s="97"/>
    </row>
    <row r="1694" spans="1:11" x14ac:dyDescent="0.2">
      <c r="A1694" s="94">
        <v>2018</v>
      </c>
      <c r="B1694" s="95" t="s">
        <v>66</v>
      </c>
      <c r="C1694" s="95" t="s">
        <v>47</v>
      </c>
      <c r="D1694" s="95" t="s">
        <v>48</v>
      </c>
      <c r="E1694" s="95" t="s">
        <v>69</v>
      </c>
      <c r="F1694" s="95" t="s">
        <v>71</v>
      </c>
      <c r="G1694" s="96">
        <v>72428000000</v>
      </c>
      <c r="H1694" s="95"/>
      <c r="K1694" s="97"/>
    </row>
    <row r="1695" spans="1:11" x14ac:dyDescent="0.2">
      <c r="A1695" s="91">
        <v>2018</v>
      </c>
      <c r="B1695" s="92" t="s">
        <v>66</v>
      </c>
      <c r="C1695" s="92" t="s">
        <v>47</v>
      </c>
      <c r="D1695" s="92" t="s">
        <v>48</v>
      </c>
      <c r="E1695" s="92" t="s">
        <v>69</v>
      </c>
      <c r="F1695" s="92" t="s">
        <v>70</v>
      </c>
      <c r="G1695" s="93">
        <v>126388787869</v>
      </c>
      <c r="H1695" s="92"/>
      <c r="K1695" s="97"/>
    </row>
    <row r="1696" spans="1:11" x14ac:dyDescent="0.2">
      <c r="A1696" s="94">
        <v>2019</v>
      </c>
      <c r="B1696" s="95" t="s">
        <v>66</v>
      </c>
      <c r="C1696" s="95" t="s">
        <v>4</v>
      </c>
      <c r="D1696" s="95" t="s">
        <v>3</v>
      </c>
      <c r="E1696" s="95" t="s">
        <v>67</v>
      </c>
      <c r="F1696" s="95" t="s">
        <v>67</v>
      </c>
      <c r="G1696" s="96">
        <v>17524351863</v>
      </c>
      <c r="H1696" s="95"/>
      <c r="K1696" s="97"/>
    </row>
    <row r="1697" spans="1:11" x14ac:dyDescent="0.2">
      <c r="A1697" s="91">
        <v>2019</v>
      </c>
      <c r="B1697" s="92" t="s">
        <v>66</v>
      </c>
      <c r="C1697" s="92" t="s">
        <v>4</v>
      </c>
      <c r="D1697" s="92" t="s">
        <v>3</v>
      </c>
      <c r="E1697" s="92" t="s">
        <v>69</v>
      </c>
      <c r="F1697" s="92" t="s">
        <v>71</v>
      </c>
      <c r="G1697" s="93">
        <v>4675775627</v>
      </c>
      <c r="H1697" s="92"/>
      <c r="K1697" s="97"/>
    </row>
    <row r="1698" spans="1:11" x14ac:dyDescent="0.2">
      <c r="A1698" s="94">
        <v>2019</v>
      </c>
      <c r="B1698" s="95" t="s">
        <v>66</v>
      </c>
      <c r="C1698" s="95" t="s">
        <v>4</v>
      </c>
      <c r="D1698" s="95" t="s">
        <v>3</v>
      </c>
      <c r="E1698" s="95" t="s">
        <v>69</v>
      </c>
      <c r="F1698" s="95" t="s">
        <v>70</v>
      </c>
      <c r="G1698" s="96">
        <v>10037010870</v>
      </c>
      <c r="H1698" s="95"/>
      <c r="K1698" s="97"/>
    </row>
    <row r="1699" spans="1:11" x14ac:dyDescent="0.2">
      <c r="A1699" s="91">
        <v>2019</v>
      </c>
      <c r="B1699" s="92" t="s">
        <v>66</v>
      </c>
      <c r="C1699" s="92" t="s">
        <v>4</v>
      </c>
      <c r="D1699" s="92" t="s">
        <v>5</v>
      </c>
      <c r="E1699" s="92" t="s">
        <v>67</v>
      </c>
      <c r="F1699" s="92" t="s">
        <v>67</v>
      </c>
      <c r="G1699" s="93">
        <v>78451264948</v>
      </c>
      <c r="H1699" s="92"/>
      <c r="K1699" s="97"/>
    </row>
    <row r="1700" spans="1:11" x14ac:dyDescent="0.2">
      <c r="A1700" s="94">
        <v>2019</v>
      </c>
      <c r="B1700" s="95" t="s">
        <v>66</v>
      </c>
      <c r="C1700" s="95" t="s">
        <v>4</v>
      </c>
      <c r="D1700" s="95" t="s">
        <v>5</v>
      </c>
      <c r="E1700" s="95" t="s">
        <v>69</v>
      </c>
      <c r="F1700" s="95" t="s">
        <v>71</v>
      </c>
      <c r="G1700" s="96">
        <v>53030253496</v>
      </c>
      <c r="H1700" s="95"/>
      <c r="K1700" s="97"/>
    </row>
    <row r="1701" spans="1:11" x14ac:dyDescent="0.2">
      <c r="A1701" s="91">
        <v>2019</v>
      </c>
      <c r="B1701" s="92" t="s">
        <v>66</v>
      </c>
      <c r="C1701" s="92" t="s">
        <v>4</v>
      </c>
      <c r="D1701" s="92" t="s">
        <v>5</v>
      </c>
      <c r="E1701" s="92" t="s">
        <v>69</v>
      </c>
      <c r="F1701" s="92" t="s">
        <v>70</v>
      </c>
      <c r="G1701" s="93">
        <v>43565300466</v>
      </c>
      <c r="H1701" s="92"/>
      <c r="K1701" s="97"/>
    </row>
    <row r="1702" spans="1:11" x14ac:dyDescent="0.2">
      <c r="A1702" s="94">
        <v>2019</v>
      </c>
      <c r="B1702" s="95" t="s">
        <v>66</v>
      </c>
      <c r="C1702" s="95" t="s">
        <v>4</v>
      </c>
      <c r="D1702" s="95" t="s">
        <v>6</v>
      </c>
      <c r="E1702" s="95" t="s">
        <v>67</v>
      </c>
      <c r="F1702" s="95" t="s">
        <v>67</v>
      </c>
      <c r="G1702" s="96">
        <v>10030665758</v>
      </c>
      <c r="H1702" s="95"/>
      <c r="K1702" s="97"/>
    </row>
    <row r="1703" spans="1:11" x14ac:dyDescent="0.2">
      <c r="A1703" s="91">
        <v>2019</v>
      </c>
      <c r="B1703" s="92" t="s">
        <v>66</v>
      </c>
      <c r="C1703" s="92" t="s">
        <v>4</v>
      </c>
      <c r="D1703" s="92" t="s">
        <v>6</v>
      </c>
      <c r="E1703" s="92" t="s">
        <v>69</v>
      </c>
      <c r="F1703" s="92" t="s">
        <v>71</v>
      </c>
      <c r="G1703" s="93">
        <v>1115721836</v>
      </c>
      <c r="H1703" s="92"/>
      <c r="K1703" s="97"/>
    </row>
    <row r="1704" spans="1:11" x14ac:dyDescent="0.2">
      <c r="A1704" s="94">
        <v>2019</v>
      </c>
      <c r="B1704" s="95" t="s">
        <v>66</v>
      </c>
      <c r="C1704" s="95" t="s">
        <v>4</v>
      </c>
      <c r="D1704" s="95" t="s">
        <v>6</v>
      </c>
      <c r="E1704" s="95" t="s">
        <v>69</v>
      </c>
      <c r="F1704" s="95" t="s">
        <v>70</v>
      </c>
      <c r="G1704" s="96">
        <v>1535244594</v>
      </c>
      <c r="H1704" s="95"/>
      <c r="K1704" s="97"/>
    </row>
    <row r="1705" spans="1:11" x14ac:dyDescent="0.2">
      <c r="A1705" s="91">
        <v>2019</v>
      </c>
      <c r="B1705" s="92" t="s">
        <v>66</v>
      </c>
      <c r="C1705" s="92" t="s">
        <v>4</v>
      </c>
      <c r="D1705" s="92" t="s">
        <v>7</v>
      </c>
      <c r="E1705" s="92" t="s">
        <v>67</v>
      </c>
      <c r="F1705" s="92" t="s">
        <v>67</v>
      </c>
      <c r="G1705" s="93">
        <v>17826194918</v>
      </c>
      <c r="H1705" s="92"/>
      <c r="K1705" s="97"/>
    </row>
    <row r="1706" spans="1:11" x14ac:dyDescent="0.2">
      <c r="A1706" s="94">
        <v>2019</v>
      </c>
      <c r="B1706" s="95" t="s">
        <v>66</v>
      </c>
      <c r="C1706" s="95" t="s">
        <v>4</v>
      </c>
      <c r="D1706" s="95" t="s">
        <v>7</v>
      </c>
      <c r="E1706" s="95" t="s">
        <v>69</v>
      </c>
      <c r="F1706" s="95" t="s">
        <v>71</v>
      </c>
      <c r="G1706" s="96">
        <v>7515165738</v>
      </c>
      <c r="H1706" s="95"/>
      <c r="K1706" s="97"/>
    </row>
    <row r="1707" spans="1:11" x14ac:dyDescent="0.2">
      <c r="A1707" s="91">
        <v>2019</v>
      </c>
      <c r="B1707" s="92" t="s">
        <v>66</v>
      </c>
      <c r="C1707" s="92" t="s">
        <v>4</v>
      </c>
      <c r="D1707" s="92" t="s">
        <v>7</v>
      </c>
      <c r="E1707" s="92" t="s">
        <v>69</v>
      </c>
      <c r="F1707" s="92" t="s">
        <v>70</v>
      </c>
      <c r="G1707" s="93">
        <v>7219108297</v>
      </c>
      <c r="H1707" s="92"/>
      <c r="K1707" s="97"/>
    </row>
    <row r="1708" spans="1:11" x14ac:dyDescent="0.2">
      <c r="A1708" s="94">
        <v>2019</v>
      </c>
      <c r="B1708" s="95" t="s">
        <v>66</v>
      </c>
      <c r="C1708" s="95" t="s">
        <v>4</v>
      </c>
      <c r="D1708" s="95" t="s">
        <v>8</v>
      </c>
      <c r="E1708" s="95" t="s">
        <v>67</v>
      </c>
      <c r="F1708" s="95" t="s">
        <v>67</v>
      </c>
      <c r="G1708" s="96">
        <v>8841228798</v>
      </c>
      <c r="H1708" s="95"/>
      <c r="K1708" s="97"/>
    </row>
    <row r="1709" spans="1:11" x14ac:dyDescent="0.2">
      <c r="A1709" s="91">
        <v>2019</v>
      </c>
      <c r="B1709" s="92" t="s">
        <v>66</v>
      </c>
      <c r="C1709" s="92" t="s">
        <v>4</v>
      </c>
      <c r="D1709" s="92" t="s">
        <v>8</v>
      </c>
      <c r="E1709" s="92" t="s">
        <v>69</v>
      </c>
      <c r="F1709" s="92" t="s">
        <v>71</v>
      </c>
      <c r="G1709" s="93">
        <v>3615955224</v>
      </c>
      <c r="H1709" s="92"/>
      <c r="K1709" s="97"/>
    </row>
    <row r="1710" spans="1:11" x14ac:dyDescent="0.2">
      <c r="A1710" s="94">
        <v>2019</v>
      </c>
      <c r="B1710" s="95" t="s">
        <v>66</v>
      </c>
      <c r="C1710" s="95" t="s">
        <v>4</v>
      </c>
      <c r="D1710" s="95" t="s">
        <v>8</v>
      </c>
      <c r="E1710" s="95" t="s">
        <v>69</v>
      </c>
      <c r="F1710" s="95" t="s">
        <v>70</v>
      </c>
      <c r="G1710" s="96">
        <v>1971433934</v>
      </c>
      <c r="H1710" s="95"/>
      <c r="K1710" s="97"/>
    </row>
    <row r="1711" spans="1:11" x14ac:dyDescent="0.2">
      <c r="A1711" s="91">
        <v>2019</v>
      </c>
      <c r="B1711" s="92" t="s">
        <v>66</v>
      </c>
      <c r="C1711" s="92" t="s">
        <v>4</v>
      </c>
      <c r="D1711" s="92" t="s">
        <v>9</v>
      </c>
      <c r="E1711" s="92" t="s">
        <v>67</v>
      </c>
      <c r="F1711" s="92" t="s">
        <v>67</v>
      </c>
      <c r="G1711" s="93">
        <v>60992081051</v>
      </c>
      <c r="H1711" s="92"/>
      <c r="K1711" s="97"/>
    </row>
    <row r="1712" spans="1:11" x14ac:dyDescent="0.2">
      <c r="A1712" s="94">
        <v>2019</v>
      </c>
      <c r="B1712" s="95" t="s">
        <v>66</v>
      </c>
      <c r="C1712" s="95" t="s">
        <v>4</v>
      </c>
      <c r="D1712" s="95" t="s">
        <v>9</v>
      </c>
      <c r="E1712" s="95" t="s">
        <v>69</v>
      </c>
      <c r="F1712" s="95" t="s">
        <v>71</v>
      </c>
      <c r="G1712" s="96">
        <v>19299656154</v>
      </c>
      <c r="H1712" s="95"/>
      <c r="K1712" s="97"/>
    </row>
    <row r="1713" spans="1:11" x14ac:dyDescent="0.2">
      <c r="A1713" s="91">
        <v>2019</v>
      </c>
      <c r="B1713" s="92" t="s">
        <v>66</v>
      </c>
      <c r="C1713" s="92" t="s">
        <v>4</v>
      </c>
      <c r="D1713" s="92" t="s">
        <v>9</v>
      </c>
      <c r="E1713" s="92" t="s">
        <v>69</v>
      </c>
      <c r="F1713" s="92" t="s">
        <v>70</v>
      </c>
      <c r="G1713" s="93">
        <v>27922055383</v>
      </c>
      <c r="H1713" s="92"/>
      <c r="K1713" s="97"/>
    </row>
    <row r="1714" spans="1:11" x14ac:dyDescent="0.2">
      <c r="A1714" s="94">
        <v>2019</v>
      </c>
      <c r="B1714" s="95" t="s">
        <v>66</v>
      </c>
      <c r="C1714" s="95" t="s">
        <v>4</v>
      </c>
      <c r="D1714" s="95" t="s">
        <v>10</v>
      </c>
      <c r="E1714" s="95" t="s">
        <v>67</v>
      </c>
      <c r="F1714" s="95" t="s">
        <v>67</v>
      </c>
      <c r="G1714" s="96">
        <v>1409317030</v>
      </c>
      <c r="H1714" s="95"/>
      <c r="K1714" s="97"/>
    </row>
    <row r="1715" spans="1:11" x14ac:dyDescent="0.2">
      <c r="A1715" s="91">
        <v>2019</v>
      </c>
      <c r="B1715" s="92" t="s">
        <v>66</v>
      </c>
      <c r="C1715" s="92" t="s">
        <v>4</v>
      </c>
      <c r="D1715" s="92" t="s">
        <v>10</v>
      </c>
      <c r="E1715" s="92" t="s">
        <v>69</v>
      </c>
      <c r="F1715" s="92" t="s">
        <v>71</v>
      </c>
      <c r="G1715" s="93">
        <v>595329679</v>
      </c>
      <c r="H1715" s="92"/>
      <c r="K1715" s="97"/>
    </row>
    <row r="1716" spans="1:11" x14ac:dyDescent="0.2">
      <c r="A1716" s="94">
        <v>2019</v>
      </c>
      <c r="B1716" s="95" t="s">
        <v>66</v>
      </c>
      <c r="C1716" s="95" t="s">
        <v>4</v>
      </c>
      <c r="D1716" s="95" t="s">
        <v>10</v>
      </c>
      <c r="E1716" s="95" t="s">
        <v>69</v>
      </c>
      <c r="F1716" s="95" t="s">
        <v>70</v>
      </c>
      <c r="G1716" s="96">
        <v>130682125</v>
      </c>
      <c r="H1716" s="95"/>
      <c r="K1716" s="97"/>
    </row>
    <row r="1717" spans="1:11" x14ac:dyDescent="0.2">
      <c r="A1717" s="91">
        <v>2019</v>
      </c>
      <c r="B1717" s="92" t="s">
        <v>66</v>
      </c>
      <c r="C1717" s="92" t="s">
        <v>4</v>
      </c>
      <c r="D1717" s="92" t="s">
        <v>11</v>
      </c>
      <c r="E1717" s="92" t="s">
        <v>67</v>
      </c>
      <c r="F1717" s="92" t="s">
        <v>67</v>
      </c>
      <c r="G1717" s="93">
        <v>5144269678</v>
      </c>
      <c r="H1717" s="92"/>
      <c r="K1717" s="97"/>
    </row>
    <row r="1718" spans="1:11" x14ac:dyDescent="0.2">
      <c r="A1718" s="94">
        <v>2019</v>
      </c>
      <c r="B1718" s="95" t="s">
        <v>66</v>
      </c>
      <c r="C1718" s="95" t="s">
        <v>4</v>
      </c>
      <c r="D1718" s="95" t="s">
        <v>11</v>
      </c>
      <c r="E1718" s="95" t="s">
        <v>69</v>
      </c>
      <c r="F1718" s="95" t="s">
        <v>71</v>
      </c>
      <c r="G1718" s="96">
        <v>1533652890</v>
      </c>
      <c r="H1718" s="95"/>
      <c r="K1718" s="97"/>
    </row>
    <row r="1719" spans="1:11" x14ac:dyDescent="0.2">
      <c r="A1719" s="91">
        <v>2019</v>
      </c>
      <c r="B1719" s="92" t="s">
        <v>66</v>
      </c>
      <c r="C1719" s="92" t="s">
        <v>4</v>
      </c>
      <c r="D1719" s="92" t="s">
        <v>11</v>
      </c>
      <c r="E1719" s="92" t="s">
        <v>69</v>
      </c>
      <c r="F1719" s="92" t="s">
        <v>70</v>
      </c>
      <c r="G1719" s="93">
        <v>2659292932</v>
      </c>
      <c r="H1719" s="92"/>
      <c r="K1719" s="97"/>
    </row>
    <row r="1720" spans="1:11" x14ac:dyDescent="0.2">
      <c r="A1720" s="94">
        <v>2019</v>
      </c>
      <c r="B1720" s="95" t="s">
        <v>66</v>
      </c>
      <c r="C1720" s="95" t="s">
        <v>4</v>
      </c>
      <c r="D1720" s="95" t="s">
        <v>12</v>
      </c>
      <c r="E1720" s="95" t="s">
        <v>67</v>
      </c>
      <c r="F1720" s="95" t="s">
        <v>67</v>
      </c>
      <c r="G1720" s="96">
        <v>7356876351</v>
      </c>
      <c r="H1720" s="95"/>
      <c r="K1720" s="97"/>
    </row>
    <row r="1721" spans="1:11" x14ac:dyDescent="0.2">
      <c r="A1721" s="91">
        <v>2019</v>
      </c>
      <c r="B1721" s="92" t="s">
        <v>66</v>
      </c>
      <c r="C1721" s="92" t="s">
        <v>4</v>
      </c>
      <c r="D1721" s="92" t="s">
        <v>12</v>
      </c>
      <c r="E1721" s="92" t="s">
        <v>69</v>
      </c>
      <c r="F1721" s="92" t="s">
        <v>71</v>
      </c>
      <c r="G1721" s="93">
        <v>1679916197</v>
      </c>
      <c r="H1721" s="92"/>
      <c r="K1721" s="97"/>
    </row>
    <row r="1722" spans="1:11" x14ac:dyDescent="0.2">
      <c r="A1722" s="94">
        <v>2019</v>
      </c>
      <c r="B1722" s="95" t="s">
        <v>66</v>
      </c>
      <c r="C1722" s="95" t="s">
        <v>4</v>
      </c>
      <c r="D1722" s="95" t="s">
        <v>12</v>
      </c>
      <c r="E1722" s="95" t="s">
        <v>69</v>
      </c>
      <c r="F1722" s="95" t="s">
        <v>70</v>
      </c>
      <c r="G1722" s="96">
        <v>3965185075</v>
      </c>
      <c r="H1722" s="95"/>
      <c r="K1722" s="97"/>
    </row>
    <row r="1723" spans="1:11" x14ac:dyDescent="0.2">
      <c r="A1723" s="91">
        <v>2019</v>
      </c>
      <c r="B1723" s="92" t="s">
        <v>66</v>
      </c>
      <c r="C1723" s="92" t="s">
        <v>4</v>
      </c>
      <c r="D1723" s="92" t="s">
        <v>13</v>
      </c>
      <c r="E1723" s="92" t="s">
        <v>67</v>
      </c>
      <c r="F1723" s="92" t="s">
        <v>67</v>
      </c>
      <c r="G1723" s="93">
        <v>10571229986</v>
      </c>
      <c r="H1723" s="92"/>
      <c r="K1723" s="97"/>
    </row>
    <row r="1724" spans="1:11" x14ac:dyDescent="0.2">
      <c r="A1724" s="94">
        <v>2019</v>
      </c>
      <c r="B1724" s="95" t="s">
        <v>66</v>
      </c>
      <c r="C1724" s="95" t="s">
        <v>4</v>
      </c>
      <c r="D1724" s="95" t="s">
        <v>13</v>
      </c>
      <c r="E1724" s="95" t="s">
        <v>69</v>
      </c>
      <c r="F1724" s="95" t="s">
        <v>71</v>
      </c>
      <c r="G1724" s="96">
        <v>2712671877</v>
      </c>
      <c r="H1724" s="95"/>
      <c r="K1724" s="97"/>
    </row>
    <row r="1725" spans="1:11" x14ac:dyDescent="0.2">
      <c r="A1725" s="91">
        <v>2019</v>
      </c>
      <c r="B1725" s="92" t="s">
        <v>66</v>
      </c>
      <c r="C1725" s="92" t="s">
        <v>4</v>
      </c>
      <c r="D1725" s="92" t="s">
        <v>13</v>
      </c>
      <c r="E1725" s="92" t="s">
        <v>69</v>
      </c>
      <c r="F1725" s="92" t="s">
        <v>70</v>
      </c>
      <c r="G1725" s="93">
        <v>5958544225</v>
      </c>
      <c r="H1725" s="92"/>
      <c r="K1725" s="97"/>
    </row>
    <row r="1726" spans="1:11" x14ac:dyDescent="0.2">
      <c r="A1726" s="94">
        <v>2019</v>
      </c>
      <c r="B1726" s="95" t="s">
        <v>66</v>
      </c>
      <c r="C1726" s="95" t="s">
        <v>4</v>
      </c>
      <c r="D1726" s="95" t="s">
        <v>14</v>
      </c>
      <c r="E1726" s="95" t="s">
        <v>67</v>
      </c>
      <c r="F1726" s="95" t="s">
        <v>67</v>
      </c>
      <c r="G1726" s="96">
        <v>8241041432</v>
      </c>
      <c r="H1726" s="95"/>
      <c r="K1726" s="97"/>
    </row>
    <row r="1727" spans="1:11" x14ac:dyDescent="0.2">
      <c r="A1727" s="91">
        <v>2019</v>
      </c>
      <c r="B1727" s="92" t="s">
        <v>66</v>
      </c>
      <c r="C1727" s="92" t="s">
        <v>4</v>
      </c>
      <c r="D1727" s="92" t="s">
        <v>14</v>
      </c>
      <c r="E1727" s="92" t="s">
        <v>69</v>
      </c>
      <c r="F1727" s="92" t="s">
        <v>71</v>
      </c>
      <c r="G1727" s="93">
        <v>1129478730</v>
      </c>
      <c r="H1727" s="92"/>
      <c r="K1727" s="97"/>
    </row>
    <row r="1728" spans="1:11" x14ac:dyDescent="0.2">
      <c r="A1728" s="94">
        <v>2019</v>
      </c>
      <c r="B1728" s="95" t="s">
        <v>66</v>
      </c>
      <c r="C1728" s="95" t="s">
        <v>4</v>
      </c>
      <c r="D1728" s="95" t="s">
        <v>14</v>
      </c>
      <c r="E1728" s="95" t="s">
        <v>69</v>
      </c>
      <c r="F1728" s="95" t="s">
        <v>70</v>
      </c>
      <c r="G1728" s="96">
        <v>2400621498</v>
      </c>
      <c r="H1728" s="95"/>
      <c r="K1728" s="97"/>
    </row>
    <row r="1729" spans="1:11" x14ac:dyDescent="0.2">
      <c r="A1729" s="91">
        <v>2019</v>
      </c>
      <c r="B1729" s="92" t="s">
        <v>66</v>
      </c>
      <c r="C1729" s="92" t="s">
        <v>4</v>
      </c>
      <c r="D1729" s="92" t="s">
        <v>15</v>
      </c>
      <c r="E1729" s="92" t="s">
        <v>67</v>
      </c>
      <c r="F1729" s="92" t="s">
        <v>67</v>
      </c>
      <c r="G1729" s="93">
        <v>10846513162</v>
      </c>
      <c r="H1729" s="92"/>
      <c r="K1729" s="97"/>
    </row>
    <row r="1730" spans="1:11" x14ac:dyDescent="0.2">
      <c r="A1730" s="94">
        <v>2019</v>
      </c>
      <c r="B1730" s="95" t="s">
        <v>66</v>
      </c>
      <c r="C1730" s="95" t="s">
        <v>4</v>
      </c>
      <c r="D1730" s="95" t="s">
        <v>15</v>
      </c>
      <c r="E1730" s="95" t="s">
        <v>69</v>
      </c>
      <c r="F1730" s="95" t="s">
        <v>71</v>
      </c>
      <c r="G1730" s="96">
        <v>3825978515</v>
      </c>
      <c r="H1730" s="95"/>
      <c r="K1730" s="97"/>
    </row>
    <row r="1731" spans="1:11" x14ac:dyDescent="0.2">
      <c r="A1731" s="91">
        <v>2019</v>
      </c>
      <c r="B1731" s="92" t="s">
        <v>66</v>
      </c>
      <c r="C1731" s="92" t="s">
        <v>4</v>
      </c>
      <c r="D1731" s="92" t="s">
        <v>15</v>
      </c>
      <c r="E1731" s="92" t="s">
        <v>69</v>
      </c>
      <c r="F1731" s="92" t="s">
        <v>70</v>
      </c>
      <c r="G1731" s="93">
        <v>2365734571</v>
      </c>
      <c r="H1731" s="92"/>
      <c r="K1731" s="97"/>
    </row>
    <row r="1732" spans="1:11" x14ac:dyDescent="0.2">
      <c r="A1732" s="94">
        <v>2019</v>
      </c>
      <c r="B1732" s="95" t="s">
        <v>66</v>
      </c>
      <c r="C1732" s="95" t="s">
        <v>17</v>
      </c>
      <c r="D1732" s="95" t="s">
        <v>16</v>
      </c>
      <c r="E1732" s="95" t="s">
        <v>67</v>
      </c>
      <c r="F1732" s="95" t="s">
        <v>67</v>
      </c>
      <c r="G1732" s="96">
        <v>829012464</v>
      </c>
      <c r="H1732" s="95"/>
      <c r="K1732" s="97"/>
    </row>
    <row r="1733" spans="1:11" x14ac:dyDescent="0.2">
      <c r="A1733" s="91">
        <v>2019</v>
      </c>
      <c r="B1733" s="92" t="s">
        <v>66</v>
      </c>
      <c r="C1733" s="92" t="s">
        <v>17</v>
      </c>
      <c r="D1733" s="92" t="s">
        <v>16</v>
      </c>
      <c r="E1733" s="92" t="s">
        <v>69</v>
      </c>
      <c r="F1733" s="92" t="s">
        <v>71</v>
      </c>
      <c r="G1733" s="93">
        <v>282529093</v>
      </c>
      <c r="H1733" s="92"/>
      <c r="K1733" s="97"/>
    </row>
    <row r="1734" spans="1:11" x14ac:dyDescent="0.2">
      <c r="A1734" s="94">
        <v>2019</v>
      </c>
      <c r="B1734" s="95" t="s">
        <v>66</v>
      </c>
      <c r="C1734" s="95" t="s">
        <v>17</v>
      </c>
      <c r="D1734" s="95" t="s">
        <v>16</v>
      </c>
      <c r="E1734" s="95" t="s">
        <v>69</v>
      </c>
      <c r="F1734" s="95" t="s">
        <v>70</v>
      </c>
      <c r="G1734" s="96">
        <v>115902610</v>
      </c>
      <c r="H1734" s="95"/>
      <c r="K1734" s="97"/>
    </row>
    <row r="1735" spans="1:11" x14ac:dyDescent="0.2">
      <c r="A1735" s="91">
        <v>2019</v>
      </c>
      <c r="B1735" s="92" t="s">
        <v>66</v>
      </c>
      <c r="C1735" s="92" t="s">
        <v>17</v>
      </c>
      <c r="D1735" s="92" t="s">
        <v>18</v>
      </c>
      <c r="E1735" s="92" t="s">
        <v>67</v>
      </c>
      <c r="F1735" s="92" t="s">
        <v>67</v>
      </c>
      <c r="G1735" s="93">
        <v>1687677623</v>
      </c>
      <c r="H1735" s="92"/>
      <c r="K1735" s="97"/>
    </row>
    <row r="1736" spans="1:11" x14ac:dyDescent="0.2">
      <c r="A1736" s="94">
        <v>2019</v>
      </c>
      <c r="B1736" s="95" t="s">
        <v>66</v>
      </c>
      <c r="C1736" s="95" t="s">
        <v>17</v>
      </c>
      <c r="D1736" s="95" t="s">
        <v>18</v>
      </c>
      <c r="E1736" s="95" t="s">
        <v>69</v>
      </c>
      <c r="F1736" s="95" t="s">
        <v>71</v>
      </c>
      <c r="G1736" s="96">
        <v>798489924</v>
      </c>
      <c r="H1736" s="95"/>
      <c r="K1736" s="97"/>
    </row>
    <row r="1737" spans="1:11" x14ac:dyDescent="0.2">
      <c r="A1737" s="91">
        <v>2019</v>
      </c>
      <c r="B1737" s="92" t="s">
        <v>66</v>
      </c>
      <c r="C1737" s="92" t="s">
        <v>17</v>
      </c>
      <c r="D1737" s="92" t="s">
        <v>18</v>
      </c>
      <c r="E1737" s="92" t="s">
        <v>69</v>
      </c>
      <c r="F1737" s="92" t="s">
        <v>70</v>
      </c>
      <c r="G1737" s="93">
        <v>1189083659</v>
      </c>
      <c r="H1737" s="92"/>
      <c r="K1737" s="97"/>
    </row>
    <row r="1738" spans="1:11" x14ac:dyDescent="0.2">
      <c r="A1738" s="94">
        <v>2019</v>
      </c>
      <c r="B1738" s="95" t="s">
        <v>66</v>
      </c>
      <c r="C1738" s="95" t="s">
        <v>17</v>
      </c>
      <c r="D1738" s="95" t="s">
        <v>19</v>
      </c>
      <c r="E1738" s="95" t="s">
        <v>67</v>
      </c>
      <c r="F1738" s="95" t="s">
        <v>67</v>
      </c>
      <c r="G1738" s="96">
        <v>3661519557</v>
      </c>
      <c r="H1738" s="95"/>
      <c r="K1738" s="97"/>
    </row>
    <row r="1739" spans="1:11" x14ac:dyDescent="0.2">
      <c r="A1739" s="91">
        <v>2019</v>
      </c>
      <c r="B1739" s="92" t="s">
        <v>66</v>
      </c>
      <c r="C1739" s="92" t="s">
        <v>17</v>
      </c>
      <c r="D1739" s="92" t="s">
        <v>19</v>
      </c>
      <c r="E1739" s="92" t="s">
        <v>69</v>
      </c>
      <c r="F1739" s="92" t="s">
        <v>71</v>
      </c>
      <c r="G1739" s="93">
        <v>1344107542</v>
      </c>
      <c r="H1739" s="92"/>
      <c r="K1739" s="97"/>
    </row>
    <row r="1740" spans="1:11" x14ac:dyDescent="0.2">
      <c r="A1740" s="94">
        <v>2019</v>
      </c>
      <c r="B1740" s="95" t="s">
        <v>66</v>
      </c>
      <c r="C1740" s="95" t="s">
        <v>17</v>
      </c>
      <c r="D1740" s="95" t="s">
        <v>19</v>
      </c>
      <c r="E1740" s="95" t="s">
        <v>69</v>
      </c>
      <c r="F1740" s="95" t="s">
        <v>70</v>
      </c>
      <c r="G1740" s="96">
        <v>836067045</v>
      </c>
      <c r="H1740" s="95"/>
      <c r="K1740" s="97"/>
    </row>
    <row r="1741" spans="1:11" x14ac:dyDescent="0.2">
      <c r="A1741" s="91">
        <v>2019</v>
      </c>
      <c r="B1741" s="92" t="s">
        <v>66</v>
      </c>
      <c r="C1741" s="92" t="s">
        <v>17</v>
      </c>
      <c r="D1741" s="92" t="s">
        <v>20</v>
      </c>
      <c r="E1741" s="92" t="s">
        <v>67</v>
      </c>
      <c r="F1741" s="92" t="s">
        <v>67</v>
      </c>
      <c r="G1741" s="93">
        <v>918332368</v>
      </c>
      <c r="H1741" s="92"/>
      <c r="K1741" s="97"/>
    </row>
    <row r="1742" spans="1:11" x14ac:dyDescent="0.2">
      <c r="A1742" s="94">
        <v>2019</v>
      </c>
      <c r="B1742" s="95" t="s">
        <v>66</v>
      </c>
      <c r="C1742" s="95" t="s">
        <v>17</v>
      </c>
      <c r="D1742" s="95" t="s">
        <v>20</v>
      </c>
      <c r="E1742" s="95" t="s">
        <v>69</v>
      </c>
      <c r="F1742" s="95" t="s">
        <v>71</v>
      </c>
      <c r="G1742" s="96">
        <v>444622070</v>
      </c>
      <c r="H1742" s="95"/>
      <c r="K1742" s="97"/>
    </row>
    <row r="1743" spans="1:11" x14ac:dyDescent="0.2">
      <c r="A1743" s="91">
        <v>2019</v>
      </c>
      <c r="B1743" s="92" t="s">
        <v>66</v>
      </c>
      <c r="C1743" s="92" t="s">
        <v>17</v>
      </c>
      <c r="D1743" s="92" t="s">
        <v>20</v>
      </c>
      <c r="E1743" s="92" t="s">
        <v>69</v>
      </c>
      <c r="F1743" s="92" t="s">
        <v>70</v>
      </c>
      <c r="G1743" s="93">
        <v>3193403932</v>
      </c>
      <c r="H1743" s="92"/>
      <c r="K1743" s="97"/>
    </row>
    <row r="1744" spans="1:11" x14ac:dyDescent="0.2">
      <c r="A1744" s="94">
        <v>2019</v>
      </c>
      <c r="B1744" s="95" t="s">
        <v>66</v>
      </c>
      <c r="C1744" s="95" t="s">
        <v>17</v>
      </c>
      <c r="D1744" s="95" t="s">
        <v>21</v>
      </c>
      <c r="E1744" s="95" t="s">
        <v>67</v>
      </c>
      <c r="F1744" s="95" t="s">
        <v>67</v>
      </c>
      <c r="G1744" s="96">
        <v>2828078750</v>
      </c>
      <c r="H1744" s="95"/>
      <c r="K1744" s="97"/>
    </row>
    <row r="1745" spans="1:11" x14ac:dyDescent="0.2">
      <c r="A1745" s="91">
        <v>2019</v>
      </c>
      <c r="B1745" s="92" t="s">
        <v>66</v>
      </c>
      <c r="C1745" s="92" t="s">
        <v>17</v>
      </c>
      <c r="D1745" s="92" t="s">
        <v>21</v>
      </c>
      <c r="E1745" s="92" t="s">
        <v>69</v>
      </c>
      <c r="F1745" s="92" t="s">
        <v>71</v>
      </c>
      <c r="G1745" s="93">
        <v>1060439907</v>
      </c>
      <c r="H1745" s="92"/>
      <c r="K1745" s="97"/>
    </row>
    <row r="1746" spans="1:11" x14ac:dyDescent="0.2">
      <c r="A1746" s="94">
        <v>2019</v>
      </c>
      <c r="B1746" s="95" t="s">
        <v>66</v>
      </c>
      <c r="C1746" s="95" t="s">
        <v>17</v>
      </c>
      <c r="D1746" s="95" t="s">
        <v>21</v>
      </c>
      <c r="E1746" s="95" t="s">
        <v>69</v>
      </c>
      <c r="F1746" s="95" t="s">
        <v>70</v>
      </c>
      <c r="G1746" s="96">
        <v>1002333516</v>
      </c>
      <c r="H1746" s="95"/>
      <c r="K1746" s="97"/>
    </row>
    <row r="1747" spans="1:11" x14ac:dyDescent="0.2">
      <c r="A1747" s="91">
        <v>2019</v>
      </c>
      <c r="B1747" s="92" t="s">
        <v>66</v>
      </c>
      <c r="C1747" s="92" t="s">
        <v>17</v>
      </c>
      <c r="D1747" s="92" t="s">
        <v>22</v>
      </c>
      <c r="E1747" s="92" t="s">
        <v>67</v>
      </c>
      <c r="F1747" s="92" t="s">
        <v>67</v>
      </c>
      <c r="G1747" s="93">
        <v>1049086015</v>
      </c>
      <c r="H1747" s="92"/>
      <c r="K1747" s="97"/>
    </row>
    <row r="1748" spans="1:11" x14ac:dyDescent="0.2">
      <c r="A1748" s="94">
        <v>2019</v>
      </c>
      <c r="B1748" s="95" t="s">
        <v>66</v>
      </c>
      <c r="C1748" s="95" t="s">
        <v>17</v>
      </c>
      <c r="D1748" s="95" t="s">
        <v>22</v>
      </c>
      <c r="E1748" s="95" t="s">
        <v>69</v>
      </c>
      <c r="F1748" s="95" t="s">
        <v>71</v>
      </c>
      <c r="G1748" s="96">
        <v>439394444</v>
      </c>
      <c r="H1748" s="95"/>
      <c r="K1748" s="97"/>
    </row>
    <row r="1749" spans="1:11" x14ac:dyDescent="0.2">
      <c r="A1749" s="91">
        <v>2019</v>
      </c>
      <c r="B1749" s="92" t="s">
        <v>66</v>
      </c>
      <c r="C1749" s="92" t="s">
        <v>17</v>
      </c>
      <c r="D1749" s="92" t="s">
        <v>22</v>
      </c>
      <c r="E1749" s="92" t="s">
        <v>69</v>
      </c>
      <c r="F1749" s="92" t="s">
        <v>70</v>
      </c>
      <c r="G1749" s="93">
        <v>597422628</v>
      </c>
      <c r="H1749" s="92"/>
      <c r="K1749" s="97"/>
    </row>
    <row r="1750" spans="1:11" x14ac:dyDescent="0.2">
      <c r="A1750" s="94">
        <v>2019</v>
      </c>
      <c r="B1750" s="95" t="s">
        <v>66</v>
      </c>
      <c r="C1750" s="95" t="s">
        <v>17</v>
      </c>
      <c r="D1750" s="95" t="s">
        <v>23</v>
      </c>
      <c r="E1750" s="95" t="s">
        <v>67</v>
      </c>
      <c r="F1750" s="95" t="s">
        <v>67</v>
      </c>
      <c r="G1750" s="96">
        <v>1232655508</v>
      </c>
      <c r="H1750" s="95"/>
      <c r="K1750" s="97"/>
    </row>
    <row r="1751" spans="1:11" x14ac:dyDescent="0.2">
      <c r="A1751" s="91">
        <v>2019</v>
      </c>
      <c r="B1751" s="92" t="s">
        <v>66</v>
      </c>
      <c r="C1751" s="92" t="s">
        <v>17</v>
      </c>
      <c r="D1751" s="92" t="s">
        <v>23</v>
      </c>
      <c r="E1751" s="92" t="s">
        <v>69</v>
      </c>
      <c r="F1751" s="92" t="s">
        <v>71</v>
      </c>
      <c r="G1751" s="93">
        <v>404404684</v>
      </c>
      <c r="H1751" s="92"/>
      <c r="K1751" s="97"/>
    </row>
    <row r="1752" spans="1:11" x14ac:dyDescent="0.2">
      <c r="A1752" s="94">
        <v>2019</v>
      </c>
      <c r="B1752" s="95" t="s">
        <v>66</v>
      </c>
      <c r="C1752" s="95" t="s">
        <v>17</v>
      </c>
      <c r="D1752" s="95" t="s">
        <v>23</v>
      </c>
      <c r="E1752" s="95" t="s">
        <v>69</v>
      </c>
      <c r="F1752" s="95" t="s">
        <v>70</v>
      </c>
      <c r="G1752" s="96">
        <v>192231941</v>
      </c>
      <c r="H1752" s="95"/>
      <c r="K1752" s="97"/>
    </row>
    <row r="1753" spans="1:11" x14ac:dyDescent="0.2">
      <c r="A1753" s="91">
        <v>2019</v>
      </c>
      <c r="B1753" s="92" t="s">
        <v>66</v>
      </c>
      <c r="C1753" s="92" t="s">
        <v>17</v>
      </c>
      <c r="D1753" s="92" t="s">
        <v>24</v>
      </c>
      <c r="E1753" s="92" t="s">
        <v>67</v>
      </c>
      <c r="F1753" s="92" t="s">
        <v>67</v>
      </c>
      <c r="G1753" s="93">
        <v>22825228796</v>
      </c>
      <c r="H1753" s="92"/>
      <c r="K1753" s="97"/>
    </row>
    <row r="1754" spans="1:11" x14ac:dyDescent="0.2">
      <c r="A1754" s="94">
        <v>2019</v>
      </c>
      <c r="B1754" s="95" t="s">
        <v>66</v>
      </c>
      <c r="C1754" s="95" t="s">
        <v>17</v>
      </c>
      <c r="D1754" s="95" t="s">
        <v>24</v>
      </c>
      <c r="E1754" s="95" t="s">
        <v>69</v>
      </c>
      <c r="F1754" s="95" t="s">
        <v>71</v>
      </c>
      <c r="G1754" s="96">
        <v>5353171471</v>
      </c>
      <c r="H1754" s="95"/>
      <c r="K1754" s="97"/>
    </row>
    <row r="1755" spans="1:11" x14ac:dyDescent="0.2">
      <c r="A1755" s="91">
        <v>2019</v>
      </c>
      <c r="B1755" s="92" t="s">
        <v>66</v>
      </c>
      <c r="C1755" s="92" t="s">
        <v>17</v>
      </c>
      <c r="D1755" s="92" t="s">
        <v>24</v>
      </c>
      <c r="E1755" s="92" t="s">
        <v>69</v>
      </c>
      <c r="F1755" s="92" t="s">
        <v>70</v>
      </c>
      <c r="G1755" s="93">
        <v>8532453800</v>
      </c>
      <c r="H1755" s="92"/>
      <c r="K1755" s="97"/>
    </row>
    <row r="1756" spans="1:11" x14ac:dyDescent="0.2">
      <c r="A1756" s="94">
        <v>2019</v>
      </c>
      <c r="B1756" s="95" t="s">
        <v>66</v>
      </c>
      <c r="C1756" s="95" t="s">
        <v>17</v>
      </c>
      <c r="D1756" s="95" t="s">
        <v>25</v>
      </c>
      <c r="E1756" s="95" t="s">
        <v>67</v>
      </c>
      <c r="F1756" s="95" t="s">
        <v>67</v>
      </c>
      <c r="G1756" s="96">
        <v>1679201182</v>
      </c>
      <c r="H1756" s="95"/>
      <c r="K1756" s="97"/>
    </row>
    <row r="1757" spans="1:11" x14ac:dyDescent="0.2">
      <c r="A1757" s="91">
        <v>2019</v>
      </c>
      <c r="B1757" s="92" t="s">
        <v>66</v>
      </c>
      <c r="C1757" s="92" t="s">
        <v>17</v>
      </c>
      <c r="D1757" s="92" t="s">
        <v>25</v>
      </c>
      <c r="E1757" s="92" t="s">
        <v>69</v>
      </c>
      <c r="F1757" s="92" t="s">
        <v>71</v>
      </c>
      <c r="G1757" s="93">
        <v>363028117</v>
      </c>
      <c r="H1757" s="92"/>
      <c r="K1757" s="97"/>
    </row>
    <row r="1758" spans="1:11" x14ac:dyDescent="0.2">
      <c r="A1758" s="94">
        <v>2019</v>
      </c>
      <c r="B1758" s="95" t="s">
        <v>66</v>
      </c>
      <c r="C1758" s="95" t="s">
        <v>17</v>
      </c>
      <c r="D1758" s="95" t="s">
        <v>25</v>
      </c>
      <c r="E1758" s="95" t="s">
        <v>69</v>
      </c>
      <c r="F1758" s="95" t="s">
        <v>70</v>
      </c>
      <c r="G1758" s="96">
        <v>524039478</v>
      </c>
      <c r="H1758" s="95"/>
      <c r="K1758" s="97"/>
    </row>
    <row r="1759" spans="1:11" x14ac:dyDescent="0.2">
      <c r="A1759" s="91">
        <v>2019</v>
      </c>
      <c r="B1759" s="92" t="s">
        <v>66</v>
      </c>
      <c r="C1759" s="92" t="s">
        <v>27</v>
      </c>
      <c r="D1759" s="92" t="s">
        <v>26</v>
      </c>
      <c r="E1759" s="92" t="s">
        <v>67</v>
      </c>
      <c r="F1759" s="92" t="s">
        <v>67</v>
      </c>
      <c r="G1759" s="93">
        <v>29652758692</v>
      </c>
      <c r="H1759" s="92"/>
      <c r="K1759" s="97"/>
    </row>
    <row r="1760" spans="1:11" x14ac:dyDescent="0.2">
      <c r="A1760" s="94">
        <v>2019</v>
      </c>
      <c r="B1760" s="95" t="s">
        <v>66</v>
      </c>
      <c r="C1760" s="95" t="s">
        <v>27</v>
      </c>
      <c r="D1760" s="95" t="s">
        <v>26</v>
      </c>
      <c r="E1760" s="95" t="s">
        <v>69</v>
      </c>
      <c r="F1760" s="95" t="s">
        <v>71</v>
      </c>
      <c r="G1760" s="96">
        <v>7088955354</v>
      </c>
      <c r="H1760" s="95"/>
      <c r="K1760" s="97"/>
    </row>
    <row r="1761" spans="1:11" x14ac:dyDescent="0.2">
      <c r="A1761" s="91">
        <v>2019</v>
      </c>
      <c r="B1761" s="92" t="s">
        <v>66</v>
      </c>
      <c r="C1761" s="92" t="s">
        <v>27</v>
      </c>
      <c r="D1761" s="92" t="s">
        <v>26</v>
      </c>
      <c r="E1761" s="92" t="s">
        <v>69</v>
      </c>
      <c r="F1761" s="92" t="s">
        <v>70</v>
      </c>
      <c r="G1761" s="93">
        <v>18308550640</v>
      </c>
      <c r="H1761" s="92"/>
      <c r="K1761" s="97"/>
    </row>
    <row r="1762" spans="1:11" x14ac:dyDescent="0.2">
      <c r="A1762" s="94">
        <v>2019</v>
      </c>
      <c r="B1762" s="95" t="s">
        <v>66</v>
      </c>
      <c r="C1762" s="95" t="s">
        <v>27</v>
      </c>
      <c r="D1762" s="95" t="s">
        <v>28</v>
      </c>
      <c r="E1762" s="95" t="s">
        <v>67</v>
      </c>
      <c r="F1762" s="95" t="s">
        <v>67</v>
      </c>
      <c r="G1762" s="96">
        <v>36509533759</v>
      </c>
      <c r="H1762" s="95"/>
      <c r="K1762" s="97"/>
    </row>
    <row r="1763" spans="1:11" x14ac:dyDescent="0.2">
      <c r="A1763" s="91">
        <v>2019</v>
      </c>
      <c r="B1763" s="92" t="s">
        <v>66</v>
      </c>
      <c r="C1763" s="92" t="s">
        <v>27</v>
      </c>
      <c r="D1763" s="92" t="s">
        <v>28</v>
      </c>
      <c r="E1763" s="92" t="s">
        <v>69</v>
      </c>
      <c r="F1763" s="92" t="s">
        <v>71</v>
      </c>
      <c r="G1763" s="93">
        <v>14280455390</v>
      </c>
      <c r="H1763" s="92"/>
      <c r="K1763" s="97"/>
    </row>
    <row r="1764" spans="1:11" x14ac:dyDescent="0.2">
      <c r="A1764" s="94">
        <v>2019</v>
      </c>
      <c r="B1764" s="95" t="s">
        <v>66</v>
      </c>
      <c r="C1764" s="95" t="s">
        <v>27</v>
      </c>
      <c r="D1764" s="95" t="s">
        <v>28</v>
      </c>
      <c r="E1764" s="95" t="s">
        <v>69</v>
      </c>
      <c r="F1764" s="95" t="s">
        <v>70</v>
      </c>
      <c r="G1764" s="96">
        <v>20914919763</v>
      </c>
      <c r="H1764" s="95"/>
      <c r="K1764" s="97"/>
    </row>
    <row r="1765" spans="1:11" x14ac:dyDescent="0.2">
      <c r="A1765" s="91">
        <v>2019</v>
      </c>
      <c r="B1765" s="92" t="s">
        <v>66</v>
      </c>
      <c r="C1765" s="92" t="s">
        <v>27</v>
      </c>
      <c r="D1765" s="92" t="s">
        <v>29</v>
      </c>
      <c r="E1765" s="92" t="s">
        <v>67</v>
      </c>
      <c r="F1765" s="92" t="s">
        <v>67</v>
      </c>
      <c r="G1765" s="93">
        <v>15554866889</v>
      </c>
      <c r="H1765" s="92"/>
      <c r="K1765" s="97"/>
    </row>
    <row r="1766" spans="1:11" x14ac:dyDescent="0.2">
      <c r="A1766" s="94">
        <v>2019</v>
      </c>
      <c r="B1766" s="95" t="s">
        <v>66</v>
      </c>
      <c r="C1766" s="95" t="s">
        <v>27</v>
      </c>
      <c r="D1766" s="95" t="s">
        <v>29</v>
      </c>
      <c r="E1766" s="95" t="s">
        <v>69</v>
      </c>
      <c r="F1766" s="95" t="s">
        <v>71</v>
      </c>
      <c r="G1766" s="96">
        <v>5582040505</v>
      </c>
      <c r="H1766" s="95"/>
      <c r="K1766" s="97"/>
    </row>
    <row r="1767" spans="1:11" x14ac:dyDescent="0.2">
      <c r="A1767" s="91">
        <v>2019</v>
      </c>
      <c r="B1767" s="92" t="s">
        <v>66</v>
      </c>
      <c r="C1767" s="92" t="s">
        <v>27</v>
      </c>
      <c r="D1767" s="92" t="s">
        <v>29</v>
      </c>
      <c r="E1767" s="92" t="s">
        <v>69</v>
      </c>
      <c r="F1767" s="92" t="s">
        <v>70</v>
      </c>
      <c r="G1767" s="93">
        <v>6087702408</v>
      </c>
      <c r="H1767" s="92"/>
      <c r="K1767" s="97"/>
    </row>
    <row r="1768" spans="1:11" x14ac:dyDescent="0.2">
      <c r="A1768" s="94">
        <v>2019</v>
      </c>
      <c r="B1768" s="95" t="s">
        <v>66</v>
      </c>
      <c r="C1768" s="95" t="s">
        <v>27</v>
      </c>
      <c r="D1768" s="95" t="s">
        <v>30</v>
      </c>
      <c r="E1768" s="95" t="s">
        <v>67</v>
      </c>
      <c r="F1768" s="95" t="s">
        <v>67</v>
      </c>
      <c r="G1768" s="96">
        <v>32377290783</v>
      </c>
      <c r="H1768" s="95"/>
      <c r="K1768" s="97"/>
    </row>
    <row r="1769" spans="1:11" x14ac:dyDescent="0.2">
      <c r="A1769" s="91">
        <v>2019</v>
      </c>
      <c r="B1769" s="92" t="s">
        <v>66</v>
      </c>
      <c r="C1769" s="92" t="s">
        <v>27</v>
      </c>
      <c r="D1769" s="92" t="s">
        <v>30</v>
      </c>
      <c r="E1769" s="92" t="s">
        <v>69</v>
      </c>
      <c r="F1769" s="92" t="s">
        <v>71</v>
      </c>
      <c r="G1769" s="93">
        <v>10483273630</v>
      </c>
      <c r="H1769" s="92"/>
      <c r="K1769" s="97"/>
    </row>
    <row r="1770" spans="1:11" x14ac:dyDescent="0.2">
      <c r="A1770" s="94">
        <v>2019</v>
      </c>
      <c r="B1770" s="95" t="s">
        <v>66</v>
      </c>
      <c r="C1770" s="95" t="s">
        <v>27</v>
      </c>
      <c r="D1770" s="95" t="s">
        <v>30</v>
      </c>
      <c r="E1770" s="95" t="s">
        <v>69</v>
      </c>
      <c r="F1770" s="95" t="s">
        <v>70</v>
      </c>
      <c r="G1770" s="96">
        <v>24361823119</v>
      </c>
      <c r="H1770" s="95"/>
      <c r="K1770" s="97"/>
    </row>
    <row r="1771" spans="1:11" x14ac:dyDescent="0.2">
      <c r="A1771" s="91">
        <v>2019</v>
      </c>
      <c r="B1771" s="92" t="s">
        <v>66</v>
      </c>
      <c r="C1771" s="92" t="s">
        <v>27</v>
      </c>
      <c r="D1771" s="92" t="s">
        <v>31</v>
      </c>
      <c r="E1771" s="92" t="s">
        <v>67</v>
      </c>
      <c r="F1771" s="92" t="s">
        <v>67</v>
      </c>
      <c r="G1771" s="93">
        <v>6428196829</v>
      </c>
      <c r="H1771" s="92"/>
      <c r="K1771" s="97"/>
    </row>
    <row r="1772" spans="1:11" x14ac:dyDescent="0.2">
      <c r="A1772" s="94">
        <v>2019</v>
      </c>
      <c r="B1772" s="95" t="s">
        <v>66</v>
      </c>
      <c r="C1772" s="95" t="s">
        <v>27</v>
      </c>
      <c r="D1772" s="95" t="s">
        <v>31</v>
      </c>
      <c r="E1772" s="95" t="s">
        <v>69</v>
      </c>
      <c r="F1772" s="95" t="s">
        <v>71</v>
      </c>
      <c r="G1772" s="96">
        <v>4002104846</v>
      </c>
      <c r="H1772" s="95"/>
      <c r="K1772" s="97"/>
    </row>
    <row r="1773" spans="1:11" x14ac:dyDescent="0.2">
      <c r="A1773" s="91">
        <v>2019</v>
      </c>
      <c r="B1773" s="92" t="s">
        <v>66</v>
      </c>
      <c r="C1773" s="92" t="s">
        <v>27</v>
      </c>
      <c r="D1773" s="92" t="s">
        <v>31</v>
      </c>
      <c r="E1773" s="92" t="s">
        <v>69</v>
      </c>
      <c r="F1773" s="92" t="s">
        <v>70</v>
      </c>
      <c r="G1773" s="93">
        <v>10765556097</v>
      </c>
      <c r="H1773" s="92"/>
      <c r="K1773" s="97"/>
    </row>
    <row r="1774" spans="1:11" x14ac:dyDescent="0.2">
      <c r="A1774" s="94">
        <v>2019</v>
      </c>
      <c r="B1774" s="95" t="s">
        <v>66</v>
      </c>
      <c r="C1774" s="95" t="s">
        <v>27</v>
      </c>
      <c r="D1774" s="95" t="s">
        <v>32</v>
      </c>
      <c r="E1774" s="95" t="s">
        <v>67</v>
      </c>
      <c r="F1774" s="95" t="s">
        <v>67</v>
      </c>
      <c r="G1774" s="96">
        <v>18056256570</v>
      </c>
      <c r="H1774" s="95"/>
      <c r="K1774" s="97"/>
    </row>
    <row r="1775" spans="1:11" x14ac:dyDescent="0.2">
      <c r="A1775" s="91">
        <v>2019</v>
      </c>
      <c r="B1775" s="92" t="s">
        <v>66</v>
      </c>
      <c r="C1775" s="92" t="s">
        <v>27</v>
      </c>
      <c r="D1775" s="92" t="s">
        <v>32</v>
      </c>
      <c r="E1775" s="92" t="s">
        <v>69</v>
      </c>
      <c r="F1775" s="92" t="s">
        <v>71</v>
      </c>
      <c r="G1775" s="93">
        <v>7425131412</v>
      </c>
      <c r="H1775" s="92"/>
      <c r="K1775" s="97"/>
    </row>
    <row r="1776" spans="1:11" x14ac:dyDescent="0.2">
      <c r="A1776" s="94">
        <v>2019</v>
      </c>
      <c r="B1776" s="95" t="s">
        <v>66</v>
      </c>
      <c r="C1776" s="95" t="s">
        <v>27</v>
      </c>
      <c r="D1776" s="95" t="s">
        <v>32</v>
      </c>
      <c r="E1776" s="95" t="s">
        <v>69</v>
      </c>
      <c r="F1776" s="95" t="s">
        <v>70</v>
      </c>
      <c r="G1776" s="96">
        <v>7699613413</v>
      </c>
      <c r="H1776" s="95"/>
      <c r="K1776" s="97"/>
    </row>
    <row r="1777" spans="1:11" x14ac:dyDescent="0.2">
      <c r="A1777" s="91">
        <v>2019</v>
      </c>
      <c r="B1777" s="92" t="s">
        <v>66</v>
      </c>
      <c r="C1777" s="92" t="s">
        <v>27</v>
      </c>
      <c r="D1777" s="92" t="s">
        <v>33</v>
      </c>
      <c r="E1777" s="92" t="s">
        <v>67</v>
      </c>
      <c r="F1777" s="92" t="s">
        <v>67</v>
      </c>
      <c r="G1777" s="93">
        <v>16486360496</v>
      </c>
      <c r="H1777" s="92"/>
      <c r="K1777" s="97"/>
    </row>
    <row r="1778" spans="1:11" x14ac:dyDescent="0.2">
      <c r="A1778" s="94">
        <v>2019</v>
      </c>
      <c r="B1778" s="95" t="s">
        <v>66</v>
      </c>
      <c r="C1778" s="95" t="s">
        <v>27</v>
      </c>
      <c r="D1778" s="95" t="s">
        <v>33</v>
      </c>
      <c r="E1778" s="95" t="s">
        <v>69</v>
      </c>
      <c r="F1778" s="95" t="s">
        <v>71</v>
      </c>
      <c r="G1778" s="96">
        <v>10081862465</v>
      </c>
      <c r="H1778" s="95"/>
      <c r="K1778" s="97"/>
    </row>
    <row r="1779" spans="1:11" x14ac:dyDescent="0.2">
      <c r="A1779" s="91">
        <v>2019</v>
      </c>
      <c r="B1779" s="92" t="s">
        <v>66</v>
      </c>
      <c r="C1779" s="92" t="s">
        <v>27</v>
      </c>
      <c r="D1779" s="92" t="s">
        <v>33</v>
      </c>
      <c r="E1779" s="92" t="s">
        <v>69</v>
      </c>
      <c r="F1779" s="92" t="s">
        <v>70</v>
      </c>
      <c r="G1779" s="93">
        <v>34328014040</v>
      </c>
      <c r="H1779" s="92"/>
      <c r="K1779" s="97"/>
    </row>
    <row r="1780" spans="1:11" x14ac:dyDescent="0.2">
      <c r="A1780" s="94">
        <v>2019</v>
      </c>
      <c r="B1780" s="95" t="s">
        <v>66</v>
      </c>
      <c r="C1780" s="95" t="s">
        <v>35</v>
      </c>
      <c r="D1780" s="95" t="s">
        <v>34</v>
      </c>
      <c r="E1780" s="95" t="s">
        <v>67</v>
      </c>
      <c r="F1780" s="95" t="s">
        <v>67</v>
      </c>
      <c r="G1780" s="96">
        <v>3380562040</v>
      </c>
      <c r="H1780" s="95"/>
      <c r="K1780" s="97"/>
    </row>
    <row r="1781" spans="1:11" x14ac:dyDescent="0.2">
      <c r="A1781" s="91">
        <v>2019</v>
      </c>
      <c r="B1781" s="92" t="s">
        <v>66</v>
      </c>
      <c r="C1781" s="92" t="s">
        <v>35</v>
      </c>
      <c r="D1781" s="92" t="s">
        <v>34</v>
      </c>
      <c r="E1781" s="92" t="s">
        <v>69</v>
      </c>
      <c r="F1781" s="92" t="s">
        <v>71</v>
      </c>
      <c r="G1781" s="93">
        <v>906249730</v>
      </c>
      <c r="H1781" s="92"/>
      <c r="K1781" s="97"/>
    </row>
    <row r="1782" spans="1:11" x14ac:dyDescent="0.2">
      <c r="A1782" s="94">
        <v>2019</v>
      </c>
      <c r="B1782" s="95" t="s">
        <v>66</v>
      </c>
      <c r="C1782" s="95" t="s">
        <v>35</v>
      </c>
      <c r="D1782" s="95" t="s">
        <v>34</v>
      </c>
      <c r="E1782" s="95" t="s">
        <v>69</v>
      </c>
      <c r="F1782" s="95" t="s">
        <v>70</v>
      </c>
      <c r="G1782" s="96">
        <v>650813191</v>
      </c>
      <c r="H1782" s="95"/>
      <c r="K1782" s="97"/>
    </row>
    <row r="1783" spans="1:11" x14ac:dyDescent="0.2">
      <c r="A1783" s="91">
        <v>2019</v>
      </c>
      <c r="B1783" s="92" t="s">
        <v>66</v>
      </c>
      <c r="C1783" s="92" t="s">
        <v>35</v>
      </c>
      <c r="D1783" s="92" t="s">
        <v>36</v>
      </c>
      <c r="E1783" s="92" t="s">
        <v>67</v>
      </c>
      <c r="F1783" s="92" t="s">
        <v>67</v>
      </c>
      <c r="G1783" s="93">
        <v>10906134348</v>
      </c>
      <c r="H1783" s="92"/>
      <c r="K1783" s="97"/>
    </row>
    <row r="1784" spans="1:11" x14ac:dyDescent="0.2">
      <c r="A1784" s="94">
        <v>2019</v>
      </c>
      <c r="B1784" s="95" t="s">
        <v>66</v>
      </c>
      <c r="C1784" s="95" t="s">
        <v>35</v>
      </c>
      <c r="D1784" s="95" t="s">
        <v>36</v>
      </c>
      <c r="E1784" s="95" t="s">
        <v>69</v>
      </c>
      <c r="F1784" s="95" t="s">
        <v>71</v>
      </c>
      <c r="G1784" s="96">
        <v>4935636030</v>
      </c>
      <c r="H1784" s="95"/>
      <c r="K1784" s="97"/>
    </row>
    <row r="1785" spans="1:11" x14ac:dyDescent="0.2">
      <c r="A1785" s="91">
        <v>2019</v>
      </c>
      <c r="B1785" s="92" t="s">
        <v>66</v>
      </c>
      <c r="C1785" s="92" t="s">
        <v>35</v>
      </c>
      <c r="D1785" s="92" t="s">
        <v>36</v>
      </c>
      <c r="E1785" s="92" t="s">
        <v>69</v>
      </c>
      <c r="F1785" s="92" t="s">
        <v>70</v>
      </c>
      <c r="G1785" s="93">
        <v>3278838812</v>
      </c>
      <c r="H1785" s="92"/>
      <c r="K1785" s="97"/>
    </row>
    <row r="1786" spans="1:11" x14ac:dyDescent="0.2">
      <c r="A1786" s="94">
        <v>2019</v>
      </c>
      <c r="B1786" s="95" t="s">
        <v>66</v>
      </c>
      <c r="C1786" s="95" t="s">
        <v>35</v>
      </c>
      <c r="D1786" s="95" t="s">
        <v>37</v>
      </c>
      <c r="E1786" s="95" t="s">
        <v>67</v>
      </c>
      <c r="F1786" s="95" t="s">
        <v>67</v>
      </c>
      <c r="G1786" s="96">
        <v>2752406165</v>
      </c>
      <c r="H1786" s="95"/>
      <c r="K1786" s="97"/>
    </row>
    <row r="1787" spans="1:11" x14ac:dyDescent="0.2">
      <c r="A1787" s="91">
        <v>2019</v>
      </c>
      <c r="B1787" s="92" t="s">
        <v>66</v>
      </c>
      <c r="C1787" s="92" t="s">
        <v>35</v>
      </c>
      <c r="D1787" s="92" t="s">
        <v>37</v>
      </c>
      <c r="E1787" s="92" t="s">
        <v>69</v>
      </c>
      <c r="F1787" s="92" t="s">
        <v>71</v>
      </c>
      <c r="G1787" s="93">
        <v>937240081</v>
      </c>
      <c r="H1787" s="92"/>
      <c r="K1787" s="97"/>
    </row>
    <row r="1788" spans="1:11" x14ac:dyDescent="0.2">
      <c r="A1788" s="94">
        <v>2019</v>
      </c>
      <c r="B1788" s="95" t="s">
        <v>66</v>
      </c>
      <c r="C1788" s="95" t="s">
        <v>35</v>
      </c>
      <c r="D1788" s="95" t="s">
        <v>37</v>
      </c>
      <c r="E1788" s="95" t="s">
        <v>69</v>
      </c>
      <c r="F1788" s="95" t="s">
        <v>70</v>
      </c>
      <c r="G1788" s="96">
        <v>943497548</v>
      </c>
      <c r="H1788" s="95"/>
      <c r="K1788" s="97"/>
    </row>
    <row r="1789" spans="1:11" x14ac:dyDescent="0.2">
      <c r="A1789" s="91">
        <v>2019</v>
      </c>
      <c r="B1789" s="92" t="s">
        <v>66</v>
      </c>
      <c r="C1789" s="92" t="s">
        <v>35</v>
      </c>
      <c r="D1789" s="92" t="s">
        <v>38</v>
      </c>
      <c r="E1789" s="92" t="s">
        <v>67</v>
      </c>
      <c r="F1789" s="92" t="s">
        <v>67</v>
      </c>
      <c r="G1789" s="93">
        <v>5212880100</v>
      </c>
      <c r="H1789" s="92"/>
      <c r="K1789" s="97"/>
    </row>
    <row r="1790" spans="1:11" x14ac:dyDescent="0.2">
      <c r="A1790" s="94">
        <v>2019</v>
      </c>
      <c r="B1790" s="95" t="s">
        <v>66</v>
      </c>
      <c r="C1790" s="95" t="s">
        <v>35</v>
      </c>
      <c r="D1790" s="95" t="s">
        <v>38</v>
      </c>
      <c r="E1790" s="95" t="s">
        <v>69</v>
      </c>
      <c r="F1790" s="95" t="s">
        <v>71</v>
      </c>
      <c r="G1790" s="96">
        <v>1620256838</v>
      </c>
      <c r="H1790" s="95"/>
      <c r="K1790" s="97"/>
    </row>
    <row r="1791" spans="1:11" x14ac:dyDescent="0.2">
      <c r="A1791" s="91">
        <v>2019</v>
      </c>
      <c r="B1791" s="92" t="s">
        <v>66</v>
      </c>
      <c r="C1791" s="92" t="s">
        <v>35</v>
      </c>
      <c r="D1791" s="92" t="s">
        <v>38</v>
      </c>
      <c r="E1791" s="92" t="s">
        <v>69</v>
      </c>
      <c r="F1791" s="92" t="s">
        <v>70</v>
      </c>
      <c r="G1791" s="93">
        <v>1444466327</v>
      </c>
      <c r="H1791" s="92"/>
      <c r="K1791" s="97"/>
    </row>
    <row r="1792" spans="1:11" x14ac:dyDescent="0.2">
      <c r="A1792" s="94">
        <v>2019</v>
      </c>
      <c r="B1792" s="95" t="s">
        <v>66</v>
      </c>
      <c r="C1792" s="95" t="s">
        <v>35</v>
      </c>
      <c r="D1792" s="95" t="s">
        <v>39</v>
      </c>
      <c r="E1792" s="95" t="s">
        <v>67</v>
      </c>
      <c r="F1792" s="95" t="s">
        <v>67</v>
      </c>
      <c r="G1792" s="96">
        <v>15381702672</v>
      </c>
      <c r="H1792" s="95"/>
      <c r="K1792" s="97"/>
    </row>
    <row r="1793" spans="1:11" x14ac:dyDescent="0.2">
      <c r="A1793" s="91">
        <v>2019</v>
      </c>
      <c r="B1793" s="92" t="s">
        <v>66</v>
      </c>
      <c r="C1793" s="92" t="s">
        <v>35</v>
      </c>
      <c r="D1793" s="92" t="s">
        <v>39</v>
      </c>
      <c r="E1793" s="92" t="s">
        <v>69</v>
      </c>
      <c r="F1793" s="92" t="s">
        <v>71</v>
      </c>
      <c r="G1793" s="93">
        <v>4919433828</v>
      </c>
      <c r="H1793" s="92"/>
      <c r="K1793" s="97"/>
    </row>
    <row r="1794" spans="1:11" x14ac:dyDescent="0.2">
      <c r="A1794" s="94">
        <v>2019</v>
      </c>
      <c r="B1794" s="95" t="s">
        <v>66</v>
      </c>
      <c r="C1794" s="95" t="s">
        <v>35</v>
      </c>
      <c r="D1794" s="95" t="s">
        <v>39</v>
      </c>
      <c r="E1794" s="95" t="s">
        <v>69</v>
      </c>
      <c r="F1794" s="95" t="s">
        <v>70</v>
      </c>
      <c r="G1794" s="96">
        <v>4058362906</v>
      </c>
      <c r="H1794" s="95"/>
      <c r="K1794" s="97"/>
    </row>
    <row r="1795" spans="1:11" x14ac:dyDescent="0.2">
      <c r="A1795" s="91">
        <v>2019</v>
      </c>
      <c r="B1795" s="92" t="s">
        <v>66</v>
      </c>
      <c r="C1795" s="92" t="s">
        <v>41</v>
      </c>
      <c r="D1795" s="92" t="s">
        <v>40</v>
      </c>
      <c r="E1795" s="92" t="s">
        <v>67</v>
      </c>
      <c r="F1795" s="92" t="s">
        <v>67</v>
      </c>
      <c r="G1795" s="93">
        <v>3236888074</v>
      </c>
      <c r="H1795" s="92"/>
      <c r="K1795" s="97"/>
    </row>
    <row r="1796" spans="1:11" x14ac:dyDescent="0.2">
      <c r="A1796" s="94">
        <v>2019</v>
      </c>
      <c r="B1796" s="95" t="s">
        <v>66</v>
      </c>
      <c r="C1796" s="95" t="s">
        <v>41</v>
      </c>
      <c r="D1796" s="95" t="s">
        <v>40</v>
      </c>
      <c r="E1796" s="95" t="s">
        <v>69</v>
      </c>
      <c r="F1796" s="95" t="s">
        <v>71</v>
      </c>
      <c r="G1796" s="96">
        <v>520609994</v>
      </c>
      <c r="H1796" s="95"/>
      <c r="K1796" s="97"/>
    </row>
    <row r="1797" spans="1:11" x14ac:dyDescent="0.2">
      <c r="A1797" s="91">
        <v>2019</v>
      </c>
      <c r="B1797" s="92" t="s">
        <v>66</v>
      </c>
      <c r="C1797" s="92" t="s">
        <v>41</v>
      </c>
      <c r="D1797" s="92" t="s">
        <v>40</v>
      </c>
      <c r="E1797" s="92" t="s">
        <v>69</v>
      </c>
      <c r="F1797" s="92" t="s">
        <v>70</v>
      </c>
      <c r="G1797" s="93">
        <v>534502429</v>
      </c>
      <c r="H1797" s="92"/>
      <c r="K1797" s="97"/>
    </row>
    <row r="1798" spans="1:11" x14ac:dyDescent="0.2">
      <c r="A1798" s="94">
        <v>2019</v>
      </c>
      <c r="B1798" s="95" t="s">
        <v>66</v>
      </c>
      <c r="C1798" s="95" t="s">
        <v>41</v>
      </c>
      <c r="D1798" s="95" t="s">
        <v>42</v>
      </c>
      <c r="E1798" s="95" t="s">
        <v>67</v>
      </c>
      <c r="F1798" s="95" t="s">
        <v>67</v>
      </c>
      <c r="G1798" s="96">
        <v>7660683228</v>
      </c>
      <c r="H1798" s="95"/>
      <c r="K1798" s="97"/>
    </row>
    <row r="1799" spans="1:11" x14ac:dyDescent="0.2">
      <c r="A1799" s="91">
        <v>2019</v>
      </c>
      <c r="B1799" s="92" t="s">
        <v>66</v>
      </c>
      <c r="C1799" s="92" t="s">
        <v>41</v>
      </c>
      <c r="D1799" s="92" t="s">
        <v>42</v>
      </c>
      <c r="E1799" s="92" t="s">
        <v>69</v>
      </c>
      <c r="F1799" s="92" t="s">
        <v>71</v>
      </c>
      <c r="G1799" s="93">
        <v>1024416277</v>
      </c>
      <c r="H1799" s="92"/>
      <c r="K1799" s="97"/>
    </row>
    <row r="1800" spans="1:11" x14ac:dyDescent="0.2">
      <c r="A1800" s="94">
        <v>2019</v>
      </c>
      <c r="B1800" s="95" t="s">
        <v>66</v>
      </c>
      <c r="C1800" s="95" t="s">
        <v>41</v>
      </c>
      <c r="D1800" s="95" t="s">
        <v>42</v>
      </c>
      <c r="E1800" s="95" t="s">
        <v>69</v>
      </c>
      <c r="F1800" s="95" t="s">
        <v>70</v>
      </c>
      <c r="G1800" s="96">
        <v>2717049760</v>
      </c>
      <c r="H1800" s="95"/>
      <c r="K1800" s="97"/>
    </row>
    <row r="1801" spans="1:11" x14ac:dyDescent="0.2">
      <c r="A1801" s="91">
        <v>2019</v>
      </c>
      <c r="B1801" s="92" t="s">
        <v>66</v>
      </c>
      <c r="C1801" s="92" t="s">
        <v>41</v>
      </c>
      <c r="D1801" s="92" t="s">
        <v>43</v>
      </c>
      <c r="E1801" s="92" t="s">
        <v>67</v>
      </c>
      <c r="F1801" s="92" t="s">
        <v>67</v>
      </c>
      <c r="G1801" s="93">
        <v>8332915478</v>
      </c>
      <c r="H1801" s="92"/>
      <c r="K1801" s="97"/>
    </row>
    <row r="1802" spans="1:11" x14ac:dyDescent="0.2">
      <c r="A1802" s="94">
        <v>2019</v>
      </c>
      <c r="B1802" s="95" t="s">
        <v>66</v>
      </c>
      <c r="C1802" s="95" t="s">
        <v>41</v>
      </c>
      <c r="D1802" s="95" t="s">
        <v>43</v>
      </c>
      <c r="E1802" s="95" t="s">
        <v>69</v>
      </c>
      <c r="F1802" s="95" t="s">
        <v>71</v>
      </c>
      <c r="G1802" s="96">
        <v>1931510115</v>
      </c>
      <c r="H1802" s="95"/>
      <c r="K1802" s="97"/>
    </row>
    <row r="1803" spans="1:11" x14ac:dyDescent="0.2">
      <c r="A1803" s="91">
        <v>2019</v>
      </c>
      <c r="B1803" s="92" t="s">
        <v>66</v>
      </c>
      <c r="C1803" s="92" t="s">
        <v>41</v>
      </c>
      <c r="D1803" s="92" t="s">
        <v>43</v>
      </c>
      <c r="E1803" s="92" t="s">
        <v>69</v>
      </c>
      <c r="F1803" s="92" t="s">
        <v>70</v>
      </c>
      <c r="G1803" s="93">
        <v>1936412930</v>
      </c>
      <c r="H1803" s="92"/>
      <c r="K1803" s="97"/>
    </row>
    <row r="1804" spans="1:11" x14ac:dyDescent="0.2">
      <c r="A1804" s="94">
        <v>2019</v>
      </c>
      <c r="B1804" s="95" t="s">
        <v>66</v>
      </c>
      <c r="C1804" s="95" t="s">
        <v>41</v>
      </c>
      <c r="D1804" s="95" t="s">
        <v>44</v>
      </c>
      <c r="E1804" s="95" t="s">
        <v>67</v>
      </c>
      <c r="F1804" s="95" t="s">
        <v>67</v>
      </c>
      <c r="G1804" s="96">
        <v>10276922655</v>
      </c>
      <c r="H1804" s="95"/>
      <c r="K1804" s="97"/>
    </row>
    <row r="1805" spans="1:11" x14ac:dyDescent="0.2">
      <c r="A1805" s="91">
        <v>2019</v>
      </c>
      <c r="B1805" s="92" t="s">
        <v>66</v>
      </c>
      <c r="C1805" s="92" t="s">
        <v>41</v>
      </c>
      <c r="D1805" s="92" t="s">
        <v>44</v>
      </c>
      <c r="E1805" s="92" t="s">
        <v>69</v>
      </c>
      <c r="F1805" s="92" t="s">
        <v>71</v>
      </c>
      <c r="G1805" s="93">
        <v>2594804519</v>
      </c>
      <c r="H1805" s="92"/>
      <c r="K1805" s="97"/>
    </row>
    <row r="1806" spans="1:11" x14ac:dyDescent="0.2">
      <c r="A1806" s="94">
        <v>2019</v>
      </c>
      <c r="B1806" s="95" t="s">
        <v>66</v>
      </c>
      <c r="C1806" s="95" t="s">
        <v>41</v>
      </c>
      <c r="D1806" s="95" t="s">
        <v>44</v>
      </c>
      <c r="E1806" s="95" t="s">
        <v>69</v>
      </c>
      <c r="F1806" s="95" t="s">
        <v>70</v>
      </c>
      <c r="G1806" s="96">
        <v>3354380764</v>
      </c>
      <c r="H1806" s="95"/>
      <c r="K1806" s="97"/>
    </row>
    <row r="1807" spans="1:11" x14ac:dyDescent="0.2">
      <c r="A1807" s="91">
        <v>2019</v>
      </c>
      <c r="B1807" s="92" t="s">
        <v>66</v>
      </c>
      <c r="C1807" s="92" t="s">
        <v>41</v>
      </c>
      <c r="D1807" s="92" t="s">
        <v>45</v>
      </c>
      <c r="E1807" s="92" t="s">
        <v>67</v>
      </c>
      <c r="F1807" s="92" t="s">
        <v>67</v>
      </c>
      <c r="G1807" s="93">
        <v>23479798040</v>
      </c>
      <c r="H1807" s="92"/>
      <c r="K1807" s="97"/>
    </row>
    <row r="1808" spans="1:11" x14ac:dyDescent="0.2">
      <c r="A1808" s="94">
        <v>2019</v>
      </c>
      <c r="B1808" s="95" t="s">
        <v>66</v>
      </c>
      <c r="C1808" s="95" t="s">
        <v>41</v>
      </c>
      <c r="D1808" s="95" t="s">
        <v>45</v>
      </c>
      <c r="E1808" s="95" t="s">
        <v>69</v>
      </c>
      <c r="F1808" s="95" t="s">
        <v>71</v>
      </c>
      <c r="G1808" s="96">
        <v>4805320803</v>
      </c>
      <c r="H1808" s="95"/>
      <c r="K1808" s="97"/>
    </row>
    <row r="1809" spans="1:11" x14ac:dyDescent="0.2">
      <c r="A1809" s="91">
        <v>2019</v>
      </c>
      <c r="B1809" s="92" t="s">
        <v>66</v>
      </c>
      <c r="C1809" s="92" t="s">
        <v>41</v>
      </c>
      <c r="D1809" s="92" t="s">
        <v>45</v>
      </c>
      <c r="E1809" s="92" t="s">
        <v>69</v>
      </c>
      <c r="F1809" s="92" t="s">
        <v>70</v>
      </c>
      <c r="G1809" s="93">
        <v>9600296520</v>
      </c>
      <c r="H1809" s="92"/>
      <c r="K1809" s="97"/>
    </row>
    <row r="1810" spans="1:11" x14ac:dyDescent="0.2">
      <c r="A1810" s="94">
        <v>2019</v>
      </c>
      <c r="B1810" s="95" t="s">
        <v>66</v>
      </c>
      <c r="C1810" s="95" t="s">
        <v>47</v>
      </c>
      <c r="D1810" s="95" t="s">
        <v>46</v>
      </c>
      <c r="E1810" s="95" t="s">
        <v>72</v>
      </c>
      <c r="F1810" s="95" t="s">
        <v>73</v>
      </c>
      <c r="G1810" s="96">
        <v>9281401869</v>
      </c>
      <c r="H1810" s="95"/>
      <c r="K1810" s="97"/>
    </row>
    <row r="1811" spans="1:11" x14ac:dyDescent="0.2">
      <c r="A1811" s="91">
        <v>2019</v>
      </c>
      <c r="B1811" s="92" t="s">
        <v>66</v>
      </c>
      <c r="C1811" s="92" t="s">
        <v>47</v>
      </c>
      <c r="D1811" s="92" t="s">
        <v>46</v>
      </c>
      <c r="E1811" s="92" t="s">
        <v>67</v>
      </c>
      <c r="F1811" s="92" t="s">
        <v>74</v>
      </c>
      <c r="G1811" s="93">
        <v>9077728558</v>
      </c>
      <c r="H1811" s="92"/>
      <c r="K1811" s="97"/>
    </row>
    <row r="1812" spans="1:11" x14ac:dyDescent="0.2">
      <c r="A1812" s="94">
        <v>2019</v>
      </c>
      <c r="B1812" s="95" t="s">
        <v>66</v>
      </c>
      <c r="C1812" s="95" t="s">
        <v>47</v>
      </c>
      <c r="D1812" s="95" t="s">
        <v>46</v>
      </c>
      <c r="E1812" s="95" t="s">
        <v>69</v>
      </c>
      <c r="F1812" s="95" t="s">
        <v>71</v>
      </c>
      <c r="G1812" s="96">
        <v>8950927204</v>
      </c>
      <c r="H1812" s="95"/>
      <c r="K1812" s="97"/>
    </row>
    <row r="1813" spans="1:11" x14ac:dyDescent="0.2">
      <c r="A1813" s="91">
        <v>2019</v>
      </c>
      <c r="B1813" s="92" t="s">
        <v>66</v>
      </c>
      <c r="C1813" s="92" t="s">
        <v>47</v>
      </c>
      <c r="D1813" s="92" t="s">
        <v>46</v>
      </c>
      <c r="E1813" s="92" t="s">
        <v>69</v>
      </c>
      <c r="F1813" s="92" t="s">
        <v>70</v>
      </c>
      <c r="G1813" s="93">
        <v>11994056912</v>
      </c>
      <c r="H1813" s="92"/>
      <c r="K1813" s="97"/>
    </row>
    <row r="1814" spans="1:11" x14ac:dyDescent="0.2">
      <c r="A1814" s="94">
        <v>2019</v>
      </c>
      <c r="B1814" s="95" t="s">
        <v>66</v>
      </c>
      <c r="C1814" s="95" t="s">
        <v>47</v>
      </c>
      <c r="D1814" s="95" t="s">
        <v>48</v>
      </c>
      <c r="E1814" s="95" t="s">
        <v>72</v>
      </c>
      <c r="F1814" s="95" t="s">
        <v>73</v>
      </c>
      <c r="G1814" s="96">
        <v>87704014651</v>
      </c>
      <c r="H1814" s="95"/>
      <c r="K1814" s="97"/>
    </row>
    <row r="1815" spans="1:11" x14ac:dyDescent="0.2">
      <c r="A1815" s="91">
        <v>2019</v>
      </c>
      <c r="B1815" s="92" t="s">
        <v>66</v>
      </c>
      <c r="C1815" s="92" t="s">
        <v>47</v>
      </c>
      <c r="D1815" s="92" t="s">
        <v>48</v>
      </c>
      <c r="E1815" s="92" t="s">
        <v>67</v>
      </c>
      <c r="F1815" s="92" t="s">
        <v>74</v>
      </c>
      <c r="G1815" s="93">
        <v>103269768630</v>
      </c>
      <c r="H1815" s="92"/>
      <c r="K1815" s="97"/>
    </row>
    <row r="1816" spans="1:11" x14ac:dyDescent="0.2">
      <c r="A1816" s="94">
        <v>2019</v>
      </c>
      <c r="B1816" s="95" t="s">
        <v>66</v>
      </c>
      <c r="C1816" s="95" t="s">
        <v>47</v>
      </c>
      <c r="D1816" s="95" t="s">
        <v>48</v>
      </c>
      <c r="E1816" s="95" t="s">
        <v>69</v>
      </c>
      <c r="F1816" s="95" t="s">
        <v>71</v>
      </c>
      <c r="G1816" s="96">
        <v>75689045800</v>
      </c>
      <c r="H1816" s="95"/>
      <c r="K1816" s="97"/>
    </row>
    <row r="1817" spans="1:11" x14ac:dyDescent="0.2">
      <c r="A1817" s="91">
        <v>2019</v>
      </c>
      <c r="B1817" s="92" t="s">
        <v>66</v>
      </c>
      <c r="C1817" s="92" t="s">
        <v>47</v>
      </c>
      <c r="D1817" s="92" t="s">
        <v>48</v>
      </c>
      <c r="E1817" s="92" t="s">
        <v>69</v>
      </c>
      <c r="F1817" s="92" t="s">
        <v>70</v>
      </c>
      <c r="G1817" s="93">
        <v>139289270174</v>
      </c>
      <c r="H1817" s="92"/>
      <c r="K1817" s="97"/>
    </row>
    <row r="1818" spans="1:11" x14ac:dyDescent="0.2">
      <c r="A1818" s="94">
        <v>2020</v>
      </c>
      <c r="B1818" s="95" t="s">
        <v>66</v>
      </c>
      <c r="C1818" s="95" t="s">
        <v>4</v>
      </c>
      <c r="D1818" s="95" t="s">
        <v>3</v>
      </c>
      <c r="E1818" s="95" t="s">
        <v>67</v>
      </c>
      <c r="F1818" s="95" t="s">
        <v>67</v>
      </c>
      <c r="G1818" s="96">
        <v>7128677020</v>
      </c>
      <c r="H1818" s="95"/>
      <c r="K1818" s="97"/>
    </row>
    <row r="1819" spans="1:11" x14ac:dyDescent="0.2">
      <c r="A1819" s="91">
        <v>2020</v>
      </c>
      <c r="B1819" s="92" t="s">
        <v>66</v>
      </c>
      <c r="C1819" s="92" t="s">
        <v>4</v>
      </c>
      <c r="D1819" s="92" t="s">
        <v>3</v>
      </c>
      <c r="E1819" s="92" t="s">
        <v>69</v>
      </c>
      <c r="F1819" s="92" t="s">
        <v>71</v>
      </c>
      <c r="G1819" s="93">
        <v>2486063527</v>
      </c>
      <c r="H1819" s="92"/>
      <c r="K1819" s="97"/>
    </row>
    <row r="1820" spans="1:11" x14ac:dyDescent="0.2">
      <c r="A1820" s="94">
        <v>2020</v>
      </c>
      <c r="B1820" s="95" t="s">
        <v>66</v>
      </c>
      <c r="C1820" s="95" t="s">
        <v>4</v>
      </c>
      <c r="D1820" s="95" t="s">
        <v>3</v>
      </c>
      <c r="E1820" s="95" t="s">
        <v>69</v>
      </c>
      <c r="F1820" s="95" t="s">
        <v>70</v>
      </c>
      <c r="G1820" s="96">
        <v>4753546664</v>
      </c>
      <c r="H1820" s="95"/>
      <c r="K1820" s="97"/>
    </row>
    <row r="1821" spans="1:11" x14ac:dyDescent="0.2">
      <c r="A1821" s="91">
        <v>2020</v>
      </c>
      <c r="B1821" s="92" t="s">
        <v>66</v>
      </c>
      <c r="C1821" s="92" t="s">
        <v>4</v>
      </c>
      <c r="D1821" s="92" t="s">
        <v>5</v>
      </c>
      <c r="E1821" s="92" t="s">
        <v>67</v>
      </c>
      <c r="F1821" s="92" t="s">
        <v>67</v>
      </c>
      <c r="G1821" s="93">
        <v>44145429399</v>
      </c>
      <c r="H1821" s="92"/>
      <c r="K1821" s="97"/>
    </row>
    <row r="1822" spans="1:11" x14ac:dyDescent="0.2">
      <c r="A1822" s="94">
        <v>2020</v>
      </c>
      <c r="B1822" s="95" t="s">
        <v>66</v>
      </c>
      <c r="C1822" s="95" t="s">
        <v>4</v>
      </c>
      <c r="D1822" s="95" t="s">
        <v>5</v>
      </c>
      <c r="E1822" s="95" t="s">
        <v>69</v>
      </c>
      <c r="F1822" s="95" t="s">
        <v>71</v>
      </c>
      <c r="G1822" s="96">
        <v>36420924649</v>
      </c>
      <c r="H1822" s="95"/>
      <c r="K1822" s="97"/>
    </row>
    <row r="1823" spans="1:11" x14ac:dyDescent="0.2">
      <c r="A1823" s="91">
        <v>2020</v>
      </c>
      <c r="B1823" s="92" t="s">
        <v>66</v>
      </c>
      <c r="C1823" s="92" t="s">
        <v>4</v>
      </c>
      <c r="D1823" s="92" t="s">
        <v>5</v>
      </c>
      <c r="E1823" s="92" t="s">
        <v>69</v>
      </c>
      <c r="F1823" s="92" t="s">
        <v>70</v>
      </c>
      <c r="G1823" s="93">
        <v>36581157547</v>
      </c>
      <c r="H1823" s="92"/>
      <c r="K1823" s="97"/>
    </row>
    <row r="1824" spans="1:11" x14ac:dyDescent="0.2">
      <c r="A1824" s="94">
        <v>2020</v>
      </c>
      <c r="B1824" s="95" t="s">
        <v>66</v>
      </c>
      <c r="C1824" s="95" t="s">
        <v>4</v>
      </c>
      <c r="D1824" s="95" t="s">
        <v>6</v>
      </c>
      <c r="E1824" s="95" t="s">
        <v>67</v>
      </c>
      <c r="F1824" s="95" t="s">
        <v>67</v>
      </c>
      <c r="G1824" s="96">
        <v>2036024214</v>
      </c>
      <c r="H1824" s="95"/>
      <c r="K1824" s="97"/>
    </row>
    <row r="1825" spans="1:11" x14ac:dyDescent="0.2">
      <c r="A1825" s="91">
        <v>2020</v>
      </c>
      <c r="B1825" s="92" t="s">
        <v>66</v>
      </c>
      <c r="C1825" s="92" t="s">
        <v>4</v>
      </c>
      <c r="D1825" s="92" t="s">
        <v>6</v>
      </c>
      <c r="E1825" s="92" t="s">
        <v>69</v>
      </c>
      <c r="F1825" s="92" t="s">
        <v>71</v>
      </c>
      <c r="G1825" s="93">
        <v>351169308</v>
      </c>
      <c r="H1825" s="92"/>
      <c r="K1825" s="97"/>
    </row>
    <row r="1826" spans="1:11" x14ac:dyDescent="0.2">
      <c r="A1826" s="94">
        <v>2020</v>
      </c>
      <c r="B1826" s="95" t="s">
        <v>66</v>
      </c>
      <c r="C1826" s="95" t="s">
        <v>4</v>
      </c>
      <c r="D1826" s="95" t="s">
        <v>6</v>
      </c>
      <c r="E1826" s="95" t="s">
        <v>69</v>
      </c>
      <c r="F1826" s="95" t="s">
        <v>70</v>
      </c>
      <c r="G1826" s="96">
        <v>302104236</v>
      </c>
      <c r="H1826" s="95"/>
      <c r="K1826" s="97"/>
    </row>
    <row r="1827" spans="1:11" x14ac:dyDescent="0.2">
      <c r="A1827" s="91">
        <v>2020</v>
      </c>
      <c r="B1827" s="92" t="s">
        <v>66</v>
      </c>
      <c r="C1827" s="92" t="s">
        <v>4</v>
      </c>
      <c r="D1827" s="92" t="s">
        <v>7</v>
      </c>
      <c r="E1827" s="92" t="s">
        <v>67</v>
      </c>
      <c r="F1827" s="92" t="s">
        <v>67</v>
      </c>
      <c r="G1827" s="93">
        <v>5318363414</v>
      </c>
      <c r="H1827" s="92"/>
      <c r="K1827" s="97"/>
    </row>
    <row r="1828" spans="1:11" x14ac:dyDescent="0.2">
      <c r="A1828" s="94">
        <v>2020</v>
      </c>
      <c r="B1828" s="95" t="s">
        <v>66</v>
      </c>
      <c r="C1828" s="95" t="s">
        <v>4</v>
      </c>
      <c r="D1828" s="95" t="s">
        <v>7</v>
      </c>
      <c r="E1828" s="95" t="s">
        <v>69</v>
      </c>
      <c r="F1828" s="95" t="s">
        <v>71</v>
      </c>
      <c r="G1828" s="96">
        <v>2549625757</v>
      </c>
      <c r="H1828" s="95"/>
      <c r="K1828" s="97"/>
    </row>
    <row r="1829" spans="1:11" x14ac:dyDescent="0.2">
      <c r="A1829" s="91">
        <v>2020</v>
      </c>
      <c r="B1829" s="92" t="s">
        <v>66</v>
      </c>
      <c r="C1829" s="92" t="s">
        <v>4</v>
      </c>
      <c r="D1829" s="92" t="s">
        <v>7</v>
      </c>
      <c r="E1829" s="92" t="s">
        <v>69</v>
      </c>
      <c r="F1829" s="92" t="s">
        <v>70</v>
      </c>
      <c r="G1829" s="93">
        <v>2341185164</v>
      </c>
      <c r="H1829" s="92"/>
      <c r="K1829" s="97"/>
    </row>
    <row r="1830" spans="1:11" x14ac:dyDescent="0.2">
      <c r="A1830" s="94">
        <v>2020</v>
      </c>
      <c r="B1830" s="95" t="s">
        <v>66</v>
      </c>
      <c r="C1830" s="95" t="s">
        <v>4</v>
      </c>
      <c r="D1830" s="95" t="s">
        <v>8</v>
      </c>
      <c r="E1830" s="95" t="s">
        <v>67</v>
      </c>
      <c r="F1830" s="95" t="s">
        <v>67</v>
      </c>
      <c r="G1830" s="96">
        <v>2915237149</v>
      </c>
      <c r="H1830" s="95"/>
      <c r="K1830" s="97"/>
    </row>
    <row r="1831" spans="1:11" x14ac:dyDescent="0.2">
      <c r="A1831" s="91">
        <v>2020</v>
      </c>
      <c r="B1831" s="92" t="s">
        <v>66</v>
      </c>
      <c r="C1831" s="92" t="s">
        <v>4</v>
      </c>
      <c r="D1831" s="92" t="s">
        <v>8</v>
      </c>
      <c r="E1831" s="92" t="s">
        <v>69</v>
      </c>
      <c r="F1831" s="92" t="s">
        <v>71</v>
      </c>
      <c r="G1831" s="93">
        <v>1568187156</v>
      </c>
      <c r="H1831" s="92"/>
      <c r="K1831" s="97"/>
    </row>
    <row r="1832" spans="1:11" x14ac:dyDescent="0.2">
      <c r="A1832" s="94">
        <v>2020</v>
      </c>
      <c r="B1832" s="95" t="s">
        <v>66</v>
      </c>
      <c r="C1832" s="95" t="s">
        <v>4</v>
      </c>
      <c r="D1832" s="95" t="s">
        <v>8</v>
      </c>
      <c r="E1832" s="95" t="s">
        <v>69</v>
      </c>
      <c r="F1832" s="95" t="s">
        <v>70</v>
      </c>
      <c r="G1832" s="96">
        <v>594693666</v>
      </c>
      <c r="H1832" s="95"/>
      <c r="K1832" s="97"/>
    </row>
    <row r="1833" spans="1:11" x14ac:dyDescent="0.2">
      <c r="A1833" s="91">
        <v>2020</v>
      </c>
      <c r="B1833" s="92" t="s">
        <v>66</v>
      </c>
      <c r="C1833" s="92" t="s">
        <v>4</v>
      </c>
      <c r="D1833" s="92" t="s">
        <v>9</v>
      </c>
      <c r="E1833" s="92" t="s">
        <v>67</v>
      </c>
      <c r="F1833" s="92" t="s">
        <v>67</v>
      </c>
      <c r="G1833" s="93">
        <v>27113920159</v>
      </c>
      <c r="H1833" s="92"/>
      <c r="K1833" s="97"/>
    </row>
    <row r="1834" spans="1:11" x14ac:dyDescent="0.2">
      <c r="A1834" s="94">
        <v>2020</v>
      </c>
      <c r="B1834" s="95" t="s">
        <v>66</v>
      </c>
      <c r="C1834" s="95" t="s">
        <v>4</v>
      </c>
      <c r="D1834" s="95" t="s">
        <v>9</v>
      </c>
      <c r="E1834" s="95" t="s">
        <v>69</v>
      </c>
      <c r="F1834" s="95" t="s">
        <v>71</v>
      </c>
      <c r="G1834" s="96">
        <v>10441803972</v>
      </c>
      <c r="H1834" s="95"/>
      <c r="K1834" s="97"/>
    </row>
    <row r="1835" spans="1:11" x14ac:dyDescent="0.2">
      <c r="A1835" s="91">
        <v>2020</v>
      </c>
      <c r="B1835" s="92" t="s">
        <v>66</v>
      </c>
      <c r="C1835" s="92" t="s">
        <v>4</v>
      </c>
      <c r="D1835" s="92" t="s">
        <v>9</v>
      </c>
      <c r="E1835" s="92" t="s">
        <v>69</v>
      </c>
      <c r="F1835" s="92" t="s">
        <v>70</v>
      </c>
      <c r="G1835" s="93">
        <v>12844613367</v>
      </c>
      <c r="H1835" s="92"/>
      <c r="K1835" s="97"/>
    </row>
    <row r="1836" spans="1:11" x14ac:dyDescent="0.2">
      <c r="A1836" s="94">
        <v>2020</v>
      </c>
      <c r="B1836" s="95" t="s">
        <v>66</v>
      </c>
      <c r="C1836" s="95" t="s">
        <v>4</v>
      </c>
      <c r="D1836" s="95" t="s">
        <v>10</v>
      </c>
      <c r="E1836" s="95" t="s">
        <v>67</v>
      </c>
      <c r="F1836" s="95" t="s">
        <v>67</v>
      </c>
      <c r="G1836" s="96">
        <v>274112980</v>
      </c>
      <c r="H1836" s="95"/>
      <c r="K1836" s="97"/>
    </row>
    <row r="1837" spans="1:11" x14ac:dyDescent="0.2">
      <c r="A1837" s="91">
        <v>2020</v>
      </c>
      <c r="B1837" s="92" t="s">
        <v>66</v>
      </c>
      <c r="C1837" s="92" t="s">
        <v>4</v>
      </c>
      <c r="D1837" s="92" t="s">
        <v>10</v>
      </c>
      <c r="E1837" s="92" t="s">
        <v>69</v>
      </c>
      <c r="F1837" s="92" t="s">
        <v>71</v>
      </c>
      <c r="G1837" s="93">
        <v>151646086</v>
      </c>
      <c r="H1837" s="92"/>
      <c r="K1837" s="97"/>
    </row>
    <row r="1838" spans="1:11" x14ac:dyDescent="0.2">
      <c r="A1838" s="94">
        <v>2020</v>
      </c>
      <c r="B1838" s="95" t="s">
        <v>66</v>
      </c>
      <c r="C1838" s="95" t="s">
        <v>4</v>
      </c>
      <c r="D1838" s="95" t="s">
        <v>10</v>
      </c>
      <c r="E1838" s="95" t="s">
        <v>69</v>
      </c>
      <c r="F1838" s="95" t="s">
        <v>70</v>
      </c>
      <c r="G1838" s="96">
        <v>20679012</v>
      </c>
      <c r="H1838" s="95"/>
      <c r="K1838" s="97"/>
    </row>
    <row r="1839" spans="1:11" x14ac:dyDescent="0.2">
      <c r="A1839" s="91">
        <v>2020</v>
      </c>
      <c r="B1839" s="92" t="s">
        <v>66</v>
      </c>
      <c r="C1839" s="92" t="s">
        <v>4</v>
      </c>
      <c r="D1839" s="92" t="s">
        <v>11</v>
      </c>
      <c r="E1839" s="92" t="s">
        <v>67</v>
      </c>
      <c r="F1839" s="92" t="s">
        <v>67</v>
      </c>
      <c r="G1839" s="93">
        <v>1678364938</v>
      </c>
      <c r="H1839" s="92"/>
      <c r="K1839" s="97"/>
    </row>
    <row r="1840" spans="1:11" x14ac:dyDescent="0.2">
      <c r="A1840" s="94">
        <v>2020</v>
      </c>
      <c r="B1840" s="95" t="s">
        <v>66</v>
      </c>
      <c r="C1840" s="95" t="s">
        <v>4</v>
      </c>
      <c r="D1840" s="95" t="s">
        <v>11</v>
      </c>
      <c r="E1840" s="95" t="s">
        <v>69</v>
      </c>
      <c r="F1840" s="95" t="s">
        <v>71</v>
      </c>
      <c r="G1840" s="96">
        <v>549808333</v>
      </c>
      <c r="H1840" s="95"/>
      <c r="K1840" s="97"/>
    </row>
    <row r="1841" spans="1:11" x14ac:dyDescent="0.2">
      <c r="A1841" s="91">
        <v>2020</v>
      </c>
      <c r="B1841" s="92" t="s">
        <v>66</v>
      </c>
      <c r="C1841" s="92" t="s">
        <v>4</v>
      </c>
      <c r="D1841" s="92" t="s">
        <v>11</v>
      </c>
      <c r="E1841" s="92" t="s">
        <v>69</v>
      </c>
      <c r="F1841" s="92" t="s">
        <v>70</v>
      </c>
      <c r="G1841" s="93">
        <v>691158057</v>
      </c>
      <c r="H1841" s="92"/>
      <c r="K1841" s="97"/>
    </row>
    <row r="1842" spans="1:11" x14ac:dyDescent="0.2">
      <c r="A1842" s="94">
        <v>2020</v>
      </c>
      <c r="B1842" s="95" t="s">
        <v>66</v>
      </c>
      <c r="C1842" s="95" t="s">
        <v>4</v>
      </c>
      <c r="D1842" s="95" t="s">
        <v>12</v>
      </c>
      <c r="E1842" s="95" t="s">
        <v>67</v>
      </c>
      <c r="F1842" s="95" t="s">
        <v>67</v>
      </c>
      <c r="G1842" s="96">
        <v>1346702154</v>
      </c>
      <c r="H1842" s="95"/>
      <c r="K1842" s="97"/>
    </row>
    <row r="1843" spans="1:11" x14ac:dyDescent="0.2">
      <c r="A1843" s="91">
        <v>2020</v>
      </c>
      <c r="B1843" s="92" t="s">
        <v>66</v>
      </c>
      <c r="C1843" s="92" t="s">
        <v>4</v>
      </c>
      <c r="D1843" s="92" t="s">
        <v>12</v>
      </c>
      <c r="E1843" s="92" t="s">
        <v>69</v>
      </c>
      <c r="F1843" s="92" t="s">
        <v>71</v>
      </c>
      <c r="G1843" s="93">
        <v>605129094</v>
      </c>
      <c r="H1843" s="92"/>
      <c r="K1843" s="97"/>
    </row>
    <row r="1844" spans="1:11" x14ac:dyDescent="0.2">
      <c r="A1844" s="94">
        <v>2020</v>
      </c>
      <c r="B1844" s="95" t="s">
        <v>66</v>
      </c>
      <c r="C1844" s="95" t="s">
        <v>4</v>
      </c>
      <c r="D1844" s="95" t="s">
        <v>12</v>
      </c>
      <c r="E1844" s="95" t="s">
        <v>69</v>
      </c>
      <c r="F1844" s="95" t="s">
        <v>70</v>
      </c>
      <c r="G1844" s="96">
        <v>883940880</v>
      </c>
      <c r="H1844" s="95"/>
      <c r="K1844" s="97"/>
    </row>
    <row r="1845" spans="1:11" x14ac:dyDescent="0.2">
      <c r="A1845" s="91">
        <v>2020</v>
      </c>
      <c r="B1845" s="92" t="s">
        <v>66</v>
      </c>
      <c r="C1845" s="92" t="s">
        <v>4</v>
      </c>
      <c r="D1845" s="92" t="s">
        <v>13</v>
      </c>
      <c r="E1845" s="92" t="s">
        <v>67</v>
      </c>
      <c r="F1845" s="92" t="s">
        <v>67</v>
      </c>
      <c r="G1845" s="93">
        <v>3089998732</v>
      </c>
      <c r="H1845" s="92"/>
      <c r="K1845" s="97"/>
    </row>
    <row r="1846" spans="1:11" x14ac:dyDescent="0.2">
      <c r="A1846" s="94">
        <v>2020</v>
      </c>
      <c r="B1846" s="95" t="s">
        <v>66</v>
      </c>
      <c r="C1846" s="95" t="s">
        <v>4</v>
      </c>
      <c r="D1846" s="95" t="s">
        <v>13</v>
      </c>
      <c r="E1846" s="95" t="s">
        <v>69</v>
      </c>
      <c r="F1846" s="95" t="s">
        <v>71</v>
      </c>
      <c r="G1846" s="96">
        <v>873047087</v>
      </c>
      <c r="H1846" s="95"/>
      <c r="K1846" s="97"/>
    </row>
    <row r="1847" spans="1:11" x14ac:dyDescent="0.2">
      <c r="A1847" s="91">
        <v>2020</v>
      </c>
      <c r="B1847" s="92" t="s">
        <v>66</v>
      </c>
      <c r="C1847" s="92" t="s">
        <v>4</v>
      </c>
      <c r="D1847" s="92" t="s">
        <v>13</v>
      </c>
      <c r="E1847" s="92" t="s">
        <v>69</v>
      </c>
      <c r="F1847" s="92" t="s">
        <v>70</v>
      </c>
      <c r="G1847" s="93">
        <v>2632816368</v>
      </c>
      <c r="H1847" s="92"/>
      <c r="K1847" s="97"/>
    </row>
    <row r="1848" spans="1:11" x14ac:dyDescent="0.2">
      <c r="A1848" s="94">
        <v>2020</v>
      </c>
      <c r="B1848" s="95" t="s">
        <v>66</v>
      </c>
      <c r="C1848" s="95" t="s">
        <v>4</v>
      </c>
      <c r="D1848" s="95" t="s">
        <v>14</v>
      </c>
      <c r="E1848" s="95" t="s">
        <v>67</v>
      </c>
      <c r="F1848" s="95" t="s">
        <v>67</v>
      </c>
      <c r="G1848" s="96">
        <v>3644935232</v>
      </c>
      <c r="H1848" s="95"/>
      <c r="K1848" s="97"/>
    </row>
    <row r="1849" spans="1:11" x14ac:dyDescent="0.2">
      <c r="A1849" s="91">
        <v>2020</v>
      </c>
      <c r="B1849" s="92" t="s">
        <v>66</v>
      </c>
      <c r="C1849" s="92" t="s">
        <v>4</v>
      </c>
      <c r="D1849" s="92" t="s">
        <v>14</v>
      </c>
      <c r="E1849" s="92" t="s">
        <v>69</v>
      </c>
      <c r="F1849" s="92" t="s">
        <v>71</v>
      </c>
      <c r="G1849" s="93">
        <v>612097221</v>
      </c>
      <c r="H1849" s="92"/>
      <c r="K1849" s="97"/>
    </row>
    <row r="1850" spans="1:11" x14ac:dyDescent="0.2">
      <c r="A1850" s="94">
        <v>2020</v>
      </c>
      <c r="B1850" s="95" t="s">
        <v>66</v>
      </c>
      <c r="C1850" s="95" t="s">
        <v>4</v>
      </c>
      <c r="D1850" s="95" t="s">
        <v>14</v>
      </c>
      <c r="E1850" s="95" t="s">
        <v>69</v>
      </c>
      <c r="F1850" s="95" t="s">
        <v>70</v>
      </c>
      <c r="G1850" s="96">
        <v>1505303356</v>
      </c>
      <c r="H1850" s="95"/>
      <c r="K1850" s="97"/>
    </row>
    <row r="1851" spans="1:11" x14ac:dyDescent="0.2">
      <c r="A1851" s="91">
        <v>2020</v>
      </c>
      <c r="B1851" s="92" t="s">
        <v>66</v>
      </c>
      <c r="C1851" s="92" t="s">
        <v>4</v>
      </c>
      <c r="D1851" s="92" t="s">
        <v>15</v>
      </c>
      <c r="E1851" s="92" t="s">
        <v>67</v>
      </c>
      <c r="F1851" s="92" t="s">
        <v>67</v>
      </c>
      <c r="G1851" s="93">
        <v>2875625670</v>
      </c>
      <c r="H1851" s="92"/>
      <c r="K1851" s="97"/>
    </row>
    <row r="1852" spans="1:11" x14ac:dyDescent="0.2">
      <c r="A1852" s="94">
        <v>2020</v>
      </c>
      <c r="B1852" s="95" t="s">
        <v>66</v>
      </c>
      <c r="C1852" s="95" t="s">
        <v>4</v>
      </c>
      <c r="D1852" s="95" t="s">
        <v>15</v>
      </c>
      <c r="E1852" s="95" t="s">
        <v>69</v>
      </c>
      <c r="F1852" s="95" t="s">
        <v>71</v>
      </c>
      <c r="G1852" s="96">
        <v>1300086163</v>
      </c>
      <c r="H1852" s="95"/>
      <c r="K1852" s="97"/>
    </row>
    <row r="1853" spans="1:11" x14ac:dyDescent="0.2">
      <c r="A1853" s="91">
        <v>2020</v>
      </c>
      <c r="B1853" s="92" t="s">
        <v>66</v>
      </c>
      <c r="C1853" s="92" t="s">
        <v>4</v>
      </c>
      <c r="D1853" s="92" t="s">
        <v>15</v>
      </c>
      <c r="E1853" s="92" t="s">
        <v>69</v>
      </c>
      <c r="F1853" s="92" t="s">
        <v>70</v>
      </c>
      <c r="G1853" s="93">
        <v>596957997</v>
      </c>
      <c r="H1853" s="92"/>
      <c r="K1853" s="97"/>
    </row>
    <row r="1854" spans="1:11" x14ac:dyDescent="0.2">
      <c r="A1854" s="94">
        <v>2020</v>
      </c>
      <c r="B1854" s="95" t="s">
        <v>66</v>
      </c>
      <c r="C1854" s="95" t="s">
        <v>17</v>
      </c>
      <c r="D1854" s="95" t="s">
        <v>16</v>
      </c>
      <c r="E1854" s="95" t="s">
        <v>67</v>
      </c>
      <c r="F1854" s="95" t="s">
        <v>67</v>
      </c>
      <c r="G1854" s="96">
        <v>293350546</v>
      </c>
      <c r="H1854" s="95"/>
      <c r="K1854" s="97"/>
    </row>
    <row r="1855" spans="1:11" x14ac:dyDescent="0.2">
      <c r="A1855" s="91">
        <v>2020</v>
      </c>
      <c r="B1855" s="92" t="s">
        <v>66</v>
      </c>
      <c r="C1855" s="92" t="s">
        <v>17</v>
      </c>
      <c r="D1855" s="92" t="s">
        <v>16</v>
      </c>
      <c r="E1855" s="92" t="s">
        <v>69</v>
      </c>
      <c r="F1855" s="92" t="s">
        <v>71</v>
      </c>
      <c r="G1855" s="93">
        <v>122200885</v>
      </c>
      <c r="H1855" s="92"/>
      <c r="K1855" s="97"/>
    </row>
    <row r="1856" spans="1:11" x14ac:dyDescent="0.2">
      <c r="A1856" s="94">
        <v>2020</v>
      </c>
      <c r="B1856" s="95" t="s">
        <v>66</v>
      </c>
      <c r="C1856" s="95" t="s">
        <v>17</v>
      </c>
      <c r="D1856" s="95" t="s">
        <v>16</v>
      </c>
      <c r="E1856" s="95" t="s">
        <v>69</v>
      </c>
      <c r="F1856" s="95" t="s">
        <v>70</v>
      </c>
      <c r="G1856" s="96">
        <v>52756917</v>
      </c>
      <c r="H1856" s="95"/>
      <c r="K1856" s="97"/>
    </row>
    <row r="1857" spans="1:11" x14ac:dyDescent="0.2">
      <c r="A1857" s="91">
        <v>2020</v>
      </c>
      <c r="B1857" s="92" t="s">
        <v>66</v>
      </c>
      <c r="C1857" s="92" t="s">
        <v>17</v>
      </c>
      <c r="D1857" s="92" t="s">
        <v>18</v>
      </c>
      <c r="E1857" s="92" t="s">
        <v>67</v>
      </c>
      <c r="F1857" s="92" t="s">
        <v>67</v>
      </c>
      <c r="G1857" s="93">
        <v>828193750</v>
      </c>
      <c r="H1857" s="92"/>
      <c r="K1857" s="97"/>
    </row>
    <row r="1858" spans="1:11" x14ac:dyDescent="0.2">
      <c r="A1858" s="94">
        <v>2020</v>
      </c>
      <c r="B1858" s="95" t="s">
        <v>66</v>
      </c>
      <c r="C1858" s="95" t="s">
        <v>17</v>
      </c>
      <c r="D1858" s="95" t="s">
        <v>18</v>
      </c>
      <c r="E1858" s="95" t="s">
        <v>69</v>
      </c>
      <c r="F1858" s="95" t="s">
        <v>71</v>
      </c>
      <c r="G1858" s="96">
        <v>401981275</v>
      </c>
      <c r="H1858" s="95"/>
      <c r="K1858" s="97"/>
    </row>
    <row r="1859" spans="1:11" x14ac:dyDescent="0.2">
      <c r="A1859" s="91">
        <v>2020</v>
      </c>
      <c r="B1859" s="92" t="s">
        <v>66</v>
      </c>
      <c r="C1859" s="92" t="s">
        <v>17</v>
      </c>
      <c r="D1859" s="92" t="s">
        <v>18</v>
      </c>
      <c r="E1859" s="92" t="s">
        <v>69</v>
      </c>
      <c r="F1859" s="92" t="s">
        <v>70</v>
      </c>
      <c r="G1859" s="93">
        <v>435278612</v>
      </c>
      <c r="H1859" s="92"/>
      <c r="K1859" s="97"/>
    </row>
    <row r="1860" spans="1:11" x14ac:dyDescent="0.2">
      <c r="A1860" s="94">
        <v>2020</v>
      </c>
      <c r="B1860" s="95" t="s">
        <v>66</v>
      </c>
      <c r="C1860" s="95" t="s">
        <v>17</v>
      </c>
      <c r="D1860" s="95" t="s">
        <v>19</v>
      </c>
      <c r="E1860" s="95" t="s">
        <v>67</v>
      </c>
      <c r="F1860" s="95" t="s">
        <v>67</v>
      </c>
      <c r="G1860" s="96">
        <v>1238763466</v>
      </c>
      <c r="H1860" s="95"/>
      <c r="K1860" s="97"/>
    </row>
    <row r="1861" spans="1:11" x14ac:dyDescent="0.2">
      <c r="A1861" s="91">
        <v>2020</v>
      </c>
      <c r="B1861" s="92" t="s">
        <v>66</v>
      </c>
      <c r="C1861" s="92" t="s">
        <v>17</v>
      </c>
      <c r="D1861" s="92" t="s">
        <v>19</v>
      </c>
      <c r="E1861" s="92" t="s">
        <v>69</v>
      </c>
      <c r="F1861" s="92" t="s">
        <v>71</v>
      </c>
      <c r="G1861" s="93">
        <v>496976294</v>
      </c>
      <c r="H1861" s="92"/>
      <c r="K1861" s="97"/>
    </row>
    <row r="1862" spans="1:11" x14ac:dyDescent="0.2">
      <c r="A1862" s="94">
        <v>2020</v>
      </c>
      <c r="B1862" s="95" t="s">
        <v>66</v>
      </c>
      <c r="C1862" s="95" t="s">
        <v>17</v>
      </c>
      <c r="D1862" s="95" t="s">
        <v>19</v>
      </c>
      <c r="E1862" s="95" t="s">
        <v>69</v>
      </c>
      <c r="F1862" s="95" t="s">
        <v>70</v>
      </c>
      <c r="G1862" s="96">
        <v>301826281</v>
      </c>
      <c r="H1862" s="95"/>
      <c r="K1862" s="97"/>
    </row>
    <row r="1863" spans="1:11" x14ac:dyDescent="0.2">
      <c r="A1863" s="91">
        <v>2020</v>
      </c>
      <c r="B1863" s="92" t="s">
        <v>66</v>
      </c>
      <c r="C1863" s="92" t="s">
        <v>17</v>
      </c>
      <c r="D1863" s="92" t="s">
        <v>20</v>
      </c>
      <c r="E1863" s="92" t="s">
        <v>67</v>
      </c>
      <c r="F1863" s="92" t="s">
        <v>67</v>
      </c>
      <c r="G1863" s="93">
        <v>351839630</v>
      </c>
      <c r="H1863" s="92"/>
      <c r="K1863" s="97"/>
    </row>
    <row r="1864" spans="1:11" x14ac:dyDescent="0.2">
      <c r="A1864" s="94">
        <v>2020</v>
      </c>
      <c r="B1864" s="95" t="s">
        <v>66</v>
      </c>
      <c r="C1864" s="95" t="s">
        <v>17</v>
      </c>
      <c r="D1864" s="95" t="s">
        <v>20</v>
      </c>
      <c r="E1864" s="95" t="s">
        <v>69</v>
      </c>
      <c r="F1864" s="95" t="s">
        <v>71</v>
      </c>
      <c r="G1864" s="96">
        <v>230900967</v>
      </c>
      <c r="H1864" s="95"/>
      <c r="K1864" s="97"/>
    </row>
    <row r="1865" spans="1:11" x14ac:dyDescent="0.2">
      <c r="A1865" s="91">
        <v>2020</v>
      </c>
      <c r="B1865" s="92" t="s">
        <v>66</v>
      </c>
      <c r="C1865" s="92" t="s">
        <v>17</v>
      </c>
      <c r="D1865" s="92" t="s">
        <v>20</v>
      </c>
      <c r="E1865" s="92" t="s">
        <v>69</v>
      </c>
      <c r="F1865" s="92" t="s">
        <v>70</v>
      </c>
      <c r="G1865" s="93">
        <v>1246703177</v>
      </c>
      <c r="H1865" s="92"/>
      <c r="K1865" s="97"/>
    </row>
    <row r="1866" spans="1:11" x14ac:dyDescent="0.2">
      <c r="A1866" s="94">
        <v>2020</v>
      </c>
      <c r="B1866" s="95" t="s">
        <v>66</v>
      </c>
      <c r="C1866" s="95" t="s">
        <v>17</v>
      </c>
      <c r="D1866" s="95" t="s">
        <v>21</v>
      </c>
      <c r="E1866" s="95" t="s">
        <v>67</v>
      </c>
      <c r="F1866" s="95" t="s">
        <v>67</v>
      </c>
      <c r="G1866" s="96">
        <v>1434385879</v>
      </c>
      <c r="H1866" s="95"/>
      <c r="K1866" s="97"/>
    </row>
    <row r="1867" spans="1:11" x14ac:dyDescent="0.2">
      <c r="A1867" s="91">
        <v>2020</v>
      </c>
      <c r="B1867" s="92" t="s">
        <v>66</v>
      </c>
      <c r="C1867" s="92" t="s">
        <v>17</v>
      </c>
      <c r="D1867" s="92" t="s">
        <v>21</v>
      </c>
      <c r="E1867" s="92" t="s">
        <v>69</v>
      </c>
      <c r="F1867" s="92" t="s">
        <v>71</v>
      </c>
      <c r="G1867" s="93">
        <v>481738230</v>
      </c>
      <c r="H1867" s="92"/>
      <c r="K1867" s="97"/>
    </row>
    <row r="1868" spans="1:11" x14ac:dyDescent="0.2">
      <c r="A1868" s="94">
        <v>2020</v>
      </c>
      <c r="B1868" s="95" t="s">
        <v>66</v>
      </c>
      <c r="C1868" s="95" t="s">
        <v>17</v>
      </c>
      <c r="D1868" s="95" t="s">
        <v>21</v>
      </c>
      <c r="E1868" s="95" t="s">
        <v>69</v>
      </c>
      <c r="F1868" s="95" t="s">
        <v>70</v>
      </c>
      <c r="G1868" s="96">
        <v>498532316</v>
      </c>
      <c r="H1868" s="95"/>
      <c r="K1868" s="97"/>
    </row>
    <row r="1869" spans="1:11" x14ac:dyDescent="0.2">
      <c r="A1869" s="91">
        <v>2020</v>
      </c>
      <c r="B1869" s="92" t="s">
        <v>66</v>
      </c>
      <c r="C1869" s="92" t="s">
        <v>17</v>
      </c>
      <c r="D1869" s="92" t="s">
        <v>22</v>
      </c>
      <c r="E1869" s="92" t="s">
        <v>67</v>
      </c>
      <c r="F1869" s="92" t="s">
        <v>67</v>
      </c>
      <c r="G1869" s="93">
        <v>444357388</v>
      </c>
      <c r="H1869" s="92"/>
      <c r="K1869" s="97"/>
    </row>
    <row r="1870" spans="1:11" x14ac:dyDescent="0.2">
      <c r="A1870" s="94">
        <v>2020</v>
      </c>
      <c r="B1870" s="95" t="s">
        <v>66</v>
      </c>
      <c r="C1870" s="95" t="s">
        <v>17</v>
      </c>
      <c r="D1870" s="95" t="s">
        <v>22</v>
      </c>
      <c r="E1870" s="95" t="s">
        <v>69</v>
      </c>
      <c r="F1870" s="95" t="s">
        <v>71</v>
      </c>
      <c r="G1870" s="96">
        <v>249856241</v>
      </c>
      <c r="H1870" s="95"/>
      <c r="K1870" s="97"/>
    </row>
    <row r="1871" spans="1:11" x14ac:dyDescent="0.2">
      <c r="A1871" s="91">
        <v>2020</v>
      </c>
      <c r="B1871" s="92" t="s">
        <v>66</v>
      </c>
      <c r="C1871" s="92" t="s">
        <v>17</v>
      </c>
      <c r="D1871" s="92" t="s">
        <v>22</v>
      </c>
      <c r="E1871" s="92" t="s">
        <v>69</v>
      </c>
      <c r="F1871" s="92" t="s">
        <v>70</v>
      </c>
      <c r="G1871" s="93">
        <v>220097053</v>
      </c>
      <c r="H1871" s="92"/>
      <c r="K1871" s="97"/>
    </row>
    <row r="1872" spans="1:11" x14ac:dyDescent="0.2">
      <c r="A1872" s="94">
        <v>2020</v>
      </c>
      <c r="B1872" s="95" t="s">
        <v>66</v>
      </c>
      <c r="C1872" s="95" t="s">
        <v>17</v>
      </c>
      <c r="D1872" s="95" t="s">
        <v>23</v>
      </c>
      <c r="E1872" s="95" t="s">
        <v>67</v>
      </c>
      <c r="F1872" s="95" t="s">
        <v>67</v>
      </c>
      <c r="G1872" s="96">
        <v>437900969</v>
      </c>
      <c r="H1872" s="95"/>
      <c r="K1872" s="97"/>
    </row>
    <row r="1873" spans="1:11" x14ac:dyDescent="0.2">
      <c r="A1873" s="91">
        <v>2020</v>
      </c>
      <c r="B1873" s="92" t="s">
        <v>66</v>
      </c>
      <c r="C1873" s="92" t="s">
        <v>17</v>
      </c>
      <c r="D1873" s="92" t="s">
        <v>23</v>
      </c>
      <c r="E1873" s="92" t="s">
        <v>69</v>
      </c>
      <c r="F1873" s="92" t="s">
        <v>71</v>
      </c>
      <c r="G1873" s="93">
        <v>185408209</v>
      </c>
      <c r="H1873" s="92"/>
      <c r="K1873" s="97"/>
    </row>
    <row r="1874" spans="1:11" x14ac:dyDescent="0.2">
      <c r="A1874" s="94">
        <v>2020</v>
      </c>
      <c r="B1874" s="95" t="s">
        <v>66</v>
      </c>
      <c r="C1874" s="95" t="s">
        <v>17</v>
      </c>
      <c r="D1874" s="95" t="s">
        <v>23</v>
      </c>
      <c r="E1874" s="95" t="s">
        <v>69</v>
      </c>
      <c r="F1874" s="95" t="s">
        <v>70</v>
      </c>
      <c r="G1874" s="96">
        <v>109137434</v>
      </c>
      <c r="H1874" s="95"/>
      <c r="K1874" s="97"/>
    </row>
    <row r="1875" spans="1:11" x14ac:dyDescent="0.2">
      <c r="A1875" s="91">
        <v>2020</v>
      </c>
      <c r="B1875" s="92" t="s">
        <v>66</v>
      </c>
      <c r="C1875" s="92" t="s">
        <v>17</v>
      </c>
      <c r="D1875" s="92" t="s">
        <v>24</v>
      </c>
      <c r="E1875" s="92" t="s">
        <v>67</v>
      </c>
      <c r="F1875" s="92" t="s">
        <v>67</v>
      </c>
      <c r="G1875" s="93">
        <v>9173998627</v>
      </c>
      <c r="H1875" s="92"/>
      <c r="K1875" s="97"/>
    </row>
    <row r="1876" spans="1:11" x14ac:dyDescent="0.2">
      <c r="A1876" s="94">
        <v>2020</v>
      </c>
      <c r="B1876" s="95" t="s">
        <v>66</v>
      </c>
      <c r="C1876" s="95" t="s">
        <v>17</v>
      </c>
      <c r="D1876" s="95" t="s">
        <v>24</v>
      </c>
      <c r="E1876" s="95" t="s">
        <v>69</v>
      </c>
      <c r="F1876" s="95" t="s">
        <v>71</v>
      </c>
      <c r="G1876" s="96">
        <v>3913154941</v>
      </c>
      <c r="H1876" s="95"/>
      <c r="K1876" s="97"/>
    </row>
    <row r="1877" spans="1:11" x14ac:dyDescent="0.2">
      <c r="A1877" s="91">
        <v>2020</v>
      </c>
      <c r="B1877" s="92" t="s">
        <v>66</v>
      </c>
      <c r="C1877" s="92" t="s">
        <v>17</v>
      </c>
      <c r="D1877" s="92" t="s">
        <v>24</v>
      </c>
      <c r="E1877" s="92" t="s">
        <v>69</v>
      </c>
      <c r="F1877" s="92" t="s">
        <v>70</v>
      </c>
      <c r="G1877" s="93">
        <v>4131333189</v>
      </c>
      <c r="H1877" s="92"/>
      <c r="K1877" s="97"/>
    </row>
    <row r="1878" spans="1:11" x14ac:dyDescent="0.2">
      <c r="A1878" s="94">
        <v>2020</v>
      </c>
      <c r="B1878" s="95" t="s">
        <v>66</v>
      </c>
      <c r="C1878" s="95" t="s">
        <v>17</v>
      </c>
      <c r="D1878" s="95" t="s">
        <v>25</v>
      </c>
      <c r="E1878" s="95" t="s">
        <v>67</v>
      </c>
      <c r="F1878" s="95" t="s">
        <v>67</v>
      </c>
      <c r="G1878" s="96">
        <v>802707917</v>
      </c>
      <c r="H1878" s="95"/>
      <c r="K1878" s="97"/>
    </row>
    <row r="1879" spans="1:11" x14ac:dyDescent="0.2">
      <c r="A1879" s="91">
        <v>2020</v>
      </c>
      <c r="B1879" s="92" t="s">
        <v>66</v>
      </c>
      <c r="C1879" s="92" t="s">
        <v>17</v>
      </c>
      <c r="D1879" s="92" t="s">
        <v>25</v>
      </c>
      <c r="E1879" s="92" t="s">
        <v>69</v>
      </c>
      <c r="F1879" s="92" t="s">
        <v>71</v>
      </c>
      <c r="G1879" s="93">
        <v>260669162</v>
      </c>
      <c r="H1879" s="92"/>
      <c r="K1879" s="97"/>
    </row>
    <row r="1880" spans="1:11" x14ac:dyDescent="0.2">
      <c r="A1880" s="94">
        <v>2020</v>
      </c>
      <c r="B1880" s="95" t="s">
        <v>66</v>
      </c>
      <c r="C1880" s="95" t="s">
        <v>17</v>
      </c>
      <c r="D1880" s="95" t="s">
        <v>25</v>
      </c>
      <c r="E1880" s="95" t="s">
        <v>69</v>
      </c>
      <c r="F1880" s="95" t="s">
        <v>70</v>
      </c>
      <c r="G1880" s="96">
        <v>227954034</v>
      </c>
      <c r="H1880" s="95"/>
      <c r="K1880" s="97"/>
    </row>
    <row r="1881" spans="1:11" x14ac:dyDescent="0.2">
      <c r="A1881" s="91">
        <v>2020</v>
      </c>
      <c r="B1881" s="92" t="s">
        <v>66</v>
      </c>
      <c r="C1881" s="92" t="s">
        <v>27</v>
      </c>
      <c r="D1881" s="92" t="s">
        <v>26</v>
      </c>
      <c r="E1881" s="92" t="s">
        <v>67</v>
      </c>
      <c r="F1881" s="92" t="s">
        <v>67</v>
      </c>
      <c r="G1881" s="93">
        <v>12764954057</v>
      </c>
      <c r="H1881" s="92"/>
      <c r="K1881" s="97"/>
    </row>
    <row r="1882" spans="1:11" x14ac:dyDescent="0.2">
      <c r="A1882" s="94">
        <v>2020</v>
      </c>
      <c r="B1882" s="95" t="s">
        <v>66</v>
      </c>
      <c r="C1882" s="95" t="s">
        <v>27</v>
      </c>
      <c r="D1882" s="95" t="s">
        <v>26</v>
      </c>
      <c r="E1882" s="95" t="s">
        <v>69</v>
      </c>
      <c r="F1882" s="95" t="s">
        <v>71</v>
      </c>
      <c r="G1882" s="96">
        <v>2866719347</v>
      </c>
      <c r="H1882" s="95"/>
      <c r="K1882" s="97"/>
    </row>
    <row r="1883" spans="1:11" x14ac:dyDescent="0.2">
      <c r="A1883" s="91">
        <v>2020</v>
      </c>
      <c r="B1883" s="92" t="s">
        <v>66</v>
      </c>
      <c r="C1883" s="92" t="s">
        <v>27</v>
      </c>
      <c r="D1883" s="92" t="s">
        <v>26</v>
      </c>
      <c r="E1883" s="92" t="s">
        <v>69</v>
      </c>
      <c r="F1883" s="92" t="s">
        <v>70</v>
      </c>
      <c r="G1883" s="93">
        <v>8443382175</v>
      </c>
      <c r="H1883" s="92"/>
      <c r="K1883" s="97"/>
    </row>
    <row r="1884" spans="1:11" x14ac:dyDescent="0.2">
      <c r="A1884" s="94">
        <v>2020</v>
      </c>
      <c r="B1884" s="95" t="s">
        <v>66</v>
      </c>
      <c r="C1884" s="95" t="s">
        <v>27</v>
      </c>
      <c r="D1884" s="95" t="s">
        <v>28</v>
      </c>
      <c r="E1884" s="95" t="s">
        <v>67</v>
      </c>
      <c r="F1884" s="95" t="s">
        <v>67</v>
      </c>
      <c r="G1884" s="96">
        <v>14293254169</v>
      </c>
      <c r="H1884" s="95"/>
      <c r="K1884" s="97"/>
    </row>
    <row r="1885" spans="1:11" x14ac:dyDescent="0.2">
      <c r="A1885" s="91">
        <v>2020</v>
      </c>
      <c r="B1885" s="92" t="s">
        <v>66</v>
      </c>
      <c r="C1885" s="92" t="s">
        <v>27</v>
      </c>
      <c r="D1885" s="92" t="s">
        <v>28</v>
      </c>
      <c r="E1885" s="92" t="s">
        <v>69</v>
      </c>
      <c r="F1885" s="92" t="s">
        <v>71</v>
      </c>
      <c r="G1885" s="93">
        <v>6269937470</v>
      </c>
      <c r="H1885" s="92"/>
      <c r="K1885" s="97"/>
    </row>
    <row r="1886" spans="1:11" x14ac:dyDescent="0.2">
      <c r="A1886" s="94">
        <v>2020</v>
      </c>
      <c r="B1886" s="95" t="s">
        <v>66</v>
      </c>
      <c r="C1886" s="95" t="s">
        <v>27</v>
      </c>
      <c r="D1886" s="95" t="s">
        <v>28</v>
      </c>
      <c r="E1886" s="95" t="s">
        <v>69</v>
      </c>
      <c r="F1886" s="95" t="s">
        <v>70</v>
      </c>
      <c r="G1886" s="96">
        <v>9968570251</v>
      </c>
      <c r="H1886" s="95"/>
      <c r="K1886" s="97"/>
    </row>
    <row r="1887" spans="1:11" x14ac:dyDescent="0.2">
      <c r="A1887" s="91">
        <v>2020</v>
      </c>
      <c r="B1887" s="92" t="s">
        <v>66</v>
      </c>
      <c r="C1887" s="92" t="s">
        <v>27</v>
      </c>
      <c r="D1887" s="92" t="s">
        <v>29</v>
      </c>
      <c r="E1887" s="92" t="s">
        <v>67</v>
      </c>
      <c r="F1887" s="92" t="s">
        <v>67</v>
      </c>
      <c r="G1887" s="93">
        <v>4175886607</v>
      </c>
      <c r="H1887" s="92"/>
      <c r="K1887" s="97"/>
    </row>
    <row r="1888" spans="1:11" x14ac:dyDescent="0.2">
      <c r="A1888" s="94">
        <v>2020</v>
      </c>
      <c r="B1888" s="95" t="s">
        <v>66</v>
      </c>
      <c r="C1888" s="95" t="s">
        <v>27</v>
      </c>
      <c r="D1888" s="95" t="s">
        <v>29</v>
      </c>
      <c r="E1888" s="95" t="s">
        <v>69</v>
      </c>
      <c r="F1888" s="95" t="s">
        <v>71</v>
      </c>
      <c r="G1888" s="96">
        <v>1516254741</v>
      </c>
      <c r="H1888" s="95"/>
      <c r="K1888" s="97"/>
    </row>
    <row r="1889" spans="1:11" x14ac:dyDescent="0.2">
      <c r="A1889" s="91">
        <v>2020</v>
      </c>
      <c r="B1889" s="92" t="s">
        <v>66</v>
      </c>
      <c r="C1889" s="92" t="s">
        <v>27</v>
      </c>
      <c r="D1889" s="92" t="s">
        <v>29</v>
      </c>
      <c r="E1889" s="92" t="s">
        <v>69</v>
      </c>
      <c r="F1889" s="92" t="s">
        <v>70</v>
      </c>
      <c r="G1889" s="93">
        <v>2412523124</v>
      </c>
      <c r="H1889" s="92"/>
      <c r="K1889" s="97"/>
    </row>
    <row r="1890" spans="1:11" x14ac:dyDescent="0.2">
      <c r="A1890" s="94">
        <v>2020</v>
      </c>
      <c r="B1890" s="95" t="s">
        <v>66</v>
      </c>
      <c r="C1890" s="95" t="s">
        <v>27</v>
      </c>
      <c r="D1890" s="95" t="s">
        <v>30</v>
      </c>
      <c r="E1890" s="95" t="s">
        <v>67</v>
      </c>
      <c r="F1890" s="95" t="s">
        <v>67</v>
      </c>
      <c r="G1890" s="96">
        <v>14440085423</v>
      </c>
      <c r="H1890" s="95"/>
      <c r="K1890" s="97"/>
    </row>
    <row r="1891" spans="1:11" x14ac:dyDescent="0.2">
      <c r="A1891" s="91">
        <v>2020</v>
      </c>
      <c r="B1891" s="92" t="s">
        <v>66</v>
      </c>
      <c r="C1891" s="92" t="s">
        <v>27</v>
      </c>
      <c r="D1891" s="92" t="s">
        <v>30</v>
      </c>
      <c r="E1891" s="92" t="s">
        <v>69</v>
      </c>
      <c r="F1891" s="92" t="s">
        <v>71</v>
      </c>
      <c r="G1891" s="93">
        <v>5412495267</v>
      </c>
      <c r="H1891" s="92"/>
      <c r="K1891" s="97"/>
    </row>
    <row r="1892" spans="1:11" x14ac:dyDescent="0.2">
      <c r="A1892" s="94">
        <v>2020</v>
      </c>
      <c r="B1892" s="95" t="s">
        <v>66</v>
      </c>
      <c r="C1892" s="95" t="s">
        <v>27</v>
      </c>
      <c r="D1892" s="95" t="s">
        <v>30</v>
      </c>
      <c r="E1892" s="95" t="s">
        <v>69</v>
      </c>
      <c r="F1892" s="95" t="s">
        <v>70</v>
      </c>
      <c r="G1892" s="96">
        <v>9519065666</v>
      </c>
      <c r="H1892" s="95"/>
      <c r="K1892" s="97"/>
    </row>
    <row r="1893" spans="1:11" x14ac:dyDescent="0.2">
      <c r="A1893" s="91">
        <v>2020</v>
      </c>
      <c r="B1893" s="92" t="s">
        <v>66</v>
      </c>
      <c r="C1893" s="92" t="s">
        <v>27</v>
      </c>
      <c r="D1893" s="92" t="s">
        <v>31</v>
      </c>
      <c r="E1893" s="92" t="s">
        <v>67</v>
      </c>
      <c r="F1893" s="92" t="s">
        <v>67</v>
      </c>
      <c r="G1893" s="93">
        <v>2606043074</v>
      </c>
      <c r="H1893" s="92"/>
      <c r="K1893" s="97"/>
    </row>
    <row r="1894" spans="1:11" x14ac:dyDescent="0.2">
      <c r="A1894" s="94">
        <v>2020</v>
      </c>
      <c r="B1894" s="95" t="s">
        <v>66</v>
      </c>
      <c r="C1894" s="95" t="s">
        <v>27</v>
      </c>
      <c r="D1894" s="95" t="s">
        <v>31</v>
      </c>
      <c r="E1894" s="95" t="s">
        <v>69</v>
      </c>
      <c r="F1894" s="95" t="s">
        <v>71</v>
      </c>
      <c r="G1894" s="96">
        <v>1870461368</v>
      </c>
      <c r="H1894" s="95"/>
      <c r="K1894" s="97"/>
    </row>
    <row r="1895" spans="1:11" x14ac:dyDescent="0.2">
      <c r="A1895" s="91">
        <v>2020</v>
      </c>
      <c r="B1895" s="92" t="s">
        <v>66</v>
      </c>
      <c r="C1895" s="92" t="s">
        <v>27</v>
      </c>
      <c r="D1895" s="92" t="s">
        <v>31</v>
      </c>
      <c r="E1895" s="92" t="s">
        <v>69</v>
      </c>
      <c r="F1895" s="92" t="s">
        <v>70</v>
      </c>
      <c r="G1895" s="93">
        <v>4715318098</v>
      </c>
      <c r="H1895" s="92"/>
      <c r="K1895" s="97"/>
    </row>
    <row r="1896" spans="1:11" x14ac:dyDescent="0.2">
      <c r="A1896" s="94">
        <v>2020</v>
      </c>
      <c r="B1896" s="95" t="s">
        <v>66</v>
      </c>
      <c r="C1896" s="95" t="s">
        <v>27</v>
      </c>
      <c r="D1896" s="95" t="s">
        <v>32</v>
      </c>
      <c r="E1896" s="95" t="s">
        <v>67</v>
      </c>
      <c r="F1896" s="95" t="s">
        <v>67</v>
      </c>
      <c r="G1896" s="96">
        <v>4569697632</v>
      </c>
      <c r="H1896" s="95"/>
      <c r="K1896" s="97"/>
    </row>
    <row r="1897" spans="1:11" x14ac:dyDescent="0.2">
      <c r="A1897" s="91">
        <v>2020</v>
      </c>
      <c r="B1897" s="92" t="s">
        <v>66</v>
      </c>
      <c r="C1897" s="92" t="s">
        <v>27</v>
      </c>
      <c r="D1897" s="92" t="s">
        <v>32</v>
      </c>
      <c r="E1897" s="92" t="s">
        <v>69</v>
      </c>
      <c r="F1897" s="92" t="s">
        <v>71</v>
      </c>
      <c r="G1897" s="93">
        <v>1998145396</v>
      </c>
      <c r="H1897" s="92"/>
      <c r="K1897" s="97"/>
    </row>
    <row r="1898" spans="1:11" x14ac:dyDescent="0.2">
      <c r="A1898" s="94">
        <v>2020</v>
      </c>
      <c r="B1898" s="95" t="s">
        <v>66</v>
      </c>
      <c r="C1898" s="95" t="s">
        <v>27</v>
      </c>
      <c r="D1898" s="95" t="s">
        <v>32</v>
      </c>
      <c r="E1898" s="95" t="s">
        <v>69</v>
      </c>
      <c r="F1898" s="95" t="s">
        <v>70</v>
      </c>
      <c r="G1898" s="96">
        <v>2720525237</v>
      </c>
      <c r="H1898" s="95"/>
      <c r="K1898" s="97"/>
    </row>
    <row r="1899" spans="1:11" x14ac:dyDescent="0.2">
      <c r="A1899" s="91">
        <v>2020</v>
      </c>
      <c r="B1899" s="92" t="s">
        <v>66</v>
      </c>
      <c r="C1899" s="92" t="s">
        <v>27</v>
      </c>
      <c r="D1899" s="92" t="s">
        <v>33</v>
      </c>
      <c r="E1899" s="92" t="s">
        <v>67</v>
      </c>
      <c r="F1899" s="92" t="s">
        <v>67</v>
      </c>
      <c r="G1899" s="93">
        <v>4836007759</v>
      </c>
      <c r="H1899" s="92"/>
      <c r="K1899" s="97"/>
    </row>
    <row r="1900" spans="1:11" x14ac:dyDescent="0.2">
      <c r="A1900" s="94">
        <v>2020</v>
      </c>
      <c r="B1900" s="95" t="s">
        <v>66</v>
      </c>
      <c r="C1900" s="95" t="s">
        <v>27</v>
      </c>
      <c r="D1900" s="95" t="s">
        <v>33</v>
      </c>
      <c r="E1900" s="95" t="s">
        <v>69</v>
      </c>
      <c r="F1900" s="95" t="s">
        <v>71</v>
      </c>
      <c r="G1900" s="96">
        <v>3384883757</v>
      </c>
      <c r="H1900" s="95"/>
      <c r="K1900" s="97"/>
    </row>
    <row r="1901" spans="1:11" x14ac:dyDescent="0.2">
      <c r="A1901" s="91">
        <v>2020</v>
      </c>
      <c r="B1901" s="92" t="s">
        <v>66</v>
      </c>
      <c r="C1901" s="92" t="s">
        <v>27</v>
      </c>
      <c r="D1901" s="92" t="s">
        <v>33</v>
      </c>
      <c r="E1901" s="92" t="s">
        <v>69</v>
      </c>
      <c r="F1901" s="92" t="s">
        <v>70</v>
      </c>
      <c r="G1901" s="93">
        <v>10330874825</v>
      </c>
      <c r="H1901" s="92"/>
      <c r="K1901" s="97"/>
    </row>
    <row r="1902" spans="1:11" x14ac:dyDescent="0.2">
      <c r="A1902" s="94">
        <v>2020</v>
      </c>
      <c r="B1902" s="95" t="s">
        <v>66</v>
      </c>
      <c r="C1902" s="95" t="s">
        <v>35</v>
      </c>
      <c r="D1902" s="95" t="s">
        <v>34</v>
      </c>
      <c r="E1902" s="95" t="s">
        <v>67</v>
      </c>
      <c r="F1902" s="95" t="s">
        <v>67</v>
      </c>
      <c r="G1902" s="96">
        <v>1053777217</v>
      </c>
      <c r="H1902" s="95"/>
      <c r="K1902" s="97"/>
    </row>
    <row r="1903" spans="1:11" x14ac:dyDescent="0.2">
      <c r="A1903" s="91">
        <v>2020</v>
      </c>
      <c r="B1903" s="92" t="s">
        <v>66</v>
      </c>
      <c r="C1903" s="92" t="s">
        <v>35</v>
      </c>
      <c r="D1903" s="92" t="s">
        <v>34</v>
      </c>
      <c r="E1903" s="92" t="s">
        <v>69</v>
      </c>
      <c r="F1903" s="92" t="s">
        <v>71</v>
      </c>
      <c r="G1903" s="93">
        <v>277446938</v>
      </c>
      <c r="H1903" s="92"/>
      <c r="K1903" s="97"/>
    </row>
    <row r="1904" spans="1:11" x14ac:dyDescent="0.2">
      <c r="A1904" s="94">
        <v>2020</v>
      </c>
      <c r="B1904" s="95" t="s">
        <v>66</v>
      </c>
      <c r="C1904" s="95" t="s">
        <v>35</v>
      </c>
      <c r="D1904" s="95" t="s">
        <v>34</v>
      </c>
      <c r="E1904" s="95" t="s">
        <v>69</v>
      </c>
      <c r="F1904" s="95" t="s">
        <v>70</v>
      </c>
      <c r="G1904" s="96">
        <v>258017281</v>
      </c>
      <c r="H1904" s="95"/>
      <c r="K1904" s="97"/>
    </row>
    <row r="1905" spans="1:11" x14ac:dyDescent="0.2">
      <c r="A1905" s="91">
        <v>2020</v>
      </c>
      <c r="B1905" s="92" t="s">
        <v>66</v>
      </c>
      <c r="C1905" s="92" t="s">
        <v>35</v>
      </c>
      <c r="D1905" s="92" t="s">
        <v>36</v>
      </c>
      <c r="E1905" s="92" t="s">
        <v>67</v>
      </c>
      <c r="F1905" s="92" t="s">
        <v>67</v>
      </c>
      <c r="G1905" s="93">
        <v>3889647429</v>
      </c>
      <c r="H1905" s="92"/>
      <c r="K1905" s="97"/>
    </row>
    <row r="1906" spans="1:11" x14ac:dyDescent="0.2">
      <c r="A1906" s="94">
        <v>2020</v>
      </c>
      <c r="B1906" s="95" t="s">
        <v>66</v>
      </c>
      <c r="C1906" s="95" t="s">
        <v>35</v>
      </c>
      <c r="D1906" s="95" t="s">
        <v>36</v>
      </c>
      <c r="E1906" s="95" t="s">
        <v>69</v>
      </c>
      <c r="F1906" s="95" t="s">
        <v>71</v>
      </c>
      <c r="G1906" s="96">
        <v>1987911351</v>
      </c>
      <c r="H1906" s="95"/>
      <c r="K1906" s="97"/>
    </row>
    <row r="1907" spans="1:11" x14ac:dyDescent="0.2">
      <c r="A1907" s="91">
        <v>2020</v>
      </c>
      <c r="B1907" s="92" t="s">
        <v>66</v>
      </c>
      <c r="C1907" s="92" t="s">
        <v>35</v>
      </c>
      <c r="D1907" s="92" t="s">
        <v>36</v>
      </c>
      <c r="E1907" s="92" t="s">
        <v>69</v>
      </c>
      <c r="F1907" s="92" t="s">
        <v>70</v>
      </c>
      <c r="G1907" s="93">
        <v>1430683431</v>
      </c>
      <c r="H1907" s="92"/>
      <c r="K1907" s="97"/>
    </row>
    <row r="1908" spans="1:11" x14ac:dyDescent="0.2">
      <c r="A1908" s="94">
        <v>2020</v>
      </c>
      <c r="B1908" s="95" t="s">
        <v>66</v>
      </c>
      <c r="C1908" s="95" t="s">
        <v>35</v>
      </c>
      <c r="D1908" s="95" t="s">
        <v>37</v>
      </c>
      <c r="E1908" s="95" t="s">
        <v>67</v>
      </c>
      <c r="F1908" s="95" t="s">
        <v>67</v>
      </c>
      <c r="G1908" s="96">
        <v>1339510120</v>
      </c>
      <c r="H1908" s="95"/>
      <c r="K1908" s="97"/>
    </row>
    <row r="1909" spans="1:11" x14ac:dyDescent="0.2">
      <c r="A1909" s="91">
        <v>2020</v>
      </c>
      <c r="B1909" s="92" t="s">
        <v>66</v>
      </c>
      <c r="C1909" s="92" t="s">
        <v>35</v>
      </c>
      <c r="D1909" s="92" t="s">
        <v>37</v>
      </c>
      <c r="E1909" s="92" t="s">
        <v>69</v>
      </c>
      <c r="F1909" s="92" t="s">
        <v>71</v>
      </c>
      <c r="G1909" s="93">
        <v>467783402</v>
      </c>
      <c r="H1909" s="92"/>
      <c r="K1909" s="97"/>
    </row>
    <row r="1910" spans="1:11" x14ac:dyDescent="0.2">
      <c r="A1910" s="94">
        <v>2020</v>
      </c>
      <c r="B1910" s="95" t="s">
        <v>66</v>
      </c>
      <c r="C1910" s="95" t="s">
        <v>35</v>
      </c>
      <c r="D1910" s="95" t="s">
        <v>37</v>
      </c>
      <c r="E1910" s="95" t="s">
        <v>69</v>
      </c>
      <c r="F1910" s="95" t="s">
        <v>70</v>
      </c>
      <c r="G1910" s="96">
        <v>503388251</v>
      </c>
      <c r="H1910" s="95"/>
      <c r="K1910" s="97"/>
    </row>
    <row r="1911" spans="1:11" x14ac:dyDescent="0.2">
      <c r="A1911" s="91">
        <v>2020</v>
      </c>
      <c r="B1911" s="92" t="s">
        <v>66</v>
      </c>
      <c r="C1911" s="92" t="s">
        <v>35</v>
      </c>
      <c r="D1911" s="92" t="s">
        <v>38</v>
      </c>
      <c r="E1911" s="92" t="s">
        <v>67</v>
      </c>
      <c r="F1911" s="92" t="s">
        <v>67</v>
      </c>
      <c r="G1911" s="93">
        <v>1324312828</v>
      </c>
      <c r="H1911" s="92"/>
      <c r="K1911" s="97"/>
    </row>
    <row r="1912" spans="1:11" x14ac:dyDescent="0.2">
      <c r="A1912" s="94">
        <v>2020</v>
      </c>
      <c r="B1912" s="95" t="s">
        <v>66</v>
      </c>
      <c r="C1912" s="95" t="s">
        <v>35</v>
      </c>
      <c r="D1912" s="95" t="s">
        <v>38</v>
      </c>
      <c r="E1912" s="95" t="s">
        <v>69</v>
      </c>
      <c r="F1912" s="95" t="s">
        <v>71</v>
      </c>
      <c r="G1912" s="96">
        <v>468985286</v>
      </c>
      <c r="H1912" s="95"/>
      <c r="K1912" s="97"/>
    </row>
    <row r="1913" spans="1:11" x14ac:dyDescent="0.2">
      <c r="A1913" s="91">
        <v>2020</v>
      </c>
      <c r="B1913" s="92" t="s">
        <v>66</v>
      </c>
      <c r="C1913" s="92" t="s">
        <v>35</v>
      </c>
      <c r="D1913" s="92" t="s">
        <v>38</v>
      </c>
      <c r="E1913" s="92" t="s">
        <v>69</v>
      </c>
      <c r="F1913" s="92" t="s">
        <v>70</v>
      </c>
      <c r="G1913" s="93">
        <v>471505355</v>
      </c>
      <c r="H1913" s="92"/>
      <c r="K1913" s="97"/>
    </row>
    <row r="1914" spans="1:11" x14ac:dyDescent="0.2">
      <c r="A1914" s="94">
        <v>2020</v>
      </c>
      <c r="B1914" s="95" t="s">
        <v>66</v>
      </c>
      <c r="C1914" s="95" t="s">
        <v>35</v>
      </c>
      <c r="D1914" s="95" t="s">
        <v>39</v>
      </c>
      <c r="E1914" s="95" t="s">
        <v>67</v>
      </c>
      <c r="F1914" s="95" t="s">
        <v>67</v>
      </c>
      <c r="G1914" s="96">
        <v>6529425075</v>
      </c>
      <c r="H1914" s="95"/>
      <c r="K1914" s="97"/>
    </row>
    <row r="1915" spans="1:11" x14ac:dyDescent="0.2">
      <c r="A1915" s="91">
        <v>2020</v>
      </c>
      <c r="B1915" s="92" t="s">
        <v>66</v>
      </c>
      <c r="C1915" s="92" t="s">
        <v>35</v>
      </c>
      <c r="D1915" s="92" t="s">
        <v>39</v>
      </c>
      <c r="E1915" s="92" t="s">
        <v>69</v>
      </c>
      <c r="F1915" s="92" t="s">
        <v>71</v>
      </c>
      <c r="G1915" s="93">
        <v>2618162523</v>
      </c>
      <c r="H1915" s="92"/>
      <c r="K1915" s="97"/>
    </row>
    <row r="1916" spans="1:11" x14ac:dyDescent="0.2">
      <c r="A1916" s="94">
        <v>2020</v>
      </c>
      <c r="B1916" s="95" t="s">
        <v>66</v>
      </c>
      <c r="C1916" s="95" t="s">
        <v>35</v>
      </c>
      <c r="D1916" s="95" t="s">
        <v>39</v>
      </c>
      <c r="E1916" s="95" t="s">
        <v>69</v>
      </c>
      <c r="F1916" s="95" t="s">
        <v>70</v>
      </c>
      <c r="G1916" s="96">
        <v>2213563068</v>
      </c>
      <c r="H1916" s="95"/>
      <c r="K1916" s="97"/>
    </row>
    <row r="1917" spans="1:11" x14ac:dyDescent="0.2">
      <c r="A1917" s="91">
        <v>2020</v>
      </c>
      <c r="B1917" s="92" t="s">
        <v>66</v>
      </c>
      <c r="C1917" s="92" t="s">
        <v>41</v>
      </c>
      <c r="D1917" s="92" t="s">
        <v>40</v>
      </c>
      <c r="E1917" s="92" t="s">
        <v>67</v>
      </c>
      <c r="F1917" s="92" t="s">
        <v>67</v>
      </c>
      <c r="G1917" s="93">
        <v>1567240222</v>
      </c>
      <c r="H1917" s="92"/>
      <c r="K1917" s="97"/>
    </row>
    <row r="1918" spans="1:11" x14ac:dyDescent="0.2">
      <c r="A1918" s="94">
        <v>2020</v>
      </c>
      <c r="B1918" s="95" t="s">
        <v>66</v>
      </c>
      <c r="C1918" s="95" t="s">
        <v>41</v>
      </c>
      <c r="D1918" s="95" t="s">
        <v>40</v>
      </c>
      <c r="E1918" s="95" t="s">
        <v>69</v>
      </c>
      <c r="F1918" s="95" t="s">
        <v>71</v>
      </c>
      <c r="G1918" s="96">
        <v>279010236</v>
      </c>
      <c r="H1918" s="95"/>
      <c r="K1918" s="97"/>
    </row>
    <row r="1919" spans="1:11" x14ac:dyDescent="0.2">
      <c r="A1919" s="91">
        <v>2020</v>
      </c>
      <c r="B1919" s="92" t="s">
        <v>66</v>
      </c>
      <c r="C1919" s="92" t="s">
        <v>41</v>
      </c>
      <c r="D1919" s="92" t="s">
        <v>40</v>
      </c>
      <c r="E1919" s="92" t="s">
        <v>69</v>
      </c>
      <c r="F1919" s="92" t="s">
        <v>70</v>
      </c>
      <c r="G1919" s="93">
        <v>485909187</v>
      </c>
      <c r="H1919" s="92"/>
      <c r="K1919" s="97"/>
    </row>
    <row r="1920" spans="1:11" x14ac:dyDescent="0.2">
      <c r="A1920" s="94">
        <v>2020</v>
      </c>
      <c r="B1920" s="95" t="s">
        <v>66</v>
      </c>
      <c r="C1920" s="95" t="s">
        <v>41</v>
      </c>
      <c r="D1920" s="95" t="s">
        <v>42</v>
      </c>
      <c r="E1920" s="95" t="s">
        <v>67</v>
      </c>
      <c r="F1920" s="95" t="s">
        <v>67</v>
      </c>
      <c r="G1920" s="96">
        <v>1751894655</v>
      </c>
      <c r="H1920" s="95"/>
      <c r="K1920" s="97"/>
    </row>
    <row r="1921" spans="1:11" x14ac:dyDescent="0.2">
      <c r="A1921" s="91">
        <v>2020</v>
      </c>
      <c r="B1921" s="92" t="s">
        <v>66</v>
      </c>
      <c r="C1921" s="92" t="s">
        <v>41</v>
      </c>
      <c r="D1921" s="92" t="s">
        <v>42</v>
      </c>
      <c r="E1921" s="92" t="s">
        <v>69</v>
      </c>
      <c r="F1921" s="92" t="s">
        <v>71</v>
      </c>
      <c r="G1921" s="93">
        <v>294004305</v>
      </c>
      <c r="H1921" s="92"/>
      <c r="K1921" s="97"/>
    </row>
    <row r="1922" spans="1:11" x14ac:dyDescent="0.2">
      <c r="A1922" s="94">
        <v>2020</v>
      </c>
      <c r="B1922" s="95" t="s">
        <v>66</v>
      </c>
      <c r="C1922" s="95" t="s">
        <v>41</v>
      </c>
      <c r="D1922" s="95" t="s">
        <v>42</v>
      </c>
      <c r="E1922" s="95" t="s">
        <v>69</v>
      </c>
      <c r="F1922" s="95" t="s">
        <v>70</v>
      </c>
      <c r="G1922" s="96">
        <v>736525695</v>
      </c>
      <c r="H1922" s="95"/>
      <c r="K1922" s="97"/>
    </row>
    <row r="1923" spans="1:11" x14ac:dyDescent="0.2">
      <c r="A1923" s="91">
        <v>2020</v>
      </c>
      <c r="B1923" s="92" t="s">
        <v>66</v>
      </c>
      <c r="C1923" s="92" t="s">
        <v>41</v>
      </c>
      <c r="D1923" s="92" t="s">
        <v>43</v>
      </c>
      <c r="E1923" s="92" t="s">
        <v>67</v>
      </c>
      <c r="F1923" s="92" t="s">
        <v>67</v>
      </c>
      <c r="G1923" s="93">
        <v>2424035308</v>
      </c>
      <c r="H1923" s="92"/>
      <c r="K1923" s="97"/>
    </row>
    <row r="1924" spans="1:11" x14ac:dyDescent="0.2">
      <c r="A1924" s="94">
        <v>2020</v>
      </c>
      <c r="B1924" s="95" t="s">
        <v>66</v>
      </c>
      <c r="C1924" s="95" t="s">
        <v>41</v>
      </c>
      <c r="D1924" s="95" t="s">
        <v>43</v>
      </c>
      <c r="E1924" s="95" t="s">
        <v>69</v>
      </c>
      <c r="F1924" s="95" t="s">
        <v>71</v>
      </c>
      <c r="G1924" s="96">
        <v>632584985</v>
      </c>
      <c r="H1924" s="95"/>
      <c r="K1924" s="97"/>
    </row>
    <row r="1925" spans="1:11" x14ac:dyDescent="0.2">
      <c r="A1925" s="91">
        <v>2020</v>
      </c>
      <c r="B1925" s="92" t="s">
        <v>66</v>
      </c>
      <c r="C1925" s="92" t="s">
        <v>41</v>
      </c>
      <c r="D1925" s="92" t="s">
        <v>43</v>
      </c>
      <c r="E1925" s="92" t="s">
        <v>69</v>
      </c>
      <c r="F1925" s="92" t="s">
        <v>70</v>
      </c>
      <c r="G1925" s="93">
        <v>649622619</v>
      </c>
      <c r="H1925" s="92"/>
      <c r="K1925" s="97"/>
    </row>
    <row r="1926" spans="1:11" x14ac:dyDescent="0.2">
      <c r="A1926" s="94">
        <v>2020</v>
      </c>
      <c r="B1926" s="95" t="s">
        <v>66</v>
      </c>
      <c r="C1926" s="95" t="s">
        <v>41</v>
      </c>
      <c r="D1926" s="95" t="s">
        <v>44</v>
      </c>
      <c r="E1926" s="95" t="s">
        <v>67</v>
      </c>
      <c r="F1926" s="95" t="s">
        <v>67</v>
      </c>
      <c r="G1926" s="96">
        <v>3326376126</v>
      </c>
      <c r="H1926" s="95"/>
      <c r="K1926" s="97"/>
    </row>
    <row r="1927" spans="1:11" x14ac:dyDescent="0.2">
      <c r="A1927" s="91">
        <v>2020</v>
      </c>
      <c r="B1927" s="92" t="s">
        <v>66</v>
      </c>
      <c r="C1927" s="92" t="s">
        <v>41</v>
      </c>
      <c r="D1927" s="92" t="s">
        <v>44</v>
      </c>
      <c r="E1927" s="92" t="s">
        <v>69</v>
      </c>
      <c r="F1927" s="92" t="s">
        <v>71</v>
      </c>
      <c r="G1927" s="93">
        <v>1068629496</v>
      </c>
      <c r="H1927" s="92"/>
      <c r="K1927" s="97"/>
    </row>
    <row r="1928" spans="1:11" x14ac:dyDescent="0.2">
      <c r="A1928" s="94">
        <v>2020</v>
      </c>
      <c r="B1928" s="95" t="s">
        <v>66</v>
      </c>
      <c r="C1928" s="95" t="s">
        <v>41</v>
      </c>
      <c r="D1928" s="95" t="s">
        <v>44</v>
      </c>
      <c r="E1928" s="95" t="s">
        <v>69</v>
      </c>
      <c r="F1928" s="95" t="s">
        <v>70</v>
      </c>
      <c r="G1928" s="96">
        <v>1094490106</v>
      </c>
      <c r="H1928" s="95"/>
      <c r="K1928" s="97"/>
    </row>
    <row r="1929" spans="1:11" x14ac:dyDescent="0.2">
      <c r="A1929" s="91">
        <v>2020</v>
      </c>
      <c r="B1929" s="92" t="s">
        <v>66</v>
      </c>
      <c r="C1929" s="92" t="s">
        <v>41</v>
      </c>
      <c r="D1929" s="92" t="s">
        <v>45</v>
      </c>
      <c r="E1929" s="92" t="s">
        <v>67</v>
      </c>
      <c r="F1929" s="92" t="s">
        <v>67</v>
      </c>
      <c r="G1929" s="93">
        <v>5675723168</v>
      </c>
      <c r="H1929" s="92"/>
      <c r="K1929" s="97"/>
    </row>
    <row r="1930" spans="1:11" x14ac:dyDescent="0.2">
      <c r="A1930" s="94">
        <v>2020</v>
      </c>
      <c r="B1930" s="95" t="s">
        <v>66</v>
      </c>
      <c r="C1930" s="95" t="s">
        <v>41</v>
      </c>
      <c r="D1930" s="95" t="s">
        <v>45</v>
      </c>
      <c r="E1930" s="95" t="s">
        <v>69</v>
      </c>
      <c r="F1930" s="95" t="s">
        <v>71</v>
      </c>
      <c r="G1930" s="96">
        <v>1881261588</v>
      </c>
      <c r="H1930" s="95"/>
      <c r="K1930" s="97"/>
    </row>
    <row r="1931" spans="1:11" x14ac:dyDescent="0.2">
      <c r="A1931" s="91">
        <v>2020</v>
      </c>
      <c r="B1931" s="92" t="s">
        <v>66</v>
      </c>
      <c r="C1931" s="92" t="s">
        <v>41</v>
      </c>
      <c r="D1931" s="92" t="s">
        <v>45</v>
      </c>
      <c r="E1931" s="92" t="s">
        <v>69</v>
      </c>
      <c r="F1931" s="92" t="s">
        <v>70</v>
      </c>
      <c r="G1931" s="93">
        <v>2670271671</v>
      </c>
      <c r="H1931" s="92"/>
      <c r="K1931" s="97"/>
    </row>
    <row r="1932" spans="1:11" x14ac:dyDescent="0.2">
      <c r="A1932" s="94">
        <v>2020</v>
      </c>
      <c r="B1932" s="95" t="s">
        <v>66</v>
      </c>
      <c r="C1932" s="95" t="s">
        <v>47</v>
      </c>
      <c r="D1932" s="95" t="s">
        <v>46</v>
      </c>
      <c r="E1932" s="95" t="s">
        <v>72</v>
      </c>
      <c r="F1932" s="95" t="s">
        <v>73</v>
      </c>
      <c r="G1932" s="96">
        <v>4955054216</v>
      </c>
      <c r="H1932" s="95"/>
      <c r="K1932" s="97"/>
    </row>
    <row r="1933" spans="1:11" x14ac:dyDescent="0.2">
      <c r="A1933" s="91">
        <v>2020</v>
      </c>
      <c r="B1933" s="92" t="s">
        <v>66</v>
      </c>
      <c r="C1933" s="92" t="s">
        <v>47</v>
      </c>
      <c r="D1933" s="92" t="s">
        <v>46</v>
      </c>
      <c r="E1933" s="92" t="s">
        <v>67</v>
      </c>
      <c r="F1933" s="92" t="s">
        <v>74</v>
      </c>
      <c r="G1933" s="93">
        <v>2292809339</v>
      </c>
      <c r="H1933" s="92"/>
      <c r="K1933" s="97"/>
    </row>
    <row r="1934" spans="1:11" x14ac:dyDescent="0.2">
      <c r="A1934" s="94">
        <v>2020</v>
      </c>
      <c r="B1934" s="95" t="s">
        <v>66</v>
      </c>
      <c r="C1934" s="95" t="s">
        <v>47</v>
      </c>
      <c r="D1934" s="95" t="s">
        <v>46</v>
      </c>
      <c r="E1934" s="95" t="s">
        <v>69</v>
      </c>
      <c r="F1934" s="95" t="s">
        <v>71</v>
      </c>
      <c r="G1934" s="96">
        <v>3633998647</v>
      </c>
      <c r="H1934" s="95"/>
      <c r="K1934" s="97"/>
    </row>
    <row r="1935" spans="1:11" x14ac:dyDescent="0.2">
      <c r="A1935" s="91">
        <v>2020</v>
      </c>
      <c r="B1935" s="92" t="s">
        <v>66</v>
      </c>
      <c r="C1935" s="92" t="s">
        <v>47</v>
      </c>
      <c r="D1935" s="92" t="s">
        <v>46</v>
      </c>
      <c r="E1935" s="92" t="s">
        <v>69</v>
      </c>
      <c r="F1935" s="92" t="s">
        <v>70</v>
      </c>
      <c r="G1935" s="93">
        <v>4083763845</v>
      </c>
      <c r="H1935" s="92"/>
      <c r="K1935" s="97"/>
    </row>
    <row r="1936" spans="1:11" x14ac:dyDescent="0.2">
      <c r="A1936" s="94">
        <v>2020</v>
      </c>
      <c r="B1936" s="95" t="s">
        <v>66</v>
      </c>
      <c r="C1936" s="95" t="s">
        <v>47</v>
      </c>
      <c r="D1936" s="95" t="s">
        <v>48</v>
      </c>
      <c r="E1936" s="95" t="s">
        <v>72</v>
      </c>
      <c r="F1936" s="95" t="s">
        <v>73</v>
      </c>
      <c r="G1936" s="96">
        <v>44143412023</v>
      </c>
      <c r="H1936" s="95"/>
      <c r="K1936" s="97"/>
    </row>
    <row r="1937" spans="1:11" x14ac:dyDescent="0.2">
      <c r="A1937" s="91">
        <v>2020</v>
      </c>
      <c r="B1937" s="92" t="s">
        <v>66</v>
      </c>
      <c r="C1937" s="92" t="s">
        <v>47</v>
      </c>
      <c r="D1937" s="92" t="s">
        <v>48</v>
      </c>
      <c r="E1937" s="92" t="s">
        <v>67</v>
      </c>
      <c r="F1937" s="92" t="s">
        <v>74</v>
      </c>
      <c r="G1937" s="93">
        <v>24664446105</v>
      </c>
      <c r="H1937" s="92"/>
      <c r="K1937" s="97"/>
    </row>
    <row r="1938" spans="1:11" x14ac:dyDescent="0.2">
      <c r="A1938" s="94">
        <v>2020</v>
      </c>
      <c r="B1938" s="95" t="s">
        <v>66</v>
      </c>
      <c r="C1938" s="95" t="s">
        <v>47</v>
      </c>
      <c r="D1938" s="95" t="s">
        <v>48</v>
      </c>
      <c r="E1938" s="95" t="s">
        <v>69</v>
      </c>
      <c r="F1938" s="95" t="s">
        <v>71</v>
      </c>
      <c r="G1938" s="96">
        <v>31882971871</v>
      </c>
      <c r="H1938" s="95"/>
      <c r="K1938" s="97"/>
    </row>
    <row r="1939" spans="1:11" x14ac:dyDescent="0.2">
      <c r="A1939" s="91">
        <v>2020</v>
      </c>
      <c r="B1939" s="92" t="s">
        <v>66</v>
      </c>
      <c r="C1939" s="92" t="s">
        <v>47</v>
      </c>
      <c r="D1939" s="92" t="s">
        <v>48</v>
      </c>
      <c r="E1939" s="92" t="s">
        <v>69</v>
      </c>
      <c r="F1939" s="92" t="s">
        <v>70</v>
      </c>
      <c r="G1939" s="93">
        <v>62525117593</v>
      </c>
      <c r="H1939" s="92"/>
      <c r="K1939" s="97"/>
    </row>
    <row r="1940" spans="1:11" x14ac:dyDescent="0.2">
      <c r="A1940" s="94">
        <v>2021</v>
      </c>
      <c r="B1940" s="95" t="s">
        <v>66</v>
      </c>
      <c r="C1940" s="95" t="s">
        <v>4</v>
      </c>
      <c r="D1940" s="95" t="s">
        <v>3</v>
      </c>
      <c r="E1940" s="95" t="s">
        <v>67</v>
      </c>
      <c r="F1940" s="95" t="s">
        <v>67</v>
      </c>
      <c r="G1940" s="96">
        <v>7249457809</v>
      </c>
      <c r="H1940" s="95"/>
      <c r="K1940" s="97"/>
    </row>
    <row r="1941" spans="1:11" x14ac:dyDescent="0.2">
      <c r="A1941" s="91">
        <v>2021</v>
      </c>
      <c r="B1941" s="92" t="s">
        <v>66</v>
      </c>
      <c r="C1941" s="92" t="s">
        <v>4</v>
      </c>
      <c r="D1941" s="92" t="s">
        <v>3</v>
      </c>
      <c r="E1941" s="92" t="s">
        <v>69</v>
      </c>
      <c r="F1941" s="92" t="s">
        <v>71</v>
      </c>
      <c r="G1941" s="93">
        <v>3130485679</v>
      </c>
      <c r="H1941" s="92"/>
      <c r="K1941" s="97"/>
    </row>
    <row r="1942" spans="1:11" x14ac:dyDescent="0.2">
      <c r="A1942" s="94">
        <v>2021</v>
      </c>
      <c r="B1942" s="95" t="s">
        <v>66</v>
      </c>
      <c r="C1942" s="95" t="s">
        <v>4</v>
      </c>
      <c r="D1942" s="95" t="s">
        <v>3</v>
      </c>
      <c r="E1942" s="95" t="s">
        <v>69</v>
      </c>
      <c r="F1942" s="95" t="s">
        <v>70</v>
      </c>
      <c r="G1942" s="96">
        <v>5543727580</v>
      </c>
      <c r="H1942" s="95"/>
      <c r="K1942" s="97"/>
    </row>
    <row r="1943" spans="1:11" x14ac:dyDescent="0.2">
      <c r="A1943" s="91">
        <v>2021</v>
      </c>
      <c r="B1943" s="92" t="s">
        <v>66</v>
      </c>
      <c r="C1943" s="92" t="s">
        <v>4</v>
      </c>
      <c r="D1943" s="92" t="s">
        <v>5</v>
      </c>
      <c r="E1943" s="92" t="s">
        <v>67</v>
      </c>
      <c r="F1943" s="92" t="s">
        <v>67</v>
      </c>
      <c r="G1943" s="93">
        <v>40209564241</v>
      </c>
      <c r="H1943" s="92"/>
      <c r="K1943" s="97"/>
    </row>
    <row r="1944" spans="1:11" x14ac:dyDescent="0.2">
      <c r="A1944" s="94">
        <v>2021</v>
      </c>
      <c r="B1944" s="95" t="s">
        <v>66</v>
      </c>
      <c r="C1944" s="95" t="s">
        <v>4</v>
      </c>
      <c r="D1944" s="95" t="s">
        <v>5</v>
      </c>
      <c r="E1944" s="95" t="s">
        <v>69</v>
      </c>
      <c r="F1944" s="95" t="s">
        <v>71</v>
      </c>
      <c r="G1944" s="96">
        <v>37224296462</v>
      </c>
      <c r="H1944" s="95"/>
      <c r="K1944" s="97"/>
    </row>
    <row r="1945" spans="1:11" x14ac:dyDescent="0.2">
      <c r="A1945" s="91">
        <v>2021</v>
      </c>
      <c r="B1945" s="92" t="s">
        <v>66</v>
      </c>
      <c r="C1945" s="92" t="s">
        <v>4</v>
      </c>
      <c r="D1945" s="92" t="s">
        <v>5</v>
      </c>
      <c r="E1945" s="92" t="s">
        <v>69</v>
      </c>
      <c r="F1945" s="92" t="s">
        <v>70</v>
      </c>
      <c r="G1945" s="93">
        <v>36570851715</v>
      </c>
      <c r="H1945" s="92"/>
      <c r="K1945" s="97"/>
    </row>
    <row r="1946" spans="1:11" x14ac:dyDescent="0.2">
      <c r="A1946" s="94">
        <v>2021</v>
      </c>
      <c r="B1946" s="95" t="s">
        <v>66</v>
      </c>
      <c r="C1946" s="95" t="s">
        <v>4</v>
      </c>
      <c r="D1946" s="95" t="s">
        <v>6</v>
      </c>
      <c r="E1946" s="95" t="s">
        <v>67</v>
      </c>
      <c r="F1946" s="95" t="s">
        <v>67</v>
      </c>
      <c r="G1946" s="96">
        <v>1712972447</v>
      </c>
      <c r="H1946" s="95"/>
      <c r="K1946" s="97"/>
    </row>
    <row r="1947" spans="1:11" x14ac:dyDescent="0.2">
      <c r="A1947" s="91">
        <v>2021</v>
      </c>
      <c r="B1947" s="92" t="s">
        <v>66</v>
      </c>
      <c r="C1947" s="92" t="s">
        <v>4</v>
      </c>
      <c r="D1947" s="92" t="s">
        <v>6</v>
      </c>
      <c r="E1947" s="92" t="s">
        <v>69</v>
      </c>
      <c r="F1947" s="92" t="s">
        <v>71</v>
      </c>
      <c r="G1947" s="93">
        <v>380523877</v>
      </c>
      <c r="H1947" s="92"/>
      <c r="K1947" s="97"/>
    </row>
    <row r="1948" spans="1:11" x14ac:dyDescent="0.2">
      <c r="A1948" s="94">
        <v>2021</v>
      </c>
      <c r="B1948" s="95" t="s">
        <v>66</v>
      </c>
      <c r="C1948" s="95" t="s">
        <v>4</v>
      </c>
      <c r="D1948" s="95" t="s">
        <v>6</v>
      </c>
      <c r="E1948" s="95" t="s">
        <v>69</v>
      </c>
      <c r="F1948" s="95" t="s">
        <v>70</v>
      </c>
      <c r="G1948" s="96">
        <v>220287224</v>
      </c>
      <c r="H1948" s="95"/>
      <c r="K1948" s="97"/>
    </row>
    <row r="1949" spans="1:11" x14ac:dyDescent="0.2">
      <c r="A1949" s="91">
        <v>2021</v>
      </c>
      <c r="B1949" s="92" t="s">
        <v>66</v>
      </c>
      <c r="C1949" s="92" t="s">
        <v>4</v>
      </c>
      <c r="D1949" s="92" t="s">
        <v>7</v>
      </c>
      <c r="E1949" s="92" t="s">
        <v>67</v>
      </c>
      <c r="F1949" s="92" t="s">
        <v>67</v>
      </c>
      <c r="G1949" s="93">
        <v>9065567488</v>
      </c>
      <c r="H1949" s="92"/>
      <c r="K1949" s="97"/>
    </row>
    <row r="1950" spans="1:11" x14ac:dyDescent="0.2">
      <c r="A1950" s="94">
        <v>2021</v>
      </c>
      <c r="B1950" s="95" t="s">
        <v>66</v>
      </c>
      <c r="C1950" s="95" t="s">
        <v>4</v>
      </c>
      <c r="D1950" s="95" t="s">
        <v>7</v>
      </c>
      <c r="E1950" s="95" t="s">
        <v>69</v>
      </c>
      <c r="F1950" s="95" t="s">
        <v>71</v>
      </c>
      <c r="G1950" s="96">
        <v>5463647151</v>
      </c>
      <c r="H1950" s="95"/>
      <c r="K1950" s="97"/>
    </row>
    <row r="1951" spans="1:11" x14ac:dyDescent="0.2">
      <c r="A1951" s="91">
        <v>2021</v>
      </c>
      <c r="B1951" s="92" t="s">
        <v>66</v>
      </c>
      <c r="C1951" s="92" t="s">
        <v>4</v>
      </c>
      <c r="D1951" s="92" t="s">
        <v>7</v>
      </c>
      <c r="E1951" s="92" t="s">
        <v>69</v>
      </c>
      <c r="F1951" s="92" t="s">
        <v>70</v>
      </c>
      <c r="G1951" s="93">
        <v>5129276625</v>
      </c>
      <c r="H1951" s="92"/>
      <c r="K1951" s="97"/>
    </row>
    <row r="1952" spans="1:11" x14ac:dyDescent="0.2">
      <c r="A1952" s="94">
        <v>2021</v>
      </c>
      <c r="B1952" s="95" t="s">
        <v>66</v>
      </c>
      <c r="C1952" s="95" t="s">
        <v>4</v>
      </c>
      <c r="D1952" s="95" t="s">
        <v>8</v>
      </c>
      <c r="E1952" s="95" t="s">
        <v>67</v>
      </c>
      <c r="F1952" s="95" t="s">
        <v>67</v>
      </c>
      <c r="G1952" s="96">
        <v>2345969688</v>
      </c>
      <c r="H1952" s="95"/>
      <c r="K1952" s="97"/>
    </row>
    <row r="1953" spans="1:11" x14ac:dyDescent="0.2">
      <c r="A1953" s="91">
        <v>2021</v>
      </c>
      <c r="B1953" s="92" t="s">
        <v>66</v>
      </c>
      <c r="C1953" s="92" t="s">
        <v>4</v>
      </c>
      <c r="D1953" s="92" t="s">
        <v>8</v>
      </c>
      <c r="E1953" s="92" t="s">
        <v>69</v>
      </c>
      <c r="F1953" s="92" t="s">
        <v>71</v>
      </c>
      <c r="G1953" s="93">
        <v>1381879196</v>
      </c>
      <c r="H1953" s="92"/>
      <c r="K1953" s="97"/>
    </row>
    <row r="1954" spans="1:11" x14ac:dyDescent="0.2">
      <c r="A1954" s="94">
        <v>2021</v>
      </c>
      <c r="B1954" s="95" t="s">
        <v>66</v>
      </c>
      <c r="C1954" s="95" t="s">
        <v>4</v>
      </c>
      <c r="D1954" s="95" t="s">
        <v>8</v>
      </c>
      <c r="E1954" s="95" t="s">
        <v>69</v>
      </c>
      <c r="F1954" s="95" t="s">
        <v>70</v>
      </c>
      <c r="G1954" s="96">
        <v>538901083</v>
      </c>
      <c r="H1954" s="95"/>
      <c r="K1954" s="97"/>
    </row>
    <row r="1955" spans="1:11" x14ac:dyDescent="0.2">
      <c r="A1955" s="91">
        <v>2021</v>
      </c>
      <c r="B1955" s="92" t="s">
        <v>66</v>
      </c>
      <c r="C1955" s="92" t="s">
        <v>4</v>
      </c>
      <c r="D1955" s="92" t="s">
        <v>9</v>
      </c>
      <c r="E1955" s="92" t="s">
        <v>67</v>
      </c>
      <c r="F1955" s="92" t="s">
        <v>67</v>
      </c>
      <c r="G1955" s="93">
        <v>20636219924</v>
      </c>
      <c r="H1955" s="92"/>
      <c r="K1955" s="97"/>
    </row>
    <row r="1956" spans="1:11" x14ac:dyDescent="0.2">
      <c r="A1956" s="94">
        <v>2021</v>
      </c>
      <c r="B1956" s="95" t="s">
        <v>66</v>
      </c>
      <c r="C1956" s="95" t="s">
        <v>4</v>
      </c>
      <c r="D1956" s="95" t="s">
        <v>9</v>
      </c>
      <c r="E1956" s="95" t="s">
        <v>69</v>
      </c>
      <c r="F1956" s="95" t="s">
        <v>71</v>
      </c>
      <c r="G1956" s="96">
        <v>8547014422</v>
      </c>
      <c r="H1956" s="95"/>
      <c r="K1956" s="97"/>
    </row>
    <row r="1957" spans="1:11" x14ac:dyDescent="0.2">
      <c r="A1957" s="91">
        <v>2021</v>
      </c>
      <c r="B1957" s="92" t="s">
        <v>66</v>
      </c>
      <c r="C1957" s="92" t="s">
        <v>4</v>
      </c>
      <c r="D1957" s="92" t="s">
        <v>9</v>
      </c>
      <c r="E1957" s="92" t="s">
        <v>69</v>
      </c>
      <c r="F1957" s="92" t="s">
        <v>70</v>
      </c>
      <c r="G1957" s="93">
        <v>11798173167</v>
      </c>
      <c r="H1957" s="92"/>
      <c r="K1957" s="97"/>
    </row>
    <row r="1958" spans="1:11" x14ac:dyDescent="0.2">
      <c r="A1958" s="94">
        <v>2021</v>
      </c>
      <c r="B1958" s="95" t="s">
        <v>66</v>
      </c>
      <c r="C1958" s="95" t="s">
        <v>4</v>
      </c>
      <c r="D1958" s="95" t="s">
        <v>10</v>
      </c>
      <c r="E1958" s="95" t="s">
        <v>67</v>
      </c>
      <c r="F1958" s="95" t="s">
        <v>67</v>
      </c>
      <c r="G1958" s="96">
        <v>414388763</v>
      </c>
      <c r="H1958" s="95"/>
      <c r="K1958" s="97"/>
    </row>
    <row r="1959" spans="1:11" x14ac:dyDescent="0.2">
      <c r="A1959" s="91">
        <v>2021</v>
      </c>
      <c r="B1959" s="92" t="s">
        <v>66</v>
      </c>
      <c r="C1959" s="92" t="s">
        <v>4</v>
      </c>
      <c r="D1959" s="92" t="s">
        <v>10</v>
      </c>
      <c r="E1959" s="92" t="s">
        <v>69</v>
      </c>
      <c r="F1959" s="92" t="s">
        <v>71</v>
      </c>
      <c r="G1959" s="93">
        <v>279617237</v>
      </c>
      <c r="H1959" s="92"/>
      <c r="K1959" s="97"/>
    </row>
    <row r="1960" spans="1:11" x14ac:dyDescent="0.2">
      <c r="A1960" s="94">
        <v>2021</v>
      </c>
      <c r="B1960" s="95" t="s">
        <v>66</v>
      </c>
      <c r="C1960" s="95" t="s">
        <v>4</v>
      </c>
      <c r="D1960" s="95" t="s">
        <v>10</v>
      </c>
      <c r="E1960" s="95" t="s">
        <v>69</v>
      </c>
      <c r="F1960" s="95" t="s">
        <v>70</v>
      </c>
      <c r="G1960" s="96">
        <v>38129623</v>
      </c>
      <c r="H1960" s="95"/>
      <c r="K1960" s="97"/>
    </row>
    <row r="1961" spans="1:11" x14ac:dyDescent="0.2">
      <c r="A1961" s="91">
        <v>2021</v>
      </c>
      <c r="B1961" s="92" t="s">
        <v>66</v>
      </c>
      <c r="C1961" s="92" t="s">
        <v>4</v>
      </c>
      <c r="D1961" s="92" t="s">
        <v>11</v>
      </c>
      <c r="E1961" s="92" t="s">
        <v>67</v>
      </c>
      <c r="F1961" s="92" t="s">
        <v>67</v>
      </c>
      <c r="G1961" s="93">
        <v>1106204565</v>
      </c>
      <c r="H1961" s="92"/>
      <c r="K1961" s="97"/>
    </row>
    <row r="1962" spans="1:11" x14ac:dyDescent="0.2">
      <c r="A1962" s="94">
        <v>2021</v>
      </c>
      <c r="B1962" s="95" t="s">
        <v>66</v>
      </c>
      <c r="C1962" s="95" t="s">
        <v>4</v>
      </c>
      <c r="D1962" s="95" t="s">
        <v>11</v>
      </c>
      <c r="E1962" s="95" t="s">
        <v>69</v>
      </c>
      <c r="F1962" s="95" t="s">
        <v>71</v>
      </c>
      <c r="G1962" s="96">
        <v>478699435</v>
      </c>
      <c r="H1962" s="95"/>
      <c r="K1962" s="97"/>
    </row>
    <row r="1963" spans="1:11" x14ac:dyDescent="0.2">
      <c r="A1963" s="91">
        <v>2021</v>
      </c>
      <c r="B1963" s="92" t="s">
        <v>66</v>
      </c>
      <c r="C1963" s="92" t="s">
        <v>4</v>
      </c>
      <c r="D1963" s="92" t="s">
        <v>11</v>
      </c>
      <c r="E1963" s="92" t="s">
        <v>69</v>
      </c>
      <c r="F1963" s="92" t="s">
        <v>70</v>
      </c>
      <c r="G1963" s="93">
        <v>356723035</v>
      </c>
      <c r="H1963" s="92"/>
      <c r="K1963" s="97"/>
    </row>
    <row r="1964" spans="1:11" x14ac:dyDescent="0.2">
      <c r="A1964" s="94">
        <v>2021</v>
      </c>
      <c r="B1964" s="95" t="s">
        <v>66</v>
      </c>
      <c r="C1964" s="95" t="s">
        <v>4</v>
      </c>
      <c r="D1964" s="95" t="s">
        <v>12</v>
      </c>
      <c r="E1964" s="95" t="s">
        <v>67</v>
      </c>
      <c r="F1964" s="95" t="s">
        <v>67</v>
      </c>
      <c r="G1964" s="96">
        <v>952836392</v>
      </c>
      <c r="H1964" s="95"/>
      <c r="K1964" s="97"/>
    </row>
    <row r="1965" spans="1:11" x14ac:dyDescent="0.2">
      <c r="A1965" s="91">
        <v>2021</v>
      </c>
      <c r="B1965" s="92" t="s">
        <v>66</v>
      </c>
      <c r="C1965" s="92" t="s">
        <v>4</v>
      </c>
      <c r="D1965" s="92" t="s">
        <v>12</v>
      </c>
      <c r="E1965" s="92" t="s">
        <v>69</v>
      </c>
      <c r="F1965" s="92" t="s">
        <v>71</v>
      </c>
      <c r="G1965" s="93">
        <v>548326950</v>
      </c>
      <c r="H1965" s="92"/>
      <c r="K1965" s="97"/>
    </row>
    <row r="1966" spans="1:11" x14ac:dyDescent="0.2">
      <c r="A1966" s="94">
        <v>2021</v>
      </c>
      <c r="B1966" s="95" t="s">
        <v>66</v>
      </c>
      <c r="C1966" s="95" t="s">
        <v>4</v>
      </c>
      <c r="D1966" s="95" t="s">
        <v>12</v>
      </c>
      <c r="E1966" s="95" t="s">
        <v>69</v>
      </c>
      <c r="F1966" s="95" t="s">
        <v>70</v>
      </c>
      <c r="G1966" s="96">
        <v>660422611</v>
      </c>
      <c r="H1966" s="95"/>
      <c r="K1966" s="97"/>
    </row>
    <row r="1967" spans="1:11" x14ac:dyDescent="0.2">
      <c r="A1967" s="91">
        <v>2021</v>
      </c>
      <c r="B1967" s="92" t="s">
        <v>66</v>
      </c>
      <c r="C1967" s="92" t="s">
        <v>4</v>
      </c>
      <c r="D1967" s="92" t="s">
        <v>13</v>
      </c>
      <c r="E1967" s="92" t="s">
        <v>67</v>
      </c>
      <c r="F1967" s="92" t="s">
        <v>67</v>
      </c>
      <c r="G1967" s="93">
        <v>2843620291</v>
      </c>
      <c r="H1967" s="92"/>
      <c r="K1967" s="97"/>
    </row>
    <row r="1968" spans="1:11" x14ac:dyDescent="0.2">
      <c r="A1968" s="94">
        <v>2021</v>
      </c>
      <c r="B1968" s="95" t="s">
        <v>66</v>
      </c>
      <c r="C1968" s="95" t="s">
        <v>4</v>
      </c>
      <c r="D1968" s="95" t="s">
        <v>13</v>
      </c>
      <c r="E1968" s="95" t="s">
        <v>69</v>
      </c>
      <c r="F1968" s="95" t="s">
        <v>71</v>
      </c>
      <c r="G1968" s="96">
        <v>1011604699</v>
      </c>
      <c r="H1968" s="95"/>
      <c r="K1968" s="97"/>
    </row>
    <row r="1969" spans="1:11" x14ac:dyDescent="0.2">
      <c r="A1969" s="91">
        <v>2021</v>
      </c>
      <c r="B1969" s="92" t="s">
        <v>66</v>
      </c>
      <c r="C1969" s="92" t="s">
        <v>4</v>
      </c>
      <c r="D1969" s="92" t="s">
        <v>13</v>
      </c>
      <c r="E1969" s="92" t="s">
        <v>69</v>
      </c>
      <c r="F1969" s="92" t="s">
        <v>70</v>
      </c>
      <c r="G1969" s="93">
        <v>2701419514</v>
      </c>
      <c r="H1969" s="92"/>
      <c r="K1969" s="97"/>
    </row>
    <row r="1970" spans="1:11" x14ac:dyDescent="0.2">
      <c r="A1970" s="94">
        <v>2021</v>
      </c>
      <c r="B1970" s="95" t="s">
        <v>66</v>
      </c>
      <c r="C1970" s="95" t="s">
        <v>4</v>
      </c>
      <c r="D1970" s="95" t="s">
        <v>14</v>
      </c>
      <c r="E1970" s="95" t="s">
        <v>67</v>
      </c>
      <c r="F1970" s="95" t="s">
        <v>67</v>
      </c>
      <c r="G1970" s="96">
        <v>1043323792</v>
      </c>
      <c r="H1970" s="95"/>
      <c r="K1970" s="97"/>
    </row>
    <row r="1971" spans="1:11" x14ac:dyDescent="0.2">
      <c r="A1971" s="91">
        <v>2021</v>
      </c>
      <c r="B1971" s="92" t="s">
        <v>66</v>
      </c>
      <c r="C1971" s="92" t="s">
        <v>4</v>
      </c>
      <c r="D1971" s="92" t="s">
        <v>14</v>
      </c>
      <c r="E1971" s="92" t="s">
        <v>69</v>
      </c>
      <c r="F1971" s="92" t="s">
        <v>71</v>
      </c>
      <c r="G1971" s="93">
        <v>110625736</v>
      </c>
      <c r="H1971" s="92"/>
      <c r="K1971" s="97"/>
    </row>
    <row r="1972" spans="1:11" x14ac:dyDescent="0.2">
      <c r="A1972" s="94">
        <v>2021</v>
      </c>
      <c r="B1972" s="95" t="s">
        <v>66</v>
      </c>
      <c r="C1972" s="95" t="s">
        <v>4</v>
      </c>
      <c r="D1972" s="95" t="s">
        <v>14</v>
      </c>
      <c r="E1972" s="95" t="s">
        <v>69</v>
      </c>
      <c r="F1972" s="95" t="s">
        <v>70</v>
      </c>
      <c r="G1972" s="96">
        <v>999408648</v>
      </c>
      <c r="H1972" s="95"/>
      <c r="K1972" s="97"/>
    </row>
    <row r="1973" spans="1:11" x14ac:dyDescent="0.2">
      <c r="A1973" s="91">
        <v>2021</v>
      </c>
      <c r="B1973" s="92" t="s">
        <v>66</v>
      </c>
      <c r="C1973" s="92" t="s">
        <v>4</v>
      </c>
      <c r="D1973" s="92" t="s">
        <v>15</v>
      </c>
      <c r="E1973" s="92" t="s">
        <v>67</v>
      </c>
      <c r="F1973" s="92" t="s">
        <v>67</v>
      </c>
      <c r="G1973" s="93">
        <v>691219602</v>
      </c>
      <c r="H1973" s="92"/>
      <c r="K1973" s="97"/>
    </row>
    <row r="1974" spans="1:11" x14ac:dyDescent="0.2">
      <c r="A1974" s="94">
        <v>2021</v>
      </c>
      <c r="B1974" s="95" t="s">
        <v>66</v>
      </c>
      <c r="C1974" s="95" t="s">
        <v>4</v>
      </c>
      <c r="D1974" s="95" t="s">
        <v>15</v>
      </c>
      <c r="E1974" s="95" t="s">
        <v>69</v>
      </c>
      <c r="F1974" s="95" t="s">
        <v>71</v>
      </c>
      <c r="G1974" s="96">
        <v>427329276</v>
      </c>
      <c r="H1974" s="95"/>
      <c r="K1974" s="97"/>
    </row>
    <row r="1975" spans="1:11" x14ac:dyDescent="0.2">
      <c r="A1975" s="91">
        <v>2021</v>
      </c>
      <c r="B1975" s="92" t="s">
        <v>66</v>
      </c>
      <c r="C1975" s="92" t="s">
        <v>4</v>
      </c>
      <c r="D1975" s="92" t="s">
        <v>15</v>
      </c>
      <c r="E1975" s="92" t="s">
        <v>69</v>
      </c>
      <c r="F1975" s="92" t="s">
        <v>70</v>
      </c>
      <c r="G1975" s="93">
        <v>191321406</v>
      </c>
      <c r="H1975" s="92"/>
      <c r="K1975" s="97"/>
    </row>
    <row r="1976" spans="1:11" x14ac:dyDescent="0.2">
      <c r="A1976" s="94">
        <v>2021</v>
      </c>
      <c r="B1976" s="95" t="s">
        <v>66</v>
      </c>
      <c r="C1976" s="95" t="s">
        <v>17</v>
      </c>
      <c r="D1976" s="95" t="s">
        <v>16</v>
      </c>
      <c r="E1976" s="95" t="s">
        <v>67</v>
      </c>
      <c r="F1976" s="95" t="s">
        <v>67</v>
      </c>
      <c r="G1976" s="96">
        <v>388983991</v>
      </c>
      <c r="H1976" s="95"/>
      <c r="K1976" s="97"/>
    </row>
    <row r="1977" spans="1:11" x14ac:dyDescent="0.2">
      <c r="A1977" s="91">
        <v>2021</v>
      </c>
      <c r="B1977" s="92" t="s">
        <v>66</v>
      </c>
      <c r="C1977" s="92" t="s">
        <v>17</v>
      </c>
      <c r="D1977" s="92" t="s">
        <v>16</v>
      </c>
      <c r="E1977" s="92" t="s">
        <v>69</v>
      </c>
      <c r="F1977" s="92" t="s">
        <v>71</v>
      </c>
      <c r="G1977" s="93">
        <v>195508054</v>
      </c>
      <c r="H1977" s="92"/>
      <c r="K1977" s="97"/>
    </row>
    <row r="1978" spans="1:11" x14ac:dyDescent="0.2">
      <c r="A1978" s="94">
        <v>2021</v>
      </c>
      <c r="B1978" s="95" t="s">
        <v>66</v>
      </c>
      <c r="C1978" s="95" t="s">
        <v>17</v>
      </c>
      <c r="D1978" s="95" t="s">
        <v>16</v>
      </c>
      <c r="E1978" s="95" t="s">
        <v>69</v>
      </c>
      <c r="F1978" s="95" t="s">
        <v>70</v>
      </c>
      <c r="G1978" s="96">
        <v>81007719</v>
      </c>
      <c r="H1978" s="95"/>
      <c r="K1978" s="97"/>
    </row>
    <row r="1979" spans="1:11" x14ac:dyDescent="0.2">
      <c r="A1979" s="91">
        <v>2021</v>
      </c>
      <c r="B1979" s="92" t="s">
        <v>66</v>
      </c>
      <c r="C1979" s="92" t="s">
        <v>17</v>
      </c>
      <c r="D1979" s="92" t="s">
        <v>18</v>
      </c>
      <c r="E1979" s="92" t="s">
        <v>67</v>
      </c>
      <c r="F1979" s="92" t="s">
        <v>67</v>
      </c>
      <c r="G1979" s="93">
        <v>760499298</v>
      </c>
      <c r="H1979" s="92"/>
      <c r="K1979" s="97"/>
    </row>
    <row r="1980" spans="1:11" x14ac:dyDescent="0.2">
      <c r="A1980" s="94">
        <v>2021</v>
      </c>
      <c r="B1980" s="95" t="s">
        <v>66</v>
      </c>
      <c r="C1980" s="95" t="s">
        <v>17</v>
      </c>
      <c r="D1980" s="95" t="s">
        <v>18</v>
      </c>
      <c r="E1980" s="95" t="s">
        <v>69</v>
      </c>
      <c r="F1980" s="95" t="s">
        <v>71</v>
      </c>
      <c r="G1980" s="96">
        <v>488580461</v>
      </c>
      <c r="H1980" s="95"/>
      <c r="K1980" s="97"/>
    </row>
    <row r="1981" spans="1:11" x14ac:dyDescent="0.2">
      <c r="A1981" s="91">
        <v>2021</v>
      </c>
      <c r="B1981" s="92" t="s">
        <v>66</v>
      </c>
      <c r="C1981" s="92" t="s">
        <v>17</v>
      </c>
      <c r="D1981" s="92" t="s">
        <v>18</v>
      </c>
      <c r="E1981" s="92" t="s">
        <v>69</v>
      </c>
      <c r="F1981" s="92" t="s">
        <v>70</v>
      </c>
      <c r="G1981" s="93">
        <v>557653115</v>
      </c>
      <c r="H1981" s="92"/>
      <c r="K1981" s="97"/>
    </row>
    <row r="1982" spans="1:11" x14ac:dyDescent="0.2">
      <c r="A1982" s="94">
        <v>2021</v>
      </c>
      <c r="B1982" s="95" t="s">
        <v>66</v>
      </c>
      <c r="C1982" s="95" t="s">
        <v>17</v>
      </c>
      <c r="D1982" s="95" t="s">
        <v>19</v>
      </c>
      <c r="E1982" s="95" t="s">
        <v>67</v>
      </c>
      <c r="F1982" s="95" t="s">
        <v>67</v>
      </c>
      <c r="G1982" s="96">
        <v>2112508004</v>
      </c>
      <c r="H1982" s="95"/>
      <c r="K1982" s="97"/>
    </row>
    <row r="1983" spans="1:11" x14ac:dyDescent="0.2">
      <c r="A1983" s="91">
        <v>2021</v>
      </c>
      <c r="B1983" s="92" t="s">
        <v>66</v>
      </c>
      <c r="C1983" s="92" t="s">
        <v>17</v>
      </c>
      <c r="D1983" s="92" t="s">
        <v>19</v>
      </c>
      <c r="E1983" s="92" t="s">
        <v>69</v>
      </c>
      <c r="F1983" s="92" t="s">
        <v>71</v>
      </c>
      <c r="G1983" s="93">
        <v>1171651634</v>
      </c>
      <c r="H1983" s="92"/>
      <c r="K1983" s="97"/>
    </row>
    <row r="1984" spans="1:11" x14ac:dyDescent="0.2">
      <c r="A1984" s="94">
        <v>2021</v>
      </c>
      <c r="B1984" s="95" t="s">
        <v>66</v>
      </c>
      <c r="C1984" s="95" t="s">
        <v>17</v>
      </c>
      <c r="D1984" s="95" t="s">
        <v>19</v>
      </c>
      <c r="E1984" s="95" t="s">
        <v>69</v>
      </c>
      <c r="F1984" s="95" t="s">
        <v>70</v>
      </c>
      <c r="G1984" s="96">
        <v>681031418</v>
      </c>
      <c r="H1984" s="95"/>
      <c r="K1984" s="97"/>
    </row>
    <row r="1985" spans="1:11" x14ac:dyDescent="0.2">
      <c r="A1985" s="91">
        <v>2021</v>
      </c>
      <c r="B1985" s="92" t="s">
        <v>66</v>
      </c>
      <c r="C1985" s="92" t="s">
        <v>17</v>
      </c>
      <c r="D1985" s="92" t="s">
        <v>20</v>
      </c>
      <c r="E1985" s="92" t="s">
        <v>67</v>
      </c>
      <c r="F1985" s="92" t="s">
        <v>67</v>
      </c>
      <c r="G1985" s="93">
        <v>419275273</v>
      </c>
      <c r="H1985" s="92"/>
      <c r="K1985" s="97"/>
    </row>
    <row r="1986" spans="1:11" x14ac:dyDescent="0.2">
      <c r="A1986" s="94">
        <v>2021</v>
      </c>
      <c r="B1986" s="95" t="s">
        <v>66</v>
      </c>
      <c r="C1986" s="95" t="s">
        <v>17</v>
      </c>
      <c r="D1986" s="95" t="s">
        <v>20</v>
      </c>
      <c r="E1986" s="95" t="s">
        <v>69</v>
      </c>
      <c r="F1986" s="95" t="s">
        <v>71</v>
      </c>
      <c r="G1986" s="96">
        <v>338221693</v>
      </c>
      <c r="H1986" s="95"/>
      <c r="K1986" s="97"/>
    </row>
    <row r="1987" spans="1:11" x14ac:dyDescent="0.2">
      <c r="A1987" s="91">
        <v>2021</v>
      </c>
      <c r="B1987" s="92" t="s">
        <v>66</v>
      </c>
      <c r="C1987" s="92" t="s">
        <v>17</v>
      </c>
      <c r="D1987" s="92" t="s">
        <v>20</v>
      </c>
      <c r="E1987" s="92" t="s">
        <v>69</v>
      </c>
      <c r="F1987" s="92" t="s">
        <v>70</v>
      </c>
      <c r="G1987" s="93">
        <v>1794106616</v>
      </c>
      <c r="H1987" s="92"/>
      <c r="K1987" s="97"/>
    </row>
    <row r="1988" spans="1:11" x14ac:dyDescent="0.2">
      <c r="A1988" s="94">
        <v>2021</v>
      </c>
      <c r="B1988" s="95" t="s">
        <v>66</v>
      </c>
      <c r="C1988" s="95" t="s">
        <v>17</v>
      </c>
      <c r="D1988" s="95" t="s">
        <v>21</v>
      </c>
      <c r="E1988" s="95" t="s">
        <v>67</v>
      </c>
      <c r="F1988" s="95" t="s">
        <v>67</v>
      </c>
      <c r="G1988" s="96">
        <v>1593735190</v>
      </c>
      <c r="H1988" s="95"/>
      <c r="K1988" s="97"/>
    </row>
    <row r="1989" spans="1:11" x14ac:dyDescent="0.2">
      <c r="A1989" s="91">
        <v>2021</v>
      </c>
      <c r="B1989" s="92" t="s">
        <v>66</v>
      </c>
      <c r="C1989" s="92" t="s">
        <v>17</v>
      </c>
      <c r="D1989" s="92" t="s">
        <v>21</v>
      </c>
      <c r="E1989" s="92" t="s">
        <v>69</v>
      </c>
      <c r="F1989" s="92" t="s">
        <v>71</v>
      </c>
      <c r="G1989" s="93">
        <v>638054890</v>
      </c>
      <c r="H1989" s="92"/>
      <c r="K1989" s="97"/>
    </row>
    <row r="1990" spans="1:11" x14ac:dyDescent="0.2">
      <c r="A1990" s="94">
        <v>2021</v>
      </c>
      <c r="B1990" s="95" t="s">
        <v>66</v>
      </c>
      <c r="C1990" s="95" t="s">
        <v>17</v>
      </c>
      <c r="D1990" s="95" t="s">
        <v>21</v>
      </c>
      <c r="E1990" s="95" t="s">
        <v>69</v>
      </c>
      <c r="F1990" s="95" t="s">
        <v>70</v>
      </c>
      <c r="G1990" s="96">
        <v>714687044</v>
      </c>
      <c r="H1990" s="95"/>
      <c r="K1990" s="97"/>
    </row>
    <row r="1991" spans="1:11" x14ac:dyDescent="0.2">
      <c r="A1991" s="91">
        <v>2021</v>
      </c>
      <c r="B1991" s="92" t="s">
        <v>66</v>
      </c>
      <c r="C1991" s="92" t="s">
        <v>17</v>
      </c>
      <c r="D1991" s="92" t="s">
        <v>22</v>
      </c>
      <c r="E1991" s="92" t="s">
        <v>67</v>
      </c>
      <c r="F1991" s="92" t="s">
        <v>67</v>
      </c>
      <c r="G1991" s="93">
        <v>509904404</v>
      </c>
      <c r="H1991" s="92"/>
      <c r="K1991" s="97"/>
    </row>
    <row r="1992" spans="1:11" x14ac:dyDescent="0.2">
      <c r="A1992" s="94">
        <v>2021</v>
      </c>
      <c r="B1992" s="95" t="s">
        <v>66</v>
      </c>
      <c r="C1992" s="95" t="s">
        <v>17</v>
      </c>
      <c r="D1992" s="95" t="s">
        <v>22</v>
      </c>
      <c r="E1992" s="95" t="s">
        <v>69</v>
      </c>
      <c r="F1992" s="95" t="s">
        <v>71</v>
      </c>
      <c r="G1992" s="96">
        <v>319192037</v>
      </c>
      <c r="H1992" s="95"/>
      <c r="K1992" s="97"/>
    </row>
    <row r="1993" spans="1:11" x14ac:dyDescent="0.2">
      <c r="A1993" s="91">
        <v>2021</v>
      </c>
      <c r="B1993" s="92" t="s">
        <v>66</v>
      </c>
      <c r="C1993" s="92" t="s">
        <v>17</v>
      </c>
      <c r="D1993" s="92" t="s">
        <v>22</v>
      </c>
      <c r="E1993" s="92" t="s">
        <v>69</v>
      </c>
      <c r="F1993" s="92" t="s">
        <v>70</v>
      </c>
      <c r="G1993" s="93">
        <v>347871673</v>
      </c>
      <c r="H1993" s="92"/>
      <c r="K1993" s="97"/>
    </row>
    <row r="1994" spans="1:11" x14ac:dyDescent="0.2">
      <c r="A1994" s="94">
        <v>2021</v>
      </c>
      <c r="B1994" s="95" t="s">
        <v>66</v>
      </c>
      <c r="C1994" s="95" t="s">
        <v>17</v>
      </c>
      <c r="D1994" s="95" t="s">
        <v>23</v>
      </c>
      <c r="E1994" s="95" t="s">
        <v>67</v>
      </c>
      <c r="F1994" s="95" t="s">
        <v>67</v>
      </c>
      <c r="G1994" s="96">
        <v>630378755</v>
      </c>
      <c r="H1994" s="95"/>
      <c r="K1994" s="97"/>
    </row>
    <row r="1995" spans="1:11" x14ac:dyDescent="0.2">
      <c r="A1995" s="91">
        <v>2021</v>
      </c>
      <c r="B1995" s="92" t="s">
        <v>66</v>
      </c>
      <c r="C1995" s="92" t="s">
        <v>17</v>
      </c>
      <c r="D1995" s="92" t="s">
        <v>23</v>
      </c>
      <c r="E1995" s="92" t="s">
        <v>69</v>
      </c>
      <c r="F1995" s="92" t="s">
        <v>71</v>
      </c>
      <c r="G1995" s="93">
        <v>364017060</v>
      </c>
      <c r="H1995" s="92"/>
      <c r="K1995" s="97"/>
    </row>
    <row r="1996" spans="1:11" x14ac:dyDescent="0.2">
      <c r="A1996" s="94">
        <v>2021</v>
      </c>
      <c r="B1996" s="95" t="s">
        <v>66</v>
      </c>
      <c r="C1996" s="95" t="s">
        <v>17</v>
      </c>
      <c r="D1996" s="95" t="s">
        <v>23</v>
      </c>
      <c r="E1996" s="95" t="s">
        <v>69</v>
      </c>
      <c r="F1996" s="95" t="s">
        <v>70</v>
      </c>
      <c r="G1996" s="96">
        <v>219647915</v>
      </c>
      <c r="H1996" s="95"/>
      <c r="K1996" s="97"/>
    </row>
    <row r="1997" spans="1:11" x14ac:dyDescent="0.2">
      <c r="A1997" s="91">
        <v>2021</v>
      </c>
      <c r="B1997" s="92" t="s">
        <v>66</v>
      </c>
      <c r="C1997" s="92" t="s">
        <v>17</v>
      </c>
      <c r="D1997" s="92" t="s">
        <v>24</v>
      </c>
      <c r="E1997" s="92" t="s">
        <v>67</v>
      </c>
      <c r="F1997" s="92" t="s">
        <v>67</v>
      </c>
      <c r="G1997" s="93">
        <v>12796684634</v>
      </c>
      <c r="H1997" s="92"/>
      <c r="K1997" s="97"/>
    </row>
    <row r="1998" spans="1:11" x14ac:dyDescent="0.2">
      <c r="A1998" s="94">
        <v>2021</v>
      </c>
      <c r="B1998" s="95" t="s">
        <v>66</v>
      </c>
      <c r="C1998" s="95" t="s">
        <v>17</v>
      </c>
      <c r="D1998" s="95" t="s">
        <v>24</v>
      </c>
      <c r="E1998" s="95" t="s">
        <v>69</v>
      </c>
      <c r="F1998" s="95" t="s">
        <v>71</v>
      </c>
      <c r="G1998" s="96">
        <v>5039488735</v>
      </c>
      <c r="H1998" s="95"/>
      <c r="K1998" s="97"/>
    </row>
    <row r="1999" spans="1:11" x14ac:dyDescent="0.2">
      <c r="A1999" s="91">
        <v>2021</v>
      </c>
      <c r="B1999" s="92" t="s">
        <v>66</v>
      </c>
      <c r="C1999" s="92" t="s">
        <v>17</v>
      </c>
      <c r="D1999" s="92" t="s">
        <v>24</v>
      </c>
      <c r="E1999" s="92" t="s">
        <v>69</v>
      </c>
      <c r="F1999" s="92" t="s">
        <v>70</v>
      </c>
      <c r="G1999" s="93">
        <v>7124103279</v>
      </c>
      <c r="H1999" s="92"/>
      <c r="K1999" s="97"/>
    </row>
    <row r="2000" spans="1:11" x14ac:dyDescent="0.2">
      <c r="A2000" s="94">
        <v>2021</v>
      </c>
      <c r="B2000" s="95" t="s">
        <v>66</v>
      </c>
      <c r="C2000" s="95" t="s">
        <v>17</v>
      </c>
      <c r="D2000" s="95" t="s">
        <v>25</v>
      </c>
      <c r="E2000" s="95" t="s">
        <v>67</v>
      </c>
      <c r="F2000" s="95" t="s">
        <v>67</v>
      </c>
      <c r="G2000" s="96">
        <v>839885852</v>
      </c>
      <c r="H2000" s="95"/>
      <c r="K2000" s="97"/>
    </row>
    <row r="2001" spans="1:11" x14ac:dyDescent="0.2">
      <c r="A2001" s="91">
        <v>2021</v>
      </c>
      <c r="B2001" s="92" t="s">
        <v>66</v>
      </c>
      <c r="C2001" s="92" t="s">
        <v>17</v>
      </c>
      <c r="D2001" s="92" t="s">
        <v>25</v>
      </c>
      <c r="E2001" s="92" t="s">
        <v>69</v>
      </c>
      <c r="F2001" s="92" t="s">
        <v>71</v>
      </c>
      <c r="G2001" s="93">
        <v>293033685</v>
      </c>
      <c r="H2001" s="92"/>
      <c r="K2001" s="97"/>
    </row>
    <row r="2002" spans="1:11" x14ac:dyDescent="0.2">
      <c r="A2002" s="94">
        <v>2021</v>
      </c>
      <c r="B2002" s="95" t="s">
        <v>66</v>
      </c>
      <c r="C2002" s="95" t="s">
        <v>17</v>
      </c>
      <c r="D2002" s="95" t="s">
        <v>25</v>
      </c>
      <c r="E2002" s="95" t="s">
        <v>69</v>
      </c>
      <c r="F2002" s="95" t="s">
        <v>70</v>
      </c>
      <c r="G2002" s="96">
        <v>274100700</v>
      </c>
      <c r="H2002" s="95"/>
      <c r="K2002" s="97"/>
    </row>
    <row r="2003" spans="1:11" x14ac:dyDescent="0.2">
      <c r="A2003" s="91">
        <v>2021</v>
      </c>
      <c r="B2003" s="92" t="s">
        <v>66</v>
      </c>
      <c r="C2003" s="92" t="s">
        <v>27</v>
      </c>
      <c r="D2003" s="92" t="s">
        <v>26</v>
      </c>
      <c r="E2003" s="92" t="s">
        <v>67</v>
      </c>
      <c r="F2003" s="92" t="s">
        <v>67</v>
      </c>
      <c r="G2003" s="93">
        <v>18821891574</v>
      </c>
      <c r="H2003" s="92"/>
      <c r="K2003" s="97"/>
    </row>
    <row r="2004" spans="1:11" x14ac:dyDescent="0.2">
      <c r="A2004" s="94">
        <v>2021</v>
      </c>
      <c r="B2004" s="95" t="s">
        <v>66</v>
      </c>
      <c r="C2004" s="95" t="s">
        <v>27</v>
      </c>
      <c r="D2004" s="95" t="s">
        <v>26</v>
      </c>
      <c r="E2004" s="95" t="s">
        <v>69</v>
      </c>
      <c r="F2004" s="95" t="s">
        <v>71</v>
      </c>
      <c r="G2004" s="96">
        <v>4307716500</v>
      </c>
      <c r="H2004" s="95"/>
      <c r="K2004" s="97"/>
    </row>
    <row r="2005" spans="1:11" x14ac:dyDescent="0.2">
      <c r="A2005" s="91">
        <v>2021</v>
      </c>
      <c r="B2005" s="92" t="s">
        <v>66</v>
      </c>
      <c r="C2005" s="92" t="s">
        <v>27</v>
      </c>
      <c r="D2005" s="92" t="s">
        <v>26</v>
      </c>
      <c r="E2005" s="92" t="s">
        <v>69</v>
      </c>
      <c r="F2005" s="92" t="s">
        <v>70</v>
      </c>
      <c r="G2005" s="93">
        <v>12597616885</v>
      </c>
      <c r="H2005" s="92"/>
      <c r="K2005" s="97"/>
    </row>
    <row r="2006" spans="1:11" x14ac:dyDescent="0.2">
      <c r="A2006" s="94">
        <v>2021</v>
      </c>
      <c r="B2006" s="95" t="s">
        <v>66</v>
      </c>
      <c r="C2006" s="95" t="s">
        <v>27</v>
      </c>
      <c r="D2006" s="95" t="s">
        <v>28</v>
      </c>
      <c r="E2006" s="95" t="s">
        <v>67</v>
      </c>
      <c r="F2006" s="95" t="s">
        <v>67</v>
      </c>
      <c r="G2006" s="96">
        <v>15242555552</v>
      </c>
      <c r="H2006" s="95"/>
      <c r="K2006" s="97"/>
    </row>
    <row r="2007" spans="1:11" x14ac:dyDescent="0.2">
      <c r="A2007" s="91">
        <v>2021</v>
      </c>
      <c r="B2007" s="92" t="s">
        <v>66</v>
      </c>
      <c r="C2007" s="92" t="s">
        <v>27</v>
      </c>
      <c r="D2007" s="92" t="s">
        <v>28</v>
      </c>
      <c r="E2007" s="92" t="s">
        <v>69</v>
      </c>
      <c r="F2007" s="92" t="s">
        <v>71</v>
      </c>
      <c r="G2007" s="93">
        <v>6887097009</v>
      </c>
      <c r="H2007" s="92"/>
      <c r="K2007" s="97"/>
    </row>
    <row r="2008" spans="1:11" x14ac:dyDescent="0.2">
      <c r="A2008" s="94">
        <v>2021</v>
      </c>
      <c r="B2008" s="95" t="s">
        <v>66</v>
      </c>
      <c r="C2008" s="95" t="s">
        <v>27</v>
      </c>
      <c r="D2008" s="95" t="s">
        <v>28</v>
      </c>
      <c r="E2008" s="95" t="s">
        <v>69</v>
      </c>
      <c r="F2008" s="95" t="s">
        <v>70</v>
      </c>
      <c r="G2008" s="96">
        <v>12436641849</v>
      </c>
      <c r="H2008" s="95"/>
      <c r="K2008" s="97"/>
    </row>
    <row r="2009" spans="1:11" x14ac:dyDescent="0.2">
      <c r="A2009" s="91">
        <v>2021</v>
      </c>
      <c r="B2009" s="92" t="s">
        <v>66</v>
      </c>
      <c r="C2009" s="92" t="s">
        <v>27</v>
      </c>
      <c r="D2009" s="92" t="s">
        <v>29</v>
      </c>
      <c r="E2009" s="92" t="s">
        <v>67</v>
      </c>
      <c r="F2009" s="92" t="s">
        <v>67</v>
      </c>
      <c r="G2009" s="93">
        <v>6969188992</v>
      </c>
      <c r="H2009" s="92"/>
      <c r="K2009" s="97"/>
    </row>
    <row r="2010" spans="1:11" x14ac:dyDescent="0.2">
      <c r="A2010" s="94">
        <v>2021</v>
      </c>
      <c r="B2010" s="95" t="s">
        <v>66</v>
      </c>
      <c r="C2010" s="95" t="s">
        <v>27</v>
      </c>
      <c r="D2010" s="95" t="s">
        <v>29</v>
      </c>
      <c r="E2010" s="95" t="s">
        <v>69</v>
      </c>
      <c r="F2010" s="95" t="s">
        <v>71</v>
      </c>
      <c r="G2010" s="96">
        <v>3062564104</v>
      </c>
      <c r="H2010" s="95"/>
      <c r="K2010" s="97"/>
    </row>
    <row r="2011" spans="1:11" x14ac:dyDescent="0.2">
      <c r="A2011" s="91">
        <v>2021</v>
      </c>
      <c r="B2011" s="92" t="s">
        <v>66</v>
      </c>
      <c r="C2011" s="92" t="s">
        <v>27</v>
      </c>
      <c r="D2011" s="92" t="s">
        <v>29</v>
      </c>
      <c r="E2011" s="92" t="s">
        <v>69</v>
      </c>
      <c r="F2011" s="92" t="s">
        <v>70</v>
      </c>
      <c r="G2011" s="93">
        <v>4222546878</v>
      </c>
      <c r="H2011" s="92"/>
      <c r="K2011" s="97"/>
    </row>
    <row r="2012" spans="1:11" x14ac:dyDescent="0.2">
      <c r="A2012" s="94">
        <v>2021</v>
      </c>
      <c r="B2012" s="95" t="s">
        <v>66</v>
      </c>
      <c r="C2012" s="95" t="s">
        <v>27</v>
      </c>
      <c r="D2012" s="95" t="s">
        <v>30</v>
      </c>
      <c r="E2012" s="95" t="s">
        <v>67</v>
      </c>
      <c r="F2012" s="95" t="s">
        <v>67</v>
      </c>
      <c r="G2012" s="96">
        <v>16131237927</v>
      </c>
      <c r="H2012" s="95"/>
      <c r="K2012" s="97"/>
    </row>
    <row r="2013" spans="1:11" x14ac:dyDescent="0.2">
      <c r="A2013" s="91">
        <v>2021</v>
      </c>
      <c r="B2013" s="92" t="s">
        <v>66</v>
      </c>
      <c r="C2013" s="92" t="s">
        <v>27</v>
      </c>
      <c r="D2013" s="92" t="s">
        <v>30</v>
      </c>
      <c r="E2013" s="92" t="s">
        <v>69</v>
      </c>
      <c r="F2013" s="92" t="s">
        <v>71</v>
      </c>
      <c r="G2013" s="93">
        <v>6319916871</v>
      </c>
      <c r="H2013" s="92"/>
      <c r="K2013" s="97"/>
    </row>
    <row r="2014" spans="1:11" x14ac:dyDescent="0.2">
      <c r="A2014" s="94">
        <v>2021</v>
      </c>
      <c r="B2014" s="95" t="s">
        <v>66</v>
      </c>
      <c r="C2014" s="95" t="s">
        <v>27</v>
      </c>
      <c r="D2014" s="95" t="s">
        <v>30</v>
      </c>
      <c r="E2014" s="95" t="s">
        <v>69</v>
      </c>
      <c r="F2014" s="95" t="s">
        <v>70</v>
      </c>
      <c r="G2014" s="96">
        <v>15949684126</v>
      </c>
      <c r="H2014" s="95"/>
      <c r="K2014" s="97"/>
    </row>
    <row r="2015" spans="1:11" x14ac:dyDescent="0.2">
      <c r="A2015" s="91">
        <v>2021</v>
      </c>
      <c r="B2015" s="92" t="s">
        <v>66</v>
      </c>
      <c r="C2015" s="92" t="s">
        <v>27</v>
      </c>
      <c r="D2015" s="92" t="s">
        <v>31</v>
      </c>
      <c r="E2015" s="92" t="s">
        <v>67</v>
      </c>
      <c r="F2015" s="92" t="s">
        <v>67</v>
      </c>
      <c r="G2015" s="93">
        <v>3234216991</v>
      </c>
      <c r="H2015" s="92"/>
      <c r="K2015" s="97"/>
    </row>
    <row r="2016" spans="1:11" x14ac:dyDescent="0.2">
      <c r="A2016" s="94">
        <v>2021</v>
      </c>
      <c r="B2016" s="95" t="s">
        <v>66</v>
      </c>
      <c r="C2016" s="95" t="s">
        <v>27</v>
      </c>
      <c r="D2016" s="95" t="s">
        <v>31</v>
      </c>
      <c r="E2016" s="95" t="s">
        <v>69</v>
      </c>
      <c r="F2016" s="95" t="s">
        <v>71</v>
      </c>
      <c r="G2016" s="96">
        <v>2272964270</v>
      </c>
      <c r="H2016" s="95"/>
      <c r="K2016" s="97"/>
    </row>
    <row r="2017" spans="1:11" x14ac:dyDescent="0.2">
      <c r="A2017" s="91">
        <v>2021</v>
      </c>
      <c r="B2017" s="92" t="s">
        <v>66</v>
      </c>
      <c r="C2017" s="92" t="s">
        <v>27</v>
      </c>
      <c r="D2017" s="92" t="s">
        <v>31</v>
      </c>
      <c r="E2017" s="92" t="s">
        <v>69</v>
      </c>
      <c r="F2017" s="92" t="s">
        <v>70</v>
      </c>
      <c r="G2017" s="93">
        <v>4778083528</v>
      </c>
      <c r="H2017" s="92"/>
      <c r="K2017" s="97"/>
    </row>
    <row r="2018" spans="1:11" x14ac:dyDescent="0.2">
      <c r="A2018" s="94">
        <v>2021</v>
      </c>
      <c r="B2018" s="95" t="s">
        <v>66</v>
      </c>
      <c r="C2018" s="95" t="s">
        <v>27</v>
      </c>
      <c r="D2018" s="95" t="s">
        <v>32</v>
      </c>
      <c r="E2018" s="95" t="s">
        <v>67</v>
      </c>
      <c r="F2018" s="95" t="s">
        <v>67</v>
      </c>
      <c r="G2018" s="96">
        <v>7506945531</v>
      </c>
      <c r="H2018" s="95"/>
      <c r="K2018" s="97"/>
    </row>
    <row r="2019" spans="1:11" x14ac:dyDescent="0.2">
      <c r="A2019" s="91">
        <v>2021</v>
      </c>
      <c r="B2019" s="92" t="s">
        <v>66</v>
      </c>
      <c r="C2019" s="92" t="s">
        <v>27</v>
      </c>
      <c r="D2019" s="92" t="s">
        <v>32</v>
      </c>
      <c r="E2019" s="92" t="s">
        <v>69</v>
      </c>
      <c r="F2019" s="92" t="s">
        <v>71</v>
      </c>
      <c r="G2019" s="93">
        <v>4032385477</v>
      </c>
      <c r="H2019" s="92"/>
      <c r="K2019" s="97"/>
    </row>
    <row r="2020" spans="1:11" x14ac:dyDescent="0.2">
      <c r="A2020" s="94">
        <v>2021</v>
      </c>
      <c r="B2020" s="95" t="s">
        <v>66</v>
      </c>
      <c r="C2020" s="95" t="s">
        <v>27</v>
      </c>
      <c r="D2020" s="95" t="s">
        <v>32</v>
      </c>
      <c r="E2020" s="95" t="s">
        <v>69</v>
      </c>
      <c r="F2020" s="95" t="s">
        <v>70</v>
      </c>
      <c r="G2020" s="96">
        <v>4748332684</v>
      </c>
      <c r="H2020" s="95"/>
      <c r="K2020" s="97"/>
    </row>
    <row r="2021" spans="1:11" x14ac:dyDescent="0.2">
      <c r="A2021" s="91">
        <v>2021</v>
      </c>
      <c r="B2021" s="92" t="s">
        <v>66</v>
      </c>
      <c r="C2021" s="92" t="s">
        <v>27</v>
      </c>
      <c r="D2021" s="92" t="s">
        <v>33</v>
      </c>
      <c r="E2021" s="92" t="s">
        <v>67</v>
      </c>
      <c r="F2021" s="92" t="s">
        <v>67</v>
      </c>
      <c r="G2021" s="93">
        <v>6930935488</v>
      </c>
      <c r="H2021" s="92"/>
      <c r="K2021" s="97"/>
    </row>
    <row r="2022" spans="1:11" x14ac:dyDescent="0.2">
      <c r="A2022" s="94">
        <v>2021</v>
      </c>
      <c r="B2022" s="95" t="s">
        <v>66</v>
      </c>
      <c r="C2022" s="95" t="s">
        <v>27</v>
      </c>
      <c r="D2022" s="95" t="s">
        <v>33</v>
      </c>
      <c r="E2022" s="95" t="s">
        <v>69</v>
      </c>
      <c r="F2022" s="95" t="s">
        <v>71</v>
      </c>
      <c r="G2022" s="96">
        <v>5726751049</v>
      </c>
      <c r="H2022" s="95"/>
      <c r="K2022" s="97"/>
    </row>
    <row r="2023" spans="1:11" x14ac:dyDescent="0.2">
      <c r="A2023" s="91">
        <v>2021</v>
      </c>
      <c r="B2023" s="92" t="s">
        <v>66</v>
      </c>
      <c r="C2023" s="92" t="s">
        <v>27</v>
      </c>
      <c r="D2023" s="92" t="s">
        <v>33</v>
      </c>
      <c r="E2023" s="92" t="s">
        <v>69</v>
      </c>
      <c r="F2023" s="92" t="s">
        <v>70</v>
      </c>
      <c r="G2023" s="93">
        <v>12463135337</v>
      </c>
      <c r="H2023" s="92"/>
      <c r="K2023" s="97"/>
    </row>
    <row r="2024" spans="1:11" x14ac:dyDescent="0.2">
      <c r="A2024" s="94">
        <v>2021</v>
      </c>
      <c r="B2024" s="95" t="s">
        <v>66</v>
      </c>
      <c r="C2024" s="95" t="s">
        <v>35</v>
      </c>
      <c r="D2024" s="95" t="s">
        <v>34</v>
      </c>
      <c r="E2024" s="95" t="s">
        <v>67</v>
      </c>
      <c r="F2024" s="95" t="s">
        <v>67</v>
      </c>
      <c r="G2024" s="96">
        <v>1750507356</v>
      </c>
      <c r="H2024" s="95"/>
      <c r="K2024" s="97"/>
    </row>
    <row r="2025" spans="1:11" x14ac:dyDescent="0.2">
      <c r="A2025" s="91">
        <v>2021</v>
      </c>
      <c r="B2025" s="92" t="s">
        <v>66</v>
      </c>
      <c r="C2025" s="92" t="s">
        <v>35</v>
      </c>
      <c r="D2025" s="92" t="s">
        <v>34</v>
      </c>
      <c r="E2025" s="92" t="s">
        <v>69</v>
      </c>
      <c r="F2025" s="92" t="s">
        <v>71</v>
      </c>
      <c r="G2025" s="93">
        <v>490471631</v>
      </c>
      <c r="H2025" s="92"/>
      <c r="K2025" s="97"/>
    </row>
    <row r="2026" spans="1:11" x14ac:dyDescent="0.2">
      <c r="A2026" s="94">
        <v>2021</v>
      </c>
      <c r="B2026" s="95" t="s">
        <v>66</v>
      </c>
      <c r="C2026" s="95" t="s">
        <v>35</v>
      </c>
      <c r="D2026" s="95" t="s">
        <v>34</v>
      </c>
      <c r="E2026" s="95" t="s">
        <v>69</v>
      </c>
      <c r="F2026" s="95" t="s">
        <v>70</v>
      </c>
      <c r="G2026" s="96">
        <v>460421254</v>
      </c>
      <c r="H2026" s="95"/>
      <c r="K2026" s="97"/>
    </row>
    <row r="2027" spans="1:11" x14ac:dyDescent="0.2">
      <c r="A2027" s="91">
        <v>2021</v>
      </c>
      <c r="B2027" s="92" t="s">
        <v>66</v>
      </c>
      <c r="C2027" s="92" t="s">
        <v>35</v>
      </c>
      <c r="D2027" s="92" t="s">
        <v>36</v>
      </c>
      <c r="E2027" s="92" t="s">
        <v>67</v>
      </c>
      <c r="F2027" s="92" t="s">
        <v>67</v>
      </c>
      <c r="G2027" s="93">
        <v>5154123250</v>
      </c>
      <c r="H2027" s="92"/>
      <c r="K2027" s="97"/>
    </row>
    <row r="2028" spans="1:11" x14ac:dyDescent="0.2">
      <c r="A2028" s="94">
        <v>2021</v>
      </c>
      <c r="B2028" s="95" t="s">
        <v>66</v>
      </c>
      <c r="C2028" s="95" t="s">
        <v>35</v>
      </c>
      <c r="D2028" s="95" t="s">
        <v>36</v>
      </c>
      <c r="E2028" s="95" t="s">
        <v>69</v>
      </c>
      <c r="F2028" s="95" t="s">
        <v>71</v>
      </c>
      <c r="G2028" s="96">
        <v>2612156135</v>
      </c>
      <c r="H2028" s="95"/>
      <c r="K2028" s="97"/>
    </row>
    <row r="2029" spans="1:11" x14ac:dyDescent="0.2">
      <c r="A2029" s="91">
        <v>2021</v>
      </c>
      <c r="B2029" s="92" t="s">
        <v>66</v>
      </c>
      <c r="C2029" s="92" t="s">
        <v>35</v>
      </c>
      <c r="D2029" s="92" t="s">
        <v>36</v>
      </c>
      <c r="E2029" s="92" t="s">
        <v>69</v>
      </c>
      <c r="F2029" s="92" t="s">
        <v>70</v>
      </c>
      <c r="G2029" s="93">
        <v>2025932140</v>
      </c>
      <c r="H2029" s="92"/>
      <c r="K2029" s="97"/>
    </row>
    <row r="2030" spans="1:11" x14ac:dyDescent="0.2">
      <c r="A2030" s="94">
        <v>2021</v>
      </c>
      <c r="B2030" s="95" t="s">
        <v>66</v>
      </c>
      <c r="C2030" s="95" t="s">
        <v>35</v>
      </c>
      <c r="D2030" s="95" t="s">
        <v>37</v>
      </c>
      <c r="E2030" s="95" t="s">
        <v>67</v>
      </c>
      <c r="F2030" s="95" t="s">
        <v>67</v>
      </c>
      <c r="G2030" s="96">
        <v>1469751589</v>
      </c>
      <c r="H2030" s="95"/>
      <c r="K2030" s="97"/>
    </row>
    <row r="2031" spans="1:11" x14ac:dyDescent="0.2">
      <c r="A2031" s="91">
        <v>2021</v>
      </c>
      <c r="B2031" s="92" t="s">
        <v>66</v>
      </c>
      <c r="C2031" s="92" t="s">
        <v>35</v>
      </c>
      <c r="D2031" s="92" t="s">
        <v>37</v>
      </c>
      <c r="E2031" s="92" t="s">
        <v>69</v>
      </c>
      <c r="F2031" s="92" t="s">
        <v>71</v>
      </c>
      <c r="G2031" s="93">
        <v>538053460</v>
      </c>
      <c r="H2031" s="92"/>
      <c r="K2031" s="97"/>
    </row>
    <row r="2032" spans="1:11" x14ac:dyDescent="0.2">
      <c r="A2032" s="94">
        <v>2021</v>
      </c>
      <c r="B2032" s="95" t="s">
        <v>66</v>
      </c>
      <c r="C2032" s="95" t="s">
        <v>35</v>
      </c>
      <c r="D2032" s="95" t="s">
        <v>37</v>
      </c>
      <c r="E2032" s="95" t="s">
        <v>69</v>
      </c>
      <c r="F2032" s="95" t="s">
        <v>70</v>
      </c>
      <c r="G2032" s="96">
        <v>578826046</v>
      </c>
      <c r="H2032" s="95"/>
      <c r="K2032" s="97"/>
    </row>
    <row r="2033" spans="1:11" x14ac:dyDescent="0.2">
      <c r="A2033" s="91">
        <v>2021</v>
      </c>
      <c r="B2033" s="92" t="s">
        <v>66</v>
      </c>
      <c r="C2033" s="92" t="s">
        <v>35</v>
      </c>
      <c r="D2033" s="92" t="s">
        <v>38</v>
      </c>
      <c r="E2033" s="92" t="s">
        <v>67</v>
      </c>
      <c r="F2033" s="92" t="s">
        <v>67</v>
      </c>
      <c r="G2033" s="93">
        <v>2006015002</v>
      </c>
      <c r="H2033" s="92"/>
      <c r="K2033" s="97"/>
    </row>
    <row r="2034" spans="1:11" x14ac:dyDescent="0.2">
      <c r="A2034" s="94">
        <v>2021</v>
      </c>
      <c r="B2034" s="95" t="s">
        <v>66</v>
      </c>
      <c r="C2034" s="95" t="s">
        <v>35</v>
      </c>
      <c r="D2034" s="95" t="s">
        <v>38</v>
      </c>
      <c r="E2034" s="95" t="s">
        <v>69</v>
      </c>
      <c r="F2034" s="95" t="s">
        <v>71</v>
      </c>
      <c r="G2034" s="96">
        <v>682595516</v>
      </c>
      <c r="H2034" s="95"/>
      <c r="K2034" s="97"/>
    </row>
    <row r="2035" spans="1:11" x14ac:dyDescent="0.2">
      <c r="A2035" s="91">
        <v>2021</v>
      </c>
      <c r="B2035" s="92" t="s">
        <v>66</v>
      </c>
      <c r="C2035" s="92" t="s">
        <v>35</v>
      </c>
      <c r="D2035" s="92" t="s">
        <v>38</v>
      </c>
      <c r="E2035" s="92" t="s">
        <v>69</v>
      </c>
      <c r="F2035" s="92" t="s">
        <v>70</v>
      </c>
      <c r="G2035" s="93">
        <v>791299486</v>
      </c>
      <c r="H2035" s="92"/>
      <c r="K2035" s="97"/>
    </row>
    <row r="2036" spans="1:11" x14ac:dyDescent="0.2">
      <c r="A2036" s="94">
        <v>2021</v>
      </c>
      <c r="B2036" s="95" t="s">
        <v>66</v>
      </c>
      <c r="C2036" s="95" t="s">
        <v>35</v>
      </c>
      <c r="D2036" s="95" t="s">
        <v>39</v>
      </c>
      <c r="E2036" s="95" t="s">
        <v>67</v>
      </c>
      <c r="F2036" s="95" t="s">
        <v>67</v>
      </c>
      <c r="G2036" s="96">
        <v>10331268148</v>
      </c>
      <c r="H2036" s="95"/>
      <c r="K2036" s="97"/>
    </row>
    <row r="2037" spans="1:11" x14ac:dyDescent="0.2">
      <c r="A2037" s="91">
        <v>2021</v>
      </c>
      <c r="B2037" s="92" t="s">
        <v>66</v>
      </c>
      <c r="C2037" s="92" t="s">
        <v>35</v>
      </c>
      <c r="D2037" s="92" t="s">
        <v>39</v>
      </c>
      <c r="E2037" s="92" t="s">
        <v>69</v>
      </c>
      <c r="F2037" s="92" t="s">
        <v>71</v>
      </c>
      <c r="G2037" s="93">
        <v>4719493922</v>
      </c>
      <c r="H2037" s="92"/>
      <c r="K2037" s="97"/>
    </row>
    <row r="2038" spans="1:11" x14ac:dyDescent="0.2">
      <c r="A2038" s="94">
        <v>2021</v>
      </c>
      <c r="B2038" s="95" t="s">
        <v>66</v>
      </c>
      <c r="C2038" s="95" t="s">
        <v>35</v>
      </c>
      <c r="D2038" s="95" t="s">
        <v>39</v>
      </c>
      <c r="E2038" s="95" t="s">
        <v>69</v>
      </c>
      <c r="F2038" s="95" t="s">
        <v>70</v>
      </c>
      <c r="G2038" s="96">
        <v>4132944722</v>
      </c>
      <c r="H2038" s="95"/>
      <c r="K2038" s="97"/>
    </row>
    <row r="2039" spans="1:11" x14ac:dyDescent="0.2">
      <c r="A2039" s="91">
        <v>2021</v>
      </c>
      <c r="B2039" s="92" t="s">
        <v>66</v>
      </c>
      <c r="C2039" s="92" t="s">
        <v>41</v>
      </c>
      <c r="D2039" s="92" t="s">
        <v>40</v>
      </c>
      <c r="E2039" s="92" t="s">
        <v>67</v>
      </c>
      <c r="F2039" s="92" t="s">
        <v>67</v>
      </c>
      <c r="G2039" s="93">
        <v>1257720109</v>
      </c>
      <c r="H2039" s="92"/>
      <c r="K2039" s="97"/>
    </row>
    <row r="2040" spans="1:11" x14ac:dyDescent="0.2">
      <c r="A2040" s="94">
        <v>2021</v>
      </c>
      <c r="B2040" s="95" t="s">
        <v>66</v>
      </c>
      <c r="C2040" s="95" t="s">
        <v>41</v>
      </c>
      <c r="D2040" s="95" t="s">
        <v>40</v>
      </c>
      <c r="E2040" s="95" t="s">
        <v>69</v>
      </c>
      <c r="F2040" s="95" t="s">
        <v>71</v>
      </c>
      <c r="G2040" s="96">
        <v>276974680</v>
      </c>
      <c r="H2040" s="95"/>
      <c r="K2040" s="97"/>
    </row>
    <row r="2041" spans="1:11" x14ac:dyDescent="0.2">
      <c r="A2041" s="91">
        <v>2021</v>
      </c>
      <c r="B2041" s="92" t="s">
        <v>66</v>
      </c>
      <c r="C2041" s="92" t="s">
        <v>41</v>
      </c>
      <c r="D2041" s="92" t="s">
        <v>40</v>
      </c>
      <c r="E2041" s="92" t="s">
        <v>69</v>
      </c>
      <c r="F2041" s="92" t="s">
        <v>70</v>
      </c>
      <c r="G2041" s="93">
        <v>302687968</v>
      </c>
      <c r="H2041" s="92"/>
      <c r="K2041" s="97"/>
    </row>
    <row r="2042" spans="1:11" x14ac:dyDescent="0.2">
      <c r="A2042" s="94">
        <v>2021</v>
      </c>
      <c r="B2042" s="95" t="s">
        <v>66</v>
      </c>
      <c r="C2042" s="95" t="s">
        <v>41</v>
      </c>
      <c r="D2042" s="95" t="s">
        <v>42</v>
      </c>
      <c r="E2042" s="95" t="s">
        <v>67</v>
      </c>
      <c r="F2042" s="95" t="s">
        <v>67</v>
      </c>
      <c r="G2042" s="96">
        <v>4561149107</v>
      </c>
      <c r="H2042" s="95"/>
      <c r="K2042" s="97"/>
    </row>
    <row r="2043" spans="1:11" x14ac:dyDescent="0.2">
      <c r="A2043" s="91">
        <v>2021</v>
      </c>
      <c r="B2043" s="92" t="s">
        <v>66</v>
      </c>
      <c r="C2043" s="92" t="s">
        <v>41</v>
      </c>
      <c r="D2043" s="92" t="s">
        <v>42</v>
      </c>
      <c r="E2043" s="92" t="s">
        <v>69</v>
      </c>
      <c r="F2043" s="92" t="s">
        <v>71</v>
      </c>
      <c r="G2043" s="93">
        <v>707657423</v>
      </c>
      <c r="H2043" s="92"/>
      <c r="K2043" s="97"/>
    </row>
    <row r="2044" spans="1:11" x14ac:dyDescent="0.2">
      <c r="A2044" s="94">
        <v>2021</v>
      </c>
      <c r="B2044" s="95" t="s">
        <v>66</v>
      </c>
      <c r="C2044" s="95" t="s">
        <v>41</v>
      </c>
      <c r="D2044" s="95" t="s">
        <v>42</v>
      </c>
      <c r="E2044" s="95" t="s">
        <v>69</v>
      </c>
      <c r="F2044" s="95" t="s">
        <v>70</v>
      </c>
      <c r="G2044" s="96">
        <v>2244004809</v>
      </c>
      <c r="H2044" s="95"/>
      <c r="K2044" s="97"/>
    </row>
    <row r="2045" spans="1:11" x14ac:dyDescent="0.2">
      <c r="A2045" s="91">
        <v>2021</v>
      </c>
      <c r="B2045" s="92" t="s">
        <v>66</v>
      </c>
      <c r="C2045" s="92" t="s">
        <v>41</v>
      </c>
      <c r="D2045" s="92" t="s">
        <v>43</v>
      </c>
      <c r="E2045" s="92" t="s">
        <v>67</v>
      </c>
      <c r="F2045" s="92" t="s">
        <v>67</v>
      </c>
      <c r="G2045" s="93">
        <v>3439849020</v>
      </c>
      <c r="H2045" s="92"/>
      <c r="K2045" s="97"/>
    </row>
    <row r="2046" spans="1:11" x14ac:dyDescent="0.2">
      <c r="A2046" s="94">
        <v>2021</v>
      </c>
      <c r="B2046" s="95" t="s">
        <v>66</v>
      </c>
      <c r="C2046" s="95" t="s">
        <v>41</v>
      </c>
      <c r="D2046" s="95" t="s">
        <v>43</v>
      </c>
      <c r="E2046" s="95" t="s">
        <v>69</v>
      </c>
      <c r="F2046" s="95" t="s">
        <v>71</v>
      </c>
      <c r="G2046" s="96">
        <v>923491422</v>
      </c>
      <c r="H2046" s="95"/>
      <c r="K2046" s="97"/>
    </row>
    <row r="2047" spans="1:11" x14ac:dyDescent="0.2">
      <c r="A2047" s="91">
        <v>2021</v>
      </c>
      <c r="B2047" s="92" t="s">
        <v>66</v>
      </c>
      <c r="C2047" s="92" t="s">
        <v>41</v>
      </c>
      <c r="D2047" s="92" t="s">
        <v>43</v>
      </c>
      <c r="E2047" s="92" t="s">
        <v>69</v>
      </c>
      <c r="F2047" s="92" t="s">
        <v>70</v>
      </c>
      <c r="G2047" s="93">
        <v>1091099803</v>
      </c>
      <c r="H2047" s="92"/>
      <c r="K2047" s="97"/>
    </row>
    <row r="2048" spans="1:11" x14ac:dyDescent="0.2">
      <c r="A2048" s="94">
        <v>2021</v>
      </c>
      <c r="B2048" s="95" t="s">
        <v>66</v>
      </c>
      <c r="C2048" s="95" t="s">
        <v>41</v>
      </c>
      <c r="D2048" s="95" t="s">
        <v>44</v>
      </c>
      <c r="E2048" s="95" t="s">
        <v>67</v>
      </c>
      <c r="F2048" s="95" t="s">
        <v>67</v>
      </c>
      <c r="G2048" s="96">
        <v>4231019362</v>
      </c>
      <c r="H2048" s="95"/>
      <c r="K2048" s="97"/>
    </row>
    <row r="2049" spans="1:11" x14ac:dyDescent="0.2">
      <c r="A2049" s="91">
        <v>2021</v>
      </c>
      <c r="B2049" s="92" t="s">
        <v>66</v>
      </c>
      <c r="C2049" s="92" t="s">
        <v>41</v>
      </c>
      <c r="D2049" s="92" t="s">
        <v>44</v>
      </c>
      <c r="E2049" s="92" t="s">
        <v>69</v>
      </c>
      <c r="F2049" s="92" t="s">
        <v>71</v>
      </c>
      <c r="G2049" s="93">
        <v>1506231450</v>
      </c>
      <c r="H2049" s="92"/>
      <c r="K2049" s="97"/>
    </row>
    <row r="2050" spans="1:11" x14ac:dyDescent="0.2">
      <c r="A2050" s="94">
        <v>2021</v>
      </c>
      <c r="B2050" s="95" t="s">
        <v>66</v>
      </c>
      <c r="C2050" s="95" t="s">
        <v>41</v>
      </c>
      <c r="D2050" s="95" t="s">
        <v>44</v>
      </c>
      <c r="E2050" s="95" t="s">
        <v>69</v>
      </c>
      <c r="F2050" s="95" t="s">
        <v>70</v>
      </c>
      <c r="G2050" s="96">
        <v>1377359005</v>
      </c>
      <c r="H2050" s="95"/>
      <c r="K2050" s="97"/>
    </row>
    <row r="2051" spans="1:11" x14ac:dyDescent="0.2">
      <c r="A2051" s="91">
        <v>2021</v>
      </c>
      <c r="B2051" s="92" t="s">
        <v>66</v>
      </c>
      <c r="C2051" s="92" t="s">
        <v>41</v>
      </c>
      <c r="D2051" s="92" t="s">
        <v>45</v>
      </c>
      <c r="E2051" s="92" t="s">
        <v>67</v>
      </c>
      <c r="F2051" s="92" t="s">
        <v>67</v>
      </c>
      <c r="G2051" s="93">
        <v>10891714658</v>
      </c>
      <c r="H2051" s="92"/>
      <c r="K2051" s="97"/>
    </row>
    <row r="2052" spans="1:11" x14ac:dyDescent="0.2">
      <c r="A2052" s="94">
        <v>2021</v>
      </c>
      <c r="B2052" s="95" t="s">
        <v>66</v>
      </c>
      <c r="C2052" s="95" t="s">
        <v>41</v>
      </c>
      <c r="D2052" s="95" t="s">
        <v>45</v>
      </c>
      <c r="E2052" s="95" t="s">
        <v>69</v>
      </c>
      <c r="F2052" s="95" t="s">
        <v>71</v>
      </c>
      <c r="G2052" s="96">
        <v>3443036641</v>
      </c>
      <c r="H2052" s="95"/>
      <c r="K2052" s="97"/>
    </row>
    <row r="2053" spans="1:11" x14ac:dyDescent="0.2">
      <c r="A2053" s="91">
        <v>2021</v>
      </c>
      <c r="B2053" s="92" t="s">
        <v>66</v>
      </c>
      <c r="C2053" s="92" t="s">
        <v>41</v>
      </c>
      <c r="D2053" s="92" t="s">
        <v>45</v>
      </c>
      <c r="E2053" s="92" t="s">
        <v>69</v>
      </c>
      <c r="F2053" s="92" t="s">
        <v>70</v>
      </c>
      <c r="G2053" s="93">
        <v>5683378981</v>
      </c>
      <c r="H2053" s="92"/>
      <c r="K2053" s="97"/>
    </row>
    <row r="2054" spans="1:11" x14ac:dyDescent="0.2">
      <c r="A2054" s="94">
        <v>2021</v>
      </c>
      <c r="B2054" s="95" t="s">
        <v>66</v>
      </c>
      <c r="C2054" s="95" t="s">
        <v>47</v>
      </c>
      <c r="D2054" s="95" t="s">
        <v>46</v>
      </c>
      <c r="E2054" s="95" t="s">
        <v>72</v>
      </c>
      <c r="F2054" s="95" t="s">
        <v>73</v>
      </c>
      <c r="G2054" s="96">
        <v>5721941494</v>
      </c>
      <c r="H2054" s="95"/>
      <c r="K2054" s="97"/>
    </row>
    <row r="2055" spans="1:11" x14ac:dyDescent="0.2">
      <c r="A2055" s="91">
        <v>2021</v>
      </c>
      <c r="B2055" s="92" t="s">
        <v>66</v>
      </c>
      <c r="C2055" s="92" t="s">
        <v>47</v>
      </c>
      <c r="D2055" s="92" t="s">
        <v>46</v>
      </c>
      <c r="E2055" s="92" t="s">
        <v>67</v>
      </c>
      <c r="F2055" s="92" t="s">
        <v>74</v>
      </c>
      <c r="G2055" s="93">
        <v>1381302295</v>
      </c>
      <c r="H2055" s="92"/>
      <c r="K2055" s="97"/>
    </row>
    <row r="2056" spans="1:11" x14ac:dyDescent="0.2">
      <c r="A2056" s="94">
        <v>2021</v>
      </c>
      <c r="B2056" s="95" t="s">
        <v>66</v>
      </c>
      <c r="C2056" s="95" t="s">
        <v>47</v>
      </c>
      <c r="D2056" s="95" t="s">
        <v>46</v>
      </c>
      <c r="E2056" s="95" t="s">
        <v>69</v>
      </c>
      <c r="F2056" s="95" t="s">
        <v>71</v>
      </c>
      <c r="G2056" s="96">
        <v>3975668896</v>
      </c>
      <c r="H2056" s="95"/>
      <c r="K2056" s="97"/>
    </row>
    <row r="2057" spans="1:11" x14ac:dyDescent="0.2">
      <c r="A2057" s="91">
        <v>2021</v>
      </c>
      <c r="B2057" s="92" t="s">
        <v>66</v>
      </c>
      <c r="C2057" s="92" t="s">
        <v>47</v>
      </c>
      <c r="D2057" s="92" t="s">
        <v>46</v>
      </c>
      <c r="E2057" s="92" t="s">
        <v>69</v>
      </c>
      <c r="F2057" s="92" t="s">
        <v>70</v>
      </c>
      <c r="G2057" s="93">
        <v>4768089696</v>
      </c>
      <c r="H2057" s="92"/>
      <c r="K2057" s="97"/>
    </row>
    <row r="2058" spans="1:11" x14ac:dyDescent="0.2">
      <c r="A2058" s="94">
        <v>2021</v>
      </c>
      <c r="B2058" s="95" t="s">
        <v>66</v>
      </c>
      <c r="C2058" s="95" t="s">
        <v>47</v>
      </c>
      <c r="D2058" s="95" t="s">
        <v>48</v>
      </c>
      <c r="E2058" s="95" t="s">
        <v>72</v>
      </c>
      <c r="F2058" s="95" t="s">
        <v>73</v>
      </c>
      <c r="G2058" s="96">
        <v>63845616683</v>
      </c>
      <c r="H2058" s="95"/>
      <c r="K2058" s="97"/>
    </row>
    <row r="2059" spans="1:11" x14ac:dyDescent="0.2">
      <c r="A2059" s="91">
        <v>2021</v>
      </c>
      <c r="B2059" s="92" t="s">
        <v>66</v>
      </c>
      <c r="C2059" s="92" t="s">
        <v>47</v>
      </c>
      <c r="D2059" s="92" t="s">
        <v>48</v>
      </c>
      <c r="E2059" s="92" t="s">
        <v>67</v>
      </c>
      <c r="F2059" s="92" t="s">
        <v>74</v>
      </c>
      <c r="G2059" s="93">
        <v>33480458169</v>
      </c>
      <c r="H2059" s="92"/>
      <c r="K2059" s="97"/>
    </row>
    <row r="2060" spans="1:11" x14ac:dyDescent="0.2">
      <c r="A2060" s="94">
        <v>2021</v>
      </c>
      <c r="B2060" s="95" t="s">
        <v>66</v>
      </c>
      <c r="C2060" s="95" t="s">
        <v>47</v>
      </c>
      <c r="D2060" s="95" t="s">
        <v>48</v>
      </c>
      <c r="E2060" s="95" t="s">
        <v>69</v>
      </c>
      <c r="F2060" s="95" t="s">
        <v>71</v>
      </c>
      <c r="G2060" s="96">
        <v>65982013184</v>
      </c>
      <c r="H2060" s="95"/>
      <c r="K2060" s="97"/>
    </row>
    <row r="2061" spans="1:11" x14ac:dyDescent="0.2">
      <c r="A2061" s="91">
        <v>2021</v>
      </c>
      <c r="B2061" s="92" t="s">
        <v>66</v>
      </c>
      <c r="C2061" s="92" t="s">
        <v>47</v>
      </c>
      <c r="D2061" s="92" t="s">
        <v>48</v>
      </c>
      <c r="E2061" s="92" t="s">
        <v>69</v>
      </c>
      <c r="F2061" s="92" t="s">
        <v>70</v>
      </c>
      <c r="G2061" s="93">
        <v>117684379994</v>
      </c>
      <c r="H2061" s="92"/>
      <c r="K2061" s="97"/>
    </row>
    <row r="2062" spans="1:11" x14ac:dyDescent="0.2">
      <c r="A2062" s="94">
        <v>2022</v>
      </c>
      <c r="B2062" s="95" t="s">
        <v>66</v>
      </c>
      <c r="C2062" s="95" t="s">
        <v>4</v>
      </c>
      <c r="D2062" s="95" t="s">
        <v>3</v>
      </c>
      <c r="E2062" s="95" t="s">
        <v>67</v>
      </c>
      <c r="F2062" s="95" t="s">
        <v>67</v>
      </c>
      <c r="G2062" s="96">
        <v>13036667811</v>
      </c>
      <c r="H2062" s="95"/>
      <c r="K2062" s="97"/>
    </row>
    <row r="2063" spans="1:11" x14ac:dyDescent="0.2">
      <c r="A2063" s="91">
        <v>2022</v>
      </c>
      <c r="B2063" s="92" t="s">
        <v>66</v>
      </c>
      <c r="C2063" s="92" t="s">
        <v>4</v>
      </c>
      <c r="D2063" s="92" t="s">
        <v>3</v>
      </c>
      <c r="E2063" s="92" t="s">
        <v>69</v>
      </c>
      <c r="F2063" s="92" t="s">
        <v>71</v>
      </c>
      <c r="G2063" s="93">
        <v>5361592621</v>
      </c>
      <c r="H2063" s="92"/>
      <c r="K2063" s="97"/>
    </row>
    <row r="2064" spans="1:11" x14ac:dyDescent="0.2">
      <c r="A2064" s="94">
        <v>2022</v>
      </c>
      <c r="B2064" s="95" t="s">
        <v>66</v>
      </c>
      <c r="C2064" s="95" t="s">
        <v>4</v>
      </c>
      <c r="D2064" s="95" t="s">
        <v>3</v>
      </c>
      <c r="E2064" s="95" t="s">
        <v>69</v>
      </c>
      <c r="F2064" s="95" t="s">
        <v>70</v>
      </c>
      <c r="G2064" s="96">
        <v>11063249217</v>
      </c>
      <c r="H2064" s="95"/>
      <c r="K2064" s="97"/>
    </row>
    <row r="2065" spans="1:11" x14ac:dyDescent="0.2">
      <c r="A2065" s="91">
        <v>2022</v>
      </c>
      <c r="B2065" s="92" t="s">
        <v>66</v>
      </c>
      <c r="C2065" s="92" t="s">
        <v>4</v>
      </c>
      <c r="D2065" s="92" t="s">
        <v>5</v>
      </c>
      <c r="E2065" s="92" t="s">
        <v>67</v>
      </c>
      <c r="F2065" s="92" t="s">
        <v>67</v>
      </c>
      <c r="G2065" s="93">
        <v>29010156863</v>
      </c>
      <c r="H2065" s="92"/>
      <c r="K2065" s="97"/>
    </row>
    <row r="2066" spans="1:11" x14ac:dyDescent="0.2">
      <c r="A2066" s="94">
        <v>2022</v>
      </c>
      <c r="B2066" s="95" t="s">
        <v>66</v>
      </c>
      <c r="C2066" s="95" t="s">
        <v>4</v>
      </c>
      <c r="D2066" s="95" t="s">
        <v>5</v>
      </c>
      <c r="E2066" s="95" t="s">
        <v>69</v>
      </c>
      <c r="F2066" s="95" t="s">
        <v>71</v>
      </c>
      <c r="G2066" s="96">
        <v>31225214470</v>
      </c>
      <c r="H2066" s="95"/>
      <c r="K2066" s="97"/>
    </row>
    <row r="2067" spans="1:11" x14ac:dyDescent="0.2">
      <c r="A2067" s="91">
        <v>2022</v>
      </c>
      <c r="B2067" s="92" t="s">
        <v>66</v>
      </c>
      <c r="C2067" s="92" t="s">
        <v>4</v>
      </c>
      <c r="D2067" s="92" t="s">
        <v>5</v>
      </c>
      <c r="E2067" s="92" t="s">
        <v>69</v>
      </c>
      <c r="F2067" s="92" t="s">
        <v>70</v>
      </c>
      <c r="G2067" s="93">
        <v>29270105325</v>
      </c>
      <c r="H2067" s="92"/>
      <c r="K2067" s="97"/>
    </row>
    <row r="2068" spans="1:11" x14ac:dyDescent="0.2">
      <c r="A2068" s="94">
        <v>2022</v>
      </c>
      <c r="B2068" s="95" t="s">
        <v>66</v>
      </c>
      <c r="C2068" s="95" t="s">
        <v>4</v>
      </c>
      <c r="D2068" s="95" t="s">
        <v>6</v>
      </c>
      <c r="E2068" s="95" t="s">
        <v>67</v>
      </c>
      <c r="F2068" s="95" t="s">
        <v>67</v>
      </c>
      <c r="G2068" s="96">
        <v>3002000443</v>
      </c>
      <c r="H2068" s="95"/>
      <c r="K2068" s="97"/>
    </row>
    <row r="2069" spans="1:11" x14ac:dyDescent="0.2">
      <c r="A2069" s="91">
        <v>2022</v>
      </c>
      <c r="B2069" s="92" t="s">
        <v>66</v>
      </c>
      <c r="C2069" s="92" t="s">
        <v>4</v>
      </c>
      <c r="D2069" s="92" t="s">
        <v>6</v>
      </c>
      <c r="E2069" s="92" t="s">
        <v>69</v>
      </c>
      <c r="F2069" s="92" t="s">
        <v>71</v>
      </c>
      <c r="G2069" s="93">
        <v>717051335</v>
      </c>
      <c r="H2069" s="92"/>
      <c r="K2069" s="97"/>
    </row>
    <row r="2070" spans="1:11" x14ac:dyDescent="0.2">
      <c r="A2070" s="94">
        <v>2022</v>
      </c>
      <c r="B2070" s="95" t="s">
        <v>66</v>
      </c>
      <c r="C2070" s="95" t="s">
        <v>4</v>
      </c>
      <c r="D2070" s="95" t="s">
        <v>6</v>
      </c>
      <c r="E2070" s="95" t="s">
        <v>69</v>
      </c>
      <c r="F2070" s="95" t="s">
        <v>70</v>
      </c>
      <c r="G2070" s="96">
        <v>501014074</v>
      </c>
      <c r="H2070" s="95"/>
      <c r="K2070" s="97"/>
    </row>
    <row r="2071" spans="1:11" x14ac:dyDescent="0.2">
      <c r="A2071" s="91">
        <v>2022</v>
      </c>
      <c r="B2071" s="92" t="s">
        <v>66</v>
      </c>
      <c r="C2071" s="92" t="s">
        <v>4</v>
      </c>
      <c r="D2071" s="92" t="s">
        <v>7</v>
      </c>
      <c r="E2071" s="92" t="s">
        <v>67</v>
      </c>
      <c r="F2071" s="92" t="s">
        <v>67</v>
      </c>
      <c r="G2071" s="93">
        <v>15554061326</v>
      </c>
      <c r="H2071" s="92"/>
      <c r="K2071" s="97"/>
    </row>
    <row r="2072" spans="1:11" x14ac:dyDescent="0.2">
      <c r="A2072" s="94">
        <v>2022</v>
      </c>
      <c r="B2072" s="95" t="s">
        <v>66</v>
      </c>
      <c r="C2072" s="95" t="s">
        <v>4</v>
      </c>
      <c r="D2072" s="95" t="s">
        <v>7</v>
      </c>
      <c r="E2072" s="95" t="s">
        <v>69</v>
      </c>
      <c r="F2072" s="95" t="s">
        <v>71</v>
      </c>
      <c r="G2072" s="96">
        <v>10067518272</v>
      </c>
      <c r="H2072" s="95"/>
      <c r="K2072" s="97"/>
    </row>
    <row r="2073" spans="1:11" x14ac:dyDescent="0.2">
      <c r="A2073" s="91">
        <v>2022</v>
      </c>
      <c r="B2073" s="92" t="s">
        <v>66</v>
      </c>
      <c r="C2073" s="92" t="s">
        <v>4</v>
      </c>
      <c r="D2073" s="92" t="s">
        <v>7</v>
      </c>
      <c r="E2073" s="92" t="s">
        <v>69</v>
      </c>
      <c r="F2073" s="92" t="s">
        <v>70</v>
      </c>
      <c r="G2073" s="93">
        <v>8260008169</v>
      </c>
      <c r="H2073" s="92"/>
      <c r="K2073" s="97"/>
    </row>
    <row r="2074" spans="1:11" x14ac:dyDescent="0.2">
      <c r="A2074" s="94">
        <v>2022</v>
      </c>
      <c r="B2074" s="95" t="s">
        <v>66</v>
      </c>
      <c r="C2074" s="95" t="s">
        <v>4</v>
      </c>
      <c r="D2074" s="95" t="s">
        <v>8</v>
      </c>
      <c r="E2074" s="95" t="s">
        <v>67</v>
      </c>
      <c r="F2074" s="95" t="s">
        <v>67</v>
      </c>
      <c r="G2074" s="96">
        <v>3758081631</v>
      </c>
      <c r="H2074" s="95"/>
      <c r="K2074" s="97"/>
    </row>
    <row r="2075" spans="1:11" x14ac:dyDescent="0.2">
      <c r="A2075" s="91">
        <v>2022</v>
      </c>
      <c r="B2075" s="92" t="s">
        <v>66</v>
      </c>
      <c r="C2075" s="92" t="s">
        <v>4</v>
      </c>
      <c r="D2075" s="92" t="s">
        <v>8</v>
      </c>
      <c r="E2075" s="92" t="s">
        <v>69</v>
      </c>
      <c r="F2075" s="92" t="s">
        <v>71</v>
      </c>
      <c r="G2075" s="93">
        <v>3157773947</v>
      </c>
      <c r="H2075" s="92"/>
      <c r="K2075" s="97"/>
    </row>
    <row r="2076" spans="1:11" x14ac:dyDescent="0.2">
      <c r="A2076" s="94">
        <v>2022</v>
      </c>
      <c r="B2076" s="95" t="s">
        <v>66</v>
      </c>
      <c r="C2076" s="95" t="s">
        <v>4</v>
      </c>
      <c r="D2076" s="95" t="s">
        <v>8</v>
      </c>
      <c r="E2076" s="95" t="s">
        <v>69</v>
      </c>
      <c r="F2076" s="95" t="s">
        <v>70</v>
      </c>
      <c r="G2076" s="96">
        <v>1225977682</v>
      </c>
      <c r="H2076" s="95"/>
      <c r="K2076" s="97"/>
    </row>
    <row r="2077" spans="1:11" x14ac:dyDescent="0.2">
      <c r="A2077" s="91">
        <v>2022</v>
      </c>
      <c r="B2077" s="92" t="s">
        <v>66</v>
      </c>
      <c r="C2077" s="92" t="s">
        <v>4</v>
      </c>
      <c r="D2077" s="92" t="s">
        <v>9</v>
      </c>
      <c r="E2077" s="92" t="s">
        <v>67</v>
      </c>
      <c r="F2077" s="92" t="s">
        <v>67</v>
      </c>
      <c r="G2077" s="93">
        <v>29613786916</v>
      </c>
      <c r="H2077" s="92"/>
      <c r="K2077" s="97"/>
    </row>
    <row r="2078" spans="1:11" x14ac:dyDescent="0.2">
      <c r="A2078" s="94">
        <v>2022</v>
      </c>
      <c r="B2078" s="95" t="s">
        <v>66</v>
      </c>
      <c r="C2078" s="95" t="s">
        <v>4</v>
      </c>
      <c r="D2078" s="95" t="s">
        <v>9</v>
      </c>
      <c r="E2078" s="95" t="s">
        <v>69</v>
      </c>
      <c r="F2078" s="95" t="s">
        <v>71</v>
      </c>
      <c r="G2078" s="96">
        <v>14492063898</v>
      </c>
      <c r="H2078" s="95"/>
      <c r="K2078" s="97"/>
    </row>
    <row r="2079" spans="1:11" x14ac:dyDescent="0.2">
      <c r="A2079" s="91">
        <v>2022</v>
      </c>
      <c r="B2079" s="92" t="s">
        <v>66</v>
      </c>
      <c r="C2079" s="92" t="s">
        <v>4</v>
      </c>
      <c r="D2079" s="92" t="s">
        <v>9</v>
      </c>
      <c r="E2079" s="92" t="s">
        <v>69</v>
      </c>
      <c r="F2079" s="92" t="s">
        <v>70</v>
      </c>
      <c r="G2079" s="93">
        <v>18675898437</v>
      </c>
      <c r="H2079" s="92"/>
      <c r="K2079" s="97"/>
    </row>
    <row r="2080" spans="1:11" x14ac:dyDescent="0.2">
      <c r="A2080" s="94">
        <v>2022</v>
      </c>
      <c r="B2080" s="95" t="s">
        <v>66</v>
      </c>
      <c r="C2080" s="95" t="s">
        <v>4</v>
      </c>
      <c r="D2080" s="95" t="s">
        <v>10</v>
      </c>
      <c r="E2080" s="95" t="s">
        <v>67</v>
      </c>
      <c r="F2080" s="95" t="s">
        <v>67</v>
      </c>
      <c r="G2080" s="96">
        <v>232718340</v>
      </c>
      <c r="H2080" s="95"/>
      <c r="K2080" s="97"/>
    </row>
    <row r="2081" spans="1:11" x14ac:dyDescent="0.2">
      <c r="A2081" s="91">
        <v>2022</v>
      </c>
      <c r="B2081" s="92" t="s">
        <v>66</v>
      </c>
      <c r="C2081" s="92" t="s">
        <v>4</v>
      </c>
      <c r="D2081" s="92" t="s">
        <v>10</v>
      </c>
      <c r="E2081" s="92" t="s">
        <v>69</v>
      </c>
      <c r="F2081" s="92" t="s">
        <v>71</v>
      </c>
      <c r="G2081" s="93">
        <v>204792139</v>
      </c>
      <c r="H2081" s="92"/>
      <c r="K2081" s="97"/>
    </row>
    <row r="2082" spans="1:11" x14ac:dyDescent="0.2">
      <c r="A2082" s="94">
        <v>2022</v>
      </c>
      <c r="B2082" s="95" t="s">
        <v>66</v>
      </c>
      <c r="C2082" s="95" t="s">
        <v>4</v>
      </c>
      <c r="D2082" s="95" t="s">
        <v>10</v>
      </c>
      <c r="E2082" s="95" t="s">
        <v>69</v>
      </c>
      <c r="F2082" s="95" t="s">
        <v>70</v>
      </c>
      <c r="G2082" s="96">
        <v>27926201</v>
      </c>
      <c r="H2082" s="95"/>
      <c r="K2082" s="97"/>
    </row>
    <row r="2083" spans="1:11" x14ac:dyDescent="0.2">
      <c r="A2083" s="91">
        <v>2022</v>
      </c>
      <c r="B2083" s="92" t="s">
        <v>66</v>
      </c>
      <c r="C2083" s="92" t="s">
        <v>4</v>
      </c>
      <c r="D2083" s="92" t="s">
        <v>11</v>
      </c>
      <c r="E2083" s="92" t="s">
        <v>67</v>
      </c>
      <c r="F2083" s="92" t="s">
        <v>67</v>
      </c>
      <c r="G2083" s="93">
        <v>2698158322</v>
      </c>
      <c r="H2083" s="92"/>
      <c r="K2083" s="97"/>
    </row>
    <row r="2084" spans="1:11" x14ac:dyDescent="0.2">
      <c r="A2084" s="94">
        <v>2022</v>
      </c>
      <c r="B2084" s="95" t="s">
        <v>66</v>
      </c>
      <c r="C2084" s="95" t="s">
        <v>4</v>
      </c>
      <c r="D2084" s="95" t="s">
        <v>11</v>
      </c>
      <c r="E2084" s="95" t="s">
        <v>69</v>
      </c>
      <c r="F2084" s="95" t="s">
        <v>71</v>
      </c>
      <c r="G2084" s="96">
        <v>1533610757</v>
      </c>
      <c r="H2084" s="95"/>
      <c r="K2084" s="97"/>
    </row>
    <row r="2085" spans="1:11" x14ac:dyDescent="0.2">
      <c r="A2085" s="91">
        <v>2022</v>
      </c>
      <c r="B2085" s="92" t="s">
        <v>66</v>
      </c>
      <c r="C2085" s="92" t="s">
        <v>4</v>
      </c>
      <c r="D2085" s="92" t="s">
        <v>11</v>
      </c>
      <c r="E2085" s="92" t="s">
        <v>69</v>
      </c>
      <c r="F2085" s="92" t="s">
        <v>70</v>
      </c>
      <c r="G2085" s="93">
        <v>1833177471</v>
      </c>
      <c r="H2085" s="92"/>
      <c r="K2085" s="97"/>
    </row>
    <row r="2086" spans="1:11" x14ac:dyDescent="0.2">
      <c r="A2086" s="94">
        <v>2022</v>
      </c>
      <c r="B2086" s="95" t="s">
        <v>66</v>
      </c>
      <c r="C2086" s="95" t="s">
        <v>4</v>
      </c>
      <c r="D2086" s="95" t="s">
        <v>12</v>
      </c>
      <c r="E2086" s="95" t="s">
        <v>67</v>
      </c>
      <c r="F2086" s="95" t="s">
        <v>67</v>
      </c>
      <c r="G2086" s="96">
        <v>3859625680</v>
      </c>
      <c r="H2086" s="95"/>
      <c r="K2086" s="97"/>
    </row>
    <row r="2087" spans="1:11" x14ac:dyDescent="0.2">
      <c r="A2087" s="91">
        <v>2022</v>
      </c>
      <c r="B2087" s="92" t="s">
        <v>66</v>
      </c>
      <c r="C2087" s="92" t="s">
        <v>4</v>
      </c>
      <c r="D2087" s="92" t="s">
        <v>12</v>
      </c>
      <c r="E2087" s="92" t="s">
        <v>69</v>
      </c>
      <c r="F2087" s="92" t="s">
        <v>71</v>
      </c>
      <c r="G2087" s="93">
        <v>2912887082</v>
      </c>
      <c r="H2087" s="92"/>
      <c r="K2087" s="97"/>
    </row>
    <row r="2088" spans="1:11" x14ac:dyDescent="0.2">
      <c r="A2088" s="94">
        <v>2022</v>
      </c>
      <c r="B2088" s="95" t="s">
        <v>66</v>
      </c>
      <c r="C2088" s="95" t="s">
        <v>4</v>
      </c>
      <c r="D2088" s="95" t="s">
        <v>12</v>
      </c>
      <c r="E2088" s="95" t="s">
        <v>69</v>
      </c>
      <c r="F2088" s="95" t="s">
        <v>70</v>
      </c>
      <c r="G2088" s="96">
        <v>3522125261</v>
      </c>
      <c r="H2088" s="95"/>
      <c r="K2088" s="97"/>
    </row>
    <row r="2089" spans="1:11" x14ac:dyDescent="0.2">
      <c r="A2089" s="91">
        <v>2022</v>
      </c>
      <c r="B2089" s="92" t="s">
        <v>66</v>
      </c>
      <c r="C2089" s="92" t="s">
        <v>4</v>
      </c>
      <c r="D2089" s="92" t="s">
        <v>13</v>
      </c>
      <c r="E2089" s="92" t="s">
        <v>67</v>
      </c>
      <c r="F2089" s="92" t="s">
        <v>67</v>
      </c>
      <c r="G2089" s="93">
        <v>5628632527</v>
      </c>
      <c r="H2089" s="92"/>
      <c r="K2089" s="97"/>
    </row>
    <row r="2090" spans="1:11" x14ac:dyDescent="0.2">
      <c r="A2090" s="94">
        <v>2022</v>
      </c>
      <c r="B2090" s="95" t="s">
        <v>66</v>
      </c>
      <c r="C2090" s="95" t="s">
        <v>4</v>
      </c>
      <c r="D2090" s="95" t="s">
        <v>13</v>
      </c>
      <c r="E2090" s="95" t="s">
        <v>69</v>
      </c>
      <c r="F2090" s="95" t="s">
        <v>71</v>
      </c>
      <c r="G2090" s="96">
        <v>2229776516</v>
      </c>
      <c r="H2090" s="95"/>
      <c r="K2090" s="97"/>
    </row>
    <row r="2091" spans="1:11" x14ac:dyDescent="0.2">
      <c r="A2091" s="91">
        <v>2022</v>
      </c>
      <c r="B2091" s="92" t="s">
        <v>66</v>
      </c>
      <c r="C2091" s="92" t="s">
        <v>4</v>
      </c>
      <c r="D2091" s="92" t="s">
        <v>13</v>
      </c>
      <c r="E2091" s="92" t="s">
        <v>69</v>
      </c>
      <c r="F2091" s="92" t="s">
        <v>70</v>
      </c>
      <c r="G2091" s="93">
        <v>4148703950</v>
      </c>
      <c r="H2091" s="92"/>
      <c r="K2091" s="97"/>
    </row>
    <row r="2092" spans="1:11" x14ac:dyDescent="0.2">
      <c r="A2092" s="94">
        <v>2022</v>
      </c>
      <c r="B2092" s="95" t="s">
        <v>66</v>
      </c>
      <c r="C2092" s="95" t="s">
        <v>4</v>
      </c>
      <c r="D2092" s="95" t="s">
        <v>14</v>
      </c>
      <c r="E2092" s="95" t="s">
        <v>67</v>
      </c>
      <c r="F2092" s="95" t="s">
        <v>67</v>
      </c>
      <c r="G2092" s="96">
        <v>2119646748</v>
      </c>
      <c r="H2092" s="95"/>
      <c r="K2092" s="97"/>
    </row>
    <row r="2093" spans="1:11" x14ac:dyDescent="0.2">
      <c r="A2093" s="91">
        <v>2022</v>
      </c>
      <c r="B2093" s="92" t="s">
        <v>66</v>
      </c>
      <c r="C2093" s="92" t="s">
        <v>4</v>
      </c>
      <c r="D2093" s="92" t="s">
        <v>14</v>
      </c>
      <c r="E2093" s="92" t="s">
        <v>69</v>
      </c>
      <c r="F2093" s="92" t="s">
        <v>71</v>
      </c>
      <c r="G2093" s="93">
        <v>359617044</v>
      </c>
      <c r="H2093" s="92"/>
      <c r="K2093" s="97"/>
    </row>
    <row r="2094" spans="1:11" x14ac:dyDescent="0.2">
      <c r="A2094" s="94">
        <v>2022</v>
      </c>
      <c r="B2094" s="95" t="s">
        <v>66</v>
      </c>
      <c r="C2094" s="95" t="s">
        <v>4</v>
      </c>
      <c r="D2094" s="95" t="s">
        <v>14</v>
      </c>
      <c r="E2094" s="95" t="s">
        <v>69</v>
      </c>
      <c r="F2094" s="95" t="s">
        <v>70</v>
      </c>
      <c r="G2094" s="96">
        <v>1436710198</v>
      </c>
      <c r="H2094" s="95"/>
      <c r="K2094" s="97"/>
    </row>
    <row r="2095" spans="1:11" x14ac:dyDescent="0.2">
      <c r="A2095" s="91">
        <v>2022</v>
      </c>
      <c r="B2095" s="92" t="s">
        <v>66</v>
      </c>
      <c r="C2095" s="92" t="s">
        <v>4</v>
      </c>
      <c r="D2095" s="92" t="s">
        <v>15</v>
      </c>
      <c r="E2095" s="92" t="s">
        <v>67</v>
      </c>
      <c r="F2095" s="92" t="s">
        <v>67</v>
      </c>
      <c r="G2095" s="93">
        <v>3406795700</v>
      </c>
      <c r="H2095" s="92"/>
      <c r="K2095" s="97"/>
    </row>
    <row r="2096" spans="1:11" x14ac:dyDescent="0.2">
      <c r="A2096" s="94">
        <v>2022</v>
      </c>
      <c r="B2096" s="95" t="s">
        <v>66</v>
      </c>
      <c r="C2096" s="95" t="s">
        <v>4</v>
      </c>
      <c r="D2096" s="95" t="s">
        <v>15</v>
      </c>
      <c r="E2096" s="95" t="s">
        <v>69</v>
      </c>
      <c r="F2096" s="95" t="s">
        <v>71</v>
      </c>
      <c r="G2096" s="96">
        <v>2424866835</v>
      </c>
      <c r="H2096" s="95"/>
      <c r="K2096" s="97"/>
    </row>
    <row r="2097" spans="1:11" x14ac:dyDescent="0.2">
      <c r="A2097" s="91">
        <v>2022</v>
      </c>
      <c r="B2097" s="92" t="s">
        <v>66</v>
      </c>
      <c r="C2097" s="92" t="s">
        <v>4</v>
      </c>
      <c r="D2097" s="92" t="s">
        <v>15</v>
      </c>
      <c r="E2097" s="92" t="s">
        <v>69</v>
      </c>
      <c r="F2097" s="92" t="s">
        <v>70</v>
      </c>
      <c r="G2097" s="93">
        <v>1094146421</v>
      </c>
      <c r="H2097" s="92"/>
      <c r="K2097" s="97"/>
    </row>
    <row r="2098" spans="1:11" x14ac:dyDescent="0.2">
      <c r="A2098" s="94">
        <v>2022</v>
      </c>
      <c r="B2098" s="95" t="s">
        <v>66</v>
      </c>
      <c r="C2098" s="95" t="s">
        <v>17</v>
      </c>
      <c r="D2098" s="95" t="s">
        <v>16</v>
      </c>
      <c r="E2098" s="95" t="s">
        <v>67</v>
      </c>
      <c r="F2098" s="95" t="s">
        <v>67</v>
      </c>
      <c r="G2098" s="96">
        <v>605525740</v>
      </c>
      <c r="H2098" s="95"/>
      <c r="K2098" s="97"/>
    </row>
    <row r="2099" spans="1:11" x14ac:dyDescent="0.2">
      <c r="A2099" s="91">
        <v>2022</v>
      </c>
      <c r="B2099" s="92" t="s">
        <v>66</v>
      </c>
      <c r="C2099" s="92" t="s">
        <v>17</v>
      </c>
      <c r="D2099" s="92" t="s">
        <v>16</v>
      </c>
      <c r="E2099" s="92" t="s">
        <v>69</v>
      </c>
      <c r="F2099" s="92" t="s">
        <v>71</v>
      </c>
      <c r="G2099" s="93">
        <v>338524893</v>
      </c>
      <c r="H2099" s="92"/>
      <c r="K2099" s="97"/>
    </row>
    <row r="2100" spans="1:11" x14ac:dyDescent="0.2">
      <c r="A2100" s="94">
        <v>2022</v>
      </c>
      <c r="B2100" s="95" t="s">
        <v>66</v>
      </c>
      <c r="C2100" s="95" t="s">
        <v>17</v>
      </c>
      <c r="D2100" s="95" t="s">
        <v>16</v>
      </c>
      <c r="E2100" s="95" t="s">
        <v>69</v>
      </c>
      <c r="F2100" s="95" t="s">
        <v>70</v>
      </c>
      <c r="G2100" s="96">
        <v>139070822</v>
      </c>
      <c r="H2100" s="95"/>
      <c r="K2100" s="97"/>
    </row>
    <row r="2101" spans="1:11" x14ac:dyDescent="0.2">
      <c r="A2101" s="91">
        <v>2022</v>
      </c>
      <c r="B2101" s="92" t="s">
        <v>66</v>
      </c>
      <c r="C2101" s="92" t="s">
        <v>17</v>
      </c>
      <c r="D2101" s="92" t="s">
        <v>18</v>
      </c>
      <c r="E2101" s="92" t="s">
        <v>67</v>
      </c>
      <c r="F2101" s="92" t="s">
        <v>67</v>
      </c>
      <c r="G2101" s="93">
        <v>1191307108</v>
      </c>
      <c r="H2101" s="92"/>
      <c r="K2101" s="97"/>
    </row>
    <row r="2102" spans="1:11" x14ac:dyDescent="0.2">
      <c r="A2102" s="94">
        <v>2022</v>
      </c>
      <c r="B2102" s="95" t="s">
        <v>66</v>
      </c>
      <c r="C2102" s="95" t="s">
        <v>17</v>
      </c>
      <c r="D2102" s="95" t="s">
        <v>18</v>
      </c>
      <c r="E2102" s="95" t="s">
        <v>69</v>
      </c>
      <c r="F2102" s="95" t="s">
        <v>71</v>
      </c>
      <c r="G2102" s="96">
        <v>844377611</v>
      </c>
      <c r="H2102" s="95"/>
      <c r="K2102" s="97"/>
    </row>
    <row r="2103" spans="1:11" x14ac:dyDescent="0.2">
      <c r="A2103" s="91">
        <v>2022</v>
      </c>
      <c r="B2103" s="92" t="s">
        <v>66</v>
      </c>
      <c r="C2103" s="92" t="s">
        <v>17</v>
      </c>
      <c r="D2103" s="92" t="s">
        <v>18</v>
      </c>
      <c r="E2103" s="92" t="s">
        <v>69</v>
      </c>
      <c r="F2103" s="92" t="s">
        <v>70</v>
      </c>
      <c r="G2103" s="93">
        <v>1104647854</v>
      </c>
      <c r="H2103" s="92"/>
      <c r="K2103" s="97"/>
    </row>
    <row r="2104" spans="1:11" x14ac:dyDescent="0.2">
      <c r="A2104" s="94">
        <v>2022</v>
      </c>
      <c r="B2104" s="95" t="s">
        <v>66</v>
      </c>
      <c r="C2104" s="95" t="s">
        <v>17</v>
      </c>
      <c r="D2104" s="95" t="s">
        <v>19</v>
      </c>
      <c r="E2104" s="95" t="s">
        <v>67</v>
      </c>
      <c r="F2104" s="95" t="s">
        <v>67</v>
      </c>
      <c r="G2104" s="96">
        <v>3586155148</v>
      </c>
      <c r="H2104" s="95"/>
      <c r="K2104" s="97"/>
    </row>
    <row r="2105" spans="1:11" x14ac:dyDescent="0.2">
      <c r="A2105" s="91">
        <v>2022</v>
      </c>
      <c r="B2105" s="92" t="s">
        <v>66</v>
      </c>
      <c r="C2105" s="92" t="s">
        <v>17</v>
      </c>
      <c r="D2105" s="92" t="s">
        <v>19</v>
      </c>
      <c r="E2105" s="92" t="s">
        <v>69</v>
      </c>
      <c r="F2105" s="92" t="s">
        <v>71</v>
      </c>
      <c r="G2105" s="93">
        <v>2375790030</v>
      </c>
      <c r="H2105" s="92"/>
      <c r="K2105" s="97"/>
    </row>
    <row r="2106" spans="1:11" x14ac:dyDescent="0.2">
      <c r="A2106" s="94">
        <v>2022</v>
      </c>
      <c r="B2106" s="95" t="s">
        <v>66</v>
      </c>
      <c r="C2106" s="95" t="s">
        <v>17</v>
      </c>
      <c r="D2106" s="95" t="s">
        <v>19</v>
      </c>
      <c r="E2106" s="95" t="s">
        <v>69</v>
      </c>
      <c r="F2106" s="95" t="s">
        <v>70</v>
      </c>
      <c r="G2106" s="96">
        <v>1161054844</v>
      </c>
      <c r="H2106" s="95"/>
      <c r="K2106" s="97"/>
    </row>
    <row r="2107" spans="1:11" x14ac:dyDescent="0.2">
      <c r="A2107" s="91">
        <v>2022</v>
      </c>
      <c r="B2107" s="92" t="s">
        <v>66</v>
      </c>
      <c r="C2107" s="92" t="s">
        <v>17</v>
      </c>
      <c r="D2107" s="92" t="s">
        <v>20</v>
      </c>
      <c r="E2107" s="92" t="s">
        <v>67</v>
      </c>
      <c r="F2107" s="92" t="s">
        <v>67</v>
      </c>
      <c r="G2107" s="93">
        <v>527041125</v>
      </c>
      <c r="H2107" s="92"/>
      <c r="K2107" s="97"/>
    </row>
    <row r="2108" spans="1:11" x14ac:dyDescent="0.2">
      <c r="A2108" s="94">
        <v>2022</v>
      </c>
      <c r="B2108" s="95" t="s">
        <v>66</v>
      </c>
      <c r="C2108" s="95" t="s">
        <v>17</v>
      </c>
      <c r="D2108" s="95" t="s">
        <v>20</v>
      </c>
      <c r="E2108" s="95" t="s">
        <v>69</v>
      </c>
      <c r="F2108" s="95" t="s">
        <v>71</v>
      </c>
      <c r="G2108" s="96">
        <v>678581764</v>
      </c>
      <c r="H2108" s="95"/>
      <c r="K2108" s="97"/>
    </row>
    <row r="2109" spans="1:11" x14ac:dyDescent="0.2">
      <c r="A2109" s="91">
        <v>2022</v>
      </c>
      <c r="B2109" s="92" t="s">
        <v>66</v>
      </c>
      <c r="C2109" s="92" t="s">
        <v>17</v>
      </c>
      <c r="D2109" s="92" t="s">
        <v>20</v>
      </c>
      <c r="E2109" s="92" t="s">
        <v>69</v>
      </c>
      <c r="F2109" s="92" t="s">
        <v>70</v>
      </c>
      <c r="G2109" s="93">
        <v>3797163144</v>
      </c>
      <c r="H2109" s="92"/>
      <c r="K2109" s="97"/>
    </row>
    <row r="2110" spans="1:11" x14ac:dyDescent="0.2">
      <c r="A2110" s="94">
        <v>2022</v>
      </c>
      <c r="B2110" s="95" t="s">
        <v>66</v>
      </c>
      <c r="C2110" s="95" t="s">
        <v>17</v>
      </c>
      <c r="D2110" s="95" t="s">
        <v>21</v>
      </c>
      <c r="E2110" s="95" t="s">
        <v>67</v>
      </c>
      <c r="F2110" s="95" t="s">
        <v>67</v>
      </c>
      <c r="G2110" s="96">
        <v>2209696922</v>
      </c>
      <c r="H2110" s="95"/>
      <c r="K2110" s="97"/>
    </row>
    <row r="2111" spans="1:11" x14ac:dyDescent="0.2">
      <c r="A2111" s="91">
        <v>2022</v>
      </c>
      <c r="B2111" s="92" t="s">
        <v>66</v>
      </c>
      <c r="C2111" s="92" t="s">
        <v>17</v>
      </c>
      <c r="D2111" s="92" t="s">
        <v>21</v>
      </c>
      <c r="E2111" s="92" t="s">
        <v>69</v>
      </c>
      <c r="F2111" s="92" t="s">
        <v>71</v>
      </c>
      <c r="G2111" s="93">
        <v>1061643974</v>
      </c>
      <c r="H2111" s="92"/>
      <c r="K2111" s="97"/>
    </row>
    <row r="2112" spans="1:11" x14ac:dyDescent="0.2">
      <c r="A2112" s="94">
        <v>2022</v>
      </c>
      <c r="B2112" s="95" t="s">
        <v>66</v>
      </c>
      <c r="C2112" s="95" t="s">
        <v>17</v>
      </c>
      <c r="D2112" s="95" t="s">
        <v>21</v>
      </c>
      <c r="E2112" s="95" t="s">
        <v>69</v>
      </c>
      <c r="F2112" s="95" t="s">
        <v>70</v>
      </c>
      <c r="G2112" s="96">
        <v>1259618243</v>
      </c>
      <c r="H2112" s="95"/>
      <c r="K2112" s="97"/>
    </row>
    <row r="2113" spans="1:11" x14ac:dyDescent="0.2">
      <c r="A2113" s="91">
        <v>2022</v>
      </c>
      <c r="B2113" s="92" t="s">
        <v>66</v>
      </c>
      <c r="C2113" s="92" t="s">
        <v>17</v>
      </c>
      <c r="D2113" s="92" t="s">
        <v>22</v>
      </c>
      <c r="E2113" s="92" t="s">
        <v>67</v>
      </c>
      <c r="F2113" s="92" t="s">
        <v>67</v>
      </c>
      <c r="G2113" s="93">
        <v>764362465</v>
      </c>
      <c r="H2113" s="92"/>
      <c r="K2113" s="97"/>
    </row>
    <row r="2114" spans="1:11" x14ac:dyDescent="0.2">
      <c r="A2114" s="94">
        <v>2022</v>
      </c>
      <c r="B2114" s="95" t="s">
        <v>66</v>
      </c>
      <c r="C2114" s="95" t="s">
        <v>17</v>
      </c>
      <c r="D2114" s="95" t="s">
        <v>22</v>
      </c>
      <c r="E2114" s="95" t="s">
        <v>69</v>
      </c>
      <c r="F2114" s="95" t="s">
        <v>71</v>
      </c>
      <c r="G2114" s="96">
        <v>525207089</v>
      </c>
      <c r="H2114" s="95"/>
      <c r="K2114" s="97"/>
    </row>
    <row r="2115" spans="1:11" x14ac:dyDescent="0.2">
      <c r="A2115" s="91">
        <v>2022</v>
      </c>
      <c r="B2115" s="92" t="s">
        <v>66</v>
      </c>
      <c r="C2115" s="92" t="s">
        <v>17</v>
      </c>
      <c r="D2115" s="92" t="s">
        <v>22</v>
      </c>
      <c r="E2115" s="92" t="s">
        <v>69</v>
      </c>
      <c r="F2115" s="92" t="s">
        <v>70</v>
      </c>
      <c r="G2115" s="93">
        <v>652106603</v>
      </c>
      <c r="H2115" s="92"/>
      <c r="K2115" s="97"/>
    </row>
    <row r="2116" spans="1:11" x14ac:dyDescent="0.2">
      <c r="A2116" s="94">
        <v>2022</v>
      </c>
      <c r="B2116" s="95" t="s">
        <v>66</v>
      </c>
      <c r="C2116" s="95" t="s">
        <v>17</v>
      </c>
      <c r="D2116" s="95" t="s">
        <v>23</v>
      </c>
      <c r="E2116" s="95" t="s">
        <v>67</v>
      </c>
      <c r="F2116" s="95" t="s">
        <v>67</v>
      </c>
      <c r="G2116" s="96">
        <v>778721712</v>
      </c>
      <c r="H2116" s="95"/>
      <c r="K2116" s="97"/>
    </row>
    <row r="2117" spans="1:11" x14ac:dyDescent="0.2">
      <c r="A2117" s="91">
        <v>2022</v>
      </c>
      <c r="B2117" s="92" t="s">
        <v>66</v>
      </c>
      <c r="C2117" s="92" t="s">
        <v>17</v>
      </c>
      <c r="D2117" s="92" t="s">
        <v>23</v>
      </c>
      <c r="E2117" s="92" t="s">
        <v>69</v>
      </c>
      <c r="F2117" s="92" t="s">
        <v>71</v>
      </c>
      <c r="G2117" s="93">
        <v>542266561</v>
      </c>
      <c r="H2117" s="92"/>
      <c r="K2117" s="97"/>
    </row>
    <row r="2118" spans="1:11" x14ac:dyDescent="0.2">
      <c r="A2118" s="94">
        <v>2022</v>
      </c>
      <c r="B2118" s="95" t="s">
        <v>66</v>
      </c>
      <c r="C2118" s="95" t="s">
        <v>17</v>
      </c>
      <c r="D2118" s="95" t="s">
        <v>23</v>
      </c>
      <c r="E2118" s="95" t="s">
        <v>69</v>
      </c>
      <c r="F2118" s="95" t="s">
        <v>70</v>
      </c>
      <c r="G2118" s="96">
        <v>286193664</v>
      </c>
      <c r="H2118" s="95"/>
      <c r="K2118" s="97"/>
    </row>
    <row r="2119" spans="1:11" x14ac:dyDescent="0.2">
      <c r="A2119" s="91">
        <v>2022</v>
      </c>
      <c r="B2119" s="92" t="s">
        <v>66</v>
      </c>
      <c r="C2119" s="92" t="s">
        <v>17</v>
      </c>
      <c r="D2119" s="92" t="s">
        <v>24</v>
      </c>
      <c r="E2119" s="92" t="s">
        <v>67</v>
      </c>
      <c r="F2119" s="92" t="s">
        <v>67</v>
      </c>
      <c r="G2119" s="93">
        <v>14690832311</v>
      </c>
      <c r="H2119" s="92"/>
      <c r="K2119" s="97"/>
    </row>
    <row r="2120" spans="1:11" x14ac:dyDescent="0.2">
      <c r="A2120" s="94">
        <v>2022</v>
      </c>
      <c r="B2120" s="95" t="s">
        <v>66</v>
      </c>
      <c r="C2120" s="95" t="s">
        <v>17</v>
      </c>
      <c r="D2120" s="95" t="s">
        <v>24</v>
      </c>
      <c r="E2120" s="95" t="s">
        <v>69</v>
      </c>
      <c r="F2120" s="95" t="s">
        <v>71</v>
      </c>
      <c r="G2120" s="96">
        <v>4538597047</v>
      </c>
      <c r="H2120" s="95"/>
      <c r="K2120" s="97"/>
    </row>
    <row r="2121" spans="1:11" x14ac:dyDescent="0.2">
      <c r="A2121" s="91">
        <v>2022</v>
      </c>
      <c r="B2121" s="92" t="s">
        <v>66</v>
      </c>
      <c r="C2121" s="92" t="s">
        <v>17</v>
      </c>
      <c r="D2121" s="92" t="s">
        <v>24</v>
      </c>
      <c r="E2121" s="92" t="s">
        <v>69</v>
      </c>
      <c r="F2121" s="92" t="s">
        <v>70</v>
      </c>
      <c r="G2121" s="93">
        <v>8227208466</v>
      </c>
      <c r="H2121" s="92"/>
      <c r="K2121" s="97"/>
    </row>
    <row r="2122" spans="1:11" x14ac:dyDescent="0.2">
      <c r="A2122" s="94">
        <v>2022</v>
      </c>
      <c r="B2122" s="95" t="s">
        <v>66</v>
      </c>
      <c r="C2122" s="95" t="s">
        <v>17</v>
      </c>
      <c r="D2122" s="95" t="s">
        <v>25</v>
      </c>
      <c r="E2122" s="95" t="s">
        <v>67</v>
      </c>
      <c r="F2122" s="95" t="s">
        <v>67</v>
      </c>
      <c r="G2122" s="96">
        <v>0</v>
      </c>
      <c r="H2122" s="95"/>
      <c r="K2122" s="97"/>
    </row>
    <row r="2123" spans="1:11" x14ac:dyDescent="0.2">
      <c r="A2123" s="91">
        <v>2022</v>
      </c>
      <c r="B2123" s="92" t="s">
        <v>66</v>
      </c>
      <c r="C2123" s="92" t="s">
        <v>17</v>
      </c>
      <c r="D2123" s="92" t="s">
        <v>25</v>
      </c>
      <c r="E2123" s="92" t="s">
        <v>69</v>
      </c>
      <c r="F2123" s="92" t="s">
        <v>71</v>
      </c>
      <c r="G2123" s="93">
        <v>0</v>
      </c>
      <c r="H2123" s="92"/>
      <c r="K2123" s="97"/>
    </row>
    <row r="2124" spans="1:11" x14ac:dyDescent="0.2">
      <c r="A2124" s="94">
        <v>2022</v>
      </c>
      <c r="B2124" s="95" t="s">
        <v>66</v>
      </c>
      <c r="C2124" s="95" t="s">
        <v>17</v>
      </c>
      <c r="D2124" s="95" t="s">
        <v>25</v>
      </c>
      <c r="E2124" s="95" t="s">
        <v>69</v>
      </c>
      <c r="F2124" s="95" t="s">
        <v>70</v>
      </c>
      <c r="G2124" s="96">
        <v>0</v>
      </c>
      <c r="H2124" s="95"/>
      <c r="K2124" s="97"/>
    </row>
    <row r="2125" spans="1:11" x14ac:dyDescent="0.2">
      <c r="A2125" s="91">
        <v>2022</v>
      </c>
      <c r="B2125" s="92" t="s">
        <v>66</v>
      </c>
      <c r="C2125" s="92" t="s">
        <v>27</v>
      </c>
      <c r="D2125" s="92" t="s">
        <v>26</v>
      </c>
      <c r="E2125" s="92" t="s">
        <v>67</v>
      </c>
      <c r="F2125" s="92" t="s">
        <v>67</v>
      </c>
      <c r="G2125" s="93">
        <v>25358662814</v>
      </c>
      <c r="H2125" s="92"/>
      <c r="K2125" s="97"/>
    </row>
    <row r="2126" spans="1:11" x14ac:dyDescent="0.2">
      <c r="A2126" s="94">
        <v>2022</v>
      </c>
      <c r="B2126" s="95" t="s">
        <v>66</v>
      </c>
      <c r="C2126" s="95" t="s">
        <v>27</v>
      </c>
      <c r="D2126" s="95" t="s">
        <v>26</v>
      </c>
      <c r="E2126" s="95" t="s">
        <v>69</v>
      </c>
      <c r="F2126" s="95" t="s">
        <v>71</v>
      </c>
      <c r="G2126" s="96">
        <v>7275975931</v>
      </c>
      <c r="H2126" s="95"/>
      <c r="K2126" s="97"/>
    </row>
    <row r="2127" spans="1:11" x14ac:dyDescent="0.2">
      <c r="A2127" s="91">
        <v>2022</v>
      </c>
      <c r="B2127" s="92" t="s">
        <v>66</v>
      </c>
      <c r="C2127" s="92" t="s">
        <v>27</v>
      </c>
      <c r="D2127" s="92" t="s">
        <v>26</v>
      </c>
      <c r="E2127" s="92" t="s">
        <v>69</v>
      </c>
      <c r="F2127" s="92" t="s">
        <v>70</v>
      </c>
      <c r="G2127" s="93">
        <v>19924684457</v>
      </c>
      <c r="H2127" s="92"/>
      <c r="K2127" s="97"/>
    </row>
    <row r="2128" spans="1:11" x14ac:dyDescent="0.2">
      <c r="A2128" s="94">
        <v>2022</v>
      </c>
      <c r="B2128" s="95" t="s">
        <v>66</v>
      </c>
      <c r="C2128" s="95" t="s">
        <v>27</v>
      </c>
      <c r="D2128" s="95" t="s">
        <v>28</v>
      </c>
      <c r="E2128" s="95" t="s">
        <v>67</v>
      </c>
      <c r="F2128" s="95" t="s">
        <v>67</v>
      </c>
      <c r="G2128" s="96">
        <v>25021554857</v>
      </c>
      <c r="H2128" s="95"/>
      <c r="K2128" s="97"/>
    </row>
    <row r="2129" spans="1:11" x14ac:dyDescent="0.2">
      <c r="A2129" s="91">
        <v>2022</v>
      </c>
      <c r="B2129" s="92" t="s">
        <v>66</v>
      </c>
      <c r="C2129" s="92" t="s">
        <v>27</v>
      </c>
      <c r="D2129" s="92" t="s">
        <v>28</v>
      </c>
      <c r="E2129" s="92" t="s">
        <v>69</v>
      </c>
      <c r="F2129" s="92" t="s">
        <v>71</v>
      </c>
      <c r="G2129" s="93">
        <v>12609769609</v>
      </c>
      <c r="H2129" s="92"/>
      <c r="K2129" s="97"/>
    </row>
    <row r="2130" spans="1:11" x14ac:dyDescent="0.2">
      <c r="A2130" s="94">
        <v>2022</v>
      </c>
      <c r="B2130" s="95" t="s">
        <v>66</v>
      </c>
      <c r="C2130" s="95" t="s">
        <v>27</v>
      </c>
      <c r="D2130" s="95" t="s">
        <v>28</v>
      </c>
      <c r="E2130" s="95" t="s">
        <v>69</v>
      </c>
      <c r="F2130" s="95" t="s">
        <v>70</v>
      </c>
      <c r="G2130" s="96">
        <v>23185464890</v>
      </c>
      <c r="H2130" s="95"/>
      <c r="K2130" s="97"/>
    </row>
    <row r="2131" spans="1:11" x14ac:dyDescent="0.2">
      <c r="A2131" s="91">
        <v>2022</v>
      </c>
      <c r="B2131" s="92" t="s">
        <v>66</v>
      </c>
      <c r="C2131" s="92" t="s">
        <v>27</v>
      </c>
      <c r="D2131" s="92" t="s">
        <v>29</v>
      </c>
      <c r="E2131" s="92" t="s">
        <v>67</v>
      </c>
      <c r="F2131" s="92" t="s">
        <v>67</v>
      </c>
      <c r="G2131" s="93">
        <v>9761485887</v>
      </c>
      <c r="H2131" s="92"/>
      <c r="K2131" s="97"/>
    </row>
    <row r="2132" spans="1:11" x14ac:dyDescent="0.2">
      <c r="A2132" s="94">
        <v>2022</v>
      </c>
      <c r="B2132" s="95" t="s">
        <v>66</v>
      </c>
      <c r="C2132" s="95" t="s">
        <v>27</v>
      </c>
      <c r="D2132" s="95" t="s">
        <v>29</v>
      </c>
      <c r="E2132" s="95" t="s">
        <v>69</v>
      </c>
      <c r="F2132" s="95" t="s">
        <v>71</v>
      </c>
      <c r="G2132" s="96">
        <v>4539126617</v>
      </c>
      <c r="H2132" s="95"/>
      <c r="K2132" s="97"/>
    </row>
    <row r="2133" spans="1:11" x14ac:dyDescent="0.2">
      <c r="A2133" s="91">
        <v>2022</v>
      </c>
      <c r="B2133" s="92" t="s">
        <v>66</v>
      </c>
      <c r="C2133" s="92" t="s">
        <v>27</v>
      </c>
      <c r="D2133" s="92" t="s">
        <v>29</v>
      </c>
      <c r="E2133" s="92" t="s">
        <v>69</v>
      </c>
      <c r="F2133" s="92" t="s">
        <v>70</v>
      </c>
      <c r="G2133" s="93">
        <v>6701710088</v>
      </c>
      <c r="H2133" s="92"/>
      <c r="K2133" s="97"/>
    </row>
    <row r="2134" spans="1:11" x14ac:dyDescent="0.2">
      <c r="A2134" s="94">
        <v>2022</v>
      </c>
      <c r="B2134" s="95" t="s">
        <v>66</v>
      </c>
      <c r="C2134" s="95" t="s">
        <v>27</v>
      </c>
      <c r="D2134" s="95" t="s">
        <v>30</v>
      </c>
      <c r="E2134" s="95" t="s">
        <v>67</v>
      </c>
      <c r="F2134" s="95" t="s">
        <v>67</v>
      </c>
      <c r="G2134" s="96">
        <v>22953579305</v>
      </c>
      <c r="H2134" s="95"/>
      <c r="K2134" s="97"/>
    </row>
    <row r="2135" spans="1:11" x14ac:dyDescent="0.2">
      <c r="A2135" s="91">
        <v>2022</v>
      </c>
      <c r="B2135" s="92" t="s">
        <v>66</v>
      </c>
      <c r="C2135" s="92" t="s">
        <v>27</v>
      </c>
      <c r="D2135" s="92" t="s">
        <v>30</v>
      </c>
      <c r="E2135" s="92" t="s">
        <v>69</v>
      </c>
      <c r="F2135" s="92" t="s">
        <v>71</v>
      </c>
      <c r="G2135" s="93">
        <v>9918495275</v>
      </c>
      <c r="H2135" s="92"/>
      <c r="K2135" s="97"/>
    </row>
    <row r="2136" spans="1:11" x14ac:dyDescent="0.2">
      <c r="A2136" s="94">
        <v>2022</v>
      </c>
      <c r="B2136" s="95" t="s">
        <v>66</v>
      </c>
      <c r="C2136" s="95" t="s">
        <v>27</v>
      </c>
      <c r="D2136" s="95" t="s">
        <v>30</v>
      </c>
      <c r="E2136" s="95" t="s">
        <v>69</v>
      </c>
      <c r="F2136" s="95" t="s">
        <v>70</v>
      </c>
      <c r="G2136" s="96">
        <v>28573344910</v>
      </c>
      <c r="H2136" s="95"/>
      <c r="K2136" s="97"/>
    </row>
    <row r="2137" spans="1:11" x14ac:dyDescent="0.2">
      <c r="A2137" s="91">
        <v>2022</v>
      </c>
      <c r="B2137" s="92" t="s">
        <v>66</v>
      </c>
      <c r="C2137" s="92" t="s">
        <v>27</v>
      </c>
      <c r="D2137" s="92" t="s">
        <v>31</v>
      </c>
      <c r="E2137" s="92" t="s">
        <v>67</v>
      </c>
      <c r="F2137" s="92" t="s">
        <v>67</v>
      </c>
      <c r="G2137" s="93">
        <v>3688571355</v>
      </c>
      <c r="H2137" s="92"/>
      <c r="K2137" s="97"/>
    </row>
    <row r="2138" spans="1:11" x14ac:dyDescent="0.2">
      <c r="A2138" s="94">
        <v>2022</v>
      </c>
      <c r="B2138" s="95" t="s">
        <v>66</v>
      </c>
      <c r="C2138" s="95" t="s">
        <v>27</v>
      </c>
      <c r="D2138" s="95" t="s">
        <v>31</v>
      </c>
      <c r="E2138" s="95" t="s">
        <v>69</v>
      </c>
      <c r="F2138" s="95" t="s">
        <v>71</v>
      </c>
      <c r="G2138" s="96">
        <v>3598714534</v>
      </c>
      <c r="H2138" s="95"/>
      <c r="K2138" s="97"/>
    </row>
    <row r="2139" spans="1:11" x14ac:dyDescent="0.2">
      <c r="A2139" s="91">
        <v>2022</v>
      </c>
      <c r="B2139" s="92" t="s">
        <v>66</v>
      </c>
      <c r="C2139" s="92" t="s">
        <v>27</v>
      </c>
      <c r="D2139" s="92" t="s">
        <v>31</v>
      </c>
      <c r="E2139" s="92" t="s">
        <v>69</v>
      </c>
      <c r="F2139" s="92" t="s">
        <v>70</v>
      </c>
      <c r="G2139" s="93">
        <v>8331714099</v>
      </c>
      <c r="H2139" s="92"/>
      <c r="K2139" s="97"/>
    </row>
    <row r="2140" spans="1:11" x14ac:dyDescent="0.2">
      <c r="A2140" s="94">
        <v>2022</v>
      </c>
      <c r="B2140" s="95" t="s">
        <v>66</v>
      </c>
      <c r="C2140" s="95" t="s">
        <v>27</v>
      </c>
      <c r="D2140" s="95" t="s">
        <v>32</v>
      </c>
      <c r="E2140" s="95" t="s">
        <v>67</v>
      </c>
      <c r="F2140" s="95" t="s">
        <v>67</v>
      </c>
      <c r="G2140" s="96">
        <v>11180879994</v>
      </c>
      <c r="H2140" s="95"/>
      <c r="K2140" s="97"/>
    </row>
    <row r="2141" spans="1:11" x14ac:dyDescent="0.2">
      <c r="A2141" s="91">
        <v>2022</v>
      </c>
      <c r="B2141" s="92" t="s">
        <v>66</v>
      </c>
      <c r="C2141" s="92" t="s">
        <v>27</v>
      </c>
      <c r="D2141" s="92" t="s">
        <v>32</v>
      </c>
      <c r="E2141" s="92" t="s">
        <v>69</v>
      </c>
      <c r="F2141" s="92" t="s">
        <v>71</v>
      </c>
      <c r="G2141" s="93">
        <v>6897679902</v>
      </c>
      <c r="H2141" s="92"/>
      <c r="K2141" s="97"/>
    </row>
    <row r="2142" spans="1:11" x14ac:dyDescent="0.2">
      <c r="A2142" s="94">
        <v>2022</v>
      </c>
      <c r="B2142" s="95" t="s">
        <v>66</v>
      </c>
      <c r="C2142" s="95" t="s">
        <v>27</v>
      </c>
      <c r="D2142" s="95" t="s">
        <v>32</v>
      </c>
      <c r="E2142" s="95" t="s">
        <v>69</v>
      </c>
      <c r="F2142" s="95" t="s">
        <v>70</v>
      </c>
      <c r="G2142" s="96">
        <v>8565506263</v>
      </c>
      <c r="H2142" s="95"/>
      <c r="K2142" s="97"/>
    </row>
    <row r="2143" spans="1:11" x14ac:dyDescent="0.2">
      <c r="A2143" s="91">
        <v>2022</v>
      </c>
      <c r="B2143" s="92" t="s">
        <v>66</v>
      </c>
      <c r="C2143" s="92" t="s">
        <v>27</v>
      </c>
      <c r="D2143" s="92" t="s">
        <v>33</v>
      </c>
      <c r="E2143" s="92" t="s">
        <v>67</v>
      </c>
      <c r="F2143" s="92" t="s">
        <v>67</v>
      </c>
      <c r="G2143" s="93">
        <v>9068616178</v>
      </c>
      <c r="H2143" s="92"/>
      <c r="K2143" s="97"/>
    </row>
    <row r="2144" spans="1:11" x14ac:dyDescent="0.2">
      <c r="A2144" s="94">
        <v>2022</v>
      </c>
      <c r="B2144" s="95" t="s">
        <v>66</v>
      </c>
      <c r="C2144" s="95" t="s">
        <v>27</v>
      </c>
      <c r="D2144" s="95" t="s">
        <v>33</v>
      </c>
      <c r="E2144" s="95" t="s">
        <v>69</v>
      </c>
      <c r="F2144" s="95" t="s">
        <v>71</v>
      </c>
      <c r="G2144" s="96">
        <v>8947072214</v>
      </c>
      <c r="H2144" s="95"/>
      <c r="K2144" s="97"/>
    </row>
    <row r="2145" spans="1:11" x14ac:dyDescent="0.2">
      <c r="A2145" s="91">
        <v>2022</v>
      </c>
      <c r="B2145" s="92" t="s">
        <v>66</v>
      </c>
      <c r="C2145" s="92" t="s">
        <v>27</v>
      </c>
      <c r="D2145" s="92" t="s">
        <v>33</v>
      </c>
      <c r="E2145" s="92" t="s">
        <v>69</v>
      </c>
      <c r="F2145" s="92" t="s">
        <v>70</v>
      </c>
      <c r="G2145" s="93">
        <v>30915259060</v>
      </c>
      <c r="H2145" s="92"/>
      <c r="K2145" s="97"/>
    </row>
    <row r="2146" spans="1:11" x14ac:dyDescent="0.2">
      <c r="A2146" s="94">
        <v>2022</v>
      </c>
      <c r="B2146" s="95" t="s">
        <v>66</v>
      </c>
      <c r="C2146" s="95" t="s">
        <v>35</v>
      </c>
      <c r="D2146" s="95" t="s">
        <v>34</v>
      </c>
      <c r="E2146" s="95" t="s">
        <v>67</v>
      </c>
      <c r="F2146" s="95" t="s">
        <v>67</v>
      </c>
      <c r="G2146" s="96">
        <v>3981900167</v>
      </c>
      <c r="H2146" s="95"/>
      <c r="K2146" s="97"/>
    </row>
    <row r="2147" spans="1:11" x14ac:dyDescent="0.2">
      <c r="A2147" s="91">
        <v>2022</v>
      </c>
      <c r="B2147" s="92" t="s">
        <v>66</v>
      </c>
      <c r="C2147" s="92" t="s">
        <v>35</v>
      </c>
      <c r="D2147" s="92" t="s">
        <v>34</v>
      </c>
      <c r="E2147" s="92" t="s">
        <v>69</v>
      </c>
      <c r="F2147" s="92" t="s">
        <v>71</v>
      </c>
      <c r="G2147" s="93">
        <v>1297981167</v>
      </c>
      <c r="H2147" s="92"/>
      <c r="K2147" s="97"/>
    </row>
    <row r="2148" spans="1:11" x14ac:dyDescent="0.2">
      <c r="A2148" s="94">
        <v>2022</v>
      </c>
      <c r="B2148" s="95" t="s">
        <v>66</v>
      </c>
      <c r="C2148" s="95" t="s">
        <v>35</v>
      </c>
      <c r="D2148" s="95" t="s">
        <v>34</v>
      </c>
      <c r="E2148" s="95" t="s">
        <v>69</v>
      </c>
      <c r="F2148" s="95" t="s">
        <v>70</v>
      </c>
      <c r="G2148" s="96">
        <v>1213045964</v>
      </c>
      <c r="H2148" s="95"/>
      <c r="K2148" s="97"/>
    </row>
    <row r="2149" spans="1:11" x14ac:dyDescent="0.2">
      <c r="A2149" s="91">
        <v>2022</v>
      </c>
      <c r="B2149" s="92" t="s">
        <v>66</v>
      </c>
      <c r="C2149" s="92" t="s">
        <v>35</v>
      </c>
      <c r="D2149" s="92" t="s">
        <v>36</v>
      </c>
      <c r="E2149" s="92" t="s">
        <v>67</v>
      </c>
      <c r="F2149" s="92" t="s">
        <v>67</v>
      </c>
      <c r="G2149" s="93">
        <v>8143888408</v>
      </c>
      <c r="H2149" s="92"/>
      <c r="K2149" s="97"/>
    </row>
    <row r="2150" spans="1:11" x14ac:dyDescent="0.2">
      <c r="A2150" s="94">
        <v>2022</v>
      </c>
      <c r="B2150" s="95" t="s">
        <v>66</v>
      </c>
      <c r="C2150" s="95" t="s">
        <v>35</v>
      </c>
      <c r="D2150" s="95" t="s">
        <v>36</v>
      </c>
      <c r="E2150" s="95" t="s">
        <v>69</v>
      </c>
      <c r="F2150" s="95" t="s">
        <v>71</v>
      </c>
      <c r="G2150" s="96">
        <v>4354779864</v>
      </c>
      <c r="H2150" s="95"/>
      <c r="K2150" s="97"/>
    </row>
    <row r="2151" spans="1:11" x14ac:dyDescent="0.2">
      <c r="A2151" s="91">
        <v>2022</v>
      </c>
      <c r="B2151" s="92" t="s">
        <v>66</v>
      </c>
      <c r="C2151" s="92" t="s">
        <v>35</v>
      </c>
      <c r="D2151" s="92" t="s">
        <v>36</v>
      </c>
      <c r="E2151" s="92" t="s">
        <v>69</v>
      </c>
      <c r="F2151" s="92" t="s">
        <v>70</v>
      </c>
      <c r="G2151" s="93">
        <v>3354410425</v>
      </c>
      <c r="H2151" s="92"/>
      <c r="K2151" s="97"/>
    </row>
    <row r="2152" spans="1:11" x14ac:dyDescent="0.2">
      <c r="A2152" s="94">
        <v>2022</v>
      </c>
      <c r="B2152" s="95" t="s">
        <v>66</v>
      </c>
      <c r="C2152" s="95" t="s">
        <v>35</v>
      </c>
      <c r="D2152" s="95" t="s">
        <v>37</v>
      </c>
      <c r="E2152" s="95" t="s">
        <v>67</v>
      </c>
      <c r="F2152" s="95" t="s">
        <v>67</v>
      </c>
      <c r="G2152" s="96">
        <v>1734973312</v>
      </c>
      <c r="H2152" s="95"/>
      <c r="K2152" s="97"/>
    </row>
    <row r="2153" spans="1:11" x14ac:dyDescent="0.2">
      <c r="A2153" s="91">
        <v>2022</v>
      </c>
      <c r="B2153" s="92" t="s">
        <v>66</v>
      </c>
      <c r="C2153" s="92" t="s">
        <v>35</v>
      </c>
      <c r="D2153" s="92" t="s">
        <v>37</v>
      </c>
      <c r="E2153" s="92" t="s">
        <v>69</v>
      </c>
      <c r="F2153" s="92" t="s">
        <v>71</v>
      </c>
      <c r="G2153" s="93">
        <v>688317810</v>
      </c>
      <c r="H2153" s="92"/>
      <c r="K2153" s="97"/>
    </row>
    <row r="2154" spans="1:11" x14ac:dyDescent="0.2">
      <c r="A2154" s="94">
        <v>2022</v>
      </c>
      <c r="B2154" s="95" t="s">
        <v>66</v>
      </c>
      <c r="C2154" s="95" t="s">
        <v>35</v>
      </c>
      <c r="D2154" s="95" t="s">
        <v>37</v>
      </c>
      <c r="E2154" s="95" t="s">
        <v>69</v>
      </c>
      <c r="F2154" s="95" t="s">
        <v>70</v>
      </c>
      <c r="G2154" s="96">
        <v>744063846</v>
      </c>
      <c r="H2154" s="95"/>
      <c r="K2154" s="97"/>
    </row>
    <row r="2155" spans="1:11" x14ac:dyDescent="0.2">
      <c r="A2155" s="91">
        <v>2022</v>
      </c>
      <c r="B2155" s="92" t="s">
        <v>66</v>
      </c>
      <c r="C2155" s="92" t="s">
        <v>35</v>
      </c>
      <c r="D2155" s="92" t="s">
        <v>38</v>
      </c>
      <c r="E2155" s="92" t="s">
        <v>67</v>
      </c>
      <c r="F2155" s="92" t="s">
        <v>67</v>
      </c>
      <c r="G2155" s="93">
        <v>2498170431</v>
      </c>
      <c r="H2155" s="92"/>
      <c r="K2155" s="97"/>
    </row>
    <row r="2156" spans="1:11" x14ac:dyDescent="0.2">
      <c r="A2156" s="94">
        <v>2022</v>
      </c>
      <c r="B2156" s="95" t="s">
        <v>66</v>
      </c>
      <c r="C2156" s="95" t="s">
        <v>35</v>
      </c>
      <c r="D2156" s="95" t="s">
        <v>38</v>
      </c>
      <c r="E2156" s="95" t="s">
        <v>69</v>
      </c>
      <c r="F2156" s="95" t="s">
        <v>71</v>
      </c>
      <c r="G2156" s="96">
        <v>895971183</v>
      </c>
      <c r="H2156" s="95"/>
      <c r="K2156" s="97"/>
    </row>
    <row r="2157" spans="1:11" x14ac:dyDescent="0.2">
      <c r="A2157" s="91">
        <v>2022</v>
      </c>
      <c r="B2157" s="92" t="s">
        <v>66</v>
      </c>
      <c r="C2157" s="92" t="s">
        <v>35</v>
      </c>
      <c r="D2157" s="92" t="s">
        <v>38</v>
      </c>
      <c r="E2157" s="92" t="s">
        <v>69</v>
      </c>
      <c r="F2157" s="92" t="s">
        <v>70</v>
      </c>
      <c r="G2157" s="93">
        <v>1018203509</v>
      </c>
      <c r="H2157" s="92"/>
      <c r="K2157" s="97"/>
    </row>
    <row r="2158" spans="1:11" x14ac:dyDescent="0.2">
      <c r="A2158" s="94">
        <v>2022</v>
      </c>
      <c r="B2158" s="95" t="s">
        <v>66</v>
      </c>
      <c r="C2158" s="95" t="s">
        <v>35</v>
      </c>
      <c r="D2158" s="95" t="s">
        <v>39</v>
      </c>
      <c r="E2158" s="95" t="s">
        <v>67</v>
      </c>
      <c r="F2158" s="95" t="s">
        <v>67</v>
      </c>
      <c r="G2158" s="96">
        <v>12926014486</v>
      </c>
      <c r="H2158" s="95"/>
      <c r="K2158" s="97"/>
    </row>
    <row r="2159" spans="1:11" x14ac:dyDescent="0.2">
      <c r="A2159" s="91">
        <v>2022</v>
      </c>
      <c r="B2159" s="92" t="s">
        <v>66</v>
      </c>
      <c r="C2159" s="92" t="s">
        <v>35</v>
      </c>
      <c r="D2159" s="92" t="s">
        <v>39</v>
      </c>
      <c r="E2159" s="92" t="s">
        <v>69</v>
      </c>
      <c r="F2159" s="92" t="s">
        <v>71</v>
      </c>
      <c r="G2159" s="93">
        <v>6125103586</v>
      </c>
      <c r="H2159" s="92"/>
      <c r="K2159" s="97"/>
    </row>
    <row r="2160" spans="1:11" x14ac:dyDescent="0.2">
      <c r="A2160" s="94">
        <v>2022</v>
      </c>
      <c r="B2160" s="95" t="s">
        <v>66</v>
      </c>
      <c r="C2160" s="95" t="s">
        <v>35</v>
      </c>
      <c r="D2160" s="95" t="s">
        <v>39</v>
      </c>
      <c r="E2160" s="95" t="s">
        <v>69</v>
      </c>
      <c r="F2160" s="95" t="s">
        <v>70</v>
      </c>
      <c r="G2160" s="96">
        <v>5532449468</v>
      </c>
      <c r="H2160" s="95"/>
      <c r="K2160" s="97"/>
    </row>
    <row r="2161" spans="1:11" x14ac:dyDescent="0.2">
      <c r="A2161" s="91">
        <v>2022</v>
      </c>
      <c r="B2161" s="92" t="s">
        <v>66</v>
      </c>
      <c r="C2161" s="92" t="s">
        <v>41</v>
      </c>
      <c r="D2161" s="92" t="s">
        <v>40</v>
      </c>
      <c r="E2161" s="92" t="s">
        <v>67</v>
      </c>
      <c r="F2161" s="92" t="s">
        <v>67</v>
      </c>
      <c r="G2161" s="93">
        <v>1946413217</v>
      </c>
      <c r="H2161" s="92"/>
      <c r="K2161" s="97"/>
    </row>
    <row r="2162" spans="1:11" x14ac:dyDescent="0.2">
      <c r="A2162" s="94">
        <v>2022</v>
      </c>
      <c r="B2162" s="95" t="s">
        <v>66</v>
      </c>
      <c r="C2162" s="95" t="s">
        <v>41</v>
      </c>
      <c r="D2162" s="95" t="s">
        <v>40</v>
      </c>
      <c r="E2162" s="95" t="s">
        <v>69</v>
      </c>
      <c r="F2162" s="95" t="s">
        <v>71</v>
      </c>
      <c r="G2162" s="96">
        <v>448331306</v>
      </c>
      <c r="H2162" s="95"/>
      <c r="K2162" s="97"/>
    </row>
    <row r="2163" spans="1:11" x14ac:dyDescent="0.2">
      <c r="A2163" s="91">
        <v>2022</v>
      </c>
      <c r="B2163" s="92" t="s">
        <v>66</v>
      </c>
      <c r="C2163" s="92" t="s">
        <v>41</v>
      </c>
      <c r="D2163" s="92" t="s">
        <v>40</v>
      </c>
      <c r="E2163" s="92" t="s">
        <v>69</v>
      </c>
      <c r="F2163" s="92" t="s">
        <v>70</v>
      </c>
      <c r="G2163" s="93">
        <v>596991808</v>
      </c>
      <c r="H2163" s="92"/>
      <c r="K2163" s="97"/>
    </row>
    <row r="2164" spans="1:11" x14ac:dyDescent="0.2">
      <c r="A2164" s="94">
        <v>2022</v>
      </c>
      <c r="B2164" s="95" t="s">
        <v>66</v>
      </c>
      <c r="C2164" s="95" t="s">
        <v>41</v>
      </c>
      <c r="D2164" s="95" t="s">
        <v>42</v>
      </c>
      <c r="E2164" s="95" t="s">
        <v>67</v>
      </c>
      <c r="F2164" s="95" t="s">
        <v>67</v>
      </c>
      <c r="G2164" s="96">
        <v>8512396118</v>
      </c>
      <c r="H2164" s="95"/>
      <c r="K2164" s="97"/>
    </row>
    <row r="2165" spans="1:11" x14ac:dyDescent="0.2">
      <c r="A2165" s="91">
        <v>2022</v>
      </c>
      <c r="B2165" s="92" t="s">
        <v>66</v>
      </c>
      <c r="C2165" s="92" t="s">
        <v>41</v>
      </c>
      <c r="D2165" s="92" t="s">
        <v>42</v>
      </c>
      <c r="E2165" s="92" t="s">
        <v>69</v>
      </c>
      <c r="F2165" s="92" t="s">
        <v>71</v>
      </c>
      <c r="G2165" s="93">
        <v>1411661735</v>
      </c>
      <c r="H2165" s="92"/>
      <c r="K2165" s="97"/>
    </row>
    <row r="2166" spans="1:11" x14ac:dyDescent="0.2">
      <c r="A2166" s="94">
        <v>2022</v>
      </c>
      <c r="B2166" s="95" t="s">
        <v>66</v>
      </c>
      <c r="C2166" s="95" t="s">
        <v>41</v>
      </c>
      <c r="D2166" s="95" t="s">
        <v>42</v>
      </c>
      <c r="E2166" s="95" t="s">
        <v>69</v>
      </c>
      <c r="F2166" s="95" t="s">
        <v>70</v>
      </c>
      <c r="G2166" s="96">
        <v>4874099737</v>
      </c>
      <c r="H2166" s="95"/>
      <c r="K2166" s="97"/>
    </row>
    <row r="2167" spans="1:11" x14ac:dyDescent="0.2">
      <c r="A2167" s="91">
        <v>2022</v>
      </c>
      <c r="B2167" s="92" t="s">
        <v>66</v>
      </c>
      <c r="C2167" s="92" t="s">
        <v>41</v>
      </c>
      <c r="D2167" s="92" t="s">
        <v>43</v>
      </c>
      <c r="E2167" s="92" t="s">
        <v>67</v>
      </c>
      <c r="F2167" s="92" t="s">
        <v>67</v>
      </c>
      <c r="G2167" s="93">
        <v>5026573168</v>
      </c>
      <c r="H2167" s="92"/>
      <c r="K2167" s="97"/>
    </row>
    <row r="2168" spans="1:11" x14ac:dyDescent="0.2">
      <c r="A2168" s="94">
        <v>2022</v>
      </c>
      <c r="B2168" s="95" t="s">
        <v>66</v>
      </c>
      <c r="C2168" s="95" t="s">
        <v>41</v>
      </c>
      <c r="D2168" s="95" t="s">
        <v>43</v>
      </c>
      <c r="E2168" s="95" t="s">
        <v>69</v>
      </c>
      <c r="F2168" s="95" t="s">
        <v>71</v>
      </c>
      <c r="G2168" s="96">
        <v>1441822415</v>
      </c>
      <c r="H2168" s="95"/>
      <c r="K2168" s="97"/>
    </row>
    <row r="2169" spans="1:11" x14ac:dyDescent="0.2">
      <c r="A2169" s="91">
        <v>2022</v>
      </c>
      <c r="B2169" s="92" t="s">
        <v>66</v>
      </c>
      <c r="C2169" s="92" t="s">
        <v>41</v>
      </c>
      <c r="D2169" s="92" t="s">
        <v>43</v>
      </c>
      <c r="E2169" s="92" t="s">
        <v>69</v>
      </c>
      <c r="F2169" s="92" t="s">
        <v>70</v>
      </c>
      <c r="G2169" s="93">
        <v>1877637537</v>
      </c>
      <c r="H2169" s="92"/>
      <c r="K2169" s="97"/>
    </row>
    <row r="2170" spans="1:11" x14ac:dyDescent="0.2">
      <c r="A2170" s="94">
        <v>2022</v>
      </c>
      <c r="B2170" s="95" t="s">
        <v>66</v>
      </c>
      <c r="C2170" s="95" t="s">
        <v>41</v>
      </c>
      <c r="D2170" s="95" t="s">
        <v>44</v>
      </c>
      <c r="E2170" s="95" t="s">
        <v>67</v>
      </c>
      <c r="F2170" s="95" t="s">
        <v>67</v>
      </c>
      <c r="G2170" s="96">
        <v>8297697715</v>
      </c>
      <c r="H2170" s="95"/>
      <c r="K2170" s="97"/>
    </row>
    <row r="2171" spans="1:11" x14ac:dyDescent="0.2">
      <c r="A2171" s="91">
        <v>2022</v>
      </c>
      <c r="B2171" s="92" t="s">
        <v>66</v>
      </c>
      <c r="C2171" s="92" t="s">
        <v>41</v>
      </c>
      <c r="D2171" s="92" t="s">
        <v>44</v>
      </c>
      <c r="E2171" s="92" t="s">
        <v>69</v>
      </c>
      <c r="F2171" s="92" t="s">
        <v>71</v>
      </c>
      <c r="G2171" s="93">
        <v>2865533840</v>
      </c>
      <c r="H2171" s="92"/>
      <c r="K2171" s="97"/>
    </row>
    <row r="2172" spans="1:11" x14ac:dyDescent="0.2">
      <c r="A2172" s="94">
        <v>2022</v>
      </c>
      <c r="B2172" s="95" t="s">
        <v>66</v>
      </c>
      <c r="C2172" s="95" t="s">
        <v>41</v>
      </c>
      <c r="D2172" s="95" t="s">
        <v>44</v>
      </c>
      <c r="E2172" s="95" t="s">
        <v>69</v>
      </c>
      <c r="F2172" s="95" t="s">
        <v>70</v>
      </c>
      <c r="G2172" s="96">
        <v>3540883697</v>
      </c>
      <c r="H2172" s="95"/>
      <c r="K2172" s="97"/>
    </row>
    <row r="2173" spans="1:11" x14ac:dyDescent="0.2">
      <c r="A2173" s="91">
        <v>2022</v>
      </c>
      <c r="B2173" s="92" t="s">
        <v>66</v>
      </c>
      <c r="C2173" s="92" t="s">
        <v>41</v>
      </c>
      <c r="D2173" s="92" t="s">
        <v>45</v>
      </c>
      <c r="E2173" s="92" t="s">
        <v>67</v>
      </c>
      <c r="F2173" s="92" t="s">
        <v>67</v>
      </c>
      <c r="G2173" s="93">
        <v>21737449328</v>
      </c>
      <c r="H2173" s="92"/>
      <c r="K2173" s="97"/>
    </row>
    <row r="2174" spans="1:11" x14ac:dyDescent="0.2">
      <c r="A2174" s="94">
        <v>2022</v>
      </c>
      <c r="B2174" s="95" t="s">
        <v>66</v>
      </c>
      <c r="C2174" s="95" t="s">
        <v>41</v>
      </c>
      <c r="D2174" s="95" t="s">
        <v>45</v>
      </c>
      <c r="E2174" s="95" t="s">
        <v>69</v>
      </c>
      <c r="F2174" s="95" t="s">
        <v>71</v>
      </c>
      <c r="G2174" s="96">
        <v>5445770029</v>
      </c>
      <c r="H2174" s="95"/>
      <c r="K2174" s="97"/>
    </row>
    <row r="2175" spans="1:11" x14ac:dyDescent="0.2">
      <c r="A2175" s="91">
        <v>2022</v>
      </c>
      <c r="B2175" s="92" t="s">
        <v>66</v>
      </c>
      <c r="C2175" s="92" t="s">
        <v>41</v>
      </c>
      <c r="D2175" s="92" t="s">
        <v>45</v>
      </c>
      <c r="E2175" s="92" t="s">
        <v>69</v>
      </c>
      <c r="F2175" s="92" t="s">
        <v>70</v>
      </c>
      <c r="G2175" s="93">
        <v>12758432858</v>
      </c>
      <c r="H2175" s="92"/>
      <c r="K2175" s="97"/>
    </row>
    <row r="2176" spans="1:11" x14ac:dyDescent="0.2">
      <c r="A2176" s="94">
        <v>2022</v>
      </c>
      <c r="B2176" s="95" t="s">
        <v>66</v>
      </c>
      <c r="C2176" s="95" t="s">
        <v>47</v>
      </c>
      <c r="D2176" s="95" t="s">
        <v>46</v>
      </c>
      <c r="E2176" s="95" t="s">
        <v>72</v>
      </c>
      <c r="F2176" s="95" t="s">
        <v>73</v>
      </c>
      <c r="G2176" s="96">
        <v>7866488835</v>
      </c>
      <c r="H2176" s="95"/>
      <c r="K2176" s="97"/>
    </row>
    <row r="2177" spans="1:11" x14ac:dyDescent="0.2">
      <c r="A2177" s="91">
        <v>2022</v>
      </c>
      <c r="B2177" s="92" t="s">
        <v>66</v>
      </c>
      <c r="C2177" s="92" t="s">
        <v>47</v>
      </c>
      <c r="D2177" s="92" t="s">
        <v>46</v>
      </c>
      <c r="E2177" s="92" t="s">
        <v>67</v>
      </c>
      <c r="F2177" s="92" t="s">
        <v>74</v>
      </c>
      <c r="G2177" s="93">
        <v>4781980462</v>
      </c>
      <c r="H2177" s="92"/>
      <c r="K2177" s="97"/>
    </row>
    <row r="2178" spans="1:11" x14ac:dyDescent="0.2">
      <c r="A2178" s="94">
        <v>2022</v>
      </c>
      <c r="B2178" s="95" t="s">
        <v>66</v>
      </c>
      <c r="C2178" s="95" t="s">
        <v>47</v>
      </c>
      <c r="D2178" s="95" t="s">
        <v>46</v>
      </c>
      <c r="E2178" s="95" t="s">
        <v>69</v>
      </c>
      <c r="F2178" s="95" t="s">
        <v>71</v>
      </c>
      <c r="G2178" s="96">
        <v>8079420119</v>
      </c>
      <c r="H2178" s="95"/>
      <c r="K2178" s="97"/>
    </row>
    <row r="2179" spans="1:11" x14ac:dyDescent="0.2">
      <c r="A2179" s="91">
        <v>2022</v>
      </c>
      <c r="B2179" s="92" t="s">
        <v>66</v>
      </c>
      <c r="C2179" s="92" t="s">
        <v>47</v>
      </c>
      <c r="D2179" s="92" t="s">
        <v>46</v>
      </c>
      <c r="E2179" s="92" t="s">
        <v>69</v>
      </c>
      <c r="F2179" s="92" t="s">
        <v>70</v>
      </c>
      <c r="G2179" s="93">
        <v>10844420519</v>
      </c>
      <c r="H2179" s="92"/>
      <c r="K2179" s="97"/>
    </row>
    <row r="2180" spans="1:11" x14ac:dyDescent="0.2">
      <c r="A2180" s="94">
        <v>2022</v>
      </c>
      <c r="B2180" s="95" t="s">
        <v>66</v>
      </c>
      <c r="C2180" s="95" t="s">
        <v>47</v>
      </c>
      <c r="D2180" s="95" t="s">
        <v>48</v>
      </c>
      <c r="E2180" s="95" t="s">
        <v>72</v>
      </c>
      <c r="F2180" s="95" t="s">
        <v>73</v>
      </c>
      <c r="G2180" s="96">
        <v>84933436910</v>
      </c>
      <c r="H2180" s="95"/>
      <c r="K2180" s="97"/>
    </row>
    <row r="2181" spans="1:11" x14ac:dyDescent="0.2">
      <c r="A2181" s="91">
        <v>2022</v>
      </c>
      <c r="B2181" s="92" t="s">
        <v>66</v>
      </c>
      <c r="C2181" s="92" t="s">
        <v>47</v>
      </c>
      <c r="D2181" s="92" t="s">
        <v>48</v>
      </c>
      <c r="E2181" s="92" t="s">
        <v>67</v>
      </c>
      <c r="F2181" s="92" t="s">
        <v>74</v>
      </c>
      <c r="G2181" s="93">
        <v>70844328110</v>
      </c>
      <c r="H2181" s="92"/>
      <c r="K2181" s="97"/>
    </row>
    <row r="2182" spans="1:11" x14ac:dyDescent="0.2">
      <c r="A2182" s="94">
        <v>2022</v>
      </c>
      <c r="B2182" s="95" t="s">
        <v>66</v>
      </c>
      <c r="C2182" s="95" t="s">
        <v>47</v>
      </c>
      <c r="D2182" s="95" t="s">
        <v>48</v>
      </c>
      <c r="E2182" s="95" t="s">
        <v>69</v>
      </c>
      <c r="F2182" s="95" t="s">
        <v>71</v>
      </c>
      <c r="G2182" s="96">
        <v>89648790000</v>
      </c>
      <c r="H2182" s="95"/>
      <c r="K2182" s="97"/>
    </row>
    <row r="2183" spans="1:11" x14ac:dyDescent="0.2">
      <c r="A2183" s="91">
        <v>2022</v>
      </c>
      <c r="B2183" s="92" t="s">
        <v>66</v>
      </c>
      <c r="C2183" s="92" t="s">
        <v>47</v>
      </c>
      <c r="D2183" s="92" t="s">
        <v>48</v>
      </c>
      <c r="E2183" s="92" t="s">
        <v>69</v>
      </c>
      <c r="F2183" s="92" t="s">
        <v>70</v>
      </c>
      <c r="G2183" s="93">
        <v>176124290541</v>
      </c>
      <c r="H2183" s="92"/>
      <c r="K2183" s="97"/>
    </row>
    <row r="2184" spans="1:11" x14ac:dyDescent="0.2">
      <c r="A2184" s="94">
        <v>2023</v>
      </c>
      <c r="B2184" s="95" t="s">
        <v>66</v>
      </c>
      <c r="C2184" s="95" t="s">
        <v>4</v>
      </c>
      <c r="D2184" s="95" t="s">
        <v>3</v>
      </c>
      <c r="E2184" s="95" t="s">
        <v>67</v>
      </c>
      <c r="F2184" s="95" t="s">
        <v>67</v>
      </c>
      <c r="G2184" s="96">
        <v>15130013207</v>
      </c>
      <c r="H2184" s="95"/>
      <c r="K2184" s="97"/>
    </row>
    <row r="2185" spans="1:11" x14ac:dyDescent="0.2">
      <c r="A2185" s="91">
        <v>2023</v>
      </c>
      <c r="B2185" s="92" t="s">
        <v>66</v>
      </c>
      <c r="C2185" s="92" t="s">
        <v>4</v>
      </c>
      <c r="D2185" s="92" t="s">
        <v>3</v>
      </c>
      <c r="E2185" s="92" t="s">
        <v>69</v>
      </c>
      <c r="F2185" s="92" t="s">
        <v>71</v>
      </c>
      <c r="G2185" s="93">
        <v>6361424103</v>
      </c>
      <c r="H2185" s="92"/>
      <c r="K2185" s="97"/>
    </row>
    <row r="2186" spans="1:11" x14ac:dyDescent="0.2">
      <c r="A2186" s="94">
        <v>2023</v>
      </c>
      <c r="B2186" s="95" t="s">
        <v>66</v>
      </c>
      <c r="C2186" s="95" t="s">
        <v>4</v>
      </c>
      <c r="D2186" s="95" t="s">
        <v>3</v>
      </c>
      <c r="E2186" s="95" t="s">
        <v>69</v>
      </c>
      <c r="F2186" s="95" t="s">
        <v>70</v>
      </c>
      <c r="G2186" s="96">
        <v>14099041160</v>
      </c>
      <c r="H2186" s="95"/>
      <c r="K2186" s="97"/>
    </row>
    <row r="2187" spans="1:11" x14ac:dyDescent="0.2">
      <c r="A2187" s="91">
        <v>2023</v>
      </c>
      <c r="B2187" s="92" t="s">
        <v>66</v>
      </c>
      <c r="C2187" s="92" t="s">
        <v>4</v>
      </c>
      <c r="D2187" s="92" t="s">
        <v>5</v>
      </c>
      <c r="E2187" s="92" t="s">
        <v>67</v>
      </c>
      <c r="F2187" s="92" t="s">
        <v>67</v>
      </c>
      <c r="G2187" s="93">
        <v>41667369127</v>
      </c>
      <c r="H2187" s="92"/>
      <c r="K2187" s="97"/>
    </row>
    <row r="2188" spans="1:11" x14ac:dyDescent="0.2">
      <c r="A2188" s="94">
        <v>2023</v>
      </c>
      <c r="B2188" s="95" t="s">
        <v>66</v>
      </c>
      <c r="C2188" s="95" t="s">
        <v>4</v>
      </c>
      <c r="D2188" s="95" t="s">
        <v>5</v>
      </c>
      <c r="E2188" s="95" t="s">
        <v>69</v>
      </c>
      <c r="F2188" s="95" t="s">
        <v>71</v>
      </c>
      <c r="G2188" s="96">
        <v>51460476537</v>
      </c>
      <c r="H2188" s="95"/>
      <c r="K2188" s="97"/>
    </row>
    <row r="2189" spans="1:11" x14ac:dyDescent="0.2">
      <c r="A2189" s="91">
        <v>2023</v>
      </c>
      <c r="B2189" s="92" t="s">
        <v>66</v>
      </c>
      <c r="C2189" s="92" t="s">
        <v>4</v>
      </c>
      <c r="D2189" s="92" t="s">
        <v>5</v>
      </c>
      <c r="E2189" s="92" t="s">
        <v>69</v>
      </c>
      <c r="F2189" s="92" t="s">
        <v>70</v>
      </c>
      <c r="G2189" s="93">
        <v>49542250038</v>
      </c>
      <c r="H2189" s="92"/>
      <c r="K2189" s="97"/>
    </row>
    <row r="2190" spans="1:11" x14ac:dyDescent="0.2">
      <c r="A2190" s="94">
        <v>2023</v>
      </c>
      <c r="B2190" s="95" t="s">
        <v>66</v>
      </c>
      <c r="C2190" s="95" t="s">
        <v>4</v>
      </c>
      <c r="D2190" s="95" t="s">
        <v>6</v>
      </c>
      <c r="E2190" s="95" t="s">
        <v>67</v>
      </c>
      <c r="F2190" s="95" t="s">
        <v>67</v>
      </c>
      <c r="G2190" s="96">
        <v>7197450281</v>
      </c>
      <c r="H2190" s="95"/>
      <c r="K2190" s="97"/>
    </row>
    <row r="2191" spans="1:11" x14ac:dyDescent="0.2">
      <c r="A2191" s="91">
        <v>2023</v>
      </c>
      <c r="B2191" s="92" t="s">
        <v>66</v>
      </c>
      <c r="C2191" s="92" t="s">
        <v>4</v>
      </c>
      <c r="D2191" s="92" t="s">
        <v>6</v>
      </c>
      <c r="E2191" s="92" t="s">
        <v>69</v>
      </c>
      <c r="F2191" s="92" t="s">
        <v>71</v>
      </c>
      <c r="G2191" s="93">
        <v>2273359163</v>
      </c>
      <c r="H2191" s="92"/>
      <c r="K2191" s="97"/>
    </row>
    <row r="2192" spans="1:11" x14ac:dyDescent="0.2">
      <c r="A2192" s="94">
        <v>2023</v>
      </c>
      <c r="B2192" s="95" t="s">
        <v>66</v>
      </c>
      <c r="C2192" s="95" t="s">
        <v>4</v>
      </c>
      <c r="D2192" s="95" t="s">
        <v>6</v>
      </c>
      <c r="E2192" s="95" t="s">
        <v>69</v>
      </c>
      <c r="F2192" s="95" t="s">
        <v>70</v>
      </c>
      <c r="G2192" s="96">
        <v>1869847606</v>
      </c>
      <c r="H2192" s="95"/>
      <c r="K2192" s="97"/>
    </row>
    <row r="2193" spans="1:11" x14ac:dyDescent="0.2">
      <c r="A2193" s="91">
        <v>2023</v>
      </c>
      <c r="B2193" s="92" t="s">
        <v>66</v>
      </c>
      <c r="C2193" s="92" t="s">
        <v>4</v>
      </c>
      <c r="D2193" s="92" t="s">
        <v>7</v>
      </c>
      <c r="E2193" s="92" t="s">
        <v>67</v>
      </c>
      <c r="F2193" s="92" t="s">
        <v>67</v>
      </c>
      <c r="G2193" s="93">
        <v>16919932859</v>
      </c>
      <c r="H2193" s="92"/>
      <c r="K2193" s="97"/>
    </row>
    <row r="2194" spans="1:11" x14ac:dyDescent="0.2">
      <c r="A2194" s="94">
        <v>2023</v>
      </c>
      <c r="B2194" s="95" t="s">
        <v>66</v>
      </c>
      <c r="C2194" s="95" t="s">
        <v>4</v>
      </c>
      <c r="D2194" s="95" t="s">
        <v>7</v>
      </c>
      <c r="E2194" s="95" t="s">
        <v>69</v>
      </c>
      <c r="F2194" s="95" t="s">
        <v>71</v>
      </c>
      <c r="G2194" s="96">
        <v>11458927356</v>
      </c>
      <c r="H2194" s="95"/>
      <c r="K2194" s="97"/>
    </row>
    <row r="2195" spans="1:11" x14ac:dyDescent="0.2">
      <c r="A2195" s="91">
        <v>2023</v>
      </c>
      <c r="B2195" s="92" t="s">
        <v>66</v>
      </c>
      <c r="C2195" s="92" t="s">
        <v>4</v>
      </c>
      <c r="D2195" s="92" t="s">
        <v>7</v>
      </c>
      <c r="E2195" s="92" t="s">
        <v>69</v>
      </c>
      <c r="F2195" s="92" t="s">
        <v>70</v>
      </c>
      <c r="G2195" s="93">
        <v>9443964879</v>
      </c>
      <c r="H2195" s="92"/>
      <c r="K2195" s="97"/>
    </row>
    <row r="2196" spans="1:11" x14ac:dyDescent="0.2">
      <c r="A2196" s="94">
        <v>2023</v>
      </c>
      <c r="B2196" s="95" t="s">
        <v>66</v>
      </c>
      <c r="C2196" s="95" t="s">
        <v>4</v>
      </c>
      <c r="D2196" s="95" t="s">
        <v>8</v>
      </c>
      <c r="E2196" s="95" t="s">
        <v>67</v>
      </c>
      <c r="F2196" s="95" t="s">
        <v>67</v>
      </c>
      <c r="G2196" s="96">
        <v>5069639008</v>
      </c>
      <c r="H2196" s="95"/>
      <c r="K2196" s="97"/>
    </row>
    <row r="2197" spans="1:11" x14ac:dyDescent="0.2">
      <c r="A2197" s="91">
        <v>2023</v>
      </c>
      <c r="B2197" s="92" t="s">
        <v>66</v>
      </c>
      <c r="C2197" s="92" t="s">
        <v>4</v>
      </c>
      <c r="D2197" s="92" t="s">
        <v>8</v>
      </c>
      <c r="E2197" s="92" t="s">
        <v>69</v>
      </c>
      <c r="F2197" s="92" t="s">
        <v>71</v>
      </c>
      <c r="G2197" s="93">
        <v>5165543817</v>
      </c>
      <c r="H2197" s="92"/>
      <c r="K2197" s="97"/>
    </row>
    <row r="2198" spans="1:11" x14ac:dyDescent="0.2">
      <c r="A2198" s="94">
        <v>2023</v>
      </c>
      <c r="B2198" s="95" t="s">
        <v>66</v>
      </c>
      <c r="C2198" s="95" t="s">
        <v>4</v>
      </c>
      <c r="D2198" s="95" t="s">
        <v>8</v>
      </c>
      <c r="E2198" s="95" t="s">
        <v>69</v>
      </c>
      <c r="F2198" s="95" t="s">
        <v>70</v>
      </c>
      <c r="G2198" s="96">
        <v>2117990309</v>
      </c>
      <c r="H2198" s="95"/>
      <c r="K2198" s="97"/>
    </row>
    <row r="2199" spans="1:11" x14ac:dyDescent="0.2">
      <c r="A2199" s="91">
        <v>2023</v>
      </c>
      <c r="B2199" s="92" t="s">
        <v>66</v>
      </c>
      <c r="C2199" s="92" t="s">
        <v>4</v>
      </c>
      <c r="D2199" s="92" t="s">
        <v>9</v>
      </c>
      <c r="E2199" s="92" t="s">
        <v>67</v>
      </c>
      <c r="F2199" s="92" t="s">
        <v>67</v>
      </c>
      <c r="G2199" s="93">
        <v>38690275617</v>
      </c>
      <c r="H2199" s="92"/>
      <c r="K2199" s="97"/>
    </row>
    <row r="2200" spans="1:11" x14ac:dyDescent="0.2">
      <c r="A2200" s="94">
        <v>2023</v>
      </c>
      <c r="B2200" s="95" t="s">
        <v>66</v>
      </c>
      <c r="C2200" s="95" t="s">
        <v>4</v>
      </c>
      <c r="D2200" s="95" t="s">
        <v>9</v>
      </c>
      <c r="E2200" s="95" t="s">
        <v>69</v>
      </c>
      <c r="F2200" s="95" t="s">
        <v>71</v>
      </c>
      <c r="G2200" s="96">
        <v>20330587201</v>
      </c>
      <c r="H2200" s="95"/>
      <c r="K2200" s="97"/>
    </row>
    <row r="2201" spans="1:11" x14ac:dyDescent="0.2">
      <c r="A2201" s="91">
        <v>2023</v>
      </c>
      <c r="B2201" s="92" t="s">
        <v>66</v>
      </c>
      <c r="C2201" s="92" t="s">
        <v>4</v>
      </c>
      <c r="D2201" s="92" t="s">
        <v>9</v>
      </c>
      <c r="E2201" s="92" t="s">
        <v>69</v>
      </c>
      <c r="F2201" s="92" t="s">
        <v>70</v>
      </c>
      <c r="G2201" s="93">
        <v>26072733473</v>
      </c>
      <c r="H2201" s="92"/>
      <c r="K2201" s="97"/>
    </row>
    <row r="2202" spans="1:11" x14ac:dyDescent="0.2">
      <c r="A2202" s="94">
        <v>2023</v>
      </c>
      <c r="B2202" s="95" t="s">
        <v>66</v>
      </c>
      <c r="C2202" s="95" t="s">
        <v>4</v>
      </c>
      <c r="D2202" s="95" t="s">
        <v>10</v>
      </c>
      <c r="E2202" s="95" t="s">
        <v>67</v>
      </c>
      <c r="F2202" s="95" t="s">
        <v>67</v>
      </c>
      <c r="G2202" s="96">
        <v>1019365083</v>
      </c>
      <c r="H2202" s="95"/>
      <c r="K2202" s="97"/>
    </row>
    <row r="2203" spans="1:11" x14ac:dyDescent="0.2">
      <c r="A2203" s="91">
        <v>2023</v>
      </c>
      <c r="B2203" s="92" t="s">
        <v>66</v>
      </c>
      <c r="C2203" s="92" t="s">
        <v>4</v>
      </c>
      <c r="D2203" s="92" t="s">
        <v>10</v>
      </c>
      <c r="E2203" s="92" t="s">
        <v>69</v>
      </c>
      <c r="F2203" s="92" t="s">
        <v>71</v>
      </c>
      <c r="G2203" s="93">
        <v>1146878388</v>
      </c>
      <c r="H2203" s="92"/>
      <c r="K2203" s="97"/>
    </row>
    <row r="2204" spans="1:11" x14ac:dyDescent="0.2">
      <c r="A2204" s="94">
        <v>2023</v>
      </c>
      <c r="B2204" s="95" t="s">
        <v>66</v>
      </c>
      <c r="C2204" s="95" t="s">
        <v>4</v>
      </c>
      <c r="D2204" s="95" t="s">
        <v>10</v>
      </c>
      <c r="E2204" s="95" t="s">
        <v>69</v>
      </c>
      <c r="F2204" s="95" t="s">
        <v>70</v>
      </c>
      <c r="G2204" s="96">
        <v>150495354</v>
      </c>
      <c r="H2204" s="95"/>
      <c r="K2204" s="97"/>
    </row>
    <row r="2205" spans="1:11" x14ac:dyDescent="0.2">
      <c r="A2205" s="91">
        <v>2023</v>
      </c>
      <c r="B2205" s="92" t="s">
        <v>66</v>
      </c>
      <c r="C2205" s="92" t="s">
        <v>4</v>
      </c>
      <c r="D2205" s="92" t="s">
        <v>11</v>
      </c>
      <c r="E2205" s="92" t="s">
        <v>67</v>
      </c>
      <c r="F2205" s="92" t="s">
        <v>67</v>
      </c>
      <c r="G2205" s="93">
        <v>3320116775</v>
      </c>
      <c r="H2205" s="92"/>
      <c r="K2205" s="97"/>
    </row>
    <row r="2206" spans="1:11" x14ac:dyDescent="0.2">
      <c r="A2206" s="94">
        <v>2023</v>
      </c>
      <c r="B2206" s="95" t="s">
        <v>66</v>
      </c>
      <c r="C2206" s="95" t="s">
        <v>4</v>
      </c>
      <c r="D2206" s="95" t="s">
        <v>11</v>
      </c>
      <c r="E2206" s="95" t="s">
        <v>69</v>
      </c>
      <c r="F2206" s="95" t="s">
        <v>71</v>
      </c>
      <c r="G2206" s="96">
        <v>2384508510</v>
      </c>
      <c r="H2206" s="95"/>
      <c r="K2206" s="97"/>
    </row>
    <row r="2207" spans="1:11" x14ac:dyDescent="0.2">
      <c r="A2207" s="91">
        <v>2023</v>
      </c>
      <c r="B2207" s="92" t="s">
        <v>66</v>
      </c>
      <c r="C2207" s="92" t="s">
        <v>4</v>
      </c>
      <c r="D2207" s="92" t="s">
        <v>11</v>
      </c>
      <c r="E2207" s="92" t="s">
        <v>69</v>
      </c>
      <c r="F2207" s="92" t="s">
        <v>70</v>
      </c>
      <c r="G2207" s="93">
        <v>3947035172</v>
      </c>
      <c r="H2207" s="92"/>
      <c r="K2207" s="97"/>
    </row>
    <row r="2208" spans="1:11" x14ac:dyDescent="0.2">
      <c r="A2208" s="94">
        <v>2023</v>
      </c>
      <c r="B2208" s="95" t="s">
        <v>66</v>
      </c>
      <c r="C2208" s="95" t="s">
        <v>4</v>
      </c>
      <c r="D2208" s="95" t="s">
        <v>12</v>
      </c>
      <c r="E2208" s="95" t="s">
        <v>67</v>
      </c>
      <c r="F2208" s="95" t="s">
        <v>67</v>
      </c>
      <c r="G2208" s="96">
        <v>5131650232</v>
      </c>
      <c r="H2208" s="95"/>
      <c r="K2208" s="97"/>
    </row>
    <row r="2209" spans="1:11" x14ac:dyDescent="0.2">
      <c r="A2209" s="91">
        <v>2023</v>
      </c>
      <c r="B2209" s="92" t="s">
        <v>66</v>
      </c>
      <c r="C2209" s="92" t="s">
        <v>4</v>
      </c>
      <c r="D2209" s="92" t="s">
        <v>12</v>
      </c>
      <c r="E2209" s="92" t="s">
        <v>69</v>
      </c>
      <c r="F2209" s="92" t="s">
        <v>71</v>
      </c>
      <c r="G2209" s="93">
        <v>4738883499</v>
      </c>
      <c r="H2209" s="92"/>
      <c r="K2209" s="97"/>
    </row>
    <row r="2210" spans="1:11" x14ac:dyDescent="0.2">
      <c r="A2210" s="94">
        <v>2023</v>
      </c>
      <c r="B2210" s="95" t="s">
        <v>66</v>
      </c>
      <c r="C2210" s="95" t="s">
        <v>4</v>
      </c>
      <c r="D2210" s="95" t="s">
        <v>12</v>
      </c>
      <c r="E2210" s="95" t="s">
        <v>69</v>
      </c>
      <c r="F2210" s="95" t="s">
        <v>70</v>
      </c>
      <c r="G2210" s="96">
        <v>5120639129</v>
      </c>
      <c r="H2210" s="95"/>
      <c r="K2210" s="97"/>
    </row>
    <row r="2211" spans="1:11" x14ac:dyDescent="0.2">
      <c r="A2211" s="91">
        <v>2023</v>
      </c>
      <c r="B2211" s="92" t="s">
        <v>66</v>
      </c>
      <c r="C2211" s="92" t="s">
        <v>4</v>
      </c>
      <c r="D2211" s="92" t="s">
        <v>13</v>
      </c>
      <c r="E2211" s="92" t="s">
        <v>67</v>
      </c>
      <c r="F2211" s="92" t="s">
        <v>67</v>
      </c>
      <c r="G2211" s="93">
        <v>8860113008</v>
      </c>
      <c r="H2211" s="92"/>
      <c r="K2211" s="97"/>
    </row>
    <row r="2212" spans="1:11" x14ac:dyDescent="0.2">
      <c r="A2212" s="94">
        <v>2023</v>
      </c>
      <c r="B2212" s="95" t="s">
        <v>66</v>
      </c>
      <c r="C2212" s="95" t="s">
        <v>4</v>
      </c>
      <c r="D2212" s="95" t="s">
        <v>13</v>
      </c>
      <c r="E2212" s="95" t="s">
        <v>69</v>
      </c>
      <c r="F2212" s="95" t="s">
        <v>71</v>
      </c>
      <c r="G2212" s="96">
        <v>4590795608</v>
      </c>
      <c r="H2212" s="95"/>
      <c r="K2212" s="97"/>
    </row>
    <row r="2213" spans="1:11" x14ac:dyDescent="0.2">
      <c r="A2213" s="91">
        <v>2023</v>
      </c>
      <c r="B2213" s="92" t="s">
        <v>66</v>
      </c>
      <c r="C2213" s="92" t="s">
        <v>4</v>
      </c>
      <c r="D2213" s="92" t="s">
        <v>13</v>
      </c>
      <c r="E2213" s="92" t="s">
        <v>69</v>
      </c>
      <c r="F2213" s="92" t="s">
        <v>70</v>
      </c>
      <c r="G2213" s="93">
        <v>6494671150</v>
      </c>
      <c r="H2213" s="92"/>
      <c r="K2213" s="97"/>
    </row>
    <row r="2214" spans="1:11" x14ac:dyDescent="0.2">
      <c r="A2214" s="94">
        <v>2023</v>
      </c>
      <c r="B2214" s="95" t="s">
        <v>66</v>
      </c>
      <c r="C2214" s="95" t="s">
        <v>4</v>
      </c>
      <c r="D2214" s="95" t="s">
        <v>14</v>
      </c>
      <c r="E2214" s="95" t="s">
        <v>67</v>
      </c>
      <c r="F2214" s="95" t="s">
        <v>67</v>
      </c>
      <c r="G2214" s="96">
        <v>6108307082</v>
      </c>
      <c r="H2214" s="95"/>
      <c r="K2214" s="97"/>
    </row>
    <row r="2215" spans="1:11" x14ac:dyDescent="0.2">
      <c r="A2215" s="91">
        <v>2023</v>
      </c>
      <c r="B2215" s="92" t="s">
        <v>66</v>
      </c>
      <c r="C2215" s="92" t="s">
        <v>4</v>
      </c>
      <c r="D2215" s="92" t="s">
        <v>14</v>
      </c>
      <c r="E2215" s="92" t="s">
        <v>69</v>
      </c>
      <c r="F2215" s="92" t="s">
        <v>71</v>
      </c>
      <c r="G2215" s="93">
        <v>1600987474</v>
      </c>
      <c r="H2215" s="92"/>
      <c r="K2215" s="97"/>
    </row>
    <row r="2216" spans="1:11" x14ac:dyDescent="0.2">
      <c r="A2216" s="94">
        <v>2023</v>
      </c>
      <c r="B2216" s="95" t="s">
        <v>66</v>
      </c>
      <c r="C2216" s="95" t="s">
        <v>4</v>
      </c>
      <c r="D2216" s="95" t="s">
        <v>14</v>
      </c>
      <c r="E2216" s="95" t="s">
        <v>69</v>
      </c>
      <c r="F2216" s="95" t="s">
        <v>70</v>
      </c>
      <c r="G2216" s="96">
        <v>3175883422</v>
      </c>
      <c r="H2216" s="95"/>
      <c r="K2216" s="97"/>
    </row>
    <row r="2217" spans="1:11" x14ac:dyDescent="0.2">
      <c r="A2217" s="91">
        <v>2023</v>
      </c>
      <c r="B2217" s="92" t="s">
        <v>66</v>
      </c>
      <c r="C2217" s="92" t="s">
        <v>4</v>
      </c>
      <c r="D2217" s="92" t="s">
        <v>15</v>
      </c>
      <c r="E2217" s="92" t="s">
        <v>67</v>
      </c>
      <c r="F2217" s="92" t="s">
        <v>67</v>
      </c>
      <c r="G2217" s="93">
        <v>5509867969</v>
      </c>
      <c r="H2217" s="92"/>
      <c r="K2217" s="97"/>
    </row>
    <row r="2218" spans="1:11" x14ac:dyDescent="0.2">
      <c r="A2218" s="94">
        <v>2023</v>
      </c>
      <c r="B2218" s="95" t="s">
        <v>66</v>
      </c>
      <c r="C2218" s="95" t="s">
        <v>4</v>
      </c>
      <c r="D2218" s="95" t="s">
        <v>15</v>
      </c>
      <c r="E2218" s="95" t="s">
        <v>69</v>
      </c>
      <c r="F2218" s="95" t="s">
        <v>71</v>
      </c>
      <c r="G2218" s="96">
        <v>5060374974</v>
      </c>
      <c r="H2218" s="95"/>
      <c r="K2218" s="97"/>
    </row>
    <row r="2219" spans="1:11" x14ac:dyDescent="0.2">
      <c r="A2219" s="91">
        <v>2023</v>
      </c>
      <c r="B2219" s="92" t="s">
        <v>66</v>
      </c>
      <c r="C2219" s="92" t="s">
        <v>4</v>
      </c>
      <c r="D2219" s="92" t="s">
        <v>15</v>
      </c>
      <c r="E2219" s="92" t="s">
        <v>69</v>
      </c>
      <c r="F2219" s="92" t="s">
        <v>70</v>
      </c>
      <c r="G2219" s="93">
        <v>2265545656</v>
      </c>
      <c r="H2219" s="92"/>
      <c r="K2219" s="97"/>
    </row>
    <row r="2220" spans="1:11" x14ac:dyDescent="0.2">
      <c r="A2220" s="94">
        <v>2023</v>
      </c>
      <c r="B2220" s="95" t="s">
        <v>66</v>
      </c>
      <c r="C2220" s="95" t="s">
        <v>17</v>
      </c>
      <c r="D2220" s="95" t="s">
        <v>16</v>
      </c>
      <c r="E2220" s="95" t="s">
        <v>67</v>
      </c>
      <c r="F2220" s="95" t="s">
        <v>67</v>
      </c>
      <c r="G2220" s="96">
        <v>724432415</v>
      </c>
      <c r="H2220" s="95"/>
      <c r="K2220" s="97"/>
    </row>
    <row r="2221" spans="1:11" x14ac:dyDescent="0.2">
      <c r="A2221" s="91">
        <v>2023</v>
      </c>
      <c r="B2221" s="92" t="s">
        <v>66</v>
      </c>
      <c r="C2221" s="92" t="s">
        <v>17</v>
      </c>
      <c r="D2221" s="92" t="s">
        <v>16</v>
      </c>
      <c r="E2221" s="92" t="s">
        <v>69</v>
      </c>
      <c r="F2221" s="92" t="s">
        <v>71</v>
      </c>
      <c r="G2221" s="93">
        <v>447571828</v>
      </c>
      <c r="H2221" s="92"/>
      <c r="K2221" s="97"/>
    </row>
    <row r="2222" spans="1:11" x14ac:dyDescent="0.2">
      <c r="A2222" s="94">
        <v>2023</v>
      </c>
      <c r="B2222" s="95" t="s">
        <v>66</v>
      </c>
      <c r="C2222" s="95" t="s">
        <v>17</v>
      </c>
      <c r="D2222" s="95" t="s">
        <v>16</v>
      </c>
      <c r="E2222" s="95" t="s">
        <v>69</v>
      </c>
      <c r="F2222" s="95" t="s">
        <v>70</v>
      </c>
      <c r="G2222" s="96">
        <v>194745822</v>
      </c>
      <c r="H2222" s="95"/>
      <c r="K2222" s="97"/>
    </row>
    <row r="2223" spans="1:11" x14ac:dyDescent="0.2">
      <c r="A2223" s="91">
        <v>2023</v>
      </c>
      <c r="B2223" s="92" t="s">
        <v>66</v>
      </c>
      <c r="C2223" s="92" t="s">
        <v>17</v>
      </c>
      <c r="D2223" s="92" t="s">
        <v>18</v>
      </c>
      <c r="E2223" s="92" t="s">
        <v>67</v>
      </c>
      <c r="F2223" s="92" t="s">
        <v>67</v>
      </c>
      <c r="G2223" s="93">
        <v>1413702845</v>
      </c>
      <c r="H2223" s="92"/>
      <c r="K2223" s="97"/>
    </row>
    <row r="2224" spans="1:11" x14ac:dyDescent="0.2">
      <c r="A2224" s="94">
        <v>2023</v>
      </c>
      <c r="B2224" s="95" t="s">
        <v>66</v>
      </c>
      <c r="C2224" s="95" t="s">
        <v>17</v>
      </c>
      <c r="D2224" s="95" t="s">
        <v>18</v>
      </c>
      <c r="E2224" s="95" t="s">
        <v>69</v>
      </c>
      <c r="F2224" s="95" t="s">
        <v>71</v>
      </c>
      <c r="G2224" s="96">
        <v>1085430655</v>
      </c>
      <c r="H2224" s="95"/>
      <c r="K2224" s="97"/>
    </row>
    <row r="2225" spans="1:11" x14ac:dyDescent="0.2">
      <c r="A2225" s="91">
        <v>2023</v>
      </c>
      <c r="B2225" s="92" t="s">
        <v>66</v>
      </c>
      <c r="C2225" s="92" t="s">
        <v>17</v>
      </c>
      <c r="D2225" s="92" t="s">
        <v>18</v>
      </c>
      <c r="E2225" s="92" t="s">
        <v>69</v>
      </c>
      <c r="F2225" s="92" t="s">
        <v>70</v>
      </c>
      <c r="G2225" s="93">
        <v>1467831488</v>
      </c>
      <c r="H2225" s="92"/>
      <c r="K2225" s="97"/>
    </row>
    <row r="2226" spans="1:11" x14ac:dyDescent="0.2">
      <c r="A2226" s="94">
        <v>2023</v>
      </c>
      <c r="B2226" s="95" t="s">
        <v>66</v>
      </c>
      <c r="C2226" s="95" t="s">
        <v>17</v>
      </c>
      <c r="D2226" s="95" t="s">
        <v>19</v>
      </c>
      <c r="E2226" s="95" t="s">
        <v>67</v>
      </c>
      <c r="F2226" s="95" t="s">
        <v>67</v>
      </c>
      <c r="G2226" s="96">
        <v>4153881783</v>
      </c>
      <c r="H2226" s="95"/>
      <c r="K2226" s="97"/>
    </row>
    <row r="2227" spans="1:11" x14ac:dyDescent="0.2">
      <c r="A2227" s="91">
        <v>2023</v>
      </c>
      <c r="B2227" s="92" t="s">
        <v>66</v>
      </c>
      <c r="C2227" s="92" t="s">
        <v>17</v>
      </c>
      <c r="D2227" s="92" t="s">
        <v>19</v>
      </c>
      <c r="E2227" s="92" t="s">
        <v>69</v>
      </c>
      <c r="F2227" s="92" t="s">
        <v>71</v>
      </c>
      <c r="G2227" s="93">
        <v>3126740319</v>
      </c>
      <c r="H2227" s="92"/>
      <c r="K2227" s="97"/>
    </row>
    <row r="2228" spans="1:11" x14ac:dyDescent="0.2">
      <c r="A2228" s="94">
        <v>2023</v>
      </c>
      <c r="B2228" s="95" t="s">
        <v>66</v>
      </c>
      <c r="C2228" s="95" t="s">
        <v>17</v>
      </c>
      <c r="D2228" s="95" t="s">
        <v>19</v>
      </c>
      <c r="E2228" s="95" t="s">
        <v>69</v>
      </c>
      <c r="F2228" s="95" t="s">
        <v>70</v>
      </c>
      <c r="G2228" s="96">
        <v>1593180684</v>
      </c>
      <c r="H2228" s="95"/>
      <c r="K2228" s="97"/>
    </row>
    <row r="2229" spans="1:11" x14ac:dyDescent="0.2">
      <c r="A2229" s="91">
        <v>2023</v>
      </c>
      <c r="B2229" s="92" t="s">
        <v>66</v>
      </c>
      <c r="C2229" s="92" t="s">
        <v>17</v>
      </c>
      <c r="D2229" s="92" t="s">
        <v>20</v>
      </c>
      <c r="E2229" s="92" t="s">
        <v>67</v>
      </c>
      <c r="F2229" s="92" t="s">
        <v>67</v>
      </c>
      <c r="G2229" s="93">
        <v>597222038</v>
      </c>
      <c r="H2229" s="92"/>
      <c r="K2229" s="97"/>
    </row>
    <row r="2230" spans="1:11" x14ac:dyDescent="0.2">
      <c r="A2230" s="94">
        <v>2023</v>
      </c>
      <c r="B2230" s="95" t="s">
        <v>66</v>
      </c>
      <c r="C2230" s="95" t="s">
        <v>17</v>
      </c>
      <c r="D2230" s="95" t="s">
        <v>20</v>
      </c>
      <c r="E2230" s="95" t="s">
        <v>69</v>
      </c>
      <c r="F2230" s="95" t="s">
        <v>71</v>
      </c>
      <c r="G2230" s="96">
        <v>873649548</v>
      </c>
      <c r="H2230" s="95"/>
      <c r="K2230" s="97"/>
    </row>
    <row r="2231" spans="1:11" x14ac:dyDescent="0.2">
      <c r="A2231" s="91">
        <v>2023</v>
      </c>
      <c r="B2231" s="92" t="s">
        <v>66</v>
      </c>
      <c r="C2231" s="92" t="s">
        <v>17</v>
      </c>
      <c r="D2231" s="92" t="s">
        <v>20</v>
      </c>
      <c r="E2231" s="92" t="s">
        <v>69</v>
      </c>
      <c r="F2231" s="92" t="s">
        <v>70</v>
      </c>
      <c r="G2231" s="93">
        <v>5485186025</v>
      </c>
      <c r="H2231" s="92"/>
      <c r="K2231" s="97"/>
    </row>
    <row r="2232" spans="1:11" x14ac:dyDescent="0.2">
      <c r="A2232" s="94">
        <v>2023</v>
      </c>
      <c r="B2232" s="95" t="s">
        <v>66</v>
      </c>
      <c r="C2232" s="95" t="s">
        <v>17</v>
      </c>
      <c r="D2232" s="95" t="s">
        <v>21</v>
      </c>
      <c r="E2232" s="95" t="s">
        <v>67</v>
      </c>
      <c r="F2232" s="95" t="s">
        <v>67</v>
      </c>
      <c r="G2232" s="96">
        <v>2559947036</v>
      </c>
      <c r="H2232" s="95"/>
      <c r="K2232" s="97"/>
    </row>
    <row r="2233" spans="1:11" x14ac:dyDescent="0.2">
      <c r="A2233" s="91">
        <v>2023</v>
      </c>
      <c r="B2233" s="92" t="s">
        <v>66</v>
      </c>
      <c r="C2233" s="92" t="s">
        <v>17</v>
      </c>
      <c r="D2233" s="92" t="s">
        <v>21</v>
      </c>
      <c r="E2233" s="92" t="s">
        <v>69</v>
      </c>
      <c r="F2233" s="92" t="s">
        <v>71</v>
      </c>
      <c r="G2233" s="93">
        <v>1317593581</v>
      </c>
      <c r="H2233" s="92"/>
      <c r="K2233" s="97"/>
    </row>
    <row r="2234" spans="1:11" x14ac:dyDescent="0.2">
      <c r="A2234" s="94">
        <v>2023</v>
      </c>
      <c r="B2234" s="95" t="s">
        <v>66</v>
      </c>
      <c r="C2234" s="95" t="s">
        <v>17</v>
      </c>
      <c r="D2234" s="95" t="s">
        <v>21</v>
      </c>
      <c r="E2234" s="95" t="s">
        <v>69</v>
      </c>
      <c r="F2234" s="95" t="s">
        <v>70</v>
      </c>
      <c r="G2234" s="96">
        <v>1621171117</v>
      </c>
      <c r="H2234" s="95"/>
      <c r="K2234" s="97"/>
    </row>
    <row r="2235" spans="1:11" x14ac:dyDescent="0.2">
      <c r="A2235" s="91">
        <v>2023</v>
      </c>
      <c r="B2235" s="92" t="s">
        <v>66</v>
      </c>
      <c r="C2235" s="92" t="s">
        <v>17</v>
      </c>
      <c r="D2235" s="92" t="s">
        <v>22</v>
      </c>
      <c r="E2235" s="92" t="s">
        <v>67</v>
      </c>
      <c r="F2235" s="92" t="s">
        <v>67</v>
      </c>
      <c r="G2235" s="93">
        <v>930045547</v>
      </c>
      <c r="H2235" s="92"/>
      <c r="K2235" s="97"/>
    </row>
    <row r="2236" spans="1:11" x14ac:dyDescent="0.2">
      <c r="A2236" s="94">
        <v>2023</v>
      </c>
      <c r="B2236" s="95" t="s">
        <v>66</v>
      </c>
      <c r="C2236" s="95" t="s">
        <v>17</v>
      </c>
      <c r="D2236" s="95" t="s">
        <v>22</v>
      </c>
      <c r="E2236" s="95" t="s">
        <v>69</v>
      </c>
      <c r="F2236" s="95" t="s">
        <v>71</v>
      </c>
      <c r="G2236" s="96">
        <v>668951780</v>
      </c>
      <c r="H2236" s="95"/>
      <c r="K2236" s="97"/>
    </row>
    <row r="2237" spans="1:11" x14ac:dyDescent="0.2">
      <c r="A2237" s="91">
        <v>2023</v>
      </c>
      <c r="B2237" s="92" t="s">
        <v>66</v>
      </c>
      <c r="C2237" s="92" t="s">
        <v>17</v>
      </c>
      <c r="D2237" s="92" t="s">
        <v>22</v>
      </c>
      <c r="E2237" s="92" t="s">
        <v>69</v>
      </c>
      <c r="F2237" s="92" t="s">
        <v>70</v>
      </c>
      <c r="G2237" s="93">
        <v>905853349</v>
      </c>
      <c r="H2237" s="92"/>
      <c r="K2237" s="97"/>
    </row>
    <row r="2238" spans="1:11" x14ac:dyDescent="0.2">
      <c r="A2238" s="94">
        <v>2023</v>
      </c>
      <c r="B2238" s="95" t="s">
        <v>66</v>
      </c>
      <c r="C2238" s="95" t="s">
        <v>17</v>
      </c>
      <c r="D2238" s="95" t="s">
        <v>23</v>
      </c>
      <c r="E2238" s="95" t="s">
        <v>67</v>
      </c>
      <c r="F2238" s="95" t="s">
        <v>67</v>
      </c>
      <c r="G2238" s="96">
        <v>893364884</v>
      </c>
      <c r="H2238" s="95"/>
      <c r="K2238" s="97"/>
    </row>
    <row r="2239" spans="1:11" x14ac:dyDescent="0.2">
      <c r="A2239" s="91">
        <v>2023</v>
      </c>
      <c r="B2239" s="92" t="s">
        <v>66</v>
      </c>
      <c r="C2239" s="92" t="s">
        <v>17</v>
      </c>
      <c r="D2239" s="92" t="s">
        <v>23</v>
      </c>
      <c r="E2239" s="92" t="s">
        <v>69</v>
      </c>
      <c r="F2239" s="92" t="s">
        <v>71</v>
      </c>
      <c r="G2239" s="93">
        <v>681318562</v>
      </c>
      <c r="H2239" s="92"/>
      <c r="K2239" s="97"/>
    </row>
    <row r="2240" spans="1:11" x14ac:dyDescent="0.2">
      <c r="A2240" s="94">
        <v>2023</v>
      </c>
      <c r="B2240" s="95" t="s">
        <v>66</v>
      </c>
      <c r="C2240" s="95" t="s">
        <v>17</v>
      </c>
      <c r="D2240" s="95" t="s">
        <v>23</v>
      </c>
      <c r="E2240" s="95" t="s">
        <v>69</v>
      </c>
      <c r="F2240" s="95" t="s">
        <v>70</v>
      </c>
      <c r="G2240" s="96">
        <v>373450203</v>
      </c>
      <c r="H2240" s="95"/>
      <c r="K2240" s="97"/>
    </row>
    <row r="2241" spans="1:11" x14ac:dyDescent="0.2">
      <c r="A2241" s="91">
        <v>2023</v>
      </c>
      <c r="B2241" s="92" t="s">
        <v>66</v>
      </c>
      <c r="C2241" s="92" t="s">
        <v>17</v>
      </c>
      <c r="D2241" s="92" t="s">
        <v>24</v>
      </c>
      <c r="E2241" s="92" t="s">
        <v>67</v>
      </c>
      <c r="F2241" s="92" t="s">
        <v>67</v>
      </c>
      <c r="G2241" s="93">
        <v>13361585765</v>
      </c>
      <c r="H2241" s="92"/>
      <c r="K2241" s="97"/>
    </row>
    <row r="2242" spans="1:11" x14ac:dyDescent="0.2">
      <c r="A2242" s="94">
        <v>2023</v>
      </c>
      <c r="B2242" s="95" t="s">
        <v>66</v>
      </c>
      <c r="C2242" s="95" t="s">
        <v>17</v>
      </c>
      <c r="D2242" s="95" t="s">
        <v>24</v>
      </c>
      <c r="E2242" s="95" t="s">
        <v>69</v>
      </c>
      <c r="F2242" s="95" t="s">
        <v>71</v>
      </c>
      <c r="G2242" s="96">
        <v>5231719149</v>
      </c>
      <c r="H2242" s="95"/>
      <c r="K2242" s="97"/>
    </row>
    <row r="2243" spans="1:11" x14ac:dyDescent="0.2">
      <c r="A2243" s="91">
        <v>2023</v>
      </c>
      <c r="B2243" s="92" t="s">
        <v>66</v>
      </c>
      <c r="C2243" s="92" t="s">
        <v>17</v>
      </c>
      <c r="D2243" s="92" t="s">
        <v>24</v>
      </c>
      <c r="E2243" s="92" t="s">
        <v>69</v>
      </c>
      <c r="F2243" s="92" t="s">
        <v>70</v>
      </c>
      <c r="G2243" s="93">
        <v>8761119692</v>
      </c>
      <c r="H2243" s="92"/>
      <c r="K2243" s="97"/>
    </row>
    <row r="2244" spans="1:11" x14ac:dyDescent="0.2">
      <c r="A2244" s="94">
        <v>2023</v>
      </c>
      <c r="B2244" s="95" t="s">
        <v>66</v>
      </c>
      <c r="C2244" s="95" t="s">
        <v>17</v>
      </c>
      <c r="D2244" s="95" t="s">
        <v>25</v>
      </c>
      <c r="E2244" s="95" t="s">
        <v>67</v>
      </c>
      <c r="F2244" s="95" t="s">
        <v>67</v>
      </c>
      <c r="G2244" s="96">
        <v>0</v>
      </c>
      <c r="H2244" s="95"/>
      <c r="K2244" s="97"/>
    </row>
    <row r="2245" spans="1:11" x14ac:dyDescent="0.2">
      <c r="A2245" s="91">
        <v>2023</v>
      </c>
      <c r="B2245" s="92" t="s">
        <v>66</v>
      </c>
      <c r="C2245" s="92" t="s">
        <v>17</v>
      </c>
      <c r="D2245" s="92" t="s">
        <v>25</v>
      </c>
      <c r="E2245" s="92" t="s">
        <v>69</v>
      </c>
      <c r="F2245" s="92" t="s">
        <v>71</v>
      </c>
      <c r="G2245" s="93">
        <v>0</v>
      </c>
      <c r="H2245" s="92"/>
      <c r="K2245" s="97"/>
    </row>
    <row r="2246" spans="1:11" x14ac:dyDescent="0.2">
      <c r="A2246" s="94">
        <v>2023</v>
      </c>
      <c r="B2246" s="95" t="s">
        <v>66</v>
      </c>
      <c r="C2246" s="95" t="s">
        <v>17</v>
      </c>
      <c r="D2246" s="95" t="s">
        <v>25</v>
      </c>
      <c r="E2246" s="95" t="s">
        <v>69</v>
      </c>
      <c r="F2246" s="95" t="s">
        <v>70</v>
      </c>
      <c r="G2246" s="96">
        <v>0</v>
      </c>
      <c r="H2246" s="95"/>
      <c r="K2246" s="97"/>
    </row>
    <row r="2247" spans="1:11" x14ac:dyDescent="0.2">
      <c r="A2247" s="91">
        <v>2023</v>
      </c>
      <c r="B2247" s="92" t="s">
        <v>66</v>
      </c>
      <c r="C2247" s="92" t="s">
        <v>27</v>
      </c>
      <c r="D2247" s="92" t="s">
        <v>26</v>
      </c>
      <c r="E2247" s="92" t="s">
        <v>67</v>
      </c>
      <c r="F2247" s="92" t="s">
        <v>67</v>
      </c>
      <c r="G2247" s="93">
        <v>27994668917</v>
      </c>
      <c r="H2247" s="92"/>
      <c r="K2247" s="97"/>
    </row>
    <row r="2248" spans="1:11" x14ac:dyDescent="0.2">
      <c r="A2248" s="94">
        <v>2023</v>
      </c>
      <c r="B2248" s="95" t="s">
        <v>66</v>
      </c>
      <c r="C2248" s="95" t="s">
        <v>27</v>
      </c>
      <c r="D2248" s="95" t="s">
        <v>26</v>
      </c>
      <c r="E2248" s="95" t="s">
        <v>69</v>
      </c>
      <c r="F2248" s="95" t="s">
        <v>71</v>
      </c>
      <c r="G2248" s="96">
        <v>8811416800</v>
      </c>
      <c r="H2248" s="95"/>
      <c r="K2248" s="97"/>
    </row>
    <row r="2249" spans="1:11" x14ac:dyDescent="0.2">
      <c r="A2249" s="91">
        <v>2023</v>
      </c>
      <c r="B2249" s="92" t="s">
        <v>66</v>
      </c>
      <c r="C2249" s="92" t="s">
        <v>27</v>
      </c>
      <c r="D2249" s="92" t="s">
        <v>26</v>
      </c>
      <c r="E2249" s="92" t="s">
        <v>69</v>
      </c>
      <c r="F2249" s="92" t="s">
        <v>70</v>
      </c>
      <c r="G2249" s="93">
        <v>23456258715</v>
      </c>
      <c r="H2249" s="92"/>
      <c r="K2249" s="97"/>
    </row>
    <row r="2250" spans="1:11" x14ac:dyDescent="0.2">
      <c r="A2250" s="94">
        <v>2023</v>
      </c>
      <c r="B2250" s="95" t="s">
        <v>66</v>
      </c>
      <c r="C2250" s="95" t="s">
        <v>27</v>
      </c>
      <c r="D2250" s="95" t="s">
        <v>28</v>
      </c>
      <c r="E2250" s="95" t="s">
        <v>67</v>
      </c>
      <c r="F2250" s="95" t="s">
        <v>67</v>
      </c>
      <c r="G2250" s="96">
        <v>28660157443</v>
      </c>
      <c r="H2250" s="95"/>
      <c r="K2250" s="97"/>
    </row>
    <row r="2251" spans="1:11" x14ac:dyDescent="0.2">
      <c r="A2251" s="91">
        <v>2023</v>
      </c>
      <c r="B2251" s="92" t="s">
        <v>66</v>
      </c>
      <c r="C2251" s="92" t="s">
        <v>27</v>
      </c>
      <c r="D2251" s="92" t="s">
        <v>28</v>
      </c>
      <c r="E2251" s="92" t="s">
        <v>69</v>
      </c>
      <c r="F2251" s="92" t="s">
        <v>71</v>
      </c>
      <c r="G2251" s="93">
        <v>15222265149</v>
      </c>
      <c r="H2251" s="92"/>
      <c r="K2251" s="97"/>
    </row>
    <row r="2252" spans="1:11" x14ac:dyDescent="0.2">
      <c r="A2252" s="94">
        <v>2023</v>
      </c>
      <c r="B2252" s="95" t="s">
        <v>66</v>
      </c>
      <c r="C2252" s="95" t="s">
        <v>27</v>
      </c>
      <c r="D2252" s="95" t="s">
        <v>28</v>
      </c>
      <c r="E2252" s="95" t="s">
        <v>69</v>
      </c>
      <c r="F2252" s="95" t="s">
        <v>70</v>
      </c>
      <c r="G2252" s="96">
        <v>29907114479</v>
      </c>
      <c r="H2252" s="95"/>
      <c r="K2252" s="97"/>
    </row>
    <row r="2253" spans="1:11" x14ac:dyDescent="0.2">
      <c r="A2253" s="91">
        <v>2023</v>
      </c>
      <c r="B2253" s="92" t="s">
        <v>66</v>
      </c>
      <c r="C2253" s="92" t="s">
        <v>27</v>
      </c>
      <c r="D2253" s="92" t="s">
        <v>29</v>
      </c>
      <c r="E2253" s="92" t="s">
        <v>67</v>
      </c>
      <c r="F2253" s="92" t="s">
        <v>67</v>
      </c>
      <c r="G2253" s="93">
        <v>13130464080</v>
      </c>
      <c r="H2253" s="92"/>
      <c r="K2253" s="97"/>
    </row>
    <row r="2254" spans="1:11" x14ac:dyDescent="0.2">
      <c r="A2254" s="94">
        <v>2023</v>
      </c>
      <c r="B2254" s="95" t="s">
        <v>66</v>
      </c>
      <c r="C2254" s="95" t="s">
        <v>27</v>
      </c>
      <c r="D2254" s="95" t="s">
        <v>29</v>
      </c>
      <c r="E2254" s="95" t="s">
        <v>69</v>
      </c>
      <c r="F2254" s="95" t="s">
        <v>71</v>
      </c>
      <c r="G2254" s="96">
        <v>6427331735</v>
      </c>
      <c r="H2254" s="95"/>
      <c r="K2254" s="97"/>
    </row>
    <row r="2255" spans="1:11" x14ac:dyDescent="0.2">
      <c r="A2255" s="91">
        <v>2023</v>
      </c>
      <c r="B2255" s="92" t="s">
        <v>66</v>
      </c>
      <c r="C2255" s="92" t="s">
        <v>27</v>
      </c>
      <c r="D2255" s="92" t="s">
        <v>29</v>
      </c>
      <c r="E2255" s="92" t="s">
        <v>69</v>
      </c>
      <c r="F2255" s="92" t="s">
        <v>70</v>
      </c>
      <c r="G2255" s="93">
        <v>9595940799</v>
      </c>
      <c r="H2255" s="92"/>
      <c r="K2255" s="97"/>
    </row>
    <row r="2256" spans="1:11" x14ac:dyDescent="0.2">
      <c r="A2256" s="94">
        <v>2023</v>
      </c>
      <c r="B2256" s="95" t="s">
        <v>66</v>
      </c>
      <c r="C2256" s="95" t="s">
        <v>27</v>
      </c>
      <c r="D2256" s="95" t="s">
        <v>30</v>
      </c>
      <c r="E2256" s="95" t="s">
        <v>67</v>
      </c>
      <c r="F2256" s="95" t="s">
        <v>67</v>
      </c>
      <c r="G2256" s="96">
        <v>25663015463</v>
      </c>
      <c r="H2256" s="95"/>
      <c r="K2256" s="97"/>
    </row>
    <row r="2257" spans="1:11" x14ac:dyDescent="0.2">
      <c r="A2257" s="91">
        <v>2023</v>
      </c>
      <c r="B2257" s="92" t="s">
        <v>66</v>
      </c>
      <c r="C2257" s="92" t="s">
        <v>27</v>
      </c>
      <c r="D2257" s="92" t="s">
        <v>30</v>
      </c>
      <c r="E2257" s="92" t="s">
        <v>69</v>
      </c>
      <c r="F2257" s="92" t="s">
        <v>71</v>
      </c>
      <c r="G2257" s="93">
        <v>12506413053</v>
      </c>
      <c r="H2257" s="92"/>
      <c r="K2257" s="97"/>
    </row>
    <row r="2258" spans="1:11" x14ac:dyDescent="0.2">
      <c r="A2258" s="94">
        <v>2023</v>
      </c>
      <c r="B2258" s="95" t="s">
        <v>66</v>
      </c>
      <c r="C2258" s="95" t="s">
        <v>27</v>
      </c>
      <c r="D2258" s="95" t="s">
        <v>30</v>
      </c>
      <c r="E2258" s="95" t="s">
        <v>69</v>
      </c>
      <c r="F2258" s="95" t="s">
        <v>70</v>
      </c>
      <c r="G2258" s="96">
        <v>36807052667</v>
      </c>
      <c r="H2258" s="95"/>
      <c r="K2258" s="97"/>
    </row>
    <row r="2259" spans="1:11" x14ac:dyDescent="0.2">
      <c r="A2259" s="91">
        <v>2023</v>
      </c>
      <c r="B2259" s="92" t="s">
        <v>66</v>
      </c>
      <c r="C2259" s="92" t="s">
        <v>27</v>
      </c>
      <c r="D2259" s="92" t="s">
        <v>31</v>
      </c>
      <c r="E2259" s="92" t="s">
        <v>67</v>
      </c>
      <c r="F2259" s="92" t="s">
        <v>67</v>
      </c>
      <c r="G2259" s="93">
        <v>4163442599</v>
      </c>
      <c r="H2259" s="92"/>
      <c r="K2259" s="97"/>
    </row>
    <row r="2260" spans="1:11" x14ac:dyDescent="0.2">
      <c r="A2260" s="94">
        <v>2023</v>
      </c>
      <c r="B2260" s="95" t="s">
        <v>66</v>
      </c>
      <c r="C2260" s="95" t="s">
        <v>27</v>
      </c>
      <c r="D2260" s="95" t="s">
        <v>31</v>
      </c>
      <c r="E2260" s="95" t="s">
        <v>69</v>
      </c>
      <c r="F2260" s="95" t="s">
        <v>71</v>
      </c>
      <c r="G2260" s="96">
        <v>4338484529</v>
      </c>
      <c r="H2260" s="95"/>
      <c r="K2260" s="97"/>
    </row>
    <row r="2261" spans="1:11" x14ac:dyDescent="0.2">
      <c r="A2261" s="91">
        <v>2023</v>
      </c>
      <c r="B2261" s="92" t="s">
        <v>66</v>
      </c>
      <c r="C2261" s="92" t="s">
        <v>27</v>
      </c>
      <c r="D2261" s="92" t="s">
        <v>31</v>
      </c>
      <c r="E2261" s="92" t="s">
        <v>69</v>
      </c>
      <c r="F2261" s="92" t="s">
        <v>70</v>
      </c>
      <c r="G2261" s="93">
        <v>10061145428</v>
      </c>
      <c r="H2261" s="92"/>
      <c r="K2261" s="97"/>
    </row>
    <row r="2262" spans="1:11" x14ac:dyDescent="0.2">
      <c r="A2262" s="94">
        <v>2023</v>
      </c>
      <c r="B2262" s="95" t="s">
        <v>66</v>
      </c>
      <c r="C2262" s="95" t="s">
        <v>27</v>
      </c>
      <c r="D2262" s="95" t="s">
        <v>32</v>
      </c>
      <c r="E2262" s="95" t="s">
        <v>67</v>
      </c>
      <c r="F2262" s="95" t="s">
        <v>67</v>
      </c>
      <c r="G2262" s="96">
        <v>15287492173</v>
      </c>
      <c r="H2262" s="95"/>
      <c r="K2262" s="97"/>
    </row>
    <row r="2263" spans="1:11" x14ac:dyDescent="0.2">
      <c r="A2263" s="91">
        <v>2023</v>
      </c>
      <c r="B2263" s="92" t="s">
        <v>66</v>
      </c>
      <c r="C2263" s="92" t="s">
        <v>27</v>
      </c>
      <c r="D2263" s="92" t="s">
        <v>32</v>
      </c>
      <c r="E2263" s="92" t="s">
        <v>69</v>
      </c>
      <c r="F2263" s="92" t="s">
        <v>71</v>
      </c>
      <c r="G2263" s="93">
        <v>10505348300</v>
      </c>
      <c r="H2263" s="92"/>
      <c r="K2263" s="97"/>
    </row>
    <row r="2264" spans="1:11" x14ac:dyDescent="0.2">
      <c r="A2264" s="94">
        <v>2023</v>
      </c>
      <c r="B2264" s="95" t="s">
        <v>66</v>
      </c>
      <c r="C2264" s="95" t="s">
        <v>27</v>
      </c>
      <c r="D2264" s="95" t="s">
        <v>32</v>
      </c>
      <c r="E2264" s="95" t="s">
        <v>69</v>
      </c>
      <c r="F2264" s="95" t="s">
        <v>70</v>
      </c>
      <c r="G2264" s="96">
        <v>11546135422</v>
      </c>
      <c r="H2264" s="95"/>
      <c r="K2264" s="97"/>
    </row>
    <row r="2265" spans="1:11" x14ac:dyDescent="0.2">
      <c r="A2265" s="91">
        <v>2023</v>
      </c>
      <c r="B2265" s="92" t="s">
        <v>66</v>
      </c>
      <c r="C2265" s="92" t="s">
        <v>27</v>
      </c>
      <c r="D2265" s="92" t="s">
        <v>33</v>
      </c>
      <c r="E2265" s="92" t="s">
        <v>67</v>
      </c>
      <c r="F2265" s="92" t="s">
        <v>67</v>
      </c>
      <c r="G2265" s="93">
        <v>9852372658</v>
      </c>
      <c r="H2265" s="92"/>
      <c r="K2265" s="97"/>
    </row>
    <row r="2266" spans="1:11" x14ac:dyDescent="0.2">
      <c r="A2266" s="94">
        <v>2023</v>
      </c>
      <c r="B2266" s="95" t="s">
        <v>66</v>
      </c>
      <c r="C2266" s="95" t="s">
        <v>27</v>
      </c>
      <c r="D2266" s="95" t="s">
        <v>33</v>
      </c>
      <c r="E2266" s="95" t="s">
        <v>69</v>
      </c>
      <c r="F2266" s="95" t="s">
        <v>71</v>
      </c>
      <c r="G2266" s="96">
        <v>10963529028</v>
      </c>
      <c r="H2266" s="95"/>
      <c r="K2266" s="97"/>
    </row>
    <row r="2267" spans="1:11" x14ac:dyDescent="0.2">
      <c r="A2267" s="91">
        <v>2023</v>
      </c>
      <c r="B2267" s="92" t="s">
        <v>66</v>
      </c>
      <c r="C2267" s="92" t="s">
        <v>27</v>
      </c>
      <c r="D2267" s="92" t="s">
        <v>33</v>
      </c>
      <c r="E2267" s="92" t="s">
        <v>69</v>
      </c>
      <c r="F2267" s="92" t="s">
        <v>70</v>
      </c>
      <c r="G2267" s="93">
        <v>37950014402</v>
      </c>
      <c r="H2267" s="92"/>
      <c r="K2267" s="97"/>
    </row>
    <row r="2268" spans="1:11" x14ac:dyDescent="0.2">
      <c r="A2268" s="94">
        <v>2023</v>
      </c>
      <c r="B2268" s="95" t="s">
        <v>66</v>
      </c>
      <c r="C2268" s="95" t="s">
        <v>35</v>
      </c>
      <c r="D2268" s="95" t="s">
        <v>34</v>
      </c>
      <c r="E2268" s="95" t="s">
        <v>67</v>
      </c>
      <c r="F2268" s="95" t="s">
        <v>67</v>
      </c>
      <c r="G2268" s="96">
        <v>4410567333</v>
      </c>
      <c r="H2268" s="95"/>
      <c r="K2268" s="97"/>
    </row>
    <row r="2269" spans="1:11" x14ac:dyDescent="0.2">
      <c r="A2269" s="91">
        <v>2023</v>
      </c>
      <c r="B2269" s="92" t="s">
        <v>66</v>
      </c>
      <c r="C2269" s="92" t="s">
        <v>35</v>
      </c>
      <c r="D2269" s="92" t="s">
        <v>34</v>
      </c>
      <c r="E2269" s="92" t="s">
        <v>69</v>
      </c>
      <c r="F2269" s="92" t="s">
        <v>71</v>
      </c>
      <c r="G2269" s="93">
        <v>1575827953</v>
      </c>
      <c r="H2269" s="92"/>
      <c r="K2269" s="97"/>
    </row>
    <row r="2270" spans="1:11" x14ac:dyDescent="0.2">
      <c r="A2270" s="94">
        <v>2023</v>
      </c>
      <c r="B2270" s="95" t="s">
        <v>66</v>
      </c>
      <c r="C2270" s="95" t="s">
        <v>35</v>
      </c>
      <c r="D2270" s="95" t="s">
        <v>34</v>
      </c>
      <c r="E2270" s="95" t="s">
        <v>69</v>
      </c>
      <c r="F2270" s="95" t="s">
        <v>70</v>
      </c>
      <c r="G2270" s="96">
        <v>1381404713</v>
      </c>
      <c r="H2270" s="95"/>
      <c r="K2270" s="97"/>
    </row>
    <row r="2271" spans="1:11" x14ac:dyDescent="0.2">
      <c r="A2271" s="91">
        <v>2023</v>
      </c>
      <c r="B2271" s="92" t="s">
        <v>66</v>
      </c>
      <c r="C2271" s="92" t="s">
        <v>35</v>
      </c>
      <c r="D2271" s="92" t="s">
        <v>36</v>
      </c>
      <c r="E2271" s="92" t="s">
        <v>67</v>
      </c>
      <c r="F2271" s="92" t="s">
        <v>67</v>
      </c>
      <c r="G2271" s="93">
        <v>11170062207</v>
      </c>
      <c r="H2271" s="92"/>
      <c r="K2271" s="97"/>
    </row>
    <row r="2272" spans="1:11" x14ac:dyDescent="0.2">
      <c r="A2272" s="94">
        <v>2023</v>
      </c>
      <c r="B2272" s="95" t="s">
        <v>66</v>
      </c>
      <c r="C2272" s="95" t="s">
        <v>35</v>
      </c>
      <c r="D2272" s="95" t="s">
        <v>36</v>
      </c>
      <c r="E2272" s="95" t="s">
        <v>69</v>
      </c>
      <c r="F2272" s="95" t="s">
        <v>71</v>
      </c>
      <c r="G2272" s="96">
        <v>5870081041</v>
      </c>
      <c r="H2272" s="95"/>
      <c r="K2272" s="97"/>
    </row>
    <row r="2273" spans="1:11" x14ac:dyDescent="0.2">
      <c r="A2273" s="91">
        <v>2023</v>
      </c>
      <c r="B2273" s="92" t="s">
        <v>66</v>
      </c>
      <c r="C2273" s="92" t="s">
        <v>35</v>
      </c>
      <c r="D2273" s="92" t="s">
        <v>36</v>
      </c>
      <c r="E2273" s="92" t="s">
        <v>69</v>
      </c>
      <c r="F2273" s="92" t="s">
        <v>70</v>
      </c>
      <c r="G2273" s="93">
        <v>4737085431</v>
      </c>
      <c r="H2273" s="92"/>
      <c r="K2273" s="97"/>
    </row>
    <row r="2274" spans="1:11" x14ac:dyDescent="0.2">
      <c r="A2274" s="94">
        <v>2023</v>
      </c>
      <c r="B2274" s="95" t="s">
        <v>66</v>
      </c>
      <c r="C2274" s="95" t="s">
        <v>35</v>
      </c>
      <c r="D2274" s="95" t="s">
        <v>37</v>
      </c>
      <c r="E2274" s="95" t="s">
        <v>67</v>
      </c>
      <c r="F2274" s="95" t="s">
        <v>67</v>
      </c>
      <c r="G2274" s="96">
        <v>1832328022</v>
      </c>
      <c r="H2274" s="95"/>
      <c r="K2274" s="97"/>
    </row>
    <row r="2275" spans="1:11" x14ac:dyDescent="0.2">
      <c r="A2275" s="91">
        <v>2023</v>
      </c>
      <c r="B2275" s="92" t="s">
        <v>66</v>
      </c>
      <c r="C2275" s="92" t="s">
        <v>35</v>
      </c>
      <c r="D2275" s="92" t="s">
        <v>37</v>
      </c>
      <c r="E2275" s="92" t="s">
        <v>69</v>
      </c>
      <c r="F2275" s="92" t="s">
        <v>71</v>
      </c>
      <c r="G2275" s="93">
        <v>800656525</v>
      </c>
      <c r="H2275" s="92"/>
      <c r="K2275" s="97"/>
    </row>
    <row r="2276" spans="1:11" x14ac:dyDescent="0.2">
      <c r="A2276" s="94">
        <v>2023</v>
      </c>
      <c r="B2276" s="95" t="s">
        <v>66</v>
      </c>
      <c r="C2276" s="95" t="s">
        <v>35</v>
      </c>
      <c r="D2276" s="95" t="s">
        <v>37</v>
      </c>
      <c r="E2276" s="95" t="s">
        <v>69</v>
      </c>
      <c r="F2276" s="95" t="s">
        <v>70</v>
      </c>
      <c r="G2276" s="96">
        <v>952584765</v>
      </c>
      <c r="H2276" s="95"/>
      <c r="K2276" s="97"/>
    </row>
    <row r="2277" spans="1:11" x14ac:dyDescent="0.2">
      <c r="A2277" s="91">
        <v>2023</v>
      </c>
      <c r="B2277" s="92" t="s">
        <v>66</v>
      </c>
      <c r="C2277" s="92" t="s">
        <v>35</v>
      </c>
      <c r="D2277" s="92" t="s">
        <v>38</v>
      </c>
      <c r="E2277" s="92" t="s">
        <v>67</v>
      </c>
      <c r="F2277" s="92" t="s">
        <v>67</v>
      </c>
      <c r="G2277" s="93">
        <v>3315419461</v>
      </c>
      <c r="H2277" s="92"/>
      <c r="K2277" s="97"/>
    </row>
    <row r="2278" spans="1:11" x14ac:dyDescent="0.2">
      <c r="A2278" s="94">
        <v>2023</v>
      </c>
      <c r="B2278" s="95" t="s">
        <v>66</v>
      </c>
      <c r="C2278" s="95" t="s">
        <v>35</v>
      </c>
      <c r="D2278" s="95" t="s">
        <v>38</v>
      </c>
      <c r="E2278" s="95" t="s">
        <v>69</v>
      </c>
      <c r="F2278" s="95" t="s">
        <v>71</v>
      </c>
      <c r="G2278" s="96">
        <v>1190825106</v>
      </c>
      <c r="H2278" s="95"/>
      <c r="K2278" s="97"/>
    </row>
    <row r="2279" spans="1:11" x14ac:dyDescent="0.2">
      <c r="A2279" s="91">
        <v>2023</v>
      </c>
      <c r="B2279" s="92" t="s">
        <v>66</v>
      </c>
      <c r="C2279" s="92" t="s">
        <v>35</v>
      </c>
      <c r="D2279" s="92" t="s">
        <v>38</v>
      </c>
      <c r="E2279" s="92" t="s">
        <v>69</v>
      </c>
      <c r="F2279" s="92" t="s">
        <v>70</v>
      </c>
      <c r="G2279" s="93">
        <v>1345657307</v>
      </c>
      <c r="H2279" s="92"/>
      <c r="K2279" s="97"/>
    </row>
    <row r="2280" spans="1:11" x14ac:dyDescent="0.2">
      <c r="A2280" s="94">
        <v>2023</v>
      </c>
      <c r="B2280" s="95" t="s">
        <v>66</v>
      </c>
      <c r="C2280" s="95" t="s">
        <v>35</v>
      </c>
      <c r="D2280" s="95" t="s">
        <v>39</v>
      </c>
      <c r="E2280" s="95" t="s">
        <v>67</v>
      </c>
      <c r="F2280" s="95" t="s">
        <v>67</v>
      </c>
      <c r="G2280" s="96">
        <v>16134077127</v>
      </c>
      <c r="H2280" s="95"/>
      <c r="K2280" s="97"/>
    </row>
    <row r="2281" spans="1:11" x14ac:dyDescent="0.2">
      <c r="A2281" s="91">
        <v>2023</v>
      </c>
      <c r="B2281" s="92" t="s">
        <v>66</v>
      </c>
      <c r="C2281" s="92" t="s">
        <v>35</v>
      </c>
      <c r="D2281" s="92" t="s">
        <v>39</v>
      </c>
      <c r="E2281" s="92" t="s">
        <v>69</v>
      </c>
      <c r="F2281" s="92" t="s">
        <v>71</v>
      </c>
      <c r="G2281" s="93">
        <v>8087747998</v>
      </c>
      <c r="H2281" s="92"/>
      <c r="K2281" s="97"/>
    </row>
    <row r="2282" spans="1:11" x14ac:dyDescent="0.2">
      <c r="A2282" s="94">
        <v>2023</v>
      </c>
      <c r="B2282" s="95" t="s">
        <v>66</v>
      </c>
      <c r="C2282" s="95" t="s">
        <v>35</v>
      </c>
      <c r="D2282" s="95" t="s">
        <v>39</v>
      </c>
      <c r="E2282" s="95" t="s">
        <v>69</v>
      </c>
      <c r="F2282" s="95" t="s">
        <v>70</v>
      </c>
      <c r="G2282" s="96">
        <v>7296402121</v>
      </c>
      <c r="H2282" s="95"/>
      <c r="K2282" s="97"/>
    </row>
    <row r="2283" spans="1:11" x14ac:dyDescent="0.2">
      <c r="A2283" s="91">
        <v>2023</v>
      </c>
      <c r="B2283" s="92" t="s">
        <v>66</v>
      </c>
      <c r="C2283" s="92" t="s">
        <v>41</v>
      </c>
      <c r="D2283" s="92" t="s">
        <v>40</v>
      </c>
      <c r="E2283" s="92" t="s">
        <v>67</v>
      </c>
      <c r="F2283" s="92" t="s">
        <v>67</v>
      </c>
      <c r="G2283" s="93">
        <v>1602093739</v>
      </c>
      <c r="H2283" s="92"/>
      <c r="K2283" s="97"/>
    </row>
    <row r="2284" spans="1:11" x14ac:dyDescent="0.2">
      <c r="A2284" s="94">
        <v>2023</v>
      </c>
      <c r="B2284" s="95" t="s">
        <v>66</v>
      </c>
      <c r="C2284" s="95" t="s">
        <v>41</v>
      </c>
      <c r="D2284" s="95" t="s">
        <v>40</v>
      </c>
      <c r="E2284" s="95" t="s">
        <v>69</v>
      </c>
      <c r="F2284" s="95" t="s">
        <v>71</v>
      </c>
      <c r="G2284" s="96">
        <v>480701167</v>
      </c>
      <c r="H2284" s="95"/>
      <c r="K2284" s="97"/>
    </row>
    <row r="2285" spans="1:11" x14ac:dyDescent="0.2">
      <c r="A2285" s="91">
        <v>2023</v>
      </c>
      <c r="B2285" s="92" t="s">
        <v>66</v>
      </c>
      <c r="C2285" s="92" t="s">
        <v>41</v>
      </c>
      <c r="D2285" s="92" t="s">
        <v>40</v>
      </c>
      <c r="E2285" s="92" t="s">
        <v>69</v>
      </c>
      <c r="F2285" s="92" t="s">
        <v>70</v>
      </c>
      <c r="G2285" s="93">
        <v>445732045</v>
      </c>
      <c r="H2285" s="92"/>
      <c r="K2285" s="97"/>
    </row>
    <row r="2286" spans="1:11" x14ac:dyDescent="0.2">
      <c r="A2286" s="94">
        <v>2023</v>
      </c>
      <c r="B2286" s="95" t="s">
        <v>66</v>
      </c>
      <c r="C2286" s="95" t="s">
        <v>41</v>
      </c>
      <c r="D2286" s="95" t="s">
        <v>42</v>
      </c>
      <c r="E2286" s="95" t="s">
        <v>67</v>
      </c>
      <c r="F2286" s="95" t="s">
        <v>67</v>
      </c>
      <c r="G2286" s="96">
        <v>8950135051</v>
      </c>
      <c r="H2286" s="95"/>
      <c r="K2286" s="97"/>
    </row>
    <row r="2287" spans="1:11" x14ac:dyDescent="0.2">
      <c r="A2287" s="91">
        <v>2023</v>
      </c>
      <c r="B2287" s="92" t="s">
        <v>66</v>
      </c>
      <c r="C2287" s="92" t="s">
        <v>41</v>
      </c>
      <c r="D2287" s="92" t="s">
        <v>42</v>
      </c>
      <c r="E2287" s="92" t="s">
        <v>69</v>
      </c>
      <c r="F2287" s="92" t="s">
        <v>71</v>
      </c>
      <c r="G2287" s="93">
        <v>1550221657</v>
      </c>
      <c r="H2287" s="92"/>
      <c r="K2287" s="97"/>
    </row>
    <row r="2288" spans="1:11" x14ac:dyDescent="0.2">
      <c r="A2288" s="94">
        <v>2023</v>
      </c>
      <c r="B2288" s="95" t="s">
        <v>66</v>
      </c>
      <c r="C2288" s="95" t="s">
        <v>41</v>
      </c>
      <c r="D2288" s="95" t="s">
        <v>42</v>
      </c>
      <c r="E2288" s="95" t="s">
        <v>69</v>
      </c>
      <c r="F2288" s="95" t="s">
        <v>70</v>
      </c>
      <c r="G2288" s="96">
        <v>5472297378</v>
      </c>
      <c r="H2288" s="95"/>
      <c r="K2288" s="97"/>
    </row>
    <row r="2289" spans="1:11" x14ac:dyDescent="0.2">
      <c r="A2289" s="91">
        <v>2023</v>
      </c>
      <c r="B2289" s="92" t="s">
        <v>66</v>
      </c>
      <c r="C2289" s="92" t="s">
        <v>41</v>
      </c>
      <c r="D2289" s="92" t="s">
        <v>43</v>
      </c>
      <c r="E2289" s="92" t="s">
        <v>67</v>
      </c>
      <c r="F2289" s="92" t="s">
        <v>67</v>
      </c>
      <c r="G2289" s="93">
        <v>6448007801</v>
      </c>
      <c r="H2289" s="92"/>
      <c r="K2289" s="97"/>
    </row>
    <row r="2290" spans="1:11" x14ac:dyDescent="0.2">
      <c r="A2290" s="94">
        <v>2023</v>
      </c>
      <c r="B2290" s="95" t="s">
        <v>66</v>
      </c>
      <c r="C2290" s="95" t="s">
        <v>41</v>
      </c>
      <c r="D2290" s="95" t="s">
        <v>43</v>
      </c>
      <c r="E2290" s="95" t="s">
        <v>69</v>
      </c>
      <c r="F2290" s="95" t="s">
        <v>71</v>
      </c>
      <c r="G2290" s="96">
        <v>2097660230</v>
      </c>
      <c r="H2290" s="95"/>
      <c r="K2290" s="97"/>
    </row>
    <row r="2291" spans="1:11" x14ac:dyDescent="0.2">
      <c r="A2291" s="91">
        <v>2023</v>
      </c>
      <c r="B2291" s="92" t="s">
        <v>66</v>
      </c>
      <c r="C2291" s="92" t="s">
        <v>41</v>
      </c>
      <c r="D2291" s="92" t="s">
        <v>43</v>
      </c>
      <c r="E2291" s="92" t="s">
        <v>69</v>
      </c>
      <c r="F2291" s="92" t="s">
        <v>70</v>
      </c>
      <c r="G2291" s="93">
        <v>2435198901</v>
      </c>
      <c r="H2291" s="92"/>
      <c r="K2291" s="97"/>
    </row>
    <row r="2292" spans="1:11" x14ac:dyDescent="0.2">
      <c r="A2292" s="94">
        <v>2023</v>
      </c>
      <c r="B2292" s="95" t="s">
        <v>66</v>
      </c>
      <c r="C2292" s="95" t="s">
        <v>41</v>
      </c>
      <c r="D2292" s="95" t="s">
        <v>44</v>
      </c>
      <c r="E2292" s="95" t="s">
        <v>67</v>
      </c>
      <c r="F2292" s="95" t="s">
        <v>67</v>
      </c>
      <c r="G2292" s="96">
        <v>8789012094</v>
      </c>
      <c r="H2292" s="95"/>
      <c r="K2292" s="97"/>
    </row>
    <row r="2293" spans="1:11" x14ac:dyDescent="0.2">
      <c r="A2293" s="91">
        <v>2023</v>
      </c>
      <c r="B2293" s="92" t="s">
        <v>66</v>
      </c>
      <c r="C2293" s="92" t="s">
        <v>41</v>
      </c>
      <c r="D2293" s="92" t="s">
        <v>44</v>
      </c>
      <c r="E2293" s="92" t="s">
        <v>69</v>
      </c>
      <c r="F2293" s="92" t="s">
        <v>71</v>
      </c>
      <c r="G2293" s="93">
        <v>3229208242</v>
      </c>
      <c r="H2293" s="92"/>
      <c r="K2293" s="97"/>
    </row>
    <row r="2294" spans="1:11" x14ac:dyDescent="0.2">
      <c r="A2294" s="94">
        <v>2023</v>
      </c>
      <c r="B2294" s="95" t="s">
        <v>66</v>
      </c>
      <c r="C2294" s="95" t="s">
        <v>41</v>
      </c>
      <c r="D2294" s="95" t="s">
        <v>44</v>
      </c>
      <c r="E2294" s="95" t="s">
        <v>69</v>
      </c>
      <c r="F2294" s="95" t="s">
        <v>70</v>
      </c>
      <c r="G2294" s="96">
        <v>4970161356</v>
      </c>
      <c r="H2294" s="95"/>
      <c r="K2294" s="97"/>
    </row>
    <row r="2295" spans="1:11" x14ac:dyDescent="0.2">
      <c r="A2295" s="91">
        <v>2023</v>
      </c>
      <c r="B2295" s="92" t="s">
        <v>66</v>
      </c>
      <c r="C2295" s="92" t="s">
        <v>41</v>
      </c>
      <c r="D2295" s="92" t="s">
        <v>45</v>
      </c>
      <c r="E2295" s="92" t="s">
        <v>67</v>
      </c>
      <c r="F2295" s="92" t="s">
        <v>67</v>
      </c>
      <c r="G2295" s="93">
        <v>23547255227</v>
      </c>
      <c r="H2295" s="92"/>
      <c r="K2295" s="97"/>
    </row>
    <row r="2296" spans="1:11" x14ac:dyDescent="0.2">
      <c r="A2296" s="94">
        <v>2023</v>
      </c>
      <c r="B2296" s="95" t="s">
        <v>66</v>
      </c>
      <c r="C2296" s="95" t="s">
        <v>41</v>
      </c>
      <c r="D2296" s="95" t="s">
        <v>45</v>
      </c>
      <c r="E2296" s="95" t="s">
        <v>69</v>
      </c>
      <c r="F2296" s="95" t="s">
        <v>71</v>
      </c>
      <c r="G2296" s="96">
        <v>5846363548</v>
      </c>
      <c r="H2296" s="95"/>
      <c r="K2296" s="97"/>
    </row>
    <row r="2297" spans="1:11" x14ac:dyDescent="0.2">
      <c r="A2297" s="91">
        <v>2023</v>
      </c>
      <c r="B2297" s="92" t="s">
        <v>66</v>
      </c>
      <c r="C2297" s="92" t="s">
        <v>41</v>
      </c>
      <c r="D2297" s="92" t="s">
        <v>45</v>
      </c>
      <c r="E2297" s="92" t="s">
        <v>69</v>
      </c>
      <c r="F2297" s="92" t="s">
        <v>70</v>
      </c>
      <c r="G2297" s="93">
        <v>15142169102</v>
      </c>
      <c r="H2297" s="92"/>
      <c r="K2297" s="97"/>
    </row>
    <row r="2298" spans="1:11" x14ac:dyDescent="0.2">
      <c r="A2298" s="94">
        <v>2023</v>
      </c>
      <c r="B2298" s="95" t="s">
        <v>66</v>
      </c>
      <c r="C2298" s="95" t="s">
        <v>47</v>
      </c>
      <c r="D2298" s="95" t="s">
        <v>46</v>
      </c>
      <c r="E2298" s="95" t="s">
        <v>72</v>
      </c>
      <c r="F2298" s="95" t="s">
        <v>73</v>
      </c>
      <c r="G2298" s="96">
        <v>8469486902</v>
      </c>
      <c r="H2298" s="95"/>
      <c r="K2298" s="97"/>
    </row>
    <row r="2299" spans="1:11" x14ac:dyDescent="0.2">
      <c r="A2299" s="91">
        <v>2023</v>
      </c>
      <c r="B2299" s="92" t="s">
        <v>66</v>
      </c>
      <c r="C2299" s="92" t="s">
        <v>47</v>
      </c>
      <c r="D2299" s="92" t="s">
        <v>46</v>
      </c>
      <c r="E2299" s="92" t="s">
        <v>67</v>
      </c>
      <c r="F2299" s="92" t="s">
        <v>74</v>
      </c>
      <c r="G2299" s="93">
        <v>6683898780</v>
      </c>
      <c r="H2299" s="92"/>
      <c r="K2299" s="97"/>
    </row>
    <row r="2300" spans="1:11" x14ac:dyDescent="0.2">
      <c r="A2300" s="94">
        <v>2023</v>
      </c>
      <c r="B2300" s="95" t="s">
        <v>66</v>
      </c>
      <c r="C2300" s="95" t="s">
        <v>47</v>
      </c>
      <c r="D2300" s="95" t="s">
        <v>46</v>
      </c>
      <c r="E2300" s="95" t="s">
        <v>69</v>
      </c>
      <c r="F2300" s="95" t="s">
        <v>71</v>
      </c>
      <c r="G2300" s="96">
        <v>9889086706</v>
      </c>
      <c r="H2300" s="95"/>
      <c r="K2300" s="97"/>
    </row>
    <row r="2301" spans="1:11" x14ac:dyDescent="0.2">
      <c r="A2301" s="91">
        <v>2023</v>
      </c>
      <c r="B2301" s="92" t="s">
        <v>66</v>
      </c>
      <c r="C2301" s="92" t="s">
        <v>47</v>
      </c>
      <c r="D2301" s="92" t="s">
        <v>46</v>
      </c>
      <c r="E2301" s="92" t="s">
        <v>69</v>
      </c>
      <c r="F2301" s="92" t="s">
        <v>70</v>
      </c>
      <c r="G2301" s="93">
        <v>13862532388</v>
      </c>
      <c r="H2301" s="92"/>
      <c r="K2301" s="97"/>
    </row>
    <row r="2302" spans="1:11" x14ac:dyDescent="0.2">
      <c r="A2302" s="94">
        <v>2023</v>
      </c>
      <c r="B2302" s="95" t="s">
        <v>66</v>
      </c>
      <c r="C2302" s="95" t="s">
        <v>47</v>
      </c>
      <c r="D2302" s="95" t="s">
        <v>48</v>
      </c>
      <c r="E2302" s="95" t="s">
        <v>72</v>
      </c>
      <c r="F2302" s="95" t="s">
        <v>73</v>
      </c>
      <c r="G2302" s="96">
        <v>86786157704</v>
      </c>
      <c r="H2302" s="95"/>
      <c r="K2302" s="97"/>
    </row>
    <row r="2303" spans="1:11" x14ac:dyDescent="0.2">
      <c r="A2303" s="91">
        <v>2023</v>
      </c>
      <c r="B2303" s="92" t="s">
        <v>66</v>
      </c>
      <c r="C2303" s="92" t="s">
        <v>47</v>
      </c>
      <c r="D2303" s="92" t="s">
        <v>48</v>
      </c>
      <c r="E2303" s="92" t="s">
        <v>67</v>
      </c>
      <c r="F2303" s="92" t="s">
        <v>74</v>
      </c>
      <c r="G2303" s="93">
        <v>89688915550</v>
      </c>
      <c r="H2303" s="92"/>
      <c r="K2303" s="97"/>
    </row>
    <row r="2304" spans="1:11" x14ac:dyDescent="0.2">
      <c r="A2304" s="94">
        <v>2023</v>
      </c>
      <c r="B2304" s="95" t="s">
        <v>66</v>
      </c>
      <c r="C2304" s="95" t="s">
        <v>47</v>
      </c>
      <c r="D2304" s="95" t="s">
        <v>48</v>
      </c>
      <c r="E2304" s="95" t="s">
        <v>69</v>
      </c>
      <c r="F2304" s="95" t="s">
        <v>71</v>
      </c>
      <c r="G2304" s="96">
        <v>101811510002</v>
      </c>
      <c r="H2304" s="95"/>
      <c r="K2304" s="97"/>
    </row>
    <row r="2305" spans="1:11" x14ac:dyDescent="0.2">
      <c r="A2305" s="91">
        <v>2023</v>
      </c>
      <c r="B2305" s="92" t="s">
        <v>66</v>
      </c>
      <c r="C2305" s="92" t="s">
        <v>47</v>
      </c>
      <c r="D2305" s="92" t="s">
        <v>48</v>
      </c>
      <c r="E2305" s="92" t="s">
        <v>69</v>
      </c>
      <c r="F2305" s="92" t="s">
        <v>70</v>
      </c>
      <c r="G2305" s="93">
        <v>197494190244</v>
      </c>
      <c r="H2305" s="92"/>
      <c r="K2305" s="97"/>
    </row>
    <row r="2306" spans="1:11" x14ac:dyDescent="0.2">
      <c r="A2306" s="94">
        <v>2024</v>
      </c>
      <c r="B2306" s="95" t="s">
        <v>66</v>
      </c>
      <c r="C2306" s="95" t="s">
        <v>4</v>
      </c>
      <c r="D2306" s="95" t="s">
        <v>3</v>
      </c>
      <c r="E2306" s="95" t="s">
        <v>67</v>
      </c>
      <c r="F2306" s="95" t="s">
        <v>67</v>
      </c>
      <c r="G2306" s="96">
        <v>16319826438</v>
      </c>
      <c r="H2306" s="95"/>
      <c r="K2306" s="97"/>
    </row>
    <row r="2307" spans="1:11" x14ac:dyDescent="0.2">
      <c r="A2307" s="91">
        <v>2024</v>
      </c>
      <c r="B2307" s="92" t="s">
        <v>66</v>
      </c>
      <c r="C2307" s="92" t="s">
        <v>4</v>
      </c>
      <c r="D2307" s="92" t="s">
        <v>3</v>
      </c>
      <c r="E2307" s="92" t="s">
        <v>69</v>
      </c>
      <c r="F2307" s="92" t="s">
        <v>71</v>
      </c>
      <c r="G2307" s="93">
        <v>7045742542</v>
      </c>
      <c r="H2307" s="92"/>
      <c r="K2307" s="97"/>
    </row>
    <row r="2308" spans="1:11" x14ac:dyDescent="0.2">
      <c r="A2308" s="94">
        <v>2024</v>
      </c>
      <c r="B2308" s="95" t="s">
        <v>66</v>
      </c>
      <c r="C2308" s="95" t="s">
        <v>4</v>
      </c>
      <c r="D2308" s="95" t="s">
        <v>3</v>
      </c>
      <c r="E2308" s="95" t="s">
        <v>69</v>
      </c>
      <c r="F2308" s="95" t="s">
        <v>70</v>
      </c>
      <c r="G2308" s="96">
        <v>15700670005</v>
      </c>
      <c r="H2308" s="95"/>
      <c r="K2308" s="97"/>
    </row>
    <row r="2309" spans="1:11" x14ac:dyDescent="0.2">
      <c r="A2309" s="91">
        <v>2024</v>
      </c>
      <c r="B2309" s="92" t="s">
        <v>66</v>
      </c>
      <c r="C2309" s="92" t="s">
        <v>4</v>
      </c>
      <c r="D2309" s="92" t="s">
        <v>5</v>
      </c>
      <c r="E2309" s="92" t="s">
        <v>67</v>
      </c>
      <c r="F2309" s="92" t="s">
        <v>67</v>
      </c>
      <c r="G2309" s="93">
        <v>46404613974</v>
      </c>
      <c r="H2309" s="92"/>
      <c r="K2309" s="97"/>
    </row>
    <row r="2310" spans="1:11" x14ac:dyDescent="0.2">
      <c r="A2310" s="94">
        <v>2024</v>
      </c>
      <c r="B2310" s="95" t="s">
        <v>66</v>
      </c>
      <c r="C2310" s="95" t="s">
        <v>4</v>
      </c>
      <c r="D2310" s="95" t="s">
        <v>5</v>
      </c>
      <c r="E2310" s="95" t="s">
        <v>69</v>
      </c>
      <c r="F2310" s="95" t="s">
        <v>71</v>
      </c>
      <c r="G2310" s="96">
        <v>62314975756</v>
      </c>
      <c r="H2310" s="95"/>
      <c r="K2310" s="97"/>
    </row>
    <row r="2311" spans="1:11" x14ac:dyDescent="0.2">
      <c r="A2311" s="91">
        <v>2024</v>
      </c>
      <c r="B2311" s="92" t="s">
        <v>66</v>
      </c>
      <c r="C2311" s="92" t="s">
        <v>4</v>
      </c>
      <c r="D2311" s="92" t="s">
        <v>5</v>
      </c>
      <c r="E2311" s="92" t="s">
        <v>69</v>
      </c>
      <c r="F2311" s="92" t="s">
        <v>70</v>
      </c>
      <c r="G2311" s="93">
        <v>59074677207</v>
      </c>
      <c r="H2311" s="92"/>
      <c r="K2311" s="97"/>
    </row>
    <row r="2312" spans="1:11" x14ac:dyDescent="0.2">
      <c r="A2312" s="94">
        <v>2024</v>
      </c>
      <c r="B2312" s="95" t="s">
        <v>66</v>
      </c>
      <c r="C2312" s="95" t="s">
        <v>4</v>
      </c>
      <c r="D2312" s="95" t="s">
        <v>6</v>
      </c>
      <c r="E2312" s="95" t="s">
        <v>67</v>
      </c>
      <c r="F2312" s="95" t="s">
        <v>67</v>
      </c>
      <c r="G2312" s="96">
        <v>7594603825</v>
      </c>
      <c r="H2312" s="95"/>
      <c r="K2312" s="97"/>
    </row>
    <row r="2313" spans="1:11" x14ac:dyDescent="0.2">
      <c r="A2313" s="91">
        <v>2024</v>
      </c>
      <c r="B2313" s="92" t="s">
        <v>66</v>
      </c>
      <c r="C2313" s="92" t="s">
        <v>4</v>
      </c>
      <c r="D2313" s="92" t="s">
        <v>6</v>
      </c>
      <c r="E2313" s="92" t="s">
        <v>69</v>
      </c>
      <c r="F2313" s="92" t="s">
        <v>71</v>
      </c>
      <c r="G2313" s="93">
        <v>2822274783</v>
      </c>
      <c r="H2313" s="92"/>
      <c r="K2313" s="97"/>
    </row>
    <row r="2314" spans="1:11" x14ac:dyDescent="0.2">
      <c r="A2314" s="94">
        <v>2024</v>
      </c>
      <c r="B2314" s="95" t="s">
        <v>66</v>
      </c>
      <c r="C2314" s="95" t="s">
        <v>4</v>
      </c>
      <c r="D2314" s="95" t="s">
        <v>6</v>
      </c>
      <c r="E2314" s="95" t="s">
        <v>69</v>
      </c>
      <c r="F2314" s="95" t="s">
        <v>70</v>
      </c>
      <c r="G2314" s="96">
        <v>2248949826</v>
      </c>
      <c r="H2314" s="95"/>
      <c r="K2314" s="97"/>
    </row>
    <row r="2315" spans="1:11" x14ac:dyDescent="0.2">
      <c r="A2315" s="91">
        <v>2024</v>
      </c>
      <c r="B2315" s="92" t="s">
        <v>66</v>
      </c>
      <c r="C2315" s="92" t="s">
        <v>4</v>
      </c>
      <c r="D2315" s="92" t="s">
        <v>7</v>
      </c>
      <c r="E2315" s="92" t="s">
        <v>67</v>
      </c>
      <c r="F2315" s="92" t="s">
        <v>67</v>
      </c>
      <c r="G2315" s="93">
        <v>18293217360</v>
      </c>
      <c r="H2315" s="92"/>
      <c r="K2315" s="97"/>
    </row>
    <row r="2316" spans="1:11" x14ac:dyDescent="0.2">
      <c r="A2316" s="94">
        <v>2024</v>
      </c>
      <c r="B2316" s="95" t="s">
        <v>66</v>
      </c>
      <c r="C2316" s="95" t="s">
        <v>4</v>
      </c>
      <c r="D2316" s="95" t="s">
        <v>7</v>
      </c>
      <c r="E2316" s="95" t="s">
        <v>69</v>
      </c>
      <c r="F2316" s="95" t="s">
        <v>71</v>
      </c>
      <c r="G2316" s="96">
        <v>13137462553</v>
      </c>
      <c r="H2316" s="95"/>
      <c r="K2316" s="97"/>
    </row>
    <row r="2317" spans="1:11" x14ac:dyDescent="0.2">
      <c r="A2317" s="91">
        <v>2024</v>
      </c>
      <c r="B2317" s="92" t="s">
        <v>66</v>
      </c>
      <c r="C2317" s="92" t="s">
        <v>4</v>
      </c>
      <c r="D2317" s="92" t="s">
        <v>7</v>
      </c>
      <c r="E2317" s="92" t="s">
        <v>69</v>
      </c>
      <c r="F2317" s="92" t="s">
        <v>70</v>
      </c>
      <c r="G2317" s="93">
        <v>10691702503</v>
      </c>
      <c r="H2317" s="92"/>
      <c r="K2317" s="97"/>
    </row>
    <row r="2318" spans="1:11" x14ac:dyDescent="0.2">
      <c r="A2318" s="94">
        <v>2024</v>
      </c>
      <c r="B2318" s="95" t="s">
        <v>66</v>
      </c>
      <c r="C2318" s="95" t="s">
        <v>4</v>
      </c>
      <c r="D2318" s="95" t="s">
        <v>8</v>
      </c>
      <c r="E2318" s="95" t="s">
        <v>67</v>
      </c>
      <c r="F2318" s="95" t="s">
        <v>67</v>
      </c>
      <c r="G2318" s="96">
        <v>5169082812</v>
      </c>
      <c r="H2318" s="95"/>
      <c r="K2318" s="97"/>
    </row>
    <row r="2319" spans="1:11" x14ac:dyDescent="0.2">
      <c r="A2319" s="91">
        <v>2024</v>
      </c>
      <c r="B2319" s="92" t="s">
        <v>66</v>
      </c>
      <c r="C2319" s="92" t="s">
        <v>4</v>
      </c>
      <c r="D2319" s="92" t="s">
        <v>8</v>
      </c>
      <c r="E2319" s="92" t="s">
        <v>69</v>
      </c>
      <c r="F2319" s="92" t="s">
        <v>71</v>
      </c>
      <c r="G2319" s="93">
        <v>6285699357</v>
      </c>
      <c r="H2319" s="92"/>
      <c r="K2319" s="97"/>
    </row>
    <row r="2320" spans="1:11" x14ac:dyDescent="0.2">
      <c r="A2320" s="94">
        <v>2024</v>
      </c>
      <c r="B2320" s="95" t="s">
        <v>66</v>
      </c>
      <c r="C2320" s="95" t="s">
        <v>4</v>
      </c>
      <c r="D2320" s="95" t="s">
        <v>8</v>
      </c>
      <c r="E2320" s="95" t="s">
        <v>69</v>
      </c>
      <c r="F2320" s="95" t="s">
        <v>70</v>
      </c>
      <c r="G2320" s="96">
        <v>2676042183</v>
      </c>
      <c r="H2320" s="95"/>
      <c r="K2320" s="97"/>
    </row>
    <row r="2321" spans="1:11" x14ac:dyDescent="0.2">
      <c r="A2321" s="91">
        <v>2024</v>
      </c>
      <c r="B2321" s="92" t="s">
        <v>66</v>
      </c>
      <c r="C2321" s="92" t="s">
        <v>4</v>
      </c>
      <c r="D2321" s="92" t="s">
        <v>9</v>
      </c>
      <c r="E2321" s="92" t="s">
        <v>67</v>
      </c>
      <c r="F2321" s="92" t="s">
        <v>67</v>
      </c>
      <c r="G2321" s="93">
        <v>40168510795</v>
      </c>
      <c r="H2321" s="92"/>
      <c r="K2321" s="97"/>
    </row>
    <row r="2322" spans="1:11" x14ac:dyDescent="0.2">
      <c r="A2322" s="94">
        <v>2024</v>
      </c>
      <c r="B2322" s="95" t="s">
        <v>66</v>
      </c>
      <c r="C2322" s="95" t="s">
        <v>4</v>
      </c>
      <c r="D2322" s="95" t="s">
        <v>9</v>
      </c>
      <c r="E2322" s="95" t="s">
        <v>69</v>
      </c>
      <c r="F2322" s="95" t="s">
        <v>71</v>
      </c>
      <c r="G2322" s="96">
        <v>22847379898</v>
      </c>
      <c r="H2322" s="95"/>
      <c r="K2322" s="97"/>
    </row>
    <row r="2323" spans="1:11" x14ac:dyDescent="0.2">
      <c r="A2323" s="91">
        <v>2024</v>
      </c>
      <c r="B2323" s="92" t="s">
        <v>66</v>
      </c>
      <c r="C2323" s="92" t="s">
        <v>4</v>
      </c>
      <c r="D2323" s="92" t="s">
        <v>9</v>
      </c>
      <c r="E2323" s="92" t="s">
        <v>69</v>
      </c>
      <c r="F2323" s="92" t="s">
        <v>70</v>
      </c>
      <c r="G2323" s="93">
        <v>28419333112</v>
      </c>
      <c r="H2323" s="92"/>
      <c r="K2323" s="97"/>
    </row>
    <row r="2324" spans="1:11" x14ac:dyDescent="0.2">
      <c r="A2324" s="94">
        <v>2024</v>
      </c>
      <c r="B2324" s="95" t="s">
        <v>66</v>
      </c>
      <c r="C2324" s="95" t="s">
        <v>4</v>
      </c>
      <c r="D2324" s="95" t="s">
        <v>10</v>
      </c>
      <c r="E2324" s="95" t="s">
        <v>67</v>
      </c>
      <c r="F2324" s="95" t="s">
        <v>67</v>
      </c>
      <c r="G2324" s="96">
        <v>989357268</v>
      </c>
      <c r="H2324" s="95"/>
      <c r="K2324" s="97"/>
    </row>
    <row r="2325" spans="1:11" x14ac:dyDescent="0.2">
      <c r="A2325" s="91">
        <v>2024</v>
      </c>
      <c r="B2325" s="92" t="s">
        <v>66</v>
      </c>
      <c r="C2325" s="92" t="s">
        <v>4</v>
      </c>
      <c r="D2325" s="92" t="s">
        <v>10</v>
      </c>
      <c r="E2325" s="92" t="s">
        <v>69</v>
      </c>
      <c r="F2325" s="92" t="s">
        <v>71</v>
      </c>
      <c r="G2325" s="93">
        <v>1372593684</v>
      </c>
      <c r="H2325" s="92"/>
      <c r="K2325" s="97"/>
    </row>
    <row r="2326" spans="1:11" x14ac:dyDescent="0.2">
      <c r="A2326" s="94">
        <v>2024</v>
      </c>
      <c r="B2326" s="95" t="s">
        <v>66</v>
      </c>
      <c r="C2326" s="95" t="s">
        <v>4</v>
      </c>
      <c r="D2326" s="95" t="s">
        <v>10</v>
      </c>
      <c r="E2326" s="95" t="s">
        <v>69</v>
      </c>
      <c r="F2326" s="95" t="s">
        <v>70</v>
      </c>
      <c r="G2326" s="96">
        <v>174862555</v>
      </c>
      <c r="H2326" s="95"/>
      <c r="K2326" s="97"/>
    </row>
    <row r="2327" spans="1:11" x14ac:dyDescent="0.2">
      <c r="A2327" s="91">
        <v>2024</v>
      </c>
      <c r="B2327" s="92" t="s">
        <v>66</v>
      </c>
      <c r="C2327" s="92" t="s">
        <v>4</v>
      </c>
      <c r="D2327" s="92" t="s">
        <v>11</v>
      </c>
      <c r="E2327" s="92" t="s">
        <v>67</v>
      </c>
      <c r="F2327" s="92" t="s">
        <v>67</v>
      </c>
      <c r="G2327" s="93">
        <v>3388265401</v>
      </c>
      <c r="H2327" s="92"/>
      <c r="K2327" s="97"/>
    </row>
    <row r="2328" spans="1:11" x14ac:dyDescent="0.2">
      <c r="A2328" s="94">
        <v>2024</v>
      </c>
      <c r="B2328" s="95" t="s">
        <v>66</v>
      </c>
      <c r="C2328" s="95" t="s">
        <v>4</v>
      </c>
      <c r="D2328" s="95" t="s">
        <v>11</v>
      </c>
      <c r="E2328" s="95" t="s">
        <v>69</v>
      </c>
      <c r="F2328" s="95" t="s">
        <v>71</v>
      </c>
      <c r="G2328" s="96">
        <v>3009386160</v>
      </c>
      <c r="H2328" s="95"/>
      <c r="K2328" s="97"/>
    </row>
    <row r="2329" spans="1:11" x14ac:dyDescent="0.2">
      <c r="A2329" s="91">
        <v>2024</v>
      </c>
      <c r="B2329" s="92" t="s">
        <v>66</v>
      </c>
      <c r="C2329" s="92" t="s">
        <v>4</v>
      </c>
      <c r="D2329" s="92" t="s">
        <v>11</v>
      </c>
      <c r="E2329" s="92" t="s">
        <v>69</v>
      </c>
      <c r="F2329" s="92" t="s">
        <v>70</v>
      </c>
      <c r="G2329" s="93">
        <v>5679441620</v>
      </c>
      <c r="H2329" s="92"/>
      <c r="K2329" s="97"/>
    </row>
    <row r="2330" spans="1:11" x14ac:dyDescent="0.2">
      <c r="A2330" s="94">
        <v>2024</v>
      </c>
      <c r="B2330" s="95" t="s">
        <v>66</v>
      </c>
      <c r="C2330" s="95" t="s">
        <v>4</v>
      </c>
      <c r="D2330" s="95" t="s">
        <v>12</v>
      </c>
      <c r="E2330" s="95" t="s">
        <v>67</v>
      </c>
      <c r="F2330" s="95" t="s">
        <v>67</v>
      </c>
      <c r="G2330" s="96">
        <v>5085291697</v>
      </c>
      <c r="H2330" s="95"/>
      <c r="K2330" s="97"/>
    </row>
    <row r="2331" spans="1:11" x14ac:dyDescent="0.2">
      <c r="A2331" s="91">
        <v>2024</v>
      </c>
      <c r="B2331" s="92" t="s">
        <v>66</v>
      </c>
      <c r="C2331" s="92" t="s">
        <v>4</v>
      </c>
      <c r="D2331" s="92" t="s">
        <v>12</v>
      </c>
      <c r="E2331" s="92" t="s">
        <v>69</v>
      </c>
      <c r="F2331" s="92" t="s">
        <v>71</v>
      </c>
      <c r="G2331" s="93">
        <v>5282031054</v>
      </c>
      <c r="H2331" s="92"/>
      <c r="K2331" s="97"/>
    </row>
    <row r="2332" spans="1:11" x14ac:dyDescent="0.2">
      <c r="A2332" s="94">
        <v>2024</v>
      </c>
      <c r="B2332" s="95" t="s">
        <v>66</v>
      </c>
      <c r="C2332" s="95" t="s">
        <v>4</v>
      </c>
      <c r="D2332" s="95" t="s">
        <v>12</v>
      </c>
      <c r="E2332" s="95" t="s">
        <v>69</v>
      </c>
      <c r="F2332" s="95" t="s">
        <v>70</v>
      </c>
      <c r="G2332" s="96">
        <v>5469066512</v>
      </c>
      <c r="H2332" s="95"/>
      <c r="K2332" s="97"/>
    </row>
    <row r="2333" spans="1:11" x14ac:dyDescent="0.2">
      <c r="A2333" s="91">
        <v>2024</v>
      </c>
      <c r="B2333" s="92" t="s">
        <v>66</v>
      </c>
      <c r="C2333" s="92" t="s">
        <v>4</v>
      </c>
      <c r="D2333" s="92" t="s">
        <v>13</v>
      </c>
      <c r="E2333" s="92" t="s">
        <v>67</v>
      </c>
      <c r="F2333" s="92" t="s">
        <v>67</v>
      </c>
      <c r="G2333" s="93">
        <v>9645056119</v>
      </c>
      <c r="H2333" s="92"/>
      <c r="K2333" s="97"/>
    </row>
    <row r="2334" spans="1:11" x14ac:dyDescent="0.2">
      <c r="A2334" s="94">
        <v>2024</v>
      </c>
      <c r="B2334" s="95" t="s">
        <v>66</v>
      </c>
      <c r="C2334" s="95" t="s">
        <v>4</v>
      </c>
      <c r="D2334" s="95" t="s">
        <v>13</v>
      </c>
      <c r="E2334" s="95" t="s">
        <v>69</v>
      </c>
      <c r="F2334" s="95" t="s">
        <v>71</v>
      </c>
      <c r="G2334" s="96">
        <v>6100352119</v>
      </c>
      <c r="H2334" s="95"/>
      <c r="K2334" s="97"/>
    </row>
    <row r="2335" spans="1:11" x14ac:dyDescent="0.2">
      <c r="A2335" s="91">
        <v>2024</v>
      </c>
      <c r="B2335" s="92" t="s">
        <v>66</v>
      </c>
      <c r="C2335" s="92" t="s">
        <v>4</v>
      </c>
      <c r="D2335" s="92" t="s">
        <v>13</v>
      </c>
      <c r="E2335" s="92" t="s">
        <v>69</v>
      </c>
      <c r="F2335" s="92" t="s">
        <v>70</v>
      </c>
      <c r="G2335" s="93">
        <v>7632600280</v>
      </c>
      <c r="H2335" s="92"/>
      <c r="K2335" s="97"/>
    </row>
    <row r="2336" spans="1:11" x14ac:dyDescent="0.2">
      <c r="A2336" s="94">
        <v>2024</v>
      </c>
      <c r="B2336" s="95" t="s">
        <v>66</v>
      </c>
      <c r="C2336" s="95" t="s">
        <v>4</v>
      </c>
      <c r="D2336" s="95" t="s">
        <v>14</v>
      </c>
      <c r="E2336" s="95" t="s">
        <v>67</v>
      </c>
      <c r="F2336" s="95" t="s">
        <v>67</v>
      </c>
      <c r="G2336" s="96">
        <v>6545427856</v>
      </c>
      <c r="H2336" s="95"/>
      <c r="K2336" s="97"/>
    </row>
    <row r="2337" spans="1:11" x14ac:dyDescent="0.2">
      <c r="A2337" s="91">
        <v>2024</v>
      </c>
      <c r="B2337" s="92" t="s">
        <v>66</v>
      </c>
      <c r="C2337" s="92" t="s">
        <v>4</v>
      </c>
      <c r="D2337" s="92" t="s">
        <v>14</v>
      </c>
      <c r="E2337" s="92" t="s">
        <v>69</v>
      </c>
      <c r="F2337" s="92" t="s">
        <v>71</v>
      </c>
      <c r="G2337" s="93">
        <v>2312290082</v>
      </c>
      <c r="H2337" s="92"/>
      <c r="K2337" s="97"/>
    </row>
    <row r="2338" spans="1:11" x14ac:dyDescent="0.2">
      <c r="A2338" s="94">
        <v>2024</v>
      </c>
      <c r="B2338" s="95" t="s">
        <v>66</v>
      </c>
      <c r="C2338" s="95" t="s">
        <v>4</v>
      </c>
      <c r="D2338" s="95" t="s">
        <v>14</v>
      </c>
      <c r="E2338" s="95" t="s">
        <v>69</v>
      </c>
      <c r="F2338" s="95" t="s">
        <v>70</v>
      </c>
      <c r="G2338" s="96">
        <v>3741005341</v>
      </c>
      <c r="H2338" s="95"/>
      <c r="K2338" s="97"/>
    </row>
    <row r="2339" spans="1:11" x14ac:dyDescent="0.2">
      <c r="A2339" s="91">
        <v>2024</v>
      </c>
      <c r="B2339" s="92" t="s">
        <v>66</v>
      </c>
      <c r="C2339" s="92" t="s">
        <v>4</v>
      </c>
      <c r="D2339" s="92" t="s">
        <v>15</v>
      </c>
      <c r="E2339" s="92" t="s">
        <v>67</v>
      </c>
      <c r="F2339" s="92" t="s">
        <v>67</v>
      </c>
      <c r="G2339" s="93">
        <v>6461548824</v>
      </c>
      <c r="H2339" s="92"/>
      <c r="K2339" s="97"/>
    </row>
    <row r="2340" spans="1:11" x14ac:dyDescent="0.2">
      <c r="A2340" s="94">
        <v>2024</v>
      </c>
      <c r="B2340" s="95" t="s">
        <v>66</v>
      </c>
      <c r="C2340" s="95" t="s">
        <v>4</v>
      </c>
      <c r="D2340" s="95" t="s">
        <v>15</v>
      </c>
      <c r="E2340" s="95" t="s">
        <v>69</v>
      </c>
      <c r="F2340" s="95" t="s">
        <v>71</v>
      </c>
      <c r="G2340" s="96">
        <v>7555699425</v>
      </c>
      <c r="H2340" s="95"/>
      <c r="K2340" s="97"/>
    </row>
    <row r="2341" spans="1:11" x14ac:dyDescent="0.2">
      <c r="A2341" s="91">
        <v>2024</v>
      </c>
      <c r="B2341" s="92" t="s">
        <v>66</v>
      </c>
      <c r="C2341" s="92" t="s">
        <v>4</v>
      </c>
      <c r="D2341" s="92" t="s">
        <v>15</v>
      </c>
      <c r="E2341" s="92" t="s">
        <v>69</v>
      </c>
      <c r="F2341" s="92" t="s">
        <v>70</v>
      </c>
      <c r="G2341" s="93">
        <v>3003318967</v>
      </c>
      <c r="H2341" s="92"/>
      <c r="K2341" s="97"/>
    </row>
    <row r="2342" spans="1:11" x14ac:dyDescent="0.2">
      <c r="A2342" s="94">
        <v>2024</v>
      </c>
      <c r="B2342" s="95" t="s">
        <v>66</v>
      </c>
      <c r="C2342" s="95" t="s">
        <v>17</v>
      </c>
      <c r="D2342" s="95" t="s">
        <v>16</v>
      </c>
      <c r="E2342" s="95" t="s">
        <v>67</v>
      </c>
      <c r="F2342" s="95" t="s">
        <v>67</v>
      </c>
      <c r="G2342" s="96">
        <v>822934450</v>
      </c>
      <c r="H2342" s="95"/>
      <c r="K2342" s="97"/>
    </row>
    <row r="2343" spans="1:11" x14ac:dyDescent="0.2">
      <c r="A2343" s="91">
        <v>2024</v>
      </c>
      <c r="B2343" s="92" t="s">
        <v>66</v>
      </c>
      <c r="C2343" s="92" t="s">
        <v>17</v>
      </c>
      <c r="D2343" s="92" t="s">
        <v>16</v>
      </c>
      <c r="E2343" s="92" t="s">
        <v>69</v>
      </c>
      <c r="F2343" s="92" t="s">
        <v>71</v>
      </c>
      <c r="G2343" s="93">
        <v>566819549</v>
      </c>
      <c r="H2343" s="92"/>
      <c r="K2343" s="97"/>
    </row>
    <row r="2344" spans="1:11" x14ac:dyDescent="0.2">
      <c r="A2344" s="94">
        <v>2024</v>
      </c>
      <c r="B2344" s="95" t="s">
        <v>66</v>
      </c>
      <c r="C2344" s="95" t="s">
        <v>17</v>
      </c>
      <c r="D2344" s="95" t="s">
        <v>16</v>
      </c>
      <c r="E2344" s="95" t="s">
        <v>69</v>
      </c>
      <c r="F2344" s="95" t="s">
        <v>70</v>
      </c>
      <c r="G2344" s="96">
        <v>244128361</v>
      </c>
      <c r="H2344" s="95"/>
      <c r="K2344" s="97"/>
    </row>
    <row r="2345" spans="1:11" x14ac:dyDescent="0.2">
      <c r="A2345" s="91">
        <v>2024</v>
      </c>
      <c r="B2345" s="92" t="s">
        <v>66</v>
      </c>
      <c r="C2345" s="92" t="s">
        <v>17</v>
      </c>
      <c r="D2345" s="92" t="s">
        <v>18</v>
      </c>
      <c r="E2345" s="92" t="s">
        <v>67</v>
      </c>
      <c r="F2345" s="92" t="s">
        <v>67</v>
      </c>
      <c r="G2345" s="93">
        <v>1508625473</v>
      </c>
      <c r="H2345" s="92"/>
      <c r="K2345" s="97"/>
    </row>
    <row r="2346" spans="1:11" x14ac:dyDescent="0.2">
      <c r="A2346" s="94">
        <v>2024</v>
      </c>
      <c r="B2346" s="95" t="s">
        <v>66</v>
      </c>
      <c r="C2346" s="95" t="s">
        <v>17</v>
      </c>
      <c r="D2346" s="95" t="s">
        <v>18</v>
      </c>
      <c r="E2346" s="95" t="s">
        <v>69</v>
      </c>
      <c r="F2346" s="95" t="s">
        <v>71</v>
      </c>
      <c r="G2346" s="96">
        <v>1260356098</v>
      </c>
      <c r="H2346" s="95"/>
      <c r="K2346" s="97"/>
    </row>
    <row r="2347" spans="1:11" x14ac:dyDescent="0.2">
      <c r="A2347" s="91">
        <v>2024</v>
      </c>
      <c r="B2347" s="92" t="s">
        <v>66</v>
      </c>
      <c r="C2347" s="92" t="s">
        <v>17</v>
      </c>
      <c r="D2347" s="92" t="s">
        <v>18</v>
      </c>
      <c r="E2347" s="92" t="s">
        <v>69</v>
      </c>
      <c r="F2347" s="92" t="s">
        <v>70</v>
      </c>
      <c r="G2347" s="93">
        <v>1731169565</v>
      </c>
      <c r="H2347" s="92"/>
      <c r="K2347" s="97"/>
    </row>
    <row r="2348" spans="1:11" x14ac:dyDescent="0.2">
      <c r="A2348" s="94">
        <v>2024</v>
      </c>
      <c r="B2348" s="95" t="s">
        <v>66</v>
      </c>
      <c r="C2348" s="95" t="s">
        <v>17</v>
      </c>
      <c r="D2348" s="95" t="s">
        <v>19</v>
      </c>
      <c r="E2348" s="95" t="s">
        <v>67</v>
      </c>
      <c r="F2348" s="95" t="s">
        <v>67</v>
      </c>
      <c r="G2348" s="96">
        <v>4586589232</v>
      </c>
      <c r="H2348" s="95"/>
      <c r="K2348" s="97"/>
    </row>
    <row r="2349" spans="1:11" x14ac:dyDescent="0.2">
      <c r="A2349" s="91">
        <v>2024</v>
      </c>
      <c r="B2349" s="92" t="s">
        <v>66</v>
      </c>
      <c r="C2349" s="92" t="s">
        <v>17</v>
      </c>
      <c r="D2349" s="92" t="s">
        <v>19</v>
      </c>
      <c r="E2349" s="92" t="s">
        <v>69</v>
      </c>
      <c r="F2349" s="92" t="s">
        <v>71</v>
      </c>
      <c r="G2349" s="93">
        <v>3755103831</v>
      </c>
      <c r="H2349" s="92"/>
      <c r="K2349" s="97"/>
    </row>
    <row r="2350" spans="1:11" x14ac:dyDescent="0.2">
      <c r="A2350" s="94">
        <v>2024</v>
      </c>
      <c r="B2350" s="95" t="s">
        <v>66</v>
      </c>
      <c r="C2350" s="95" t="s">
        <v>17</v>
      </c>
      <c r="D2350" s="95" t="s">
        <v>19</v>
      </c>
      <c r="E2350" s="95" t="s">
        <v>69</v>
      </c>
      <c r="F2350" s="95" t="s">
        <v>70</v>
      </c>
      <c r="G2350" s="96">
        <v>1918428796</v>
      </c>
      <c r="H2350" s="95"/>
      <c r="K2350" s="97"/>
    </row>
    <row r="2351" spans="1:11" x14ac:dyDescent="0.2">
      <c r="A2351" s="91">
        <v>2024</v>
      </c>
      <c r="B2351" s="92" t="s">
        <v>66</v>
      </c>
      <c r="C2351" s="92" t="s">
        <v>17</v>
      </c>
      <c r="D2351" s="92" t="s">
        <v>20</v>
      </c>
      <c r="E2351" s="92" t="s">
        <v>67</v>
      </c>
      <c r="F2351" s="92" t="s">
        <v>67</v>
      </c>
      <c r="G2351" s="93">
        <v>625828990</v>
      </c>
      <c r="H2351" s="92"/>
      <c r="K2351" s="97"/>
    </row>
    <row r="2352" spans="1:11" x14ac:dyDescent="0.2">
      <c r="A2352" s="94">
        <v>2024</v>
      </c>
      <c r="B2352" s="95" t="s">
        <v>66</v>
      </c>
      <c r="C2352" s="95" t="s">
        <v>17</v>
      </c>
      <c r="D2352" s="95" t="s">
        <v>20</v>
      </c>
      <c r="E2352" s="95" t="s">
        <v>69</v>
      </c>
      <c r="F2352" s="95" t="s">
        <v>71</v>
      </c>
      <c r="G2352" s="96">
        <v>990363013</v>
      </c>
      <c r="H2352" s="95"/>
      <c r="K2352" s="97"/>
    </row>
    <row r="2353" spans="1:11" x14ac:dyDescent="0.2">
      <c r="A2353" s="91">
        <v>2024</v>
      </c>
      <c r="B2353" s="92" t="s">
        <v>66</v>
      </c>
      <c r="C2353" s="92" t="s">
        <v>17</v>
      </c>
      <c r="D2353" s="92" t="s">
        <v>20</v>
      </c>
      <c r="E2353" s="92" t="s">
        <v>69</v>
      </c>
      <c r="F2353" s="92" t="s">
        <v>70</v>
      </c>
      <c r="G2353" s="93">
        <v>6027446242</v>
      </c>
      <c r="H2353" s="92"/>
      <c r="K2353" s="97"/>
    </row>
    <row r="2354" spans="1:11" x14ac:dyDescent="0.2">
      <c r="A2354" s="94">
        <v>2024</v>
      </c>
      <c r="B2354" s="95" t="s">
        <v>66</v>
      </c>
      <c r="C2354" s="95" t="s">
        <v>17</v>
      </c>
      <c r="D2354" s="95" t="s">
        <v>21</v>
      </c>
      <c r="E2354" s="95" t="s">
        <v>67</v>
      </c>
      <c r="F2354" s="95" t="s">
        <v>67</v>
      </c>
      <c r="G2354" s="96">
        <v>2896101284</v>
      </c>
      <c r="H2354" s="95"/>
      <c r="K2354" s="97"/>
    </row>
    <row r="2355" spans="1:11" x14ac:dyDescent="0.2">
      <c r="A2355" s="91">
        <v>2024</v>
      </c>
      <c r="B2355" s="92" t="s">
        <v>66</v>
      </c>
      <c r="C2355" s="92" t="s">
        <v>17</v>
      </c>
      <c r="D2355" s="92" t="s">
        <v>21</v>
      </c>
      <c r="E2355" s="92" t="s">
        <v>69</v>
      </c>
      <c r="F2355" s="92" t="s">
        <v>71</v>
      </c>
      <c r="G2355" s="93">
        <v>1608448764</v>
      </c>
      <c r="H2355" s="92"/>
      <c r="K2355" s="97"/>
    </row>
    <row r="2356" spans="1:11" x14ac:dyDescent="0.2">
      <c r="A2356" s="94">
        <v>2024</v>
      </c>
      <c r="B2356" s="95" t="s">
        <v>66</v>
      </c>
      <c r="C2356" s="95" t="s">
        <v>17</v>
      </c>
      <c r="D2356" s="95" t="s">
        <v>21</v>
      </c>
      <c r="E2356" s="95" t="s">
        <v>69</v>
      </c>
      <c r="F2356" s="95" t="s">
        <v>70</v>
      </c>
      <c r="G2356" s="96">
        <v>2022710556</v>
      </c>
      <c r="H2356" s="95"/>
      <c r="K2356" s="97"/>
    </row>
    <row r="2357" spans="1:11" x14ac:dyDescent="0.2">
      <c r="A2357" s="91">
        <v>2024</v>
      </c>
      <c r="B2357" s="92" t="s">
        <v>66</v>
      </c>
      <c r="C2357" s="92" t="s">
        <v>17</v>
      </c>
      <c r="D2357" s="92" t="s">
        <v>22</v>
      </c>
      <c r="E2357" s="92" t="s">
        <v>67</v>
      </c>
      <c r="F2357" s="92" t="s">
        <v>67</v>
      </c>
      <c r="G2357" s="93">
        <v>996809768</v>
      </c>
      <c r="H2357" s="92"/>
      <c r="K2357" s="97"/>
    </row>
    <row r="2358" spans="1:11" x14ac:dyDescent="0.2">
      <c r="A2358" s="94">
        <v>2024</v>
      </c>
      <c r="B2358" s="95" t="s">
        <v>66</v>
      </c>
      <c r="C2358" s="95" t="s">
        <v>17</v>
      </c>
      <c r="D2358" s="95" t="s">
        <v>22</v>
      </c>
      <c r="E2358" s="95" t="s">
        <v>69</v>
      </c>
      <c r="F2358" s="95" t="s">
        <v>71</v>
      </c>
      <c r="G2358" s="96">
        <v>788109879</v>
      </c>
      <c r="H2358" s="95"/>
      <c r="K2358" s="97"/>
    </row>
    <row r="2359" spans="1:11" x14ac:dyDescent="0.2">
      <c r="A2359" s="91">
        <v>2024</v>
      </c>
      <c r="B2359" s="92" t="s">
        <v>66</v>
      </c>
      <c r="C2359" s="92" t="s">
        <v>17</v>
      </c>
      <c r="D2359" s="92" t="s">
        <v>22</v>
      </c>
      <c r="E2359" s="92" t="s">
        <v>69</v>
      </c>
      <c r="F2359" s="92" t="s">
        <v>70</v>
      </c>
      <c r="G2359" s="93">
        <v>1057659229</v>
      </c>
      <c r="H2359" s="92"/>
      <c r="K2359" s="97"/>
    </row>
    <row r="2360" spans="1:11" x14ac:dyDescent="0.2">
      <c r="A2360" s="94">
        <v>2024</v>
      </c>
      <c r="B2360" s="95" t="s">
        <v>66</v>
      </c>
      <c r="C2360" s="95" t="s">
        <v>17</v>
      </c>
      <c r="D2360" s="95" t="s">
        <v>23</v>
      </c>
      <c r="E2360" s="95" t="s">
        <v>67</v>
      </c>
      <c r="F2360" s="95" t="s">
        <v>67</v>
      </c>
      <c r="G2360" s="96">
        <v>972377105</v>
      </c>
      <c r="H2360" s="95"/>
      <c r="K2360" s="97"/>
    </row>
    <row r="2361" spans="1:11" x14ac:dyDescent="0.2">
      <c r="A2361" s="91">
        <v>2024</v>
      </c>
      <c r="B2361" s="92" t="s">
        <v>66</v>
      </c>
      <c r="C2361" s="92" t="s">
        <v>17</v>
      </c>
      <c r="D2361" s="92" t="s">
        <v>23</v>
      </c>
      <c r="E2361" s="92" t="s">
        <v>69</v>
      </c>
      <c r="F2361" s="92" t="s">
        <v>71</v>
      </c>
      <c r="G2361" s="93">
        <v>804678546</v>
      </c>
      <c r="H2361" s="92"/>
      <c r="K2361" s="97"/>
    </row>
    <row r="2362" spans="1:11" x14ac:dyDescent="0.2">
      <c r="A2362" s="94">
        <v>2024</v>
      </c>
      <c r="B2362" s="95" t="s">
        <v>66</v>
      </c>
      <c r="C2362" s="95" t="s">
        <v>17</v>
      </c>
      <c r="D2362" s="95" t="s">
        <v>23</v>
      </c>
      <c r="E2362" s="95" t="s">
        <v>69</v>
      </c>
      <c r="F2362" s="95" t="s">
        <v>70</v>
      </c>
      <c r="G2362" s="96">
        <v>447629646</v>
      </c>
      <c r="H2362" s="95"/>
      <c r="K2362" s="97"/>
    </row>
    <row r="2363" spans="1:11" x14ac:dyDescent="0.2">
      <c r="A2363" s="91">
        <v>2024</v>
      </c>
      <c r="B2363" s="92" t="s">
        <v>66</v>
      </c>
      <c r="C2363" s="92" t="s">
        <v>17</v>
      </c>
      <c r="D2363" s="92" t="s">
        <v>24</v>
      </c>
      <c r="E2363" s="92" t="s">
        <v>67</v>
      </c>
      <c r="F2363" s="92" t="s">
        <v>67</v>
      </c>
      <c r="G2363" s="93">
        <v>13747633270</v>
      </c>
      <c r="H2363" s="92"/>
      <c r="K2363" s="97"/>
    </row>
    <row r="2364" spans="1:11" x14ac:dyDescent="0.2">
      <c r="A2364" s="94">
        <v>2024</v>
      </c>
      <c r="B2364" s="95" t="s">
        <v>66</v>
      </c>
      <c r="C2364" s="95" t="s">
        <v>17</v>
      </c>
      <c r="D2364" s="95" t="s">
        <v>24</v>
      </c>
      <c r="E2364" s="95" t="s">
        <v>69</v>
      </c>
      <c r="F2364" s="95" t="s">
        <v>71</v>
      </c>
      <c r="G2364" s="96">
        <v>6681848737</v>
      </c>
      <c r="H2364" s="95"/>
      <c r="K2364" s="97"/>
    </row>
    <row r="2365" spans="1:11" x14ac:dyDescent="0.2">
      <c r="A2365" s="91">
        <v>2024</v>
      </c>
      <c r="B2365" s="92" t="s">
        <v>66</v>
      </c>
      <c r="C2365" s="92" t="s">
        <v>17</v>
      </c>
      <c r="D2365" s="92" t="s">
        <v>24</v>
      </c>
      <c r="E2365" s="92" t="s">
        <v>69</v>
      </c>
      <c r="F2365" s="92" t="s">
        <v>70</v>
      </c>
      <c r="G2365" s="93">
        <v>9693662975</v>
      </c>
      <c r="H2365" s="92"/>
      <c r="K2365" s="97"/>
    </row>
    <row r="2366" spans="1:11" x14ac:dyDescent="0.2">
      <c r="A2366" s="94">
        <v>2024</v>
      </c>
      <c r="B2366" s="95" t="s">
        <v>66</v>
      </c>
      <c r="C2366" s="95" t="s">
        <v>17</v>
      </c>
      <c r="D2366" s="95" t="s">
        <v>25</v>
      </c>
      <c r="E2366" s="95" t="s">
        <v>67</v>
      </c>
      <c r="F2366" s="95" t="s">
        <v>67</v>
      </c>
      <c r="G2366" s="96">
        <v>0</v>
      </c>
      <c r="H2366" s="95"/>
      <c r="K2366" s="97"/>
    </row>
    <row r="2367" spans="1:11" x14ac:dyDescent="0.2">
      <c r="A2367" s="91">
        <v>2024</v>
      </c>
      <c r="B2367" s="92" t="s">
        <v>66</v>
      </c>
      <c r="C2367" s="92" t="s">
        <v>17</v>
      </c>
      <c r="D2367" s="92" t="s">
        <v>25</v>
      </c>
      <c r="E2367" s="92" t="s">
        <v>69</v>
      </c>
      <c r="F2367" s="92" t="s">
        <v>71</v>
      </c>
      <c r="G2367" s="93">
        <v>0</v>
      </c>
      <c r="H2367" s="92"/>
      <c r="K2367" s="97"/>
    </row>
    <row r="2368" spans="1:11" x14ac:dyDescent="0.2">
      <c r="A2368" s="94">
        <v>2024</v>
      </c>
      <c r="B2368" s="95" t="s">
        <v>66</v>
      </c>
      <c r="C2368" s="95" t="s">
        <v>17</v>
      </c>
      <c r="D2368" s="95" t="s">
        <v>25</v>
      </c>
      <c r="E2368" s="95" t="s">
        <v>69</v>
      </c>
      <c r="F2368" s="95" t="s">
        <v>70</v>
      </c>
      <c r="G2368" s="96">
        <v>0</v>
      </c>
      <c r="H2368" s="95"/>
      <c r="K2368" s="97"/>
    </row>
    <row r="2369" spans="1:11" x14ac:dyDescent="0.2">
      <c r="A2369" s="91">
        <v>2024</v>
      </c>
      <c r="B2369" s="92" t="s">
        <v>66</v>
      </c>
      <c r="C2369" s="92" t="s">
        <v>27</v>
      </c>
      <c r="D2369" s="92" t="s">
        <v>26</v>
      </c>
      <c r="E2369" s="92" t="s">
        <v>67</v>
      </c>
      <c r="F2369" s="92" t="s">
        <v>67</v>
      </c>
      <c r="G2369" s="93">
        <v>30012132574</v>
      </c>
      <c r="H2369" s="92"/>
      <c r="K2369" s="97"/>
    </row>
    <row r="2370" spans="1:11" x14ac:dyDescent="0.2">
      <c r="A2370" s="94">
        <v>2024</v>
      </c>
      <c r="B2370" s="95" t="s">
        <v>66</v>
      </c>
      <c r="C2370" s="95" t="s">
        <v>27</v>
      </c>
      <c r="D2370" s="95" t="s">
        <v>26</v>
      </c>
      <c r="E2370" s="95" t="s">
        <v>69</v>
      </c>
      <c r="F2370" s="95" t="s">
        <v>71</v>
      </c>
      <c r="G2370" s="96">
        <v>10548421380</v>
      </c>
      <c r="H2370" s="95"/>
      <c r="K2370" s="97"/>
    </row>
    <row r="2371" spans="1:11" x14ac:dyDescent="0.2">
      <c r="A2371" s="91">
        <v>2024</v>
      </c>
      <c r="B2371" s="92" t="s">
        <v>66</v>
      </c>
      <c r="C2371" s="92" t="s">
        <v>27</v>
      </c>
      <c r="D2371" s="92" t="s">
        <v>26</v>
      </c>
      <c r="E2371" s="92" t="s">
        <v>69</v>
      </c>
      <c r="F2371" s="92" t="s">
        <v>70</v>
      </c>
      <c r="G2371" s="93">
        <v>26646271552</v>
      </c>
      <c r="H2371" s="92"/>
      <c r="K2371" s="97"/>
    </row>
    <row r="2372" spans="1:11" x14ac:dyDescent="0.2">
      <c r="A2372" s="94">
        <v>2024</v>
      </c>
      <c r="B2372" s="95" t="s">
        <v>66</v>
      </c>
      <c r="C2372" s="95" t="s">
        <v>27</v>
      </c>
      <c r="D2372" s="95" t="s">
        <v>28</v>
      </c>
      <c r="E2372" s="95" t="s">
        <v>67</v>
      </c>
      <c r="F2372" s="95" t="s">
        <v>67</v>
      </c>
      <c r="G2372" s="96">
        <v>27715487765</v>
      </c>
      <c r="H2372" s="95"/>
      <c r="K2372" s="97"/>
    </row>
    <row r="2373" spans="1:11" x14ac:dyDescent="0.2">
      <c r="A2373" s="91">
        <v>2024</v>
      </c>
      <c r="B2373" s="92" t="s">
        <v>66</v>
      </c>
      <c r="C2373" s="92" t="s">
        <v>27</v>
      </c>
      <c r="D2373" s="92" t="s">
        <v>28</v>
      </c>
      <c r="E2373" s="92" t="s">
        <v>69</v>
      </c>
      <c r="F2373" s="92" t="s">
        <v>71</v>
      </c>
      <c r="G2373" s="93">
        <v>15999359632</v>
      </c>
      <c r="H2373" s="92"/>
      <c r="K2373" s="97"/>
    </row>
    <row r="2374" spans="1:11" x14ac:dyDescent="0.2">
      <c r="A2374" s="94">
        <v>2024</v>
      </c>
      <c r="B2374" s="95" t="s">
        <v>66</v>
      </c>
      <c r="C2374" s="95" t="s">
        <v>27</v>
      </c>
      <c r="D2374" s="95" t="s">
        <v>28</v>
      </c>
      <c r="E2374" s="95" t="s">
        <v>69</v>
      </c>
      <c r="F2374" s="95" t="s">
        <v>70</v>
      </c>
      <c r="G2374" s="96">
        <v>33327658082</v>
      </c>
      <c r="H2374" s="95"/>
      <c r="K2374" s="97"/>
    </row>
    <row r="2375" spans="1:11" x14ac:dyDescent="0.2">
      <c r="A2375" s="91">
        <v>2024</v>
      </c>
      <c r="B2375" s="92" t="s">
        <v>66</v>
      </c>
      <c r="C2375" s="92" t="s">
        <v>27</v>
      </c>
      <c r="D2375" s="92" t="s">
        <v>29</v>
      </c>
      <c r="E2375" s="92" t="s">
        <v>67</v>
      </c>
      <c r="F2375" s="92" t="s">
        <v>67</v>
      </c>
      <c r="G2375" s="93">
        <v>14272116934</v>
      </c>
      <c r="H2375" s="92"/>
      <c r="K2375" s="97"/>
    </row>
    <row r="2376" spans="1:11" x14ac:dyDescent="0.2">
      <c r="A2376" s="94">
        <v>2024</v>
      </c>
      <c r="B2376" s="95" t="s">
        <v>66</v>
      </c>
      <c r="C2376" s="95" t="s">
        <v>27</v>
      </c>
      <c r="D2376" s="95" t="s">
        <v>29</v>
      </c>
      <c r="E2376" s="95" t="s">
        <v>69</v>
      </c>
      <c r="F2376" s="95" t="s">
        <v>71</v>
      </c>
      <c r="G2376" s="96">
        <v>6909366324</v>
      </c>
      <c r="H2376" s="95"/>
      <c r="K2376" s="97"/>
    </row>
    <row r="2377" spans="1:11" x14ac:dyDescent="0.2">
      <c r="A2377" s="91">
        <v>2024</v>
      </c>
      <c r="B2377" s="92" t="s">
        <v>66</v>
      </c>
      <c r="C2377" s="92" t="s">
        <v>27</v>
      </c>
      <c r="D2377" s="92" t="s">
        <v>29</v>
      </c>
      <c r="E2377" s="92" t="s">
        <v>69</v>
      </c>
      <c r="F2377" s="92" t="s">
        <v>70</v>
      </c>
      <c r="G2377" s="93">
        <v>11167230534</v>
      </c>
      <c r="H2377" s="92"/>
      <c r="K2377" s="97"/>
    </row>
    <row r="2378" spans="1:11" x14ac:dyDescent="0.2">
      <c r="A2378" s="94">
        <v>2024</v>
      </c>
      <c r="B2378" s="95" t="s">
        <v>66</v>
      </c>
      <c r="C2378" s="95" t="s">
        <v>27</v>
      </c>
      <c r="D2378" s="95" t="s">
        <v>30</v>
      </c>
      <c r="E2378" s="95" t="s">
        <v>67</v>
      </c>
      <c r="F2378" s="95" t="s">
        <v>67</v>
      </c>
      <c r="G2378" s="96">
        <v>25778017652</v>
      </c>
      <c r="H2378" s="95"/>
      <c r="K2378" s="97"/>
    </row>
    <row r="2379" spans="1:11" x14ac:dyDescent="0.2">
      <c r="A2379" s="91">
        <v>2024</v>
      </c>
      <c r="B2379" s="92" t="s">
        <v>66</v>
      </c>
      <c r="C2379" s="92" t="s">
        <v>27</v>
      </c>
      <c r="D2379" s="92" t="s">
        <v>30</v>
      </c>
      <c r="E2379" s="92" t="s">
        <v>69</v>
      </c>
      <c r="F2379" s="92" t="s">
        <v>71</v>
      </c>
      <c r="G2379" s="93">
        <v>13638334174</v>
      </c>
      <c r="H2379" s="92"/>
      <c r="K2379" s="97"/>
    </row>
    <row r="2380" spans="1:11" x14ac:dyDescent="0.2">
      <c r="A2380" s="94">
        <v>2024</v>
      </c>
      <c r="B2380" s="95" t="s">
        <v>66</v>
      </c>
      <c r="C2380" s="95" t="s">
        <v>27</v>
      </c>
      <c r="D2380" s="95" t="s">
        <v>30</v>
      </c>
      <c r="E2380" s="95" t="s">
        <v>69</v>
      </c>
      <c r="F2380" s="95" t="s">
        <v>70</v>
      </c>
      <c r="G2380" s="96">
        <v>40507482938</v>
      </c>
      <c r="H2380" s="95"/>
      <c r="K2380" s="97"/>
    </row>
    <row r="2381" spans="1:11" x14ac:dyDescent="0.2">
      <c r="A2381" s="91">
        <v>2024</v>
      </c>
      <c r="B2381" s="92" t="s">
        <v>66</v>
      </c>
      <c r="C2381" s="92" t="s">
        <v>27</v>
      </c>
      <c r="D2381" s="92" t="s">
        <v>31</v>
      </c>
      <c r="E2381" s="92" t="s">
        <v>67</v>
      </c>
      <c r="F2381" s="92" t="s">
        <v>67</v>
      </c>
      <c r="G2381" s="93">
        <v>4517863158</v>
      </c>
      <c r="H2381" s="92"/>
      <c r="K2381" s="97"/>
    </row>
    <row r="2382" spans="1:11" x14ac:dyDescent="0.2">
      <c r="A2382" s="94">
        <v>2024</v>
      </c>
      <c r="B2382" s="95" t="s">
        <v>66</v>
      </c>
      <c r="C2382" s="95" t="s">
        <v>27</v>
      </c>
      <c r="D2382" s="95" t="s">
        <v>31</v>
      </c>
      <c r="E2382" s="95" t="s">
        <v>69</v>
      </c>
      <c r="F2382" s="95" t="s">
        <v>71</v>
      </c>
      <c r="G2382" s="96">
        <v>4888048011</v>
      </c>
      <c r="H2382" s="95"/>
      <c r="K2382" s="97"/>
    </row>
    <row r="2383" spans="1:11" x14ac:dyDescent="0.2">
      <c r="A2383" s="91">
        <v>2024</v>
      </c>
      <c r="B2383" s="92" t="s">
        <v>66</v>
      </c>
      <c r="C2383" s="92" t="s">
        <v>27</v>
      </c>
      <c r="D2383" s="92" t="s">
        <v>31</v>
      </c>
      <c r="E2383" s="92" t="s">
        <v>69</v>
      </c>
      <c r="F2383" s="92" t="s">
        <v>70</v>
      </c>
      <c r="G2383" s="93">
        <v>11430596634</v>
      </c>
      <c r="H2383" s="92"/>
      <c r="K2383" s="97"/>
    </row>
    <row r="2384" spans="1:11" x14ac:dyDescent="0.2">
      <c r="A2384" s="94">
        <v>2024</v>
      </c>
      <c r="B2384" s="95" t="s">
        <v>66</v>
      </c>
      <c r="C2384" s="95" t="s">
        <v>27</v>
      </c>
      <c r="D2384" s="95" t="s">
        <v>32</v>
      </c>
      <c r="E2384" s="95" t="s">
        <v>67</v>
      </c>
      <c r="F2384" s="95" t="s">
        <v>67</v>
      </c>
      <c r="G2384" s="96">
        <v>16051370594</v>
      </c>
      <c r="H2384" s="95"/>
      <c r="K2384" s="97"/>
    </row>
    <row r="2385" spans="1:11" x14ac:dyDescent="0.2">
      <c r="A2385" s="91">
        <v>2024</v>
      </c>
      <c r="B2385" s="92" t="s">
        <v>66</v>
      </c>
      <c r="C2385" s="92" t="s">
        <v>27</v>
      </c>
      <c r="D2385" s="92" t="s">
        <v>32</v>
      </c>
      <c r="E2385" s="92" t="s">
        <v>69</v>
      </c>
      <c r="F2385" s="92" t="s">
        <v>71</v>
      </c>
      <c r="G2385" s="93">
        <v>11671396078</v>
      </c>
      <c r="H2385" s="92"/>
      <c r="K2385" s="97"/>
    </row>
    <row r="2386" spans="1:11" x14ac:dyDescent="0.2">
      <c r="A2386" s="94">
        <v>2024</v>
      </c>
      <c r="B2386" s="95" t="s">
        <v>66</v>
      </c>
      <c r="C2386" s="95" t="s">
        <v>27</v>
      </c>
      <c r="D2386" s="95" t="s">
        <v>32</v>
      </c>
      <c r="E2386" s="95" t="s">
        <v>69</v>
      </c>
      <c r="F2386" s="95" t="s">
        <v>70</v>
      </c>
      <c r="G2386" s="96">
        <v>12878928461</v>
      </c>
      <c r="H2386" s="95"/>
      <c r="K2386" s="97"/>
    </row>
    <row r="2387" spans="1:11" x14ac:dyDescent="0.2">
      <c r="A2387" s="91">
        <v>2024</v>
      </c>
      <c r="B2387" s="92" t="s">
        <v>66</v>
      </c>
      <c r="C2387" s="92" t="s">
        <v>27</v>
      </c>
      <c r="D2387" s="92" t="s">
        <v>33</v>
      </c>
      <c r="E2387" s="92" t="s">
        <v>67</v>
      </c>
      <c r="F2387" s="92" t="s">
        <v>67</v>
      </c>
      <c r="G2387" s="93">
        <v>10372769916</v>
      </c>
      <c r="H2387" s="92"/>
      <c r="K2387" s="97"/>
    </row>
    <row r="2388" spans="1:11" x14ac:dyDescent="0.2">
      <c r="A2388" s="94">
        <v>2024</v>
      </c>
      <c r="B2388" s="95" t="s">
        <v>66</v>
      </c>
      <c r="C2388" s="95" t="s">
        <v>27</v>
      </c>
      <c r="D2388" s="95" t="s">
        <v>33</v>
      </c>
      <c r="E2388" s="95" t="s">
        <v>69</v>
      </c>
      <c r="F2388" s="95" t="s">
        <v>71</v>
      </c>
      <c r="G2388" s="96">
        <v>12042767093</v>
      </c>
      <c r="H2388" s="95"/>
      <c r="K2388" s="97"/>
    </row>
    <row r="2389" spans="1:11" x14ac:dyDescent="0.2">
      <c r="A2389" s="91">
        <v>2024</v>
      </c>
      <c r="B2389" s="92" t="s">
        <v>66</v>
      </c>
      <c r="C2389" s="92" t="s">
        <v>27</v>
      </c>
      <c r="D2389" s="92" t="s">
        <v>33</v>
      </c>
      <c r="E2389" s="92" t="s">
        <v>69</v>
      </c>
      <c r="F2389" s="92" t="s">
        <v>70</v>
      </c>
      <c r="G2389" s="93">
        <v>42325387365</v>
      </c>
      <c r="H2389" s="92"/>
      <c r="K2389" s="97"/>
    </row>
    <row r="2390" spans="1:11" x14ac:dyDescent="0.2">
      <c r="A2390" s="94">
        <v>2024</v>
      </c>
      <c r="B2390" s="95" t="s">
        <v>66</v>
      </c>
      <c r="C2390" s="95" t="s">
        <v>35</v>
      </c>
      <c r="D2390" s="95" t="s">
        <v>34</v>
      </c>
      <c r="E2390" s="95" t="s">
        <v>67</v>
      </c>
      <c r="F2390" s="95" t="s">
        <v>67</v>
      </c>
      <c r="G2390" s="96">
        <v>4074759361</v>
      </c>
      <c r="H2390" s="95"/>
      <c r="K2390" s="97"/>
    </row>
    <row r="2391" spans="1:11" x14ac:dyDescent="0.2">
      <c r="A2391" s="91">
        <v>2024</v>
      </c>
      <c r="B2391" s="92" t="s">
        <v>66</v>
      </c>
      <c r="C2391" s="92" t="s">
        <v>35</v>
      </c>
      <c r="D2391" s="92" t="s">
        <v>34</v>
      </c>
      <c r="E2391" s="92" t="s">
        <v>69</v>
      </c>
      <c r="F2391" s="92" t="s">
        <v>71</v>
      </c>
      <c r="G2391" s="93">
        <v>1619014324</v>
      </c>
      <c r="H2391" s="92"/>
      <c r="K2391" s="97"/>
    </row>
    <row r="2392" spans="1:11" x14ac:dyDescent="0.2">
      <c r="A2392" s="94">
        <v>2024</v>
      </c>
      <c r="B2392" s="95" t="s">
        <v>66</v>
      </c>
      <c r="C2392" s="95" t="s">
        <v>35</v>
      </c>
      <c r="D2392" s="95" t="s">
        <v>34</v>
      </c>
      <c r="E2392" s="95" t="s">
        <v>69</v>
      </c>
      <c r="F2392" s="95" t="s">
        <v>70</v>
      </c>
      <c r="G2392" s="96">
        <v>1372403448</v>
      </c>
      <c r="H2392" s="95"/>
      <c r="K2392" s="97"/>
    </row>
    <row r="2393" spans="1:11" x14ac:dyDescent="0.2">
      <c r="A2393" s="91">
        <v>2024</v>
      </c>
      <c r="B2393" s="92" t="s">
        <v>66</v>
      </c>
      <c r="C2393" s="92" t="s">
        <v>35</v>
      </c>
      <c r="D2393" s="92" t="s">
        <v>36</v>
      </c>
      <c r="E2393" s="92" t="s">
        <v>67</v>
      </c>
      <c r="F2393" s="92" t="s">
        <v>67</v>
      </c>
      <c r="G2393" s="93">
        <v>11647587791</v>
      </c>
      <c r="H2393" s="92"/>
      <c r="K2393" s="97"/>
    </row>
    <row r="2394" spans="1:11" x14ac:dyDescent="0.2">
      <c r="A2394" s="94">
        <v>2024</v>
      </c>
      <c r="B2394" s="95" t="s">
        <v>66</v>
      </c>
      <c r="C2394" s="95" t="s">
        <v>35</v>
      </c>
      <c r="D2394" s="95" t="s">
        <v>36</v>
      </c>
      <c r="E2394" s="95" t="s">
        <v>69</v>
      </c>
      <c r="F2394" s="95" t="s">
        <v>71</v>
      </c>
      <c r="G2394" s="96">
        <v>6379031383</v>
      </c>
      <c r="H2394" s="95"/>
      <c r="K2394" s="97"/>
    </row>
    <row r="2395" spans="1:11" x14ac:dyDescent="0.2">
      <c r="A2395" s="91">
        <v>2024</v>
      </c>
      <c r="B2395" s="92" t="s">
        <v>66</v>
      </c>
      <c r="C2395" s="92" t="s">
        <v>35</v>
      </c>
      <c r="D2395" s="92" t="s">
        <v>36</v>
      </c>
      <c r="E2395" s="92" t="s">
        <v>69</v>
      </c>
      <c r="F2395" s="92" t="s">
        <v>70</v>
      </c>
      <c r="G2395" s="93">
        <v>5345913856</v>
      </c>
      <c r="H2395" s="92"/>
      <c r="K2395" s="97"/>
    </row>
    <row r="2396" spans="1:11" x14ac:dyDescent="0.2">
      <c r="A2396" s="94">
        <v>2024</v>
      </c>
      <c r="B2396" s="95" t="s">
        <v>66</v>
      </c>
      <c r="C2396" s="95" t="s">
        <v>35</v>
      </c>
      <c r="D2396" s="95" t="s">
        <v>37</v>
      </c>
      <c r="E2396" s="95" t="s">
        <v>67</v>
      </c>
      <c r="F2396" s="95" t="s">
        <v>67</v>
      </c>
      <c r="G2396" s="96">
        <v>1900308887</v>
      </c>
      <c r="H2396" s="95"/>
      <c r="K2396" s="97"/>
    </row>
    <row r="2397" spans="1:11" x14ac:dyDescent="0.2">
      <c r="A2397" s="91">
        <v>2024</v>
      </c>
      <c r="B2397" s="92" t="s">
        <v>66</v>
      </c>
      <c r="C2397" s="92" t="s">
        <v>35</v>
      </c>
      <c r="D2397" s="92" t="s">
        <v>37</v>
      </c>
      <c r="E2397" s="92" t="s">
        <v>69</v>
      </c>
      <c r="F2397" s="92" t="s">
        <v>71</v>
      </c>
      <c r="G2397" s="93">
        <v>945579845</v>
      </c>
      <c r="H2397" s="92"/>
      <c r="K2397" s="97"/>
    </row>
    <row r="2398" spans="1:11" x14ac:dyDescent="0.2">
      <c r="A2398" s="94">
        <v>2024</v>
      </c>
      <c r="B2398" s="95" t="s">
        <v>66</v>
      </c>
      <c r="C2398" s="95" t="s">
        <v>35</v>
      </c>
      <c r="D2398" s="95" t="s">
        <v>37</v>
      </c>
      <c r="E2398" s="95" t="s">
        <v>69</v>
      </c>
      <c r="F2398" s="95" t="s">
        <v>70</v>
      </c>
      <c r="G2398" s="96">
        <v>1142281021</v>
      </c>
      <c r="H2398" s="95"/>
      <c r="K2398" s="97"/>
    </row>
    <row r="2399" spans="1:11" x14ac:dyDescent="0.2">
      <c r="A2399" s="91">
        <v>2024</v>
      </c>
      <c r="B2399" s="92" t="s">
        <v>66</v>
      </c>
      <c r="C2399" s="92" t="s">
        <v>35</v>
      </c>
      <c r="D2399" s="92" t="s">
        <v>38</v>
      </c>
      <c r="E2399" s="92" t="s">
        <v>67</v>
      </c>
      <c r="F2399" s="92" t="s">
        <v>67</v>
      </c>
      <c r="G2399" s="93">
        <v>3111420641</v>
      </c>
      <c r="H2399" s="92"/>
      <c r="K2399" s="97"/>
    </row>
    <row r="2400" spans="1:11" x14ac:dyDescent="0.2">
      <c r="A2400" s="94">
        <v>2024</v>
      </c>
      <c r="B2400" s="95" t="s">
        <v>66</v>
      </c>
      <c r="C2400" s="95" t="s">
        <v>35</v>
      </c>
      <c r="D2400" s="95" t="s">
        <v>38</v>
      </c>
      <c r="E2400" s="95" t="s">
        <v>69</v>
      </c>
      <c r="F2400" s="95" t="s">
        <v>71</v>
      </c>
      <c r="G2400" s="96">
        <v>1309244137</v>
      </c>
      <c r="H2400" s="95"/>
      <c r="K2400" s="97"/>
    </row>
    <row r="2401" spans="1:11" x14ac:dyDescent="0.2">
      <c r="A2401" s="91">
        <v>2024</v>
      </c>
      <c r="B2401" s="92" t="s">
        <v>66</v>
      </c>
      <c r="C2401" s="92" t="s">
        <v>35</v>
      </c>
      <c r="D2401" s="92" t="s">
        <v>38</v>
      </c>
      <c r="E2401" s="92" t="s">
        <v>69</v>
      </c>
      <c r="F2401" s="92" t="s">
        <v>70</v>
      </c>
      <c r="G2401" s="93">
        <v>1517428173</v>
      </c>
      <c r="H2401" s="92"/>
      <c r="K2401" s="97"/>
    </row>
    <row r="2402" spans="1:11" x14ac:dyDescent="0.2">
      <c r="A2402" s="94">
        <v>2024</v>
      </c>
      <c r="B2402" s="95" t="s">
        <v>66</v>
      </c>
      <c r="C2402" s="95" t="s">
        <v>35</v>
      </c>
      <c r="D2402" s="95" t="s">
        <v>39</v>
      </c>
      <c r="E2402" s="95" t="s">
        <v>67</v>
      </c>
      <c r="F2402" s="95" t="s">
        <v>67</v>
      </c>
      <c r="G2402" s="96">
        <v>15179611499</v>
      </c>
      <c r="H2402" s="95"/>
      <c r="K2402" s="97"/>
    </row>
    <row r="2403" spans="1:11" x14ac:dyDescent="0.2">
      <c r="A2403" s="91">
        <v>2024</v>
      </c>
      <c r="B2403" s="92" t="s">
        <v>66</v>
      </c>
      <c r="C2403" s="92" t="s">
        <v>35</v>
      </c>
      <c r="D2403" s="92" t="s">
        <v>39</v>
      </c>
      <c r="E2403" s="92" t="s">
        <v>69</v>
      </c>
      <c r="F2403" s="92" t="s">
        <v>71</v>
      </c>
      <c r="G2403" s="93">
        <v>8084034188</v>
      </c>
      <c r="H2403" s="92"/>
      <c r="K2403" s="97"/>
    </row>
    <row r="2404" spans="1:11" x14ac:dyDescent="0.2">
      <c r="A2404" s="94">
        <v>2024</v>
      </c>
      <c r="B2404" s="95" t="s">
        <v>66</v>
      </c>
      <c r="C2404" s="95" t="s">
        <v>35</v>
      </c>
      <c r="D2404" s="95" t="s">
        <v>39</v>
      </c>
      <c r="E2404" s="95" t="s">
        <v>69</v>
      </c>
      <c r="F2404" s="95" t="s">
        <v>70</v>
      </c>
      <c r="G2404" s="96">
        <v>7519780699</v>
      </c>
      <c r="H2404" s="95"/>
      <c r="K2404" s="97"/>
    </row>
    <row r="2405" spans="1:11" x14ac:dyDescent="0.2">
      <c r="A2405" s="91">
        <v>2024</v>
      </c>
      <c r="B2405" s="92" t="s">
        <v>66</v>
      </c>
      <c r="C2405" s="92" t="s">
        <v>41</v>
      </c>
      <c r="D2405" s="92" t="s">
        <v>40</v>
      </c>
      <c r="E2405" s="92" t="s">
        <v>67</v>
      </c>
      <c r="F2405" s="92" t="s">
        <v>67</v>
      </c>
      <c r="G2405" s="93">
        <v>1568284595</v>
      </c>
      <c r="H2405" s="92"/>
      <c r="K2405" s="97"/>
    </row>
    <row r="2406" spans="1:11" x14ac:dyDescent="0.2">
      <c r="A2406" s="94">
        <v>2024</v>
      </c>
      <c r="B2406" s="95" t="s">
        <v>66</v>
      </c>
      <c r="C2406" s="95" t="s">
        <v>41</v>
      </c>
      <c r="D2406" s="95" t="s">
        <v>40</v>
      </c>
      <c r="E2406" s="95" t="s">
        <v>69</v>
      </c>
      <c r="F2406" s="95" t="s">
        <v>71</v>
      </c>
      <c r="G2406" s="96">
        <v>512900885</v>
      </c>
      <c r="H2406" s="95"/>
      <c r="K2406" s="97"/>
    </row>
    <row r="2407" spans="1:11" x14ac:dyDescent="0.2">
      <c r="A2407" s="91">
        <v>2024</v>
      </c>
      <c r="B2407" s="92" t="s">
        <v>66</v>
      </c>
      <c r="C2407" s="92" t="s">
        <v>41</v>
      </c>
      <c r="D2407" s="92" t="s">
        <v>40</v>
      </c>
      <c r="E2407" s="92" t="s">
        <v>69</v>
      </c>
      <c r="F2407" s="92" t="s">
        <v>70</v>
      </c>
      <c r="G2407" s="93">
        <v>463298804</v>
      </c>
      <c r="H2407" s="92"/>
      <c r="K2407" s="97"/>
    </row>
    <row r="2408" spans="1:11" x14ac:dyDescent="0.2">
      <c r="A2408" s="94">
        <v>2024</v>
      </c>
      <c r="B2408" s="95" t="s">
        <v>66</v>
      </c>
      <c r="C2408" s="95" t="s">
        <v>41</v>
      </c>
      <c r="D2408" s="95" t="s">
        <v>42</v>
      </c>
      <c r="E2408" s="95" t="s">
        <v>67</v>
      </c>
      <c r="F2408" s="95" t="s">
        <v>67</v>
      </c>
      <c r="G2408" s="96">
        <v>9566036993</v>
      </c>
      <c r="H2408" s="95"/>
      <c r="K2408" s="97"/>
    </row>
    <row r="2409" spans="1:11" x14ac:dyDescent="0.2">
      <c r="A2409" s="91">
        <v>2024</v>
      </c>
      <c r="B2409" s="92" t="s">
        <v>66</v>
      </c>
      <c r="C2409" s="92" t="s">
        <v>41</v>
      </c>
      <c r="D2409" s="92" t="s">
        <v>42</v>
      </c>
      <c r="E2409" s="92" t="s">
        <v>69</v>
      </c>
      <c r="F2409" s="92" t="s">
        <v>71</v>
      </c>
      <c r="G2409" s="93">
        <v>1730674526</v>
      </c>
      <c r="H2409" s="92"/>
      <c r="K2409" s="97"/>
    </row>
    <row r="2410" spans="1:11" x14ac:dyDescent="0.2">
      <c r="A2410" s="94">
        <v>2024</v>
      </c>
      <c r="B2410" s="95" t="s">
        <v>66</v>
      </c>
      <c r="C2410" s="95" t="s">
        <v>41</v>
      </c>
      <c r="D2410" s="95" t="s">
        <v>42</v>
      </c>
      <c r="E2410" s="95" t="s">
        <v>69</v>
      </c>
      <c r="F2410" s="95" t="s">
        <v>70</v>
      </c>
      <c r="G2410" s="96">
        <v>5992177896</v>
      </c>
      <c r="H2410" s="95"/>
      <c r="K2410" s="97"/>
    </row>
    <row r="2411" spans="1:11" x14ac:dyDescent="0.2">
      <c r="A2411" s="91">
        <v>2024</v>
      </c>
      <c r="B2411" s="92" t="s">
        <v>66</v>
      </c>
      <c r="C2411" s="92" t="s">
        <v>41</v>
      </c>
      <c r="D2411" s="92" t="s">
        <v>43</v>
      </c>
      <c r="E2411" s="92" t="s">
        <v>67</v>
      </c>
      <c r="F2411" s="92" t="s">
        <v>67</v>
      </c>
      <c r="G2411" s="93">
        <v>6856225289</v>
      </c>
      <c r="H2411" s="92"/>
      <c r="K2411" s="97"/>
    </row>
    <row r="2412" spans="1:11" x14ac:dyDescent="0.2">
      <c r="A2412" s="94">
        <v>2024</v>
      </c>
      <c r="B2412" s="95" t="s">
        <v>66</v>
      </c>
      <c r="C2412" s="95" t="s">
        <v>41</v>
      </c>
      <c r="D2412" s="95" t="s">
        <v>43</v>
      </c>
      <c r="E2412" s="95" t="s">
        <v>69</v>
      </c>
      <c r="F2412" s="95" t="s">
        <v>71</v>
      </c>
      <c r="G2412" s="96">
        <v>2343639416</v>
      </c>
      <c r="H2412" s="95"/>
      <c r="K2412" s="97"/>
    </row>
    <row r="2413" spans="1:11" x14ac:dyDescent="0.2">
      <c r="A2413" s="91">
        <v>2024</v>
      </c>
      <c r="B2413" s="92" t="s">
        <v>66</v>
      </c>
      <c r="C2413" s="92" t="s">
        <v>41</v>
      </c>
      <c r="D2413" s="92" t="s">
        <v>43</v>
      </c>
      <c r="E2413" s="92" t="s">
        <v>69</v>
      </c>
      <c r="F2413" s="92" t="s">
        <v>70</v>
      </c>
      <c r="G2413" s="93">
        <v>2756783250</v>
      </c>
      <c r="H2413" s="92"/>
      <c r="K2413" s="97"/>
    </row>
    <row r="2414" spans="1:11" x14ac:dyDescent="0.2">
      <c r="A2414" s="94">
        <v>2024</v>
      </c>
      <c r="B2414" s="95" t="s">
        <v>66</v>
      </c>
      <c r="C2414" s="95" t="s">
        <v>41</v>
      </c>
      <c r="D2414" s="95" t="s">
        <v>44</v>
      </c>
      <c r="E2414" s="95" t="s">
        <v>67</v>
      </c>
      <c r="F2414" s="95" t="s">
        <v>67</v>
      </c>
      <c r="G2414" s="96">
        <v>9280465515</v>
      </c>
      <c r="H2414" s="95"/>
      <c r="K2414" s="97"/>
    </row>
    <row r="2415" spans="1:11" x14ac:dyDescent="0.2">
      <c r="A2415" s="91">
        <v>2024</v>
      </c>
      <c r="B2415" s="92" t="s">
        <v>66</v>
      </c>
      <c r="C2415" s="92" t="s">
        <v>41</v>
      </c>
      <c r="D2415" s="92" t="s">
        <v>44</v>
      </c>
      <c r="E2415" s="92" t="s">
        <v>69</v>
      </c>
      <c r="F2415" s="92" t="s">
        <v>71</v>
      </c>
      <c r="G2415" s="93">
        <v>3753042959</v>
      </c>
      <c r="H2415" s="92"/>
      <c r="K2415" s="97"/>
    </row>
    <row r="2416" spans="1:11" x14ac:dyDescent="0.2">
      <c r="A2416" s="94">
        <v>2024</v>
      </c>
      <c r="B2416" s="95" t="s">
        <v>66</v>
      </c>
      <c r="C2416" s="95" t="s">
        <v>41</v>
      </c>
      <c r="D2416" s="95" t="s">
        <v>44</v>
      </c>
      <c r="E2416" s="95" t="s">
        <v>69</v>
      </c>
      <c r="F2416" s="95" t="s">
        <v>70</v>
      </c>
      <c r="G2416" s="96">
        <v>5678538393</v>
      </c>
      <c r="H2416" s="95"/>
      <c r="K2416" s="97"/>
    </row>
    <row r="2417" spans="1:11" x14ac:dyDescent="0.2">
      <c r="A2417" s="91">
        <v>2024</v>
      </c>
      <c r="B2417" s="92" t="s">
        <v>66</v>
      </c>
      <c r="C2417" s="92" t="s">
        <v>41</v>
      </c>
      <c r="D2417" s="92" t="s">
        <v>45</v>
      </c>
      <c r="E2417" s="92" t="s">
        <v>67</v>
      </c>
      <c r="F2417" s="92" t="s">
        <v>67</v>
      </c>
      <c r="G2417" s="93">
        <v>24755792028</v>
      </c>
      <c r="H2417" s="92"/>
      <c r="K2417" s="97"/>
    </row>
    <row r="2418" spans="1:11" x14ac:dyDescent="0.2">
      <c r="A2418" s="94">
        <v>2024</v>
      </c>
      <c r="B2418" s="95" t="s">
        <v>66</v>
      </c>
      <c r="C2418" s="95" t="s">
        <v>41</v>
      </c>
      <c r="D2418" s="95" t="s">
        <v>45</v>
      </c>
      <c r="E2418" s="95" t="s">
        <v>69</v>
      </c>
      <c r="F2418" s="95" t="s">
        <v>71</v>
      </c>
      <c r="G2418" s="96">
        <v>6789572404</v>
      </c>
      <c r="H2418" s="95"/>
      <c r="K2418" s="97"/>
    </row>
    <row r="2419" spans="1:11" x14ac:dyDescent="0.2">
      <c r="A2419" s="91">
        <v>2024</v>
      </c>
      <c r="B2419" s="92" t="s">
        <v>66</v>
      </c>
      <c r="C2419" s="92" t="s">
        <v>41</v>
      </c>
      <c r="D2419" s="92" t="s">
        <v>45</v>
      </c>
      <c r="E2419" s="92" t="s">
        <v>69</v>
      </c>
      <c r="F2419" s="92" t="s">
        <v>70</v>
      </c>
      <c r="G2419" s="93">
        <v>17056133984</v>
      </c>
      <c r="H2419" s="92"/>
      <c r="K2419" s="97"/>
    </row>
    <row r="2420" spans="1:11" x14ac:dyDescent="0.2">
      <c r="A2420" s="94">
        <v>2024</v>
      </c>
      <c r="B2420" s="95" t="s">
        <v>66</v>
      </c>
      <c r="C2420" s="95" t="s">
        <v>47</v>
      </c>
      <c r="D2420" s="95" t="s">
        <v>46</v>
      </c>
      <c r="E2420" s="95" t="s">
        <v>72</v>
      </c>
      <c r="F2420" s="95" t="s">
        <v>73</v>
      </c>
      <c r="G2420" s="96">
        <v>8515658500</v>
      </c>
      <c r="H2420" s="95"/>
      <c r="K2420" s="97"/>
    </row>
    <row r="2421" spans="1:11" x14ac:dyDescent="0.2">
      <c r="A2421" s="91">
        <v>2024</v>
      </c>
      <c r="B2421" s="92" t="s">
        <v>66</v>
      </c>
      <c r="C2421" s="92" t="s">
        <v>47</v>
      </c>
      <c r="D2421" s="92" t="s">
        <v>46</v>
      </c>
      <c r="E2421" s="92" t="s">
        <v>67</v>
      </c>
      <c r="F2421" s="92" t="s">
        <v>74</v>
      </c>
      <c r="G2421" s="93">
        <v>7481250310</v>
      </c>
      <c r="H2421" s="92"/>
      <c r="K2421" s="97"/>
    </row>
    <row r="2422" spans="1:11" x14ac:dyDescent="0.2">
      <c r="A2422" s="94">
        <v>2024</v>
      </c>
      <c r="B2422" s="95" t="s">
        <v>66</v>
      </c>
      <c r="C2422" s="95" t="s">
        <v>47</v>
      </c>
      <c r="D2422" s="95" t="s">
        <v>46</v>
      </c>
      <c r="E2422" s="95" t="s">
        <v>69</v>
      </c>
      <c r="F2422" s="95" t="s">
        <v>71</v>
      </c>
      <c r="G2422" s="96">
        <v>10328159380</v>
      </c>
      <c r="H2422" s="95"/>
      <c r="K2422" s="97"/>
    </row>
    <row r="2423" spans="1:11" x14ac:dyDescent="0.2">
      <c r="A2423" s="91">
        <v>2024</v>
      </c>
      <c r="B2423" s="92" t="s">
        <v>66</v>
      </c>
      <c r="C2423" s="92" t="s">
        <v>47</v>
      </c>
      <c r="D2423" s="92" t="s">
        <v>46</v>
      </c>
      <c r="E2423" s="92" t="s">
        <v>69</v>
      </c>
      <c r="F2423" s="92" t="s">
        <v>70</v>
      </c>
      <c r="G2423" s="93">
        <v>14951280803</v>
      </c>
      <c r="H2423" s="92"/>
      <c r="K2423" s="97"/>
    </row>
    <row r="2424" spans="1:11" x14ac:dyDescent="0.2">
      <c r="A2424" s="94">
        <v>2024</v>
      </c>
      <c r="B2424" s="95" t="s">
        <v>66</v>
      </c>
      <c r="C2424" s="95" t="s">
        <v>47</v>
      </c>
      <c r="D2424" s="95" t="s">
        <v>48</v>
      </c>
      <c r="E2424" s="95" t="s">
        <v>72</v>
      </c>
      <c r="F2424" s="95" t="s">
        <v>73</v>
      </c>
      <c r="G2424" s="96">
        <v>85898251337</v>
      </c>
      <c r="H2424" s="95"/>
      <c r="K2424" s="97"/>
    </row>
    <row r="2425" spans="1:11" x14ac:dyDescent="0.2">
      <c r="A2425" s="91">
        <v>2024</v>
      </c>
      <c r="B2425" s="92" t="s">
        <v>66</v>
      </c>
      <c r="C2425" s="92" t="s">
        <v>47</v>
      </c>
      <c r="D2425" s="92" t="s">
        <v>48</v>
      </c>
      <c r="E2425" s="92" t="s">
        <v>67</v>
      </c>
      <c r="F2425" s="92" t="s">
        <v>74</v>
      </c>
      <c r="G2425" s="93">
        <v>99764613880</v>
      </c>
      <c r="H2425" s="92"/>
      <c r="K2425" s="97"/>
    </row>
    <row r="2426" spans="1:11" x14ac:dyDescent="0.2">
      <c r="A2426" s="94">
        <v>2024</v>
      </c>
      <c r="B2426" s="95" t="s">
        <v>66</v>
      </c>
      <c r="C2426" s="95" t="s">
        <v>47</v>
      </c>
      <c r="D2426" s="95" t="s">
        <v>48</v>
      </c>
      <c r="E2426" s="95" t="s">
        <v>69</v>
      </c>
      <c r="F2426" s="95" t="s">
        <v>71</v>
      </c>
      <c r="G2426" s="96">
        <v>106500000001</v>
      </c>
      <c r="H2426" s="95"/>
      <c r="K2426" s="97"/>
    </row>
    <row r="2427" spans="1:11" x14ac:dyDescent="0.2">
      <c r="A2427" s="91">
        <v>2024</v>
      </c>
      <c r="B2427" s="92" t="s">
        <v>66</v>
      </c>
      <c r="C2427" s="92" t="s">
        <v>47</v>
      </c>
      <c r="D2427" s="92" t="s">
        <v>48</v>
      </c>
      <c r="E2427" s="92" t="s">
        <v>69</v>
      </c>
      <c r="F2427" s="92" t="s">
        <v>70</v>
      </c>
      <c r="G2427" s="93">
        <v>210410934272</v>
      </c>
      <c r="H2427" s="92"/>
      <c r="K2427" s="97"/>
    </row>
    <row r="2428" spans="1:11" x14ac:dyDescent="0.2">
      <c r="A2428" s="94">
        <v>2025</v>
      </c>
      <c r="B2428" s="95" t="s">
        <v>66</v>
      </c>
      <c r="C2428" s="95" t="s">
        <v>4</v>
      </c>
      <c r="D2428" s="95" t="s">
        <v>3</v>
      </c>
      <c r="E2428" s="95" t="s">
        <v>67</v>
      </c>
      <c r="F2428" s="95" t="s">
        <v>67</v>
      </c>
      <c r="G2428" s="96">
        <v>17185781792</v>
      </c>
      <c r="H2428" s="95"/>
      <c r="K2428" s="97"/>
    </row>
    <row r="2429" spans="1:11" x14ac:dyDescent="0.2">
      <c r="A2429" s="91">
        <v>2025</v>
      </c>
      <c r="B2429" s="92" t="s">
        <v>66</v>
      </c>
      <c r="C2429" s="92" t="s">
        <v>4</v>
      </c>
      <c r="D2429" s="92" t="s">
        <v>3</v>
      </c>
      <c r="E2429" s="92" t="s">
        <v>69</v>
      </c>
      <c r="F2429" s="92" t="s">
        <v>71</v>
      </c>
      <c r="G2429" s="93">
        <v>7465143143</v>
      </c>
      <c r="H2429" s="92"/>
      <c r="K2429" s="97"/>
    </row>
    <row r="2430" spans="1:11" x14ac:dyDescent="0.2">
      <c r="A2430" s="94">
        <v>2025</v>
      </c>
      <c r="B2430" s="95" t="s">
        <v>66</v>
      </c>
      <c r="C2430" s="95" t="s">
        <v>4</v>
      </c>
      <c r="D2430" s="95" t="s">
        <v>3</v>
      </c>
      <c r="E2430" s="95" t="s">
        <v>69</v>
      </c>
      <c r="F2430" s="95" t="s">
        <v>70</v>
      </c>
      <c r="G2430" s="96">
        <v>17109645423</v>
      </c>
      <c r="H2430" s="95"/>
      <c r="K2430" s="97"/>
    </row>
    <row r="2431" spans="1:11" x14ac:dyDescent="0.2">
      <c r="A2431" s="91">
        <v>2025</v>
      </c>
      <c r="B2431" s="92" t="s">
        <v>66</v>
      </c>
      <c r="C2431" s="92" t="s">
        <v>4</v>
      </c>
      <c r="D2431" s="92" t="s">
        <v>5</v>
      </c>
      <c r="E2431" s="92" t="s">
        <v>67</v>
      </c>
      <c r="F2431" s="92" t="s">
        <v>67</v>
      </c>
      <c r="G2431" s="93">
        <v>46949105760</v>
      </c>
      <c r="H2431" s="92"/>
      <c r="K2431" s="97"/>
    </row>
    <row r="2432" spans="1:11" x14ac:dyDescent="0.2">
      <c r="A2432" s="94">
        <v>2025</v>
      </c>
      <c r="B2432" s="95" t="s">
        <v>66</v>
      </c>
      <c r="C2432" s="95" t="s">
        <v>4</v>
      </c>
      <c r="D2432" s="95" t="s">
        <v>5</v>
      </c>
      <c r="E2432" s="95" t="s">
        <v>69</v>
      </c>
      <c r="F2432" s="95" t="s">
        <v>71</v>
      </c>
      <c r="G2432" s="96">
        <v>71711531150</v>
      </c>
      <c r="H2432" s="95"/>
      <c r="K2432" s="97"/>
    </row>
    <row r="2433" spans="1:11" x14ac:dyDescent="0.2">
      <c r="A2433" s="91">
        <v>2025</v>
      </c>
      <c r="B2433" s="92" t="s">
        <v>66</v>
      </c>
      <c r="C2433" s="92" t="s">
        <v>4</v>
      </c>
      <c r="D2433" s="92" t="s">
        <v>5</v>
      </c>
      <c r="E2433" s="92" t="s">
        <v>69</v>
      </c>
      <c r="F2433" s="92" t="s">
        <v>70</v>
      </c>
      <c r="G2433" s="93">
        <v>67430523524</v>
      </c>
      <c r="H2433" s="92"/>
      <c r="K2433" s="97"/>
    </row>
    <row r="2434" spans="1:11" x14ac:dyDescent="0.2">
      <c r="A2434" s="94">
        <v>2025</v>
      </c>
      <c r="B2434" s="95" t="s">
        <v>66</v>
      </c>
      <c r="C2434" s="95" t="s">
        <v>4</v>
      </c>
      <c r="D2434" s="95" t="s">
        <v>6</v>
      </c>
      <c r="E2434" s="95" t="s">
        <v>67</v>
      </c>
      <c r="F2434" s="95" t="s">
        <v>67</v>
      </c>
      <c r="G2434" s="96">
        <v>7586173820</v>
      </c>
      <c r="H2434" s="95"/>
      <c r="K2434" s="97"/>
    </row>
    <row r="2435" spans="1:11" x14ac:dyDescent="0.2">
      <c r="A2435" s="91">
        <v>2025</v>
      </c>
      <c r="B2435" s="92" t="s">
        <v>66</v>
      </c>
      <c r="C2435" s="92" t="s">
        <v>4</v>
      </c>
      <c r="D2435" s="92" t="s">
        <v>6</v>
      </c>
      <c r="E2435" s="92" t="s">
        <v>69</v>
      </c>
      <c r="F2435" s="92" t="s">
        <v>71</v>
      </c>
      <c r="G2435" s="93">
        <v>3341662009</v>
      </c>
      <c r="H2435" s="92"/>
      <c r="K2435" s="97"/>
    </row>
    <row r="2436" spans="1:11" x14ac:dyDescent="0.2">
      <c r="A2436" s="94">
        <v>2025</v>
      </c>
      <c r="B2436" s="95" t="s">
        <v>66</v>
      </c>
      <c r="C2436" s="95" t="s">
        <v>4</v>
      </c>
      <c r="D2436" s="95" t="s">
        <v>6</v>
      </c>
      <c r="E2436" s="95" t="s">
        <v>69</v>
      </c>
      <c r="F2436" s="95" t="s">
        <v>70</v>
      </c>
      <c r="G2436" s="96">
        <v>2517129517</v>
      </c>
      <c r="H2436" s="95"/>
      <c r="K2436" s="97"/>
    </row>
    <row r="2437" spans="1:11" x14ac:dyDescent="0.2">
      <c r="A2437" s="91">
        <v>2025</v>
      </c>
      <c r="B2437" s="92" t="s">
        <v>66</v>
      </c>
      <c r="C2437" s="92" t="s">
        <v>4</v>
      </c>
      <c r="D2437" s="92" t="s">
        <v>7</v>
      </c>
      <c r="E2437" s="92" t="s">
        <v>67</v>
      </c>
      <c r="F2437" s="92" t="s">
        <v>67</v>
      </c>
      <c r="G2437" s="93">
        <v>19772295426</v>
      </c>
      <c r="H2437" s="92"/>
      <c r="K2437" s="97"/>
    </row>
    <row r="2438" spans="1:11" x14ac:dyDescent="0.2">
      <c r="A2438" s="94">
        <v>2025</v>
      </c>
      <c r="B2438" s="95" t="s">
        <v>66</v>
      </c>
      <c r="C2438" s="95" t="s">
        <v>4</v>
      </c>
      <c r="D2438" s="95" t="s">
        <v>7</v>
      </c>
      <c r="E2438" s="95" t="s">
        <v>69</v>
      </c>
      <c r="F2438" s="95" t="s">
        <v>71</v>
      </c>
      <c r="G2438" s="96">
        <v>15002378320</v>
      </c>
      <c r="H2438" s="95"/>
      <c r="K2438" s="97"/>
    </row>
    <row r="2439" spans="1:11" x14ac:dyDescent="0.2">
      <c r="A2439" s="91">
        <v>2025</v>
      </c>
      <c r="B2439" s="92" t="s">
        <v>66</v>
      </c>
      <c r="C2439" s="92" t="s">
        <v>4</v>
      </c>
      <c r="D2439" s="92" t="s">
        <v>7</v>
      </c>
      <c r="E2439" s="92" t="s">
        <v>69</v>
      </c>
      <c r="F2439" s="92" t="s">
        <v>70</v>
      </c>
      <c r="G2439" s="93">
        <v>12034910735</v>
      </c>
      <c r="H2439" s="92"/>
      <c r="K2439" s="97"/>
    </row>
    <row r="2440" spans="1:11" x14ac:dyDescent="0.2">
      <c r="A2440" s="94">
        <v>2025</v>
      </c>
      <c r="B2440" s="95" t="s">
        <v>66</v>
      </c>
      <c r="C2440" s="95" t="s">
        <v>4</v>
      </c>
      <c r="D2440" s="95" t="s">
        <v>8</v>
      </c>
      <c r="E2440" s="95" t="s">
        <v>67</v>
      </c>
      <c r="F2440" s="95" t="s">
        <v>67</v>
      </c>
      <c r="G2440" s="96">
        <v>5022476795</v>
      </c>
      <c r="H2440" s="95"/>
      <c r="K2440" s="97"/>
    </row>
    <row r="2441" spans="1:11" x14ac:dyDescent="0.2">
      <c r="A2441" s="91">
        <v>2025</v>
      </c>
      <c r="B2441" s="92" t="s">
        <v>66</v>
      </c>
      <c r="C2441" s="92" t="s">
        <v>4</v>
      </c>
      <c r="D2441" s="92" t="s">
        <v>8</v>
      </c>
      <c r="E2441" s="92" t="s">
        <v>69</v>
      </c>
      <c r="F2441" s="92" t="s">
        <v>71</v>
      </c>
      <c r="G2441" s="93">
        <v>7179564911</v>
      </c>
      <c r="H2441" s="92"/>
      <c r="K2441" s="97"/>
    </row>
    <row r="2442" spans="1:11" x14ac:dyDescent="0.2">
      <c r="A2442" s="94">
        <v>2025</v>
      </c>
      <c r="B2442" s="95" t="s">
        <v>66</v>
      </c>
      <c r="C2442" s="95" t="s">
        <v>4</v>
      </c>
      <c r="D2442" s="95" t="s">
        <v>8</v>
      </c>
      <c r="E2442" s="95" t="s">
        <v>69</v>
      </c>
      <c r="F2442" s="95" t="s">
        <v>70</v>
      </c>
      <c r="G2442" s="96">
        <v>3168886554</v>
      </c>
      <c r="H2442" s="95"/>
      <c r="K2442" s="97"/>
    </row>
    <row r="2443" spans="1:11" x14ac:dyDescent="0.2">
      <c r="A2443" s="91">
        <v>2025</v>
      </c>
      <c r="B2443" s="92" t="s">
        <v>66</v>
      </c>
      <c r="C2443" s="92" t="s">
        <v>4</v>
      </c>
      <c r="D2443" s="92" t="s">
        <v>9</v>
      </c>
      <c r="E2443" s="92" t="s">
        <v>67</v>
      </c>
      <c r="F2443" s="92" t="s">
        <v>67</v>
      </c>
      <c r="G2443" s="93">
        <v>40858314433</v>
      </c>
      <c r="H2443" s="92"/>
      <c r="K2443" s="97"/>
    </row>
    <row r="2444" spans="1:11" x14ac:dyDescent="0.2">
      <c r="A2444" s="94">
        <v>2025</v>
      </c>
      <c r="B2444" s="95" t="s">
        <v>66</v>
      </c>
      <c r="C2444" s="95" t="s">
        <v>4</v>
      </c>
      <c r="D2444" s="95" t="s">
        <v>9</v>
      </c>
      <c r="E2444" s="95" t="s">
        <v>69</v>
      </c>
      <c r="F2444" s="95" t="s">
        <v>71</v>
      </c>
      <c r="G2444" s="96">
        <v>24898221652</v>
      </c>
      <c r="H2444" s="95"/>
      <c r="K2444" s="97"/>
    </row>
    <row r="2445" spans="1:11" x14ac:dyDescent="0.2">
      <c r="A2445" s="91">
        <v>2025</v>
      </c>
      <c r="B2445" s="92" t="s">
        <v>66</v>
      </c>
      <c r="C2445" s="92" t="s">
        <v>4</v>
      </c>
      <c r="D2445" s="92" t="s">
        <v>9</v>
      </c>
      <c r="E2445" s="92" t="s">
        <v>69</v>
      </c>
      <c r="F2445" s="92" t="s">
        <v>70</v>
      </c>
      <c r="G2445" s="93">
        <v>30729638730</v>
      </c>
      <c r="H2445" s="92"/>
      <c r="K2445" s="97"/>
    </row>
    <row r="2446" spans="1:11" x14ac:dyDescent="0.2">
      <c r="A2446" s="94">
        <v>2025</v>
      </c>
      <c r="B2446" s="95" t="s">
        <v>66</v>
      </c>
      <c r="C2446" s="95" t="s">
        <v>4</v>
      </c>
      <c r="D2446" s="95" t="s">
        <v>10</v>
      </c>
      <c r="E2446" s="95" t="s">
        <v>67</v>
      </c>
      <c r="F2446" s="95" t="s">
        <v>67</v>
      </c>
      <c r="G2446" s="96">
        <v>899947897</v>
      </c>
      <c r="H2446" s="95"/>
      <c r="K2446" s="97"/>
    </row>
    <row r="2447" spans="1:11" x14ac:dyDescent="0.2">
      <c r="A2447" s="91">
        <v>2025</v>
      </c>
      <c r="B2447" s="92" t="s">
        <v>66</v>
      </c>
      <c r="C2447" s="92" t="s">
        <v>4</v>
      </c>
      <c r="D2447" s="92" t="s">
        <v>10</v>
      </c>
      <c r="E2447" s="92" t="s">
        <v>69</v>
      </c>
      <c r="F2447" s="92" t="s">
        <v>71</v>
      </c>
      <c r="G2447" s="93">
        <v>1644450247</v>
      </c>
      <c r="H2447" s="92"/>
      <c r="K2447" s="97"/>
    </row>
    <row r="2448" spans="1:11" x14ac:dyDescent="0.2">
      <c r="A2448" s="94">
        <v>2025</v>
      </c>
      <c r="B2448" s="95" t="s">
        <v>66</v>
      </c>
      <c r="C2448" s="95" t="s">
        <v>4</v>
      </c>
      <c r="D2448" s="95" t="s">
        <v>10</v>
      </c>
      <c r="E2448" s="95" t="s">
        <v>69</v>
      </c>
      <c r="F2448" s="95" t="s">
        <v>70</v>
      </c>
      <c r="G2448" s="96">
        <v>182716694</v>
      </c>
      <c r="H2448" s="95"/>
      <c r="K2448" s="97"/>
    </row>
    <row r="2449" spans="1:11" x14ac:dyDescent="0.2">
      <c r="A2449" s="91">
        <v>2025</v>
      </c>
      <c r="B2449" s="92" t="s">
        <v>66</v>
      </c>
      <c r="C2449" s="92" t="s">
        <v>4</v>
      </c>
      <c r="D2449" s="92" t="s">
        <v>11</v>
      </c>
      <c r="E2449" s="92" t="s">
        <v>67</v>
      </c>
      <c r="F2449" s="92" t="s">
        <v>67</v>
      </c>
      <c r="G2449" s="93">
        <v>3347524352</v>
      </c>
      <c r="H2449" s="92"/>
      <c r="K2449" s="97"/>
    </row>
    <row r="2450" spans="1:11" x14ac:dyDescent="0.2">
      <c r="A2450" s="94">
        <v>2025</v>
      </c>
      <c r="B2450" s="95" t="s">
        <v>66</v>
      </c>
      <c r="C2450" s="95" t="s">
        <v>4</v>
      </c>
      <c r="D2450" s="95" t="s">
        <v>11</v>
      </c>
      <c r="E2450" s="95" t="s">
        <v>69</v>
      </c>
      <c r="F2450" s="95" t="s">
        <v>71</v>
      </c>
      <c r="G2450" s="96">
        <v>3558900760</v>
      </c>
      <c r="H2450" s="95"/>
      <c r="K2450" s="97"/>
    </row>
    <row r="2451" spans="1:11" x14ac:dyDescent="0.2">
      <c r="A2451" s="91">
        <v>2025</v>
      </c>
      <c r="B2451" s="92" t="s">
        <v>66</v>
      </c>
      <c r="C2451" s="92" t="s">
        <v>4</v>
      </c>
      <c r="D2451" s="92" t="s">
        <v>11</v>
      </c>
      <c r="E2451" s="92" t="s">
        <v>69</v>
      </c>
      <c r="F2451" s="92" t="s">
        <v>70</v>
      </c>
      <c r="G2451" s="93">
        <v>6821451113</v>
      </c>
      <c r="H2451" s="92"/>
      <c r="K2451" s="97"/>
    </row>
    <row r="2452" spans="1:11" x14ac:dyDescent="0.2">
      <c r="A2452" s="94">
        <v>2025</v>
      </c>
      <c r="B2452" s="95" t="s">
        <v>66</v>
      </c>
      <c r="C2452" s="95" t="s">
        <v>4</v>
      </c>
      <c r="D2452" s="95" t="s">
        <v>12</v>
      </c>
      <c r="E2452" s="95" t="s">
        <v>67</v>
      </c>
      <c r="F2452" s="95" t="s">
        <v>67</v>
      </c>
      <c r="G2452" s="96">
        <v>4945157060</v>
      </c>
      <c r="H2452" s="95"/>
      <c r="K2452" s="97"/>
    </row>
    <row r="2453" spans="1:11" x14ac:dyDescent="0.2">
      <c r="A2453" s="91">
        <v>2025</v>
      </c>
      <c r="B2453" s="92" t="s">
        <v>66</v>
      </c>
      <c r="C2453" s="92" t="s">
        <v>4</v>
      </c>
      <c r="D2453" s="92" t="s">
        <v>12</v>
      </c>
      <c r="E2453" s="92" t="s">
        <v>69</v>
      </c>
      <c r="F2453" s="92" t="s">
        <v>71</v>
      </c>
      <c r="G2453" s="93">
        <v>5680705084</v>
      </c>
      <c r="H2453" s="92"/>
      <c r="K2453" s="97"/>
    </row>
    <row r="2454" spans="1:11" x14ac:dyDescent="0.2">
      <c r="A2454" s="94">
        <v>2025</v>
      </c>
      <c r="B2454" s="95" t="s">
        <v>66</v>
      </c>
      <c r="C2454" s="95" t="s">
        <v>4</v>
      </c>
      <c r="D2454" s="95" t="s">
        <v>12</v>
      </c>
      <c r="E2454" s="95" t="s">
        <v>69</v>
      </c>
      <c r="F2454" s="95" t="s">
        <v>70</v>
      </c>
      <c r="G2454" s="96">
        <v>5733573366</v>
      </c>
      <c r="H2454" s="95"/>
      <c r="K2454" s="97"/>
    </row>
    <row r="2455" spans="1:11" x14ac:dyDescent="0.2">
      <c r="A2455" s="91">
        <v>2025</v>
      </c>
      <c r="B2455" s="92" t="s">
        <v>66</v>
      </c>
      <c r="C2455" s="92" t="s">
        <v>4</v>
      </c>
      <c r="D2455" s="92" t="s">
        <v>13</v>
      </c>
      <c r="E2455" s="92" t="s">
        <v>67</v>
      </c>
      <c r="F2455" s="92" t="s">
        <v>67</v>
      </c>
      <c r="G2455" s="93">
        <v>9983285309</v>
      </c>
      <c r="H2455" s="92"/>
      <c r="K2455" s="97"/>
    </row>
    <row r="2456" spans="1:11" x14ac:dyDescent="0.2">
      <c r="A2456" s="94">
        <v>2025</v>
      </c>
      <c r="B2456" s="95" t="s">
        <v>66</v>
      </c>
      <c r="C2456" s="95" t="s">
        <v>4</v>
      </c>
      <c r="D2456" s="95" t="s">
        <v>13</v>
      </c>
      <c r="E2456" s="95" t="s">
        <v>69</v>
      </c>
      <c r="F2456" s="95" t="s">
        <v>71</v>
      </c>
      <c r="G2456" s="96">
        <v>6865949027</v>
      </c>
      <c r="H2456" s="95"/>
      <c r="K2456" s="97"/>
    </row>
    <row r="2457" spans="1:11" x14ac:dyDescent="0.2">
      <c r="A2457" s="91">
        <v>2025</v>
      </c>
      <c r="B2457" s="92" t="s">
        <v>66</v>
      </c>
      <c r="C2457" s="92" t="s">
        <v>4</v>
      </c>
      <c r="D2457" s="92" t="s">
        <v>13</v>
      </c>
      <c r="E2457" s="92" t="s">
        <v>69</v>
      </c>
      <c r="F2457" s="92" t="s">
        <v>70</v>
      </c>
      <c r="G2457" s="93">
        <v>8257958005</v>
      </c>
      <c r="H2457" s="92"/>
      <c r="K2457" s="97"/>
    </row>
    <row r="2458" spans="1:11" x14ac:dyDescent="0.2">
      <c r="A2458" s="94">
        <v>2025</v>
      </c>
      <c r="B2458" s="95" t="s">
        <v>66</v>
      </c>
      <c r="C2458" s="95" t="s">
        <v>4</v>
      </c>
      <c r="D2458" s="95" t="s">
        <v>14</v>
      </c>
      <c r="E2458" s="95" t="s">
        <v>67</v>
      </c>
      <c r="F2458" s="95" t="s">
        <v>67</v>
      </c>
      <c r="G2458" s="96">
        <v>6677223530</v>
      </c>
      <c r="H2458" s="95"/>
      <c r="K2458" s="97"/>
    </row>
    <row r="2459" spans="1:11" x14ac:dyDescent="0.2">
      <c r="A2459" s="91">
        <v>2025</v>
      </c>
      <c r="B2459" s="92" t="s">
        <v>66</v>
      </c>
      <c r="C2459" s="92" t="s">
        <v>4</v>
      </c>
      <c r="D2459" s="92" t="s">
        <v>14</v>
      </c>
      <c r="E2459" s="92" t="s">
        <v>69</v>
      </c>
      <c r="F2459" s="92" t="s">
        <v>71</v>
      </c>
      <c r="G2459" s="93">
        <v>2761313342</v>
      </c>
      <c r="H2459" s="92"/>
      <c r="K2459" s="97"/>
    </row>
    <row r="2460" spans="1:11" x14ac:dyDescent="0.2">
      <c r="A2460" s="94">
        <v>2025</v>
      </c>
      <c r="B2460" s="95" t="s">
        <v>66</v>
      </c>
      <c r="C2460" s="95" t="s">
        <v>4</v>
      </c>
      <c r="D2460" s="95" t="s">
        <v>14</v>
      </c>
      <c r="E2460" s="95" t="s">
        <v>69</v>
      </c>
      <c r="F2460" s="95" t="s">
        <v>70</v>
      </c>
      <c r="G2460" s="96">
        <v>4066577919</v>
      </c>
      <c r="H2460" s="95"/>
      <c r="K2460" s="97"/>
    </row>
    <row r="2461" spans="1:11" x14ac:dyDescent="0.2">
      <c r="A2461" s="91">
        <v>2025</v>
      </c>
      <c r="B2461" s="92" t="s">
        <v>66</v>
      </c>
      <c r="C2461" s="92" t="s">
        <v>4</v>
      </c>
      <c r="D2461" s="92" t="s">
        <v>15</v>
      </c>
      <c r="E2461" s="92" t="s">
        <v>67</v>
      </c>
      <c r="F2461" s="92" t="s">
        <v>67</v>
      </c>
      <c r="G2461" s="93">
        <v>6595938624</v>
      </c>
      <c r="H2461" s="92"/>
      <c r="K2461" s="97"/>
    </row>
    <row r="2462" spans="1:11" x14ac:dyDescent="0.2">
      <c r="A2462" s="94">
        <v>2025</v>
      </c>
      <c r="B2462" s="95" t="s">
        <v>66</v>
      </c>
      <c r="C2462" s="95" t="s">
        <v>4</v>
      </c>
      <c r="D2462" s="95" t="s">
        <v>15</v>
      </c>
      <c r="E2462" s="95" t="s">
        <v>69</v>
      </c>
      <c r="F2462" s="95" t="s">
        <v>71</v>
      </c>
      <c r="G2462" s="96">
        <v>9130651426</v>
      </c>
      <c r="H2462" s="95"/>
      <c r="K2462" s="97"/>
    </row>
    <row r="2463" spans="1:11" x14ac:dyDescent="0.2">
      <c r="A2463" s="91">
        <v>2025</v>
      </c>
      <c r="B2463" s="92" t="s">
        <v>66</v>
      </c>
      <c r="C2463" s="92" t="s">
        <v>4</v>
      </c>
      <c r="D2463" s="92" t="s">
        <v>15</v>
      </c>
      <c r="E2463" s="92" t="s">
        <v>69</v>
      </c>
      <c r="F2463" s="92" t="s">
        <v>70</v>
      </c>
      <c r="G2463" s="93">
        <v>3574066621</v>
      </c>
      <c r="H2463" s="92"/>
      <c r="K2463" s="97"/>
    </row>
    <row r="2464" spans="1:11" x14ac:dyDescent="0.2">
      <c r="A2464" s="94">
        <v>2025</v>
      </c>
      <c r="B2464" s="95" t="s">
        <v>66</v>
      </c>
      <c r="C2464" s="95" t="s">
        <v>17</v>
      </c>
      <c r="D2464" s="95" t="s">
        <v>16</v>
      </c>
      <c r="E2464" s="95" t="s">
        <v>67</v>
      </c>
      <c r="F2464" s="95" t="s">
        <v>67</v>
      </c>
      <c r="G2464" s="96">
        <v>895090845</v>
      </c>
      <c r="H2464" s="95"/>
      <c r="K2464" s="97"/>
    </row>
    <row r="2465" spans="1:11" x14ac:dyDescent="0.2">
      <c r="A2465" s="91">
        <v>2025</v>
      </c>
      <c r="B2465" s="92" t="s">
        <v>66</v>
      </c>
      <c r="C2465" s="92" t="s">
        <v>17</v>
      </c>
      <c r="D2465" s="92" t="s">
        <v>16</v>
      </c>
      <c r="E2465" s="92" t="s">
        <v>69</v>
      </c>
      <c r="F2465" s="92" t="s">
        <v>71</v>
      </c>
      <c r="G2465" s="93">
        <v>713748437</v>
      </c>
      <c r="H2465" s="92"/>
      <c r="K2465" s="97"/>
    </row>
    <row r="2466" spans="1:11" x14ac:dyDescent="0.2">
      <c r="A2466" s="94">
        <v>2025</v>
      </c>
      <c r="B2466" s="95" t="s">
        <v>66</v>
      </c>
      <c r="C2466" s="95" t="s">
        <v>17</v>
      </c>
      <c r="D2466" s="95" t="s">
        <v>16</v>
      </c>
      <c r="E2466" s="95" t="s">
        <v>69</v>
      </c>
      <c r="F2466" s="95" t="s">
        <v>70</v>
      </c>
      <c r="G2466" s="96">
        <v>294117482</v>
      </c>
      <c r="H2466" s="95"/>
      <c r="K2466" s="97"/>
    </row>
    <row r="2467" spans="1:11" x14ac:dyDescent="0.2">
      <c r="A2467" s="91">
        <v>2025</v>
      </c>
      <c r="B2467" s="92" t="s">
        <v>66</v>
      </c>
      <c r="C2467" s="92" t="s">
        <v>17</v>
      </c>
      <c r="D2467" s="92" t="s">
        <v>18</v>
      </c>
      <c r="E2467" s="92" t="s">
        <v>67</v>
      </c>
      <c r="F2467" s="92" t="s">
        <v>67</v>
      </c>
      <c r="G2467" s="93">
        <v>1601900668</v>
      </c>
      <c r="H2467" s="92"/>
      <c r="K2467" s="97"/>
    </row>
    <row r="2468" spans="1:11" x14ac:dyDescent="0.2">
      <c r="A2468" s="94">
        <v>2025</v>
      </c>
      <c r="B2468" s="95" t="s">
        <v>66</v>
      </c>
      <c r="C2468" s="95" t="s">
        <v>17</v>
      </c>
      <c r="D2468" s="95" t="s">
        <v>18</v>
      </c>
      <c r="E2468" s="95" t="s">
        <v>69</v>
      </c>
      <c r="F2468" s="95" t="s">
        <v>71</v>
      </c>
      <c r="G2468" s="96">
        <v>1443424657</v>
      </c>
      <c r="H2468" s="95"/>
      <c r="K2468" s="97"/>
    </row>
    <row r="2469" spans="1:11" x14ac:dyDescent="0.2">
      <c r="A2469" s="91">
        <v>2025</v>
      </c>
      <c r="B2469" s="92" t="s">
        <v>66</v>
      </c>
      <c r="C2469" s="92" t="s">
        <v>17</v>
      </c>
      <c r="D2469" s="92" t="s">
        <v>18</v>
      </c>
      <c r="E2469" s="92" t="s">
        <v>69</v>
      </c>
      <c r="F2469" s="92" t="s">
        <v>70</v>
      </c>
      <c r="G2469" s="93">
        <v>1979917025</v>
      </c>
      <c r="H2469" s="92"/>
      <c r="K2469" s="97"/>
    </row>
    <row r="2470" spans="1:11" x14ac:dyDescent="0.2">
      <c r="A2470" s="94">
        <v>2025</v>
      </c>
      <c r="B2470" s="95" t="s">
        <v>66</v>
      </c>
      <c r="C2470" s="95" t="s">
        <v>17</v>
      </c>
      <c r="D2470" s="95" t="s">
        <v>19</v>
      </c>
      <c r="E2470" s="95" t="s">
        <v>67</v>
      </c>
      <c r="F2470" s="95" t="s">
        <v>67</v>
      </c>
      <c r="G2470" s="96">
        <v>4789902954</v>
      </c>
      <c r="H2470" s="95"/>
      <c r="K2470" s="97"/>
    </row>
    <row r="2471" spans="1:11" x14ac:dyDescent="0.2">
      <c r="A2471" s="91">
        <v>2025</v>
      </c>
      <c r="B2471" s="92" t="s">
        <v>66</v>
      </c>
      <c r="C2471" s="92" t="s">
        <v>17</v>
      </c>
      <c r="D2471" s="92" t="s">
        <v>19</v>
      </c>
      <c r="E2471" s="92" t="s">
        <v>69</v>
      </c>
      <c r="F2471" s="92" t="s">
        <v>71</v>
      </c>
      <c r="G2471" s="93">
        <v>4292556687</v>
      </c>
      <c r="H2471" s="92"/>
      <c r="K2471" s="97"/>
    </row>
    <row r="2472" spans="1:11" x14ac:dyDescent="0.2">
      <c r="A2472" s="94">
        <v>2025</v>
      </c>
      <c r="B2472" s="95" t="s">
        <v>66</v>
      </c>
      <c r="C2472" s="95" t="s">
        <v>17</v>
      </c>
      <c r="D2472" s="95" t="s">
        <v>19</v>
      </c>
      <c r="E2472" s="95" t="s">
        <v>69</v>
      </c>
      <c r="F2472" s="95" t="s">
        <v>70</v>
      </c>
      <c r="G2472" s="96">
        <v>2181834078</v>
      </c>
      <c r="H2472" s="95"/>
      <c r="K2472" s="97"/>
    </row>
    <row r="2473" spans="1:11" x14ac:dyDescent="0.2">
      <c r="A2473" s="91">
        <v>2025</v>
      </c>
      <c r="B2473" s="92" t="s">
        <v>66</v>
      </c>
      <c r="C2473" s="92" t="s">
        <v>17</v>
      </c>
      <c r="D2473" s="92" t="s">
        <v>20</v>
      </c>
      <c r="E2473" s="92" t="s">
        <v>67</v>
      </c>
      <c r="F2473" s="92" t="s">
        <v>67</v>
      </c>
      <c r="G2473" s="93">
        <v>651002824</v>
      </c>
      <c r="H2473" s="92"/>
      <c r="K2473" s="97"/>
    </row>
    <row r="2474" spans="1:11" x14ac:dyDescent="0.2">
      <c r="A2474" s="94">
        <v>2025</v>
      </c>
      <c r="B2474" s="95" t="s">
        <v>66</v>
      </c>
      <c r="C2474" s="95" t="s">
        <v>17</v>
      </c>
      <c r="D2474" s="95" t="s">
        <v>20</v>
      </c>
      <c r="E2474" s="95" t="s">
        <v>69</v>
      </c>
      <c r="F2474" s="95" t="s">
        <v>71</v>
      </c>
      <c r="G2474" s="96">
        <v>1095114764</v>
      </c>
      <c r="H2474" s="95"/>
      <c r="K2474" s="97"/>
    </row>
    <row r="2475" spans="1:11" x14ac:dyDescent="0.2">
      <c r="A2475" s="91">
        <v>2025</v>
      </c>
      <c r="B2475" s="92" t="s">
        <v>66</v>
      </c>
      <c r="C2475" s="92" t="s">
        <v>17</v>
      </c>
      <c r="D2475" s="92" t="s">
        <v>20</v>
      </c>
      <c r="E2475" s="92" t="s">
        <v>69</v>
      </c>
      <c r="F2475" s="92" t="s">
        <v>70</v>
      </c>
      <c r="G2475" s="93">
        <v>6533536928</v>
      </c>
      <c r="H2475" s="92"/>
      <c r="K2475" s="97"/>
    </row>
    <row r="2476" spans="1:11" x14ac:dyDescent="0.2">
      <c r="A2476" s="94">
        <v>2025</v>
      </c>
      <c r="B2476" s="95" t="s">
        <v>66</v>
      </c>
      <c r="C2476" s="95" t="s">
        <v>17</v>
      </c>
      <c r="D2476" s="95" t="s">
        <v>21</v>
      </c>
      <c r="E2476" s="95" t="s">
        <v>67</v>
      </c>
      <c r="F2476" s="95" t="s">
        <v>67</v>
      </c>
      <c r="G2476" s="96">
        <v>3107875094</v>
      </c>
      <c r="H2476" s="95"/>
      <c r="K2476" s="97"/>
    </row>
    <row r="2477" spans="1:11" x14ac:dyDescent="0.2">
      <c r="A2477" s="91">
        <v>2025</v>
      </c>
      <c r="B2477" s="92" t="s">
        <v>66</v>
      </c>
      <c r="C2477" s="92" t="s">
        <v>17</v>
      </c>
      <c r="D2477" s="92" t="s">
        <v>21</v>
      </c>
      <c r="E2477" s="92" t="s">
        <v>69</v>
      </c>
      <c r="F2477" s="92" t="s">
        <v>71</v>
      </c>
      <c r="G2477" s="93">
        <v>1828476825</v>
      </c>
      <c r="H2477" s="92"/>
      <c r="K2477" s="97"/>
    </row>
    <row r="2478" spans="1:11" x14ac:dyDescent="0.2">
      <c r="A2478" s="94">
        <v>2025</v>
      </c>
      <c r="B2478" s="95" t="s">
        <v>66</v>
      </c>
      <c r="C2478" s="95" t="s">
        <v>17</v>
      </c>
      <c r="D2478" s="95" t="s">
        <v>21</v>
      </c>
      <c r="E2478" s="95" t="s">
        <v>69</v>
      </c>
      <c r="F2478" s="95" t="s">
        <v>70</v>
      </c>
      <c r="G2478" s="96">
        <v>2342874872</v>
      </c>
      <c r="H2478" s="95"/>
      <c r="K2478" s="97"/>
    </row>
    <row r="2479" spans="1:11" x14ac:dyDescent="0.2">
      <c r="A2479" s="91">
        <v>2025</v>
      </c>
      <c r="B2479" s="92" t="s">
        <v>66</v>
      </c>
      <c r="C2479" s="92" t="s">
        <v>17</v>
      </c>
      <c r="D2479" s="92" t="s">
        <v>22</v>
      </c>
      <c r="E2479" s="92" t="s">
        <v>67</v>
      </c>
      <c r="F2479" s="92" t="s">
        <v>67</v>
      </c>
      <c r="G2479" s="93">
        <v>1047391113</v>
      </c>
      <c r="H2479" s="92"/>
      <c r="K2479" s="97"/>
    </row>
    <row r="2480" spans="1:11" x14ac:dyDescent="0.2">
      <c r="A2480" s="94">
        <v>2025</v>
      </c>
      <c r="B2480" s="95" t="s">
        <v>66</v>
      </c>
      <c r="C2480" s="95" t="s">
        <v>17</v>
      </c>
      <c r="D2480" s="95" t="s">
        <v>22</v>
      </c>
      <c r="E2480" s="95" t="s">
        <v>69</v>
      </c>
      <c r="F2480" s="95" t="s">
        <v>71</v>
      </c>
      <c r="G2480" s="96">
        <v>885272894</v>
      </c>
      <c r="H2480" s="95"/>
      <c r="K2480" s="97"/>
    </row>
    <row r="2481" spans="1:11" x14ac:dyDescent="0.2">
      <c r="A2481" s="91">
        <v>2025</v>
      </c>
      <c r="B2481" s="92" t="s">
        <v>66</v>
      </c>
      <c r="C2481" s="92" t="s">
        <v>17</v>
      </c>
      <c r="D2481" s="92" t="s">
        <v>22</v>
      </c>
      <c r="E2481" s="92" t="s">
        <v>69</v>
      </c>
      <c r="F2481" s="92" t="s">
        <v>70</v>
      </c>
      <c r="G2481" s="93">
        <v>1196733505</v>
      </c>
      <c r="H2481" s="92"/>
      <c r="K2481" s="97"/>
    </row>
    <row r="2482" spans="1:11" x14ac:dyDescent="0.2">
      <c r="A2482" s="94">
        <v>2025</v>
      </c>
      <c r="B2482" s="95" t="s">
        <v>66</v>
      </c>
      <c r="C2482" s="95" t="s">
        <v>17</v>
      </c>
      <c r="D2482" s="95" t="s">
        <v>23</v>
      </c>
      <c r="E2482" s="95" t="s">
        <v>67</v>
      </c>
      <c r="F2482" s="95" t="s">
        <v>67</v>
      </c>
      <c r="G2482" s="96">
        <v>1052582448</v>
      </c>
      <c r="H2482" s="95"/>
      <c r="K2482" s="97"/>
    </row>
    <row r="2483" spans="1:11" x14ac:dyDescent="0.2">
      <c r="A2483" s="91">
        <v>2025</v>
      </c>
      <c r="B2483" s="92" t="s">
        <v>66</v>
      </c>
      <c r="C2483" s="92" t="s">
        <v>17</v>
      </c>
      <c r="D2483" s="92" t="s">
        <v>23</v>
      </c>
      <c r="E2483" s="92" t="s">
        <v>69</v>
      </c>
      <c r="F2483" s="92" t="s">
        <v>71</v>
      </c>
      <c r="G2483" s="93">
        <v>946568438</v>
      </c>
      <c r="H2483" s="92"/>
      <c r="K2483" s="97"/>
    </row>
    <row r="2484" spans="1:11" x14ac:dyDescent="0.2">
      <c r="A2484" s="94">
        <v>2025</v>
      </c>
      <c r="B2484" s="95" t="s">
        <v>66</v>
      </c>
      <c r="C2484" s="95" t="s">
        <v>17</v>
      </c>
      <c r="D2484" s="95" t="s">
        <v>23</v>
      </c>
      <c r="E2484" s="95" t="s">
        <v>69</v>
      </c>
      <c r="F2484" s="95" t="s">
        <v>70</v>
      </c>
      <c r="G2484" s="96">
        <v>511016835</v>
      </c>
      <c r="H2484" s="95"/>
      <c r="K2484" s="97"/>
    </row>
    <row r="2485" spans="1:11" x14ac:dyDescent="0.2">
      <c r="A2485" s="91">
        <v>2025</v>
      </c>
      <c r="B2485" s="92" t="s">
        <v>66</v>
      </c>
      <c r="C2485" s="92" t="s">
        <v>17</v>
      </c>
      <c r="D2485" s="92" t="s">
        <v>24</v>
      </c>
      <c r="E2485" s="92" t="s">
        <v>67</v>
      </c>
      <c r="F2485" s="92" t="s">
        <v>67</v>
      </c>
      <c r="G2485" s="93">
        <v>15544410277</v>
      </c>
      <c r="H2485" s="92"/>
      <c r="K2485" s="97"/>
    </row>
    <row r="2486" spans="1:11" x14ac:dyDescent="0.2">
      <c r="A2486" s="94">
        <v>2025</v>
      </c>
      <c r="B2486" s="95" t="s">
        <v>66</v>
      </c>
      <c r="C2486" s="95" t="s">
        <v>17</v>
      </c>
      <c r="D2486" s="95" t="s">
        <v>24</v>
      </c>
      <c r="E2486" s="95" t="s">
        <v>69</v>
      </c>
      <c r="F2486" s="95" t="s">
        <v>71</v>
      </c>
      <c r="G2486" s="96">
        <v>8580054517</v>
      </c>
      <c r="H2486" s="95"/>
      <c r="K2486" s="97"/>
    </row>
    <row r="2487" spans="1:11" x14ac:dyDescent="0.2">
      <c r="A2487" s="91">
        <v>2025</v>
      </c>
      <c r="B2487" s="92" t="s">
        <v>66</v>
      </c>
      <c r="C2487" s="92" t="s">
        <v>17</v>
      </c>
      <c r="D2487" s="92" t="s">
        <v>24</v>
      </c>
      <c r="E2487" s="92" t="s">
        <v>69</v>
      </c>
      <c r="F2487" s="92" t="s">
        <v>70</v>
      </c>
      <c r="G2487" s="93">
        <v>11011914788</v>
      </c>
      <c r="H2487" s="92"/>
      <c r="K2487" s="97"/>
    </row>
    <row r="2488" spans="1:11" x14ac:dyDescent="0.2">
      <c r="A2488" s="94">
        <v>2025</v>
      </c>
      <c r="B2488" s="95" t="s">
        <v>66</v>
      </c>
      <c r="C2488" s="95" t="s">
        <v>17</v>
      </c>
      <c r="D2488" s="95" t="s">
        <v>25</v>
      </c>
      <c r="E2488" s="95" t="s">
        <v>67</v>
      </c>
      <c r="F2488" s="95" t="s">
        <v>67</v>
      </c>
      <c r="G2488" s="96">
        <v>0</v>
      </c>
      <c r="H2488" s="95"/>
      <c r="K2488" s="97"/>
    </row>
    <row r="2489" spans="1:11" x14ac:dyDescent="0.2">
      <c r="A2489" s="91">
        <v>2025</v>
      </c>
      <c r="B2489" s="92" t="s">
        <v>66</v>
      </c>
      <c r="C2489" s="92" t="s">
        <v>17</v>
      </c>
      <c r="D2489" s="92" t="s">
        <v>25</v>
      </c>
      <c r="E2489" s="92" t="s">
        <v>69</v>
      </c>
      <c r="F2489" s="92" t="s">
        <v>71</v>
      </c>
      <c r="G2489" s="93">
        <v>0</v>
      </c>
      <c r="H2489" s="92"/>
      <c r="K2489" s="97"/>
    </row>
    <row r="2490" spans="1:11" x14ac:dyDescent="0.2">
      <c r="A2490" s="94">
        <v>2025</v>
      </c>
      <c r="B2490" s="95" t="s">
        <v>66</v>
      </c>
      <c r="C2490" s="95" t="s">
        <v>17</v>
      </c>
      <c r="D2490" s="95" t="s">
        <v>25</v>
      </c>
      <c r="E2490" s="95" t="s">
        <v>69</v>
      </c>
      <c r="F2490" s="95" t="s">
        <v>70</v>
      </c>
      <c r="G2490" s="96">
        <v>0</v>
      </c>
      <c r="H2490" s="95"/>
      <c r="K2490" s="97"/>
    </row>
    <row r="2491" spans="1:11" x14ac:dyDescent="0.2">
      <c r="A2491" s="91">
        <v>2025</v>
      </c>
      <c r="B2491" s="92" t="s">
        <v>66</v>
      </c>
      <c r="C2491" s="92" t="s">
        <v>27</v>
      </c>
      <c r="D2491" s="92" t="s">
        <v>26</v>
      </c>
      <c r="E2491" s="92" t="s">
        <v>67</v>
      </c>
      <c r="F2491" s="92" t="s">
        <v>67</v>
      </c>
      <c r="G2491" s="93">
        <v>27869742510</v>
      </c>
      <c r="H2491" s="92"/>
      <c r="K2491" s="97"/>
    </row>
    <row r="2492" spans="1:11" x14ac:dyDescent="0.2">
      <c r="A2492" s="94">
        <v>2025</v>
      </c>
      <c r="B2492" s="95" t="s">
        <v>66</v>
      </c>
      <c r="C2492" s="95" t="s">
        <v>27</v>
      </c>
      <c r="D2492" s="95" t="s">
        <v>26</v>
      </c>
      <c r="E2492" s="95" t="s">
        <v>69</v>
      </c>
      <c r="F2492" s="95" t="s">
        <v>71</v>
      </c>
      <c r="G2492" s="96">
        <v>9163230283</v>
      </c>
      <c r="H2492" s="95"/>
      <c r="K2492" s="97"/>
    </row>
    <row r="2493" spans="1:11" x14ac:dyDescent="0.2">
      <c r="A2493" s="91">
        <v>2025</v>
      </c>
      <c r="B2493" s="92" t="s">
        <v>66</v>
      </c>
      <c r="C2493" s="92" t="s">
        <v>27</v>
      </c>
      <c r="D2493" s="92" t="s">
        <v>26</v>
      </c>
      <c r="E2493" s="92" t="s">
        <v>69</v>
      </c>
      <c r="F2493" s="92" t="s">
        <v>70</v>
      </c>
      <c r="G2493" s="93">
        <v>24995493417</v>
      </c>
      <c r="H2493" s="92"/>
      <c r="K2493" s="97"/>
    </row>
    <row r="2494" spans="1:11" x14ac:dyDescent="0.2">
      <c r="A2494" s="94">
        <v>2025</v>
      </c>
      <c r="B2494" s="95" t="s">
        <v>66</v>
      </c>
      <c r="C2494" s="95" t="s">
        <v>27</v>
      </c>
      <c r="D2494" s="95" t="s">
        <v>28</v>
      </c>
      <c r="E2494" s="95" t="s">
        <v>67</v>
      </c>
      <c r="F2494" s="95" t="s">
        <v>67</v>
      </c>
      <c r="G2494" s="96">
        <v>26683645152</v>
      </c>
      <c r="H2494" s="95"/>
      <c r="K2494" s="97"/>
    </row>
    <row r="2495" spans="1:11" x14ac:dyDescent="0.2">
      <c r="A2495" s="91">
        <v>2025</v>
      </c>
      <c r="B2495" s="92" t="s">
        <v>66</v>
      </c>
      <c r="C2495" s="92" t="s">
        <v>27</v>
      </c>
      <c r="D2495" s="92" t="s">
        <v>28</v>
      </c>
      <c r="E2495" s="92" t="s">
        <v>69</v>
      </c>
      <c r="F2495" s="92" t="s">
        <v>71</v>
      </c>
      <c r="G2495" s="93">
        <v>16841751969</v>
      </c>
      <c r="H2495" s="92"/>
      <c r="K2495" s="97"/>
    </row>
    <row r="2496" spans="1:11" x14ac:dyDescent="0.2">
      <c r="A2496" s="94">
        <v>2025</v>
      </c>
      <c r="B2496" s="95" t="s">
        <v>66</v>
      </c>
      <c r="C2496" s="95" t="s">
        <v>27</v>
      </c>
      <c r="D2496" s="95" t="s">
        <v>28</v>
      </c>
      <c r="E2496" s="95" t="s">
        <v>69</v>
      </c>
      <c r="F2496" s="95" t="s">
        <v>70</v>
      </c>
      <c r="G2496" s="96">
        <v>36752861754</v>
      </c>
      <c r="H2496" s="95"/>
      <c r="K2496" s="97"/>
    </row>
    <row r="2497" spans="1:11" x14ac:dyDescent="0.2">
      <c r="A2497" s="91">
        <v>2025</v>
      </c>
      <c r="B2497" s="92" t="s">
        <v>66</v>
      </c>
      <c r="C2497" s="92" t="s">
        <v>27</v>
      </c>
      <c r="D2497" s="92" t="s">
        <v>29</v>
      </c>
      <c r="E2497" s="92" t="s">
        <v>67</v>
      </c>
      <c r="F2497" s="92" t="s">
        <v>67</v>
      </c>
      <c r="G2497" s="93">
        <v>14564575260</v>
      </c>
      <c r="H2497" s="92"/>
      <c r="K2497" s="97"/>
    </row>
    <row r="2498" spans="1:11" x14ac:dyDescent="0.2">
      <c r="A2498" s="94">
        <v>2025</v>
      </c>
      <c r="B2498" s="95" t="s">
        <v>66</v>
      </c>
      <c r="C2498" s="95" t="s">
        <v>27</v>
      </c>
      <c r="D2498" s="95" t="s">
        <v>29</v>
      </c>
      <c r="E2498" s="95" t="s">
        <v>69</v>
      </c>
      <c r="F2498" s="95" t="s">
        <v>71</v>
      </c>
      <c r="G2498" s="96">
        <v>7269372791</v>
      </c>
      <c r="H2498" s="95"/>
      <c r="K2498" s="97"/>
    </row>
    <row r="2499" spans="1:11" x14ac:dyDescent="0.2">
      <c r="A2499" s="91">
        <v>2025</v>
      </c>
      <c r="B2499" s="92" t="s">
        <v>66</v>
      </c>
      <c r="C2499" s="92" t="s">
        <v>27</v>
      </c>
      <c r="D2499" s="92" t="s">
        <v>29</v>
      </c>
      <c r="E2499" s="92" t="s">
        <v>69</v>
      </c>
      <c r="F2499" s="92" t="s">
        <v>70</v>
      </c>
      <c r="G2499" s="93">
        <v>12470248746</v>
      </c>
      <c r="H2499" s="92"/>
      <c r="K2499" s="97"/>
    </row>
    <row r="2500" spans="1:11" x14ac:dyDescent="0.2">
      <c r="A2500" s="94">
        <v>2025</v>
      </c>
      <c r="B2500" s="95" t="s">
        <v>66</v>
      </c>
      <c r="C2500" s="95" t="s">
        <v>27</v>
      </c>
      <c r="D2500" s="95" t="s">
        <v>30</v>
      </c>
      <c r="E2500" s="95" t="s">
        <v>67</v>
      </c>
      <c r="F2500" s="95" t="s">
        <v>67</v>
      </c>
      <c r="G2500" s="96">
        <v>25775222382</v>
      </c>
      <c r="H2500" s="95"/>
      <c r="K2500" s="97"/>
    </row>
    <row r="2501" spans="1:11" x14ac:dyDescent="0.2">
      <c r="A2501" s="91">
        <v>2025</v>
      </c>
      <c r="B2501" s="92" t="s">
        <v>66</v>
      </c>
      <c r="C2501" s="92" t="s">
        <v>27</v>
      </c>
      <c r="D2501" s="92" t="s">
        <v>30</v>
      </c>
      <c r="E2501" s="92" t="s">
        <v>69</v>
      </c>
      <c r="F2501" s="92" t="s">
        <v>71</v>
      </c>
      <c r="G2501" s="93">
        <v>14594981187</v>
      </c>
      <c r="H2501" s="92"/>
      <c r="K2501" s="97"/>
    </row>
    <row r="2502" spans="1:11" x14ac:dyDescent="0.2">
      <c r="A2502" s="94">
        <v>2025</v>
      </c>
      <c r="B2502" s="95" t="s">
        <v>66</v>
      </c>
      <c r="C2502" s="95" t="s">
        <v>27</v>
      </c>
      <c r="D2502" s="95" t="s">
        <v>30</v>
      </c>
      <c r="E2502" s="95" t="s">
        <v>69</v>
      </c>
      <c r="F2502" s="95" t="s">
        <v>70</v>
      </c>
      <c r="G2502" s="96">
        <v>44044947157</v>
      </c>
      <c r="H2502" s="95"/>
      <c r="K2502" s="97"/>
    </row>
    <row r="2503" spans="1:11" x14ac:dyDescent="0.2">
      <c r="A2503" s="91">
        <v>2025</v>
      </c>
      <c r="B2503" s="92" t="s">
        <v>66</v>
      </c>
      <c r="C2503" s="92" t="s">
        <v>27</v>
      </c>
      <c r="D2503" s="92" t="s">
        <v>31</v>
      </c>
      <c r="E2503" s="92" t="s">
        <v>67</v>
      </c>
      <c r="F2503" s="92" t="s">
        <v>67</v>
      </c>
      <c r="G2503" s="93">
        <v>4637524600</v>
      </c>
      <c r="H2503" s="92"/>
      <c r="K2503" s="97"/>
    </row>
    <row r="2504" spans="1:11" x14ac:dyDescent="0.2">
      <c r="A2504" s="94">
        <v>2025</v>
      </c>
      <c r="B2504" s="95" t="s">
        <v>66</v>
      </c>
      <c r="C2504" s="95" t="s">
        <v>27</v>
      </c>
      <c r="D2504" s="95" t="s">
        <v>31</v>
      </c>
      <c r="E2504" s="95" t="s">
        <v>69</v>
      </c>
      <c r="F2504" s="95" t="s">
        <v>71</v>
      </c>
      <c r="G2504" s="96">
        <v>5285724545</v>
      </c>
      <c r="H2504" s="95"/>
      <c r="K2504" s="97"/>
    </row>
    <row r="2505" spans="1:11" x14ac:dyDescent="0.2">
      <c r="A2505" s="91">
        <v>2025</v>
      </c>
      <c r="B2505" s="92" t="s">
        <v>66</v>
      </c>
      <c r="C2505" s="92" t="s">
        <v>27</v>
      </c>
      <c r="D2505" s="92" t="s">
        <v>31</v>
      </c>
      <c r="E2505" s="92" t="s">
        <v>69</v>
      </c>
      <c r="F2505" s="92" t="s">
        <v>70</v>
      </c>
      <c r="G2505" s="93">
        <v>12660738287</v>
      </c>
      <c r="H2505" s="92"/>
      <c r="K2505" s="97"/>
    </row>
    <row r="2506" spans="1:11" x14ac:dyDescent="0.2">
      <c r="A2506" s="94">
        <v>2025</v>
      </c>
      <c r="B2506" s="95" t="s">
        <v>66</v>
      </c>
      <c r="C2506" s="95" t="s">
        <v>27</v>
      </c>
      <c r="D2506" s="95" t="s">
        <v>32</v>
      </c>
      <c r="E2506" s="95" t="s">
        <v>67</v>
      </c>
      <c r="F2506" s="95" t="s">
        <v>67</v>
      </c>
      <c r="G2506" s="96">
        <v>16181407445</v>
      </c>
      <c r="H2506" s="95"/>
      <c r="K2506" s="97"/>
    </row>
    <row r="2507" spans="1:11" x14ac:dyDescent="0.2">
      <c r="A2507" s="91">
        <v>2025</v>
      </c>
      <c r="B2507" s="92" t="s">
        <v>66</v>
      </c>
      <c r="C2507" s="92" t="s">
        <v>27</v>
      </c>
      <c r="D2507" s="92" t="s">
        <v>32</v>
      </c>
      <c r="E2507" s="92" t="s">
        <v>69</v>
      </c>
      <c r="F2507" s="92" t="s">
        <v>71</v>
      </c>
      <c r="G2507" s="93">
        <v>12457755456</v>
      </c>
      <c r="H2507" s="92"/>
      <c r="K2507" s="97"/>
    </row>
    <row r="2508" spans="1:11" x14ac:dyDescent="0.2">
      <c r="A2508" s="94">
        <v>2025</v>
      </c>
      <c r="B2508" s="95" t="s">
        <v>66</v>
      </c>
      <c r="C2508" s="95" t="s">
        <v>27</v>
      </c>
      <c r="D2508" s="95" t="s">
        <v>32</v>
      </c>
      <c r="E2508" s="95" t="s">
        <v>69</v>
      </c>
      <c r="F2508" s="95" t="s">
        <v>70</v>
      </c>
      <c r="G2508" s="96">
        <v>13977389419</v>
      </c>
      <c r="H2508" s="95"/>
      <c r="K2508" s="97"/>
    </row>
    <row r="2509" spans="1:11" x14ac:dyDescent="0.2">
      <c r="A2509" s="91">
        <v>2025</v>
      </c>
      <c r="B2509" s="92" t="s">
        <v>66</v>
      </c>
      <c r="C2509" s="92" t="s">
        <v>27</v>
      </c>
      <c r="D2509" s="92" t="s">
        <v>33</v>
      </c>
      <c r="E2509" s="92" t="s">
        <v>67</v>
      </c>
      <c r="F2509" s="92" t="s">
        <v>67</v>
      </c>
      <c r="G2509" s="93">
        <v>11199983896</v>
      </c>
      <c r="H2509" s="92"/>
      <c r="K2509" s="97"/>
    </row>
    <row r="2510" spans="1:11" x14ac:dyDescent="0.2">
      <c r="A2510" s="94">
        <v>2025</v>
      </c>
      <c r="B2510" s="95" t="s">
        <v>66</v>
      </c>
      <c r="C2510" s="95" t="s">
        <v>27</v>
      </c>
      <c r="D2510" s="95" t="s">
        <v>33</v>
      </c>
      <c r="E2510" s="95" t="s">
        <v>69</v>
      </c>
      <c r="F2510" s="95" t="s">
        <v>71</v>
      </c>
      <c r="G2510" s="96">
        <v>12839326440</v>
      </c>
      <c r="H2510" s="95"/>
      <c r="K2510" s="97"/>
    </row>
    <row r="2511" spans="1:11" x14ac:dyDescent="0.2">
      <c r="A2511" s="91">
        <v>2025</v>
      </c>
      <c r="B2511" s="92" t="s">
        <v>66</v>
      </c>
      <c r="C2511" s="92" t="s">
        <v>27</v>
      </c>
      <c r="D2511" s="92" t="s">
        <v>33</v>
      </c>
      <c r="E2511" s="92" t="s">
        <v>69</v>
      </c>
      <c r="F2511" s="92" t="s">
        <v>70</v>
      </c>
      <c r="G2511" s="93">
        <v>45686536312</v>
      </c>
      <c r="H2511" s="92"/>
      <c r="K2511" s="97"/>
    </row>
    <row r="2512" spans="1:11" x14ac:dyDescent="0.2">
      <c r="A2512" s="94">
        <v>2025</v>
      </c>
      <c r="B2512" s="95" t="s">
        <v>66</v>
      </c>
      <c r="C2512" s="95" t="s">
        <v>35</v>
      </c>
      <c r="D2512" s="95" t="s">
        <v>34</v>
      </c>
      <c r="E2512" s="95" t="s">
        <v>67</v>
      </c>
      <c r="F2512" s="95" t="s">
        <v>67</v>
      </c>
      <c r="G2512" s="96">
        <v>4461245975</v>
      </c>
      <c r="H2512" s="95"/>
      <c r="K2512" s="97"/>
    </row>
    <row r="2513" spans="1:11" x14ac:dyDescent="0.2">
      <c r="A2513" s="91">
        <v>2025</v>
      </c>
      <c r="B2513" s="92" t="s">
        <v>66</v>
      </c>
      <c r="C2513" s="92" t="s">
        <v>35</v>
      </c>
      <c r="D2513" s="92" t="s">
        <v>34</v>
      </c>
      <c r="E2513" s="92" t="s">
        <v>69</v>
      </c>
      <c r="F2513" s="92" t="s">
        <v>71</v>
      </c>
      <c r="G2513" s="93">
        <v>1939527301</v>
      </c>
      <c r="H2513" s="92"/>
      <c r="K2513" s="97"/>
    </row>
    <row r="2514" spans="1:11" x14ac:dyDescent="0.2">
      <c r="A2514" s="94">
        <v>2025</v>
      </c>
      <c r="B2514" s="95" t="s">
        <v>66</v>
      </c>
      <c r="C2514" s="95" t="s">
        <v>35</v>
      </c>
      <c r="D2514" s="95" t="s">
        <v>34</v>
      </c>
      <c r="E2514" s="95" t="s">
        <v>69</v>
      </c>
      <c r="F2514" s="95" t="s">
        <v>70</v>
      </c>
      <c r="G2514" s="96">
        <v>1766149651</v>
      </c>
      <c r="H2514" s="95"/>
      <c r="K2514" s="97"/>
    </row>
    <row r="2515" spans="1:11" x14ac:dyDescent="0.2">
      <c r="A2515" s="91">
        <v>2025</v>
      </c>
      <c r="B2515" s="92" t="s">
        <v>66</v>
      </c>
      <c r="C2515" s="92" t="s">
        <v>35</v>
      </c>
      <c r="D2515" s="92" t="s">
        <v>36</v>
      </c>
      <c r="E2515" s="92" t="s">
        <v>67</v>
      </c>
      <c r="F2515" s="92" t="s">
        <v>67</v>
      </c>
      <c r="G2515" s="93">
        <v>12549625405</v>
      </c>
      <c r="H2515" s="92"/>
      <c r="K2515" s="97"/>
    </row>
    <row r="2516" spans="1:11" x14ac:dyDescent="0.2">
      <c r="A2516" s="94">
        <v>2025</v>
      </c>
      <c r="B2516" s="95" t="s">
        <v>66</v>
      </c>
      <c r="C2516" s="95" t="s">
        <v>35</v>
      </c>
      <c r="D2516" s="95" t="s">
        <v>36</v>
      </c>
      <c r="E2516" s="95" t="s">
        <v>69</v>
      </c>
      <c r="F2516" s="95" t="s">
        <v>71</v>
      </c>
      <c r="G2516" s="96">
        <v>7137512271</v>
      </c>
      <c r="H2516" s="95"/>
      <c r="K2516" s="97"/>
    </row>
    <row r="2517" spans="1:11" x14ac:dyDescent="0.2">
      <c r="A2517" s="91">
        <v>2025</v>
      </c>
      <c r="B2517" s="92" t="s">
        <v>66</v>
      </c>
      <c r="C2517" s="92" t="s">
        <v>35</v>
      </c>
      <c r="D2517" s="92" t="s">
        <v>36</v>
      </c>
      <c r="E2517" s="92" t="s">
        <v>69</v>
      </c>
      <c r="F2517" s="92" t="s">
        <v>70</v>
      </c>
      <c r="G2517" s="93">
        <v>6124166704</v>
      </c>
      <c r="H2517" s="92"/>
      <c r="K2517" s="97"/>
    </row>
    <row r="2518" spans="1:11" x14ac:dyDescent="0.2">
      <c r="A2518" s="94">
        <v>2025</v>
      </c>
      <c r="B2518" s="95" t="s">
        <v>66</v>
      </c>
      <c r="C2518" s="95" t="s">
        <v>35</v>
      </c>
      <c r="D2518" s="95" t="s">
        <v>37</v>
      </c>
      <c r="E2518" s="95" t="s">
        <v>67</v>
      </c>
      <c r="F2518" s="95" t="s">
        <v>67</v>
      </c>
      <c r="G2518" s="96">
        <v>2054715639</v>
      </c>
      <c r="H2518" s="95"/>
      <c r="K2518" s="97"/>
    </row>
    <row r="2519" spans="1:11" x14ac:dyDescent="0.2">
      <c r="A2519" s="91">
        <v>2025</v>
      </c>
      <c r="B2519" s="92" t="s">
        <v>66</v>
      </c>
      <c r="C2519" s="92" t="s">
        <v>35</v>
      </c>
      <c r="D2519" s="92" t="s">
        <v>37</v>
      </c>
      <c r="E2519" s="92" t="s">
        <v>69</v>
      </c>
      <c r="F2519" s="92" t="s">
        <v>71</v>
      </c>
      <c r="G2519" s="93">
        <v>1086420759</v>
      </c>
      <c r="H2519" s="92"/>
      <c r="K2519" s="97"/>
    </row>
    <row r="2520" spans="1:11" x14ac:dyDescent="0.2">
      <c r="A2520" s="94">
        <v>2025</v>
      </c>
      <c r="B2520" s="95" t="s">
        <v>66</v>
      </c>
      <c r="C2520" s="95" t="s">
        <v>35</v>
      </c>
      <c r="D2520" s="95" t="s">
        <v>37</v>
      </c>
      <c r="E2520" s="95" t="s">
        <v>69</v>
      </c>
      <c r="F2520" s="95" t="s">
        <v>70</v>
      </c>
      <c r="G2520" s="96">
        <v>1397402884</v>
      </c>
      <c r="H2520" s="95"/>
      <c r="K2520" s="97"/>
    </row>
    <row r="2521" spans="1:11" x14ac:dyDescent="0.2">
      <c r="A2521" s="91">
        <v>2025</v>
      </c>
      <c r="B2521" s="92" t="s">
        <v>66</v>
      </c>
      <c r="C2521" s="92" t="s">
        <v>35</v>
      </c>
      <c r="D2521" s="92" t="s">
        <v>38</v>
      </c>
      <c r="E2521" s="92" t="s">
        <v>67</v>
      </c>
      <c r="F2521" s="92" t="s">
        <v>67</v>
      </c>
      <c r="G2521" s="93">
        <v>3261338653</v>
      </c>
      <c r="H2521" s="92"/>
      <c r="K2521" s="97"/>
    </row>
    <row r="2522" spans="1:11" x14ac:dyDescent="0.2">
      <c r="A2522" s="94">
        <v>2025</v>
      </c>
      <c r="B2522" s="95" t="s">
        <v>66</v>
      </c>
      <c r="C2522" s="95" t="s">
        <v>35</v>
      </c>
      <c r="D2522" s="95" t="s">
        <v>38</v>
      </c>
      <c r="E2522" s="95" t="s">
        <v>69</v>
      </c>
      <c r="F2522" s="95" t="s">
        <v>71</v>
      </c>
      <c r="G2522" s="96">
        <v>1490482449</v>
      </c>
      <c r="H2522" s="95"/>
      <c r="K2522" s="97"/>
    </row>
    <row r="2523" spans="1:11" x14ac:dyDescent="0.2">
      <c r="A2523" s="91">
        <v>2025</v>
      </c>
      <c r="B2523" s="92" t="s">
        <v>66</v>
      </c>
      <c r="C2523" s="92" t="s">
        <v>35</v>
      </c>
      <c r="D2523" s="92" t="s">
        <v>38</v>
      </c>
      <c r="E2523" s="92" t="s">
        <v>69</v>
      </c>
      <c r="F2523" s="92" t="s">
        <v>70</v>
      </c>
      <c r="G2523" s="93">
        <v>1774928873</v>
      </c>
      <c r="H2523" s="92"/>
      <c r="K2523" s="97"/>
    </row>
    <row r="2524" spans="1:11" x14ac:dyDescent="0.2">
      <c r="A2524" s="94">
        <v>2025</v>
      </c>
      <c r="B2524" s="95" t="s">
        <v>66</v>
      </c>
      <c r="C2524" s="95" t="s">
        <v>35</v>
      </c>
      <c r="D2524" s="95" t="s">
        <v>39</v>
      </c>
      <c r="E2524" s="95" t="s">
        <v>67</v>
      </c>
      <c r="F2524" s="95" t="s">
        <v>67</v>
      </c>
      <c r="G2524" s="96">
        <v>16023697719</v>
      </c>
      <c r="H2524" s="95"/>
      <c r="K2524" s="97"/>
    </row>
    <row r="2525" spans="1:11" x14ac:dyDescent="0.2">
      <c r="A2525" s="91">
        <v>2025</v>
      </c>
      <c r="B2525" s="92" t="s">
        <v>66</v>
      </c>
      <c r="C2525" s="92" t="s">
        <v>35</v>
      </c>
      <c r="D2525" s="92" t="s">
        <v>39</v>
      </c>
      <c r="E2525" s="92" t="s">
        <v>69</v>
      </c>
      <c r="F2525" s="92" t="s">
        <v>71</v>
      </c>
      <c r="G2525" s="93">
        <v>8952075200</v>
      </c>
      <c r="H2525" s="92"/>
      <c r="K2525" s="97"/>
    </row>
    <row r="2526" spans="1:11" x14ac:dyDescent="0.2">
      <c r="A2526" s="94">
        <v>2025</v>
      </c>
      <c r="B2526" s="95" t="s">
        <v>66</v>
      </c>
      <c r="C2526" s="95" t="s">
        <v>35</v>
      </c>
      <c r="D2526" s="95" t="s">
        <v>39</v>
      </c>
      <c r="E2526" s="95" t="s">
        <v>69</v>
      </c>
      <c r="F2526" s="95" t="s">
        <v>70</v>
      </c>
      <c r="G2526" s="96">
        <v>8683804696</v>
      </c>
      <c r="H2526" s="95"/>
      <c r="K2526" s="97"/>
    </row>
    <row r="2527" spans="1:11" x14ac:dyDescent="0.2">
      <c r="A2527" s="91">
        <v>2025</v>
      </c>
      <c r="B2527" s="92" t="s">
        <v>66</v>
      </c>
      <c r="C2527" s="92" t="s">
        <v>41</v>
      </c>
      <c r="D2527" s="92" t="s">
        <v>40</v>
      </c>
      <c r="E2527" s="92" t="s">
        <v>67</v>
      </c>
      <c r="F2527" s="92" t="s">
        <v>67</v>
      </c>
      <c r="G2527" s="93">
        <v>1621598031</v>
      </c>
      <c r="H2527" s="92"/>
      <c r="K2527" s="97"/>
    </row>
    <row r="2528" spans="1:11" x14ac:dyDescent="0.2">
      <c r="A2528" s="94">
        <v>2025</v>
      </c>
      <c r="B2528" s="95" t="s">
        <v>66</v>
      </c>
      <c r="C2528" s="95" t="s">
        <v>41</v>
      </c>
      <c r="D2528" s="95" t="s">
        <v>40</v>
      </c>
      <c r="E2528" s="95" t="s">
        <v>69</v>
      </c>
      <c r="F2528" s="95" t="s">
        <v>71</v>
      </c>
      <c r="G2528" s="96">
        <v>581549167</v>
      </c>
      <c r="H2528" s="95"/>
      <c r="K2528" s="97"/>
    </row>
    <row r="2529" spans="1:11" x14ac:dyDescent="0.2">
      <c r="A2529" s="91">
        <v>2025</v>
      </c>
      <c r="B2529" s="92" t="s">
        <v>66</v>
      </c>
      <c r="C2529" s="92" t="s">
        <v>41</v>
      </c>
      <c r="D2529" s="92" t="s">
        <v>40</v>
      </c>
      <c r="E2529" s="92" t="s">
        <v>69</v>
      </c>
      <c r="F2529" s="92" t="s">
        <v>70</v>
      </c>
      <c r="G2529" s="93">
        <v>535702848</v>
      </c>
      <c r="H2529" s="92"/>
      <c r="K2529" s="97"/>
    </row>
    <row r="2530" spans="1:11" x14ac:dyDescent="0.2">
      <c r="A2530" s="94">
        <v>2025</v>
      </c>
      <c r="B2530" s="95" t="s">
        <v>66</v>
      </c>
      <c r="C2530" s="95" t="s">
        <v>41</v>
      </c>
      <c r="D2530" s="95" t="s">
        <v>42</v>
      </c>
      <c r="E2530" s="95" t="s">
        <v>67</v>
      </c>
      <c r="F2530" s="95" t="s">
        <v>67</v>
      </c>
      <c r="G2530" s="96">
        <v>9939558827</v>
      </c>
      <c r="H2530" s="95"/>
      <c r="K2530" s="97"/>
    </row>
    <row r="2531" spans="1:11" x14ac:dyDescent="0.2">
      <c r="A2531" s="91">
        <v>2025</v>
      </c>
      <c r="B2531" s="92" t="s">
        <v>66</v>
      </c>
      <c r="C2531" s="92" t="s">
        <v>41</v>
      </c>
      <c r="D2531" s="92" t="s">
        <v>42</v>
      </c>
      <c r="E2531" s="92" t="s">
        <v>69</v>
      </c>
      <c r="F2531" s="92" t="s">
        <v>71</v>
      </c>
      <c r="G2531" s="93">
        <v>1898146375</v>
      </c>
      <c r="H2531" s="92"/>
      <c r="K2531" s="97"/>
    </row>
    <row r="2532" spans="1:11" x14ac:dyDescent="0.2">
      <c r="A2532" s="94">
        <v>2025</v>
      </c>
      <c r="B2532" s="95" t="s">
        <v>66</v>
      </c>
      <c r="C2532" s="95" t="s">
        <v>41</v>
      </c>
      <c r="D2532" s="95" t="s">
        <v>42</v>
      </c>
      <c r="E2532" s="95" t="s">
        <v>69</v>
      </c>
      <c r="F2532" s="95" t="s">
        <v>70</v>
      </c>
      <c r="G2532" s="96">
        <v>6592759065</v>
      </c>
      <c r="H2532" s="95"/>
      <c r="K2532" s="97"/>
    </row>
    <row r="2533" spans="1:11" x14ac:dyDescent="0.2">
      <c r="A2533" s="91">
        <v>2025</v>
      </c>
      <c r="B2533" s="92" t="s">
        <v>66</v>
      </c>
      <c r="C2533" s="92" t="s">
        <v>41</v>
      </c>
      <c r="D2533" s="92" t="s">
        <v>43</v>
      </c>
      <c r="E2533" s="92" t="s">
        <v>67</v>
      </c>
      <c r="F2533" s="92" t="s">
        <v>67</v>
      </c>
      <c r="G2533" s="93">
        <v>7195198800</v>
      </c>
      <c r="H2533" s="92"/>
      <c r="K2533" s="97"/>
    </row>
    <row r="2534" spans="1:11" x14ac:dyDescent="0.2">
      <c r="A2534" s="94">
        <v>2025</v>
      </c>
      <c r="B2534" s="95" t="s">
        <v>66</v>
      </c>
      <c r="C2534" s="95" t="s">
        <v>41</v>
      </c>
      <c r="D2534" s="95" t="s">
        <v>43</v>
      </c>
      <c r="E2534" s="95" t="s">
        <v>69</v>
      </c>
      <c r="F2534" s="95" t="s">
        <v>71</v>
      </c>
      <c r="G2534" s="96">
        <v>2654519306</v>
      </c>
      <c r="H2534" s="95"/>
      <c r="K2534" s="97"/>
    </row>
    <row r="2535" spans="1:11" x14ac:dyDescent="0.2">
      <c r="A2535" s="91">
        <v>2025</v>
      </c>
      <c r="B2535" s="92" t="s">
        <v>66</v>
      </c>
      <c r="C2535" s="92" t="s">
        <v>41</v>
      </c>
      <c r="D2535" s="92" t="s">
        <v>43</v>
      </c>
      <c r="E2535" s="92" t="s">
        <v>69</v>
      </c>
      <c r="F2535" s="92" t="s">
        <v>70</v>
      </c>
      <c r="G2535" s="93">
        <v>3185398417</v>
      </c>
      <c r="H2535" s="92"/>
      <c r="K2535" s="97"/>
    </row>
    <row r="2536" spans="1:11" x14ac:dyDescent="0.2">
      <c r="A2536" s="94">
        <v>2025</v>
      </c>
      <c r="B2536" s="95" t="s">
        <v>66</v>
      </c>
      <c r="C2536" s="95" t="s">
        <v>41</v>
      </c>
      <c r="D2536" s="95" t="s">
        <v>44</v>
      </c>
      <c r="E2536" s="95" t="s">
        <v>67</v>
      </c>
      <c r="F2536" s="95" t="s">
        <v>67</v>
      </c>
      <c r="G2536" s="96">
        <v>9925000617</v>
      </c>
      <c r="H2536" s="95"/>
      <c r="K2536" s="97"/>
    </row>
    <row r="2537" spans="1:11" x14ac:dyDescent="0.2">
      <c r="A2537" s="91">
        <v>2025</v>
      </c>
      <c r="B2537" s="92" t="s">
        <v>66</v>
      </c>
      <c r="C2537" s="92" t="s">
        <v>41</v>
      </c>
      <c r="D2537" s="92" t="s">
        <v>44</v>
      </c>
      <c r="E2537" s="92" t="s">
        <v>69</v>
      </c>
      <c r="F2537" s="92" t="s">
        <v>71</v>
      </c>
      <c r="G2537" s="93">
        <v>4448554283</v>
      </c>
      <c r="H2537" s="92"/>
      <c r="K2537" s="97"/>
    </row>
    <row r="2538" spans="1:11" x14ac:dyDescent="0.2">
      <c r="A2538" s="94">
        <v>2025</v>
      </c>
      <c r="B2538" s="95" t="s">
        <v>66</v>
      </c>
      <c r="C2538" s="95" t="s">
        <v>41</v>
      </c>
      <c r="D2538" s="95" t="s">
        <v>44</v>
      </c>
      <c r="E2538" s="95" t="s">
        <v>69</v>
      </c>
      <c r="F2538" s="95" t="s">
        <v>70</v>
      </c>
      <c r="G2538" s="96">
        <v>6929889837</v>
      </c>
      <c r="H2538" s="95"/>
      <c r="K2538" s="97"/>
    </row>
    <row r="2539" spans="1:11" x14ac:dyDescent="0.2">
      <c r="A2539" s="91">
        <v>2025</v>
      </c>
      <c r="B2539" s="92" t="s">
        <v>66</v>
      </c>
      <c r="C2539" s="92" t="s">
        <v>41</v>
      </c>
      <c r="D2539" s="92" t="s">
        <v>45</v>
      </c>
      <c r="E2539" s="92" t="s">
        <v>67</v>
      </c>
      <c r="F2539" s="92" t="s">
        <v>67</v>
      </c>
      <c r="G2539" s="93">
        <v>25464555623</v>
      </c>
      <c r="H2539" s="92"/>
      <c r="K2539" s="97"/>
    </row>
    <row r="2540" spans="1:11" x14ac:dyDescent="0.2">
      <c r="A2540" s="94">
        <v>2025</v>
      </c>
      <c r="B2540" s="95" t="s">
        <v>66</v>
      </c>
      <c r="C2540" s="95" t="s">
        <v>41</v>
      </c>
      <c r="D2540" s="95" t="s">
        <v>45</v>
      </c>
      <c r="E2540" s="95" t="s">
        <v>69</v>
      </c>
      <c r="F2540" s="95" t="s">
        <v>71</v>
      </c>
      <c r="G2540" s="96">
        <v>7573262229</v>
      </c>
      <c r="H2540" s="95"/>
      <c r="K2540" s="97"/>
    </row>
    <row r="2541" spans="1:11" x14ac:dyDescent="0.2">
      <c r="A2541" s="91">
        <v>2025</v>
      </c>
      <c r="B2541" s="92" t="s">
        <v>66</v>
      </c>
      <c r="C2541" s="92" t="s">
        <v>41</v>
      </c>
      <c r="D2541" s="92" t="s">
        <v>45</v>
      </c>
      <c r="E2541" s="92" t="s">
        <v>69</v>
      </c>
      <c r="F2541" s="92" t="s">
        <v>70</v>
      </c>
      <c r="G2541" s="93">
        <v>19547221819</v>
      </c>
      <c r="H2541" s="92"/>
      <c r="K2541" s="97"/>
    </row>
    <row r="2542" spans="1:11" x14ac:dyDescent="0.2">
      <c r="A2542" s="94">
        <v>2025</v>
      </c>
      <c r="B2542" s="95" t="s">
        <v>66</v>
      </c>
      <c r="C2542" s="95" t="s">
        <v>47</v>
      </c>
      <c r="D2542" s="95" t="s">
        <v>46</v>
      </c>
      <c r="E2542" s="95" t="s">
        <v>72</v>
      </c>
      <c r="F2542" s="95" t="s">
        <v>73</v>
      </c>
      <c r="G2542" s="96">
        <v>8561648654</v>
      </c>
      <c r="H2542" s="95"/>
      <c r="K2542" s="97"/>
    </row>
    <row r="2543" spans="1:11" x14ac:dyDescent="0.2">
      <c r="A2543" s="91">
        <v>2025</v>
      </c>
      <c r="B2543" s="92" t="s">
        <v>66</v>
      </c>
      <c r="C2543" s="92" t="s">
        <v>47</v>
      </c>
      <c r="D2543" s="92" t="s">
        <v>46</v>
      </c>
      <c r="E2543" s="92" t="s">
        <v>67</v>
      </c>
      <c r="F2543" s="92" t="s">
        <v>74</v>
      </c>
      <c r="G2543" s="93">
        <v>7684058746</v>
      </c>
      <c r="H2543" s="92"/>
      <c r="K2543" s="97"/>
    </row>
    <row r="2544" spans="1:11" x14ac:dyDescent="0.2">
      <c r="A2544" s="94">
        <v>2025</v>
      </c>
      <c r="B2544" s="95" t="s">
        <v>66</v>
      </c>
      <c r="C2544" s="95" t="s">
        <v>47</v>
      </c>
      <c r="D2544" s="95" t="s">
        <v>46</v>
      </c>
      <c r="E2544" s="95" t="s">
        <v>69</v>
      </c>
      <c r="F2544" s="95" t="s">
        <v>71</v>
      </c>
      <c r="G2544" s="96">
        <v>10688304504</v>
      </c>
      <c r="H2544" s="95"/>
      <c r="K2544" s="97"/>
    </row>
    <row r="2545" spans="1:11" x14ac:dyDescent="0.2">
      <c r="A2545" s="91">
        <v>2025</v>
      </c>
      <c r="B2545" s="92" t="s">
        <v>66</v>
      </c>
      <c r="C2545" s="92" t="s">
        <v>47</v>
      </c>
      <c r="D2545" s="92" t="s">
        <v>46</v>
      </c>
      <c r="E2545" s="92" t="s">
        <v>69</v>
      </c>
      <c r="F2545" s="92" t="s">
        <v>70</v>
      </c>
      <c r="G2545" s="93">
        <v>15801284022</v>
      </c>
      <c r="H2545" s="92"/>
      <c r="K2545" s="97"/>
    </row>
    <row r="2546" spans="1:11" x14ac:dyDescent="0.2">
      <c r="A2546" s="94">
        <v>2025</v>
      </c>
      <c r="B2546" s="95" t="s">
        <v>66</v>
      </c>
      <c r="C2546" s="95" t="s">
        <v>47</v>
      </c>
      <c r="D2546" s="95" t="s">
        <v>48</v>
      </c>
      <c r="E2546" s="95" t="s">
        <v>72</v>
      </c>
      <c r="F2546" s="95" t="s">
        <v>73</v>
      </c>
      <c r="G2546" s="96">
        <v>85386529567</v>
      </c>
      <c r="H2546" s="95"/>
      <c r="K2546" s="97"/>
    </row>
    <row r="2547" spans="1:11" x14ac:dyDescent="0.2">
      <c r="A2547" s="91">
        <v>2025</v>
      </c>
      <c r="B2547" s="92" t="s">
        <v>66</v>
      </c>
      <c r="C2547" s="92" t="s">
        <v>47</v>
      </c>
      <c r="D2547" s="92" t="s">
        <v>48</v>
      </c>
      <c r="E2547" s="92" t="s">
        <v>67</v>
      </c>
      <c r="F2547" s="92" t="s">
        <v>74</v>
      </c>
      <c r="G2547" s="93">
        <v>108533704509</v>
      </c>
      <c r="H2547" s="92"/>
      <c r="K2547" s="97"/>
    </row>
    <row r="2548" spans="1:11" x14ac:dyDescent="0.2">
      <c r="A2548" s="94">
        <v>2025</v>
      </c>
      <c r="B2548" s="95" t="s">
        <v>66</v>
      </c>
      <c r="C2548" s="95" t="s">
        <v>47</v>
      </c>
      <c r="D2548" s="95" t="s">
        <v>48</v>
      </c>
      <c r="E2548" s="95" t="s">
        <v>69</v>
      </c>
      <c r="F2548" s="95" t="s">
        <v>71</v>
      </c>
      <c r="G2548" s="96">
        <v>110973000002</v>
      </c>
      <c r="H2548" s="95"/>
      <c r="K2548" s="97"/>
    </row>
    <row r="2549" spans="1:11" x14ac:dyDescent="0.2">
      <c r="A2549" s="91">
        <v>2025</v>
      </c>
      <c r="B2549" s="92" t="s">
        <v>66</v>
      </c>
      <c r="C2549" s="92" t="s">
        <v>47</v>
      </c>
      <c r="D2549" s="92" t="s">
        <v>48</v>
      </c>
      <c r="E2549" s="92" t="s">
        <v>69</v>
      </c>
      <c r="F2549" s="92" t="s">
        <v>70</v>
      </c>
      <c r="G2549" s="93">
        <v>220859368279</v>
      </c>
      <c r="H2549" s="92"/>
      <c r="K2549" s="97"/>
    </row>
    <row r="2550" spans="1:11" x14ac:dyDescent="0.2">
      <c r="A2550" s="94">
        <v>2026</v>
      </c>
      <c r="B2550" s="95" t="s">
        <v>66</v>
      </c>
      <c r="C2550" s="95" t="s">
        <v>4</v>
      </c>
      <c r="D2550" s="95" t="s">
        <v>3</v>
      </c>
      <c r="E2550" s="95" t="s">
        <v>67</v>
      </c>
      <c r="F2550" s="95" t="s">
        <v>67</v>
      </c>
      <c r="G2550" s="96">
        <v>18082227677</v>
      </c>
      <c r="H2550" s="95"/>
      <c r="K2550" s="97"/>
    </row>
    <row r="2551" spans="1:11" x14ac:dyDescent="0.2">
      <c r="A2551" s="91">
        <v>2026</v>
      </c>
      <c r="B2551" s="92" t="s">
        <v>66</v>
      </c>
      <c r="C2551" s="92" t="s">
        <v>4</v>
      </c>
      <c r="D2551" s="92" t="s">
        <v>3</v>
      </c>
      <c r="E2551" s="92" t="s">
        <v>69</v>
      </c>
      <c r="F2551" s="92" t="s">
        <v>71</v>
      </c>
      <c r="G2551" s="93">
        <v>7767211152</v>
      </c>
      <c r="H2551" s="92"/>
      <c r="K2551" s="97"/>
    </row>
    <row r="2552" spans="1:11" x14ac:dyDescent="0.2">
      <c r="A2552" s="94">
        <v>2026</v>
      </c>
      <c r="B2552" s="95" t="s">
        <v>66</v>
      </c>
      <c r="C2552" s="95" t="s">
        <v>4</v>
      </c>
      <c r="D2552" s="95" t="s">
        <v>3</v>
      </c>
      <c r="E2552" s="95" t="s">
        <v>69</v>
      </c>
      <c r="F2552" s="95" t="s">
        <v>70</v>
      </c>
      <c r="G2552" s="96">
        <v>18554421900</v>
      </c>
      <c r="H2552" s="95"/>
      <c r="K2552" s="97"/>
    </row>
    <row r="2553" spans="1:11" x14ac:dyDescent="0.2">
      <c r="A2553" s="91">
        <v>2026</v>
      </c>
      <c r="B2553" s="92" t="s">
        <v>66</v>
      </c>
      <c r="C2553" s="92" t="s">
        <v>4</v>
      </c>
      <c r="D2553" s="92" t="s">
        <v>5</v>
      </c>
      <c r="E2553" s="92" t="s">
        <v>67</v>
      </c>
      <c r="F2553" s="92" t="s">
        <v>67</v>
      </c>
      <c r="G2553" s="93">
        <v>45651214884</v>
      </c>
      <c r="H2553" s="92"/>
      <c r="K2553" s="97"/>
    </row>
    <row r="2554" spans="1:11" x14ac:dyDescent="0.2">
      <c r="A2554" s="94">
        <v>2026</v>
      </c>
      <c r="B2554" s="95" t="s">
        <v>66</v>
      </c>
      <c r="C2554" s="95" t="s">
        <v>4</v>
      </c>
      <c r="D2554" s="95" t="s">
        <v>5</v>
      </c>
      <c r="E2554" s="95" t="s">
        <v>69</v>
      </c>
      <c r="F2554" s="95" t="s">
        <v>71</v>
      </c>
      <c r="G2554" s="96">
        <v>81007939843</v>
      </c>
      <c r="H2554" s="95"/>
      <c r="K2554" s="97"/>
    </row>
    <row r="2555" spans="1:11" x14ac:dyDescent="0.2">
      <c r="A2555" s="91">
        <v>2026</v>
      </c>
      <c r="B2555" s="92" t="s">
        <v>66</v>
      </c>
      <c r="C2555" s="92" t="s">
        <v>4</v>
      </c>
      <c r="D2555" s="92" t="s">
        <v>5</v>
      </c>
      <c r="E2555" s="92" t="s">
        <v>69</v>
      </c>
      <c r="F2555" s="92" t="s">
        <v>70</v>
      </c>
      <c r="G2555" s="93">
        <v>75002379302</v>
      </c>
      <c r="H2555" s="92"/>
      <c r="K2555" s="97"/>
    </row>
    <row r="2556" spans="1:11" x14ac:dyDescent="0.2">
      <c r="A2556" s="94">
        <v>2026</v>
      </c>
      <c r="B2556" s="95" t="s">
        <v>66</v>
      </c>
      <c r="C2556" s="95" t="s">
        <v>4</v>
      </c>
      <c r="D2556" s="95" t="s">
        <v>6</v>
      </c>
      <c r="E2556" s="95" t="s">
        <v>67</v>
      </c>
      <c r="F2556" s="95" t="s">
        <v>67</v>
      </c>
      <c r="G2556" s="96">
        <v>7547970565</v>
      </c>
      <c r="H2556" s="95"/>
      <c r="K2556" s="97"/>
    </row>
    <row r="2557" spans="1:11" x14ac:dyDescent="0.2">
      <c r="A2557" s="91">
        <v>2026</v>
      </c>
      <c r="B2557" s="92" t="s">
        <v>66</v>
      </c>
      <c r="C2557" s="92" t="s">
        <v>4</v>
      </c>
      <c r="D2557" s="92" t="s">
        <v>6</v>
      </c>
      <c r="E2557" s="92" t="s">
        <v>69</v>
      </c>
      <c r="F2557" s="92" t="s">
        <v>71</v>
      </c>
      <c r="G2557" s="93">
        <v>3813244395</v>
      </c>
      <c r="H2557" s="92"/>
      <c r="K2557" s="97"/>
    </row>
    <row r="2558" spans="1:11" x14ac:dyDescent="0.2">
      <c r="A2558" s="94">
        <v>2026</v>
      </c>
      <c r="B2558" s="95" t="s">
        <v>66</v>
      </c>
      <c r="C2558" s="95" t="s">
        <v>4</v>
      </c>
      <c r="D2558" s="95" t="s">
        <v>6</v>
      </c>
      <c r="E2558" s="95" t="s">
        <v>69</v>
      </c>
      <c r="F2558" s="95" t="s">
        <v>70</v>
      </c>
      <c r="G2558" s="96">
        <v>2730178565</v>
      </c>
      <c r="H2558" s="95"/>
      <c r="K2558" s="97"/>
    </row>
    <row r="2559" spans="1:11" x14ac:dyDescent="0.2">
      <c r="A2559" s="91">
        <v>2026</v>
      </c>
      <c r="B2559" s="92" t="s">
        <v>66</v>
      </c>
      <c r="C2559" s="92" t="s">
        <v>4</v>
      </c>
      <c r="D2559" s="92" t="s">
        <v>7</v>
      </c>
      <c r="E2559" s="92" t="s">
        <v>67</v>
      </c>
      <c r="F2559" s="92" t="s">
        <v>67</v>
      </c>
      <c r="G2559" s="93">
        <v>21056917112</v>
      </c>
      <c r="H2559" s="92"/>
      <c r="K2559" s="97"/>
    </row>
    <row r="2560" spans="1:11" x14ac:dyDescent="0.2">
      <c r="A2560" s="94">
        <v>2026</v>
      </c>
      <c r="B2560" s="95" t="s">
        <v>66</v>
      </c>
      <c r="C2560" s="95" t="s">
        <v>4</v>
      </c>
      <c r="D2560" s="95" t="s">
        <v>7</v>
      </c>
      <c r="E2560" s="95" t="s">
        <v>69</v>
      </c>
      <c r="F2560" s="95" t="s">
        <v>71</v>
      </c>
      <c r="G2560" s="96">
        <v>17071255607</v>
      </c>
      <c r="H2560" s="95"/>
      <c r="K2560" s="97"/>
    </row>
    <row r="2561" spans="1:11" x14ac:dyDescent="0.2">
      <c r="A2561" s="91">
        <v>2026</v>
      </c>
      <c r="B2561" s="92" t="s">
        <v>66</v>
      </c>
      <c r="C2561" s="92" t="s">
        <v>4</v>
      </c>
      <c r="D2561" s="92" t="s">
        <v>7</v>
      </c>
      <c r="E2561" s="92" t="s">
        <v>69</v>
      </c>
      <c r="F2561" s="92" t="s">
        <v>70</v>
      </c>
      <c r="G2561" s="93">
        <v>13485694524</v>
      </c>
      <c r="H2561" s="92"/>
      <c r="K2561" s="97"/>
    </row>
    <row r="2562" spans="1:11" x14ac:dyDescent="0.2">
      <c r="A2562" s="94">
        <v>2026</v>
      </c>
      <c r="B2562" s="95" t="s">
        <v>66</v>
      </c>
      <c r="C2562" s="95" t="s">
        <v>4</v>
      </c>
      <c r="D2562" s="95" t="s">
        <v>8</v>
      </c>
      <c r="E2562" s="95" t="s">
        <v>67</v>
      </c>
      <c r="F2562" s="95" t="s">
        <v>67</v>
      </c>
      <c r="G2562" s="96">
        <v>4815330874</v>
      </c>
      <c r="H2562" s="95"/>
      <c r="K2562" s="97"/>
    </row>
    <row r="2563" spans="1:11" x14ac:dyDescent="0.2">
      <c r="A2563" s="91">
        <v>2026</v>
      </c>
      <c r="B2563" s="92" t="s">
        <v>66</v>
      </c>
      <c r="C2563" s="92" t="s">
        <v>4</v>
      </c>
      <c r="D2563" s="92" t="s">
        <v>8</v>
      </c>
      <c r="E2563" s="92" t="s">
        <v>69</v>
      </c>
      <c r="F2563" s="92" t="s">
        <v>71</v>
      </c>
      <c r="G2563" s="93">
        <v>8054919013</v>
      </c>
      <c r="H2563" s="92"/>
      <c r="K2563" s="97"/>
    </row>
    <row r="2564" spans="1:11" x14ac:dyDescent="0.2">
      <c r="A2564" s="94">
        <v>2026</v>
      </c>
      <c r="B2564" s="95" t="s">
        <v>66</v>
      </c>
      <c r="C2564" s="95" t="s">
        <v>4</v>
      </c>
      <c r="D2564" s="95" t="s">
        <v>8</v>
      </c>
      <c r="E2564" s="95" t="s">
        <v>69</v>
      </c>
      <c r="F2564" s="95" t="s">
        <v>70</v>
      </c>
      <c r="G2564" s="96">
        <v>3593368596</v>
      </c>
      <c r="H2564" s="95"/>
      <c r="K2564" s="97"/>
    </row>
    <row r="2565" spans="1:11" x14ac:dyDescent="0.2">
      <c r="A2565" s="91">
        <v>2026</v>
      </c>
      <c r="B2565" s="92" t="s">
        <v>66</v>
      </c>
      <c r="C2565" s="92" t="s">
        <v>4</v>
      </c>
      <c r="D2565" s="92" t="s">
        <v>9</v>
      </c>
      <c r="E2565" s="92" t="s">
        <v>67</v>
      </c>
      <c r="F2565" s="92" t="s">
        <v>67</v>
      </c>
      <c r="G2565" s="93">
        <v>41187815831</v>
      </c>
      <c r="H2565" s="92"/>
      <c r="K2565" s="97"/>
    </row>
    <row r="2566" spans="1:11" x14ac:dyDescent="0.2">
      <c r="A2566" s="94">
        <v>2026</v>
      </c>
      <c r="B2566" s="95" t="s">
        <v>66</v>
      </c>
      <c r="C2566" s="95" t="s">
        <v>4</v>
      </c>
      <c r="D2566" s="95" t="s">
        <v>9</v>
      </c>
      <c r="E2566" s="95" t="s">
        <v>69</v>
      </c>
      <c r="F2566" s="95" t="s">
        <v>71</v>
      </c>
      <c r="G2566" s="96">
        <v>26316040544</v>
      </c>
      <c r="H2566" s="95"/>
      <c r="K2566" s="97"/>
    </row>
    <row r="2567" spans="1:11" x14ac:dyDescent="0.2">
      <c r="A2567" s="91">
        <v>2026</v>
      </c>
      <c r="B2567" s="92" t="s">
        <v>66</v>
      </c>
      <c r="C2567" s="92" t="s">
        <v>4</v>
      </c>
      <c r="D2567" s="92" t="s">
        <v>9</v>
      </c>
      <c r="E2567" s="92" t="s">
        <v>69</v>
      </c>
      <c r="F2567" s="92" t="s">
        <v>70</v>
      </c>
      <c r="G2567" s="93">
        <v>32835520512</v>
      </c>
      <c r="H2567" s="92"/>
      <c r="K2567" s="97"/>
    </row>
    <row r="2568" spans="1:11" x14ac:dyDescent="0.2">
      <c r="A2568" s="94">
        <v>2026</v>
      </c>
      <c r="B2568" s="95" t="s">
        <v>66</v>
      </c>
      <c r="C2568" s="95" t="s">
        <v>4</v>
      </c>
      <c r="D2568" s="95" t="s">
        <v>10</v>
      </c>
      <c r="E2568" s="95" t="s">
        <v>67</v>
      </c>
      <c r="F2568" s="95" t="s">
        <v>67</v>
      </c>
      <c r="G2568" s="96">
        <v>813229292</v>
      </c>
      <c r="H2568" s="95"/>
      <c r="K2568" s="97"/>
    </row>
    <row r="2569" spans="1:11" x14ac:dyDescent="0.2">
      <c r="A2569" s="91">
        <v>2026</v>
      </c>
      <c r="B2569" s="92" t="s">
        <v>66</v>
      </c>
      <c r="C2569" s="92" t="s">
        <v>4</v>
      </c>
      <c r="D2569" s="92" t="s">
        <v>10</v>
      </c>
      <c r="E2569" s="92" t="s">
        <v>69</v>
      </c>
      <c r="F2569" s="92" t="s">
        <v>71</v>
      </c>
      <c r="G2569" s="93">
        <v>1888318416</v>
      </c>
      <c r="H2569" s="92"/>
      <c r="K2569" s="97"/>
    </row>
    <row r="2570" spans="1:11" x14ac:dyDescent="0.2">
      <c r="A2570" s="94">
        <v>2026</v>
      </c>
      <c r="B2570" s="95" t="s">
        <v>66</v>
      </c>
      <c r="C2570" s="95" t="s">
        <v>4</v>
      </c>
      <c r="D2570" s="95" t="s">
        <v>10</v>
      </c>
      <c r="E2570" s="95" t="s">
        <v>69</v>
      </c>
      <c r="F2570" s="95" t="s">
        <v>70</v>
      </c>
      <c r="G2570" s="96">
        <v>202842621</v>
      </c>
      <c r="H2570" s="95"/>
      <c r="K2570" s="97"/>
    </row>
    <row r="2571" spans="1:11" x14ac:dyDescent="0.2">
      <c r="A2571" s="91">
        <v>2026</v>
      </c>
      <c r="B2571" s="92" t="s">
        <v>66</v>
      </c>
      <c r="C2571" s="92" t="s">
        <v>4</v>
      </c>
      <c r="D2571" s="92" t="s">
        <v>11</v>
      </c>
      <c r="E2571" s="92" t="s">
        <v>67</v>
      </c>
      <c r="F2571" s="92" t="s">
        <v>67</v>
      </c>
      <c r="G2571" s="93">
        <v>3232846576</v>
      </c>
      <c r="H2571" s="92"/>
      <c r="K2571" s="97"/>
    </row>
    <row r="2572" spans="1:11" x14ac:dyDescent="0.2">
      <c r="A2572" s="94">
        <v>2026</v>
      </c>
      <c r="B2572" s="95" t="s">
        <v>66</v>
      </c>
      <c r="C2572" s="95" t="s">
        <v>4</v>
      </c>
      <c r="D2572" s="95" t="s">
        <v>11</v>
      </c>
      <c r="E2572" s="95" t="s">
        <v>69</v>
      </c>
      <c r="F2572" s="95" t="s">
        <v>71</v>
      </c>
      <c r="G2572" s="96">
        <v>4040753409</v>
      </c>
      <c r="H2572" s="95"/>
      <c r="K2572" s="97"/>
    </row>
    <row r="2573" spans="1:11" x14ac:dyDescent="0.2">
      <c r="A2573" s="91">
        <v>2026</v>
      </c>
      <c r="B2573" s="92" t="s">
        <v>66</v>
      </c>
      <c r="C2573" s="92" t="s">
        <v>4</v>
      </c>
      <c r="D2573" s="92" t="s">
        <v>11</v>
      </c>
      <c r="E2573" s="92" t="s">
        <v>69</v>
      </c>
      <c r="F2573" s="92" t="s">
        <v>70</v>
      </c>
      <c r="G2573" s="93">
        <v>7693323983</v>
      </c>
      <c r="H2573" s="92"/>
      <c r="K2573" s="97"/>
    </row>
    <row r="2574" spans="1:11" x14ac:dyDescent="0.2">
      <c r="A2574" s="94">
        <v>2026</v>
      </c>
      <c r="B2574" s="95" t="s">
        <v>66</v>
      </c>
      <c r="C2574" s="95" t="s">
        <v>4</v>
      </c>
      <c r="D2574" s="95" t="s">
        <v>12</v>
      </c>
      <c r="E2574" s="95" t="s">
        <v>67</v>
      </c>
      <c r="F2574" s="95" t="s">
        <v>67</v>
      </c>
      <c r="G2574" s="96">
        <v>4802059840</v>
      </c>
      <c r="H2574" s="95"/>
      <c r="K2574" s="97"/>
    </row>
    <row r="2575" spans="1:11" x14ac:dyDescent="0.2">
      <c r="A2575" s="91">
        <v>2026</v>
      </c>
      <c r="B2575" s="92" t="s">
        <v>66</v>
      </c>
      <c r="C2575" s="92" t="s">
        <v>4</v>
      </c>
      <c r="D2575" s="92" t="s">
        <v>12</v>
      </c>
      <c r="E2575" s="92" t="s">
        <v>69</v>
      </c>
      <c r="F2575" s="92" t="s">
        <v>71</v>
      </c>
      <c r="G2575" s="93">
        <v>6118762160</v>
      </c>
      <c r="H2575" s="92"/>
      <c r="K2575" s="97"/>
    </row>
    <row r="2576" spans="1:11" x14ac:dyDescent="0.2">
      <c r="A2576" s="94">
        <v>2026</v>
      </c>
      <c r="B2576" s="95" t="s">
        <v>66</v>
      </c>
      <c r="C2576" s="95" t="s">
        <v>4</v>
      </c>
      <c r="D2576" s="95" t="s">
        <v>12</v>
      </c>
      <c r="E2576" s="95" t="s">
        <v>69</v>
      </c>
      <c r="F2576" s="95" t="s">
        <v>70</v>
      </c>
      <c r="G2576" s="96">
        <v>5983655010</v>
      </c>
      <c r="H2576" s="95"/>
      <c r="K2576" s="97"/>
    </row>
    <row r="2577" spans="1:11" x14ac:dyDescent="0.2">
      <c r="A2577" s="91">
        <v>2026</v>
      </c>
      <c r="B2577" s="92" t="s">
        <v>66</v>
      </c>
      <c r="C2577" s="92" t="s">
        <v>4</v>
      </c>
      <c r="D2577" s="92" t="s">
        <v>13</v>
      </c>
      <c r="E2577" s="92" t="s">
        <v>67</v>
      </c>
      <c r="F2577" s="92" t="s">
        <v>67</v>
      </c>
      <c r="G2577" s="93">
        <v>10008434426</v>
      </c>
      <c r="H2577" s="92"/>
      <c r="K2577" s="97"/>
    </row>
    <row r="2578" spans="1:11" x14ac:dyDescent="0.2">
      <c r="A2578" s="94">
        <v>2026</v>
      </c>
      <c r="B2578" s="95" t="s">
        <v>66</v>
      </c>
      <c r="C2578" s="95" t="s">
        <v>4</v>
      </c>
      <c r="D2578" s="95" t="s">
        <v>13</v>
      </c>
      <c r="E2578" s="95" t="s">
        <v>69</v>
      </c>
      <c r="F2578" s="95" t="s">
        <v>71</v>
      </c>
      <c r="G2578" s="96">
        <v>7700436402</v>
      </c>
      <c r="H2578" s="95"/>
      <c r="K2578" s="97"/>
    </row>
    <row r="2579" spans="1:11" x14ac:dyDescent="0.2">
      <c r="A2579" s="91">
        <v>2026</v>
      </c>
      <c r="B2579" s="92" t="s">
        <v>66</v>
      </c>
      <c r="C2579" s="92" t="s">
        <v>4</v>
      </c>
      <c r="D2579" s="92" t="s">
        <v>13</v>
      </c>
      <c r="E2579" s="92" t="s">
        <v>69</v>
      </c>
      <c r="F2579" s="92" t="s">
        <v>70</v>
      </c>
      <c r="G2579" s="93">
        <v>8872557402</v>
      </c>
      <c r="H2579" s="92"/>
      <c r="K2579" s="97"/>
    </row>
    <row r="2580" spans="1:11" x14ac:dyDescent="0.2">
      <c r="A2580" s="94">
        <v>2026</v>
      </c>
      <c r="B2580" s="95" t="s">
        <v>66</v>
      </c>
      <c r="C2580" s="95" t="s">
        <v>4</v>
      </c>
      <c r="D2580" s="95" t="s">
        <v>14</v>
      </c>
      <c r="E2580" s="95" t="s">
        <v>67</v>
      </c>
      <c r="F2580" s="95" t="s">
        <v>67</v>
      </c>
      <c r="G2580" s="96">
        <v>6579600385</v>
      </c>
      <c r="H2580" s="95"/>
      <c r="K2580" s="97"/>
    </row>
    <row r="2581" spans="1:11" x14ac:dyDescent="0.2">
      <c r="A2581" s="91">
        <v>2026</v>
      </c>
      <c r="B2581" s="92" t="s">
        <v>66</v>
      </c>
      <c r="C2581" s="92" t="s">
        <v>4</v>
      </c>
      <c r="D2581" s="92" t="s">
        <v>14</v>
      </c>
      <c r="E2581" s="92" t="s">
        <v>69</v>
      </c>
      <c r="F2581" s="92" t="s">
        <v>71</v>
      </c>
      <c r="G2581" s="93">
        <v>3180585594</v>
      </c>
      <c r="H2581" s="92"/>
      <c r="K2581" s="97"/>
    </row>
    <row r="2582" spans="1:11" x14ac:dyDescent="0.2">
      <c r="A2582" s="94">
        <v>2026</v>
      </c>
      <c r="B2582" s="95" t="s">
        <v>66</v>
      </c>
      <c r="C2582" s="95" t="s">
        <v>4</v>
      </c>
      <c r="D2582" s="95" t="s">
        <v>14</v>
      </c>
      <c r="E2582" s="95" t="s">
        <v>69</v>
      </c>
      <c r="F2582" s="95" t="s">
        <v>70</v>
      </c>
      <c r="G2582" s="96">
        <v>4392076242</v>
      </c>
      <c r="H2582" s="95"/>
      <c r="K2582" s="97"/>
    </row>
    <row r="2583" spans="1:11" x14ac:dyDescent="0.2">
      <c r="A2583" s="91">
        <v>2026</v>
      </c>
      <c r="B2583" s="92" t="s">
        <v>66</v>
      </c>
      <c r="C2583" s="92" t="s">
        <v>4</v>
      </c>
      <c r="D2583" s="92" t="s">
        <v>15</v>
      </c>
      <c r="E2583" s="92" t="s">
        <v>67</v>
      </c>
      <c r="F2583" s="92" t="s">
        <v>67</v>
      </c>
      <c r="G2583" s="93">
        <v>6504684693</v>
      </c>
      <c r="H2583" s="92"/>
      <c r="K2583" s="97"/>
    </row>
    <row r="2584" spans="1:11" x14ac:dyDescent="0.2">
      <c r="A2584" s="94">
        <v>2026</v>
      </c>
      <c r="B2584" s="95" t="s">
        <v>66</v>
      </c>
      <c r="C2584" s="95" t="s">
        <v>4</v>
      </c>
      <c r="D2584" s="95" t="s">
        <v>15</v>
      </c>
      <c r="E2584" s="95" t="s">
        <v>69</v>
      </c>
      <c r="F2584" s="95" t="s">
        <v>71</v>
      </c>
      <c r="G2584" s="96">
        <v>10374593712</v>
      </c>
      <c r="H2584" s="95"/>
      <c r="K2584" s="97"/>
    </row>
    <row r="2585" spans="1:11" x14ac:dyDescent="0.2">
      <c r="A2585" s="91">
        <v>2026</v>
      </c>
      <c r="B2585" s="92" t="s">
        <v>66</v>
      </c>
      <c r="C2585" s="92" t="s">
        <v>4</v>
      </c>
      <c r="D2585" s="92" t="s">
        <v>15</v>
      </c>
      <c r="E2585" s="92" t="s">
        <v>69</v>
      </c>
      <c r="F2585" s="92" t="s">
        <v>70</v>
      </c>
      <c r="G2585" s="93">
        <v>4033738751</v>
      </c>
      <c r="H2585" s="92"/>
      <c r="K2585" s="97"/>
    </row>
    <row r="2586" spans="1:11" x14ac:dyDescent="0.2">
      <c r="A2586" s="94">
        <v>2026</v>
      </c>
      <c r="B2586" s="95" t="s">
        <v>66</v>
      </c>
      <c r="C2586" s="95" t="s">
        <v>17</v>
      </c>
      <c r="D2586" s="95" t="s">
        <v>16</v>
      </c>
      <c r="E2586" s="95" t="s">
        <v>67</v>
      </c>
      <c r="F2586" s="95" t="s">
        <v>67</v>
      </c>
      <c r="G2586" s="96">
        <v>982238463</v>
      </c>
      <c r="H2586" s="95"/>
      <c r="K2586" s="97"/>
    </row>
    <row r="2587" spans="1:11" x14ac:dyDescent="0.2">
      <c r="A2587" s="91">
        <v>2026</v>
      </c>
      <c r="B2587" s="92" t="s">
        <v>66</v>
      </c>
      <c r="C2587" s="92" t="s">
        <v>17</v>
      </c>
      <c r="D2587" s="92" t="s">
        <v>16</v>
      </c>
      <c r="E2587" s="92" t="s">
        <v>69</v>
      </c>
      <c r="F2587" s="92" t="s">
        <v>71</v>
      </c>
      <c r="G2587" s="93">
        <v>838600126</v>
      </c>
      <c r="H2587" s="92"/>
      <c r="K2587" s="97"/>
    </row>
    <row r="2588" spans="1:11" x14ac:dyDescent="0.2">
      <c r="A2588" s="94">
        <v>2026</v>
      </c>
      <c r="B2588" s="95" t="s">
        <v>66</v>
      </c>
      <c r="C2588" s="95" t="s">
        <v>17</v>
      </c>
      <c r="D2588" s="95" t="s">
        <v>16</v>
      </c>
      <c r="E2588" s="95" t="s">
        <v>69</v>
      </c>
      <c r="F2588" s="95" t="s">
        <v>70</v>
      </c>
      <c r="G2588" s="96">
        <v>346039020</v>
      </c>
      <c r="H2588" s="95"/>
      <c r="K2588" s="97"/>
    </row>
    <row r="2589" spans="1:11" x14ac:dyDescent="0.2">
      <c r="A2589" s="91">
        <v>2026</v>
      </c>
      <c r="B2589" s="92" t="s">
        <v>66</v>
      </c>
      <c r="C2589" s="92" t="s">
        <v>17</v>
      </c>
      <c r="D2589" s="92" t="s">
        <v>18</v>
      </c>
      <c r="E2589" s="92" t="s">
        <v>67</v>
      </c>
      <c r="F2589" s="92" t="s">
        <v>67</v>
      </c>
      <c r="G2589" s="93">
        <v>1667365988</v>
      </c>
      <c r="H2589" s="92"/>
      <c r="K2589" s="97"/>
    </row>
    <row r="2590" spans="1:11" x14ac:dyDescent="0.2">
      <c r="A2590" s="94">
        <v>2026</v>
      </c>
      <c r="B2590" s="95" t="s">
        <v>66</v>
      </c>
      <c r="C2590" s="95" t="s">
        <v>17</v>
      </c>
      <c r="D2590" s="95" t="s">
        <v>18</v>
      </c>
      <c r="E2590" s="95" t="s">
        <v>69</v>
      </c>
      <c r="F2590" s="95" t="s">
        <v>71</v>
      </c>
      <c r="G2590" s="96">
        <v>1630997938</v>
      </c>
      <c r="H2590" s="95"/>
      <c r="K2590" s="97"/>
    </row>
    <row r="2591" spans="1:11" x14ac:dyDescent="0.2">
      <c r="A2591" s="91">
        <v>2026</v>
      </c>
      <c r="B2591" s="92" t="s">
        <v>66</v>
      </c>
      <c r="C2591" s="92" t="s">
        <v>17</v>
      </c>
      <c r="D2591" s="92" t="s">
        <v>18</v>
      </c>
      <c r="E2591" s="92" t="s">
        <v>69</v>
      </c>
      <c r="F2591" s="92" t="s">
        <v>70</v>
      </c>
      <c r="G2591" s="93">
        <v>2214181944</v>
      </c>
      <c r="H2591" s="92"/>
      <c r="K2591" s="97"/>
    </row>
    <row r="2592" spans="1:11" x14ac:dyDescent="0.2">
      <c r="A2592" s="94">
        <v>2026</v>
      </c>
      <c r="B2592" s="95" t="s">
        <v>66</v>
      </c>
      <c r="C2592" s="95" t="s">
        <v>17</v>
      </c>
      <c r="D2592" s="95" t="s">
        <v>19</v>
      </c>
      <c r="E2592" s="95" t="s">
        <v>67</v>
      </c>
      <c r="F2592" s="95" t="s">
        <v>67</v>
      </c>
      <c r="G2592" s="96">
        <v>5003176731</v>
      </c>
      <c r="H2592" s="95"/>
      <c r="K2592" s="97"/>
    </row>
    <row r="2593" spans="1:11" x14ac:dyDescent="0.2">
      <c r="A2593" s="91">
        <v>2026</v>
      </c>
      <c r="B2593" s="92" t="s">
        <v>66</v>
      </c>
      <c r="C2593" s="92" t="s">
        <v>17</v>
      </c>
      <c r="D2593" s="92" t="s">
        <v>19</v>
      </c>
      <c r="E2593" s="92" t="s">
        <v>69</v>
      </c>
      <c r="F2593" s="92" t="s">
        <v>71</v>
      </c>
      <c r="G2593" s="93">
        <v>4769855493</v>
      </c>
      <c r="H2593" s="92"/>
      <c r="K2593" s="97"/>
    </row>
    <row r="2594" spans="1:11" x14ac:dyDescent="0.2">
      <c r="A2594" s="94">
        <v>2026</v>
      </c>
      <c r="B2594" s="95" t="s">
        <v>66</v>
      </c>
      <c r="C2594" s="95" t="s">
        <v>17</v>
      </c>
      <c r="D2594" s="95" t="s">
        <v>19</v>
      </c>
      <c r="E2594" s="95" t="s">
        <v>69</v>
      </c>
      <c r="F2594" s="95" t="s">
        <v>70</v>
      </c>
      <c r="G2594" s="96">
        <v>2484153766</v>
      </c>
      <c r="H2594" s="95"/>
      <c r="K2594" s="97"/>
    </row>
    <row r="2595" spans="1:11" x14ac:dyDescent="0.2">
      <c r="A2595" s="91">
        <v>2026</v>
      </c>
      <c r="B2595" s="92" t="s">
        <v>66</v>
      </c>
      <c r="C2595" s="92" t="s">
        <v>17</v>
      </c>
      <c r="D2595" s="92" t="s">
        <v>20</v>
      </c>
      <c r="E2595" s="92" t="s">
        <v>67</v>
      </c>
      <c r="F2595" s="92" t="s">
        <v>67</v>
      </c>
      <c r="G2595" s="93">
        <v>660750411</v>
      </c>
      <c r="H2595" s="92"/>
      <c r="K2595" s="97"/>
    </row>
    <row r="2596" spans="1:11" x14ac:dyDescent="0.2">
      <c r="A2596" s="94">
        <v>2026</v>
      </c>
      <c r="B2596" s="95" t="s">
        <v>66</v>
      </c>
      <c r="C2596" s="95" t="s">
        <v>17</v>
      </c>
      <c r="D2596" s="95" t="s">
        <v>20</v>
      </c>
      <c r="E2596" s="95" t="s">
        <v>69</v>
      </c>
      <c r="F2596" s="95" t="s">
        <v>71</v>
      </c>
      <c r="G2596" s="96">
        <v>1202035733</v>
      </c>
      <c r="H2596" s="95"/>
      <c r="K2596" s="97"/>
    </row>
    <row r="2597" spans="1:11" x14ac:dyDescent="0.2">
      <c r="A2597" s="91">
        <v>2026</v>
      </c>
      <c r="B2597" s="92" t="s">
        <v>66</v>
      </c>
      <c r="C2597" s="92" t="s">
        <v>17</v>
      </c>
      <c r="D2597" s="92" t="s">
        <v>20</v>
      </c>
      <c r="E2597" s="92" t="s">
        <v>69</v>
      </c>
      <c r="F2597" s="92" t="s">
        <v>70</v>
      </c>
      <c r="G2597" s="93">
        <v>7079157983</v>
      </c>
      <c r="H2597" s="92"/>
      <c r="K2597" s="97"/>
    </row>
    <row r="2598" spans="1:11" x14ac:dyDescent="0.2">
      <c r="A2598" s="94">
        <v>2026</v>
      </c>
      <c r="B2598" s="95" t="s">
        <v>66</v>
      </c>
      <c r="C2598" s="95" t="s">
        <v>17</v>
      </c>
      <c r="D2598" s="95" t="s">
        <v>21</v>
      </c>
      <c r="E2598" s="95" t="s">
        <v>67</v>
      </c>
      <c r="F2598" s="95" t="s">
        <v>67</v>
      </c>
      <c r="G2598" s="96">
        <v>3318966122</v>
      </c>
      <c r="H2598" s="95"/>
      <c r="K2598" s="97"/>
    </row>
    <row r="2599" spans="1:11" x14ac:dyDescent="0.2">
      <c r="A2599" s="91">
        <v>2026</v>
      </c>
      <c r="B2599" s="92" t="s">
        <v>66</v>
      </c>
      <c r="C2599" s="92" t="s">
        <v>17</v>
      </c>
      <c r="D2599" s="92" t="s">
        <v>21</v>
      </c>
      <c r="E2599" s="92" t="s">
        <v>69</v>
      </c>
      <c r="F2599" s="92" t="s">
        <v>71</v>
      </c>
      <c r="G2599" s="93">
        <v>2033727704</v>
      </c>
      <c r="H2599" s="92"/>
      <c r="K2599" s="97"/>
    </row>
    <row r="2600" spans="1:11" x14ac:dyDescent="0.2">
      <c r="A2600" s="94">
        <v>2026</v>
      </c>
      <c r="B2600" s="95" t="s">
        <v>66</v>
      </c>
      <c r="C2600" s="95" t="s">
        <v>17</v>
      </c>
      <c r="D2600" s="95" t="s">
        <v>21</v>
      </c>
      <c r="E2600" s="95" t="s">
        <v>69</v>
      </c>
      <c r="F2600" s="95" t="s">
        <v>70</v>
      </c>
      <c r="G2600" s="96">
        <v>2665926744</v>
      </c>
      <c r="H2600" s="95"/>
      <c r="K2600" s="97"/>
    </row>
    <row r="2601" spans="1:11" x14ac:dyDescent="0.2">
      <c r="A2601" s="91">
        <v>2026</v>
      </c>
      <c r="B2601" s="92" t="s">
        <v>66</v>
      </c>
      <c r="C2601" s="92" t="s">
        <v>17</v>
      </c>
      <c r="D2601" s="92" t="s">
        <v>22</v>
      </c>
      <c r="E2601" s="92" t="s">
        <v>67</v>
      </c>
      <c r="F2601" s="92" t="s">
        <v>67</v>
      </c>
      <c r="G2601" s="93">
        <v>1090439702</v>
      </c>
      <c r="H2601" s="92"/>
      <c r="K2601" s="97"/>
    </row>
    <row r="2602" spans="1:11" x14ac:dyDescent="0.2">
      <c r="A2602" s="94">
        <v>2026</v>
      </c>
      <c r="B2602" s="95" t="s">
        <v>66</v>
      </c>
      <c r="C2602" s="95" t="s">
        <v>17</v>
      </c>
      <c r="D2602" s="95" t="s">
        <v>22</v>
      </c>
      <c r="E2602" s="95" t="s">
        <v>69</v>
      </c>
      <c r="F2602" s="95" t="s">
        <v>71</v>
      </c>
      <c r="G2602" s="96">
        <v>979196405</v>
      </c>
      <c r="H2602" s="95"/>
      <c r="K2602" s="97"/>
    </row>
    <row r="2603" spans="1:11" x14ac:dyDescent="0.2">
      <c r="A2603" s="91">
        <v>2026</v>
      </c>
      <c r="B2603" s="92" t="s">
        <v>66</v>
      </c>
      <c r="C2603" s="92" t="s">
        <v>17</v>
      </c>
      <c r="D2603" s="92" t="s">
        <v>22</v>
      </c>
      <c r="E2603" s="92" t="s">
        <v>69</v>
      </c>
      <c r="F2603" s="92" t="s">
        <v>70</v>
      </c>
      <c r="G2603" s="93">
        <v>1328470346</v>
      </c>
      <c r="H2603" s="92"/>
      <c r="K2603" s="97"/>
    </row>
    <row r="2604" spans="1:11" x14ac:dyDescent="0.2">
      <c r="A2604" s="94">
        <v>2026</v>
      </c>
      <c r="B2604" s="95" t="s">
        <v>66</v>
      </c>
      <c r="C2604" s="95" t="s">
        <v>17</v>
      </c>
      <c r="D2604" s="95" t="s">
        <v>23</v>
      </c>
      <c r="E2604" s="95" t="s">
        <v>67</v>
      </c>
      <c r="F2604" s="95" t="s">
        <v>67</v>
      </c>
      <c r="G2604" s="96">
        <v>1135002619</v>
      </c>
      <c r="H2604" s="95"/>
      <c r="K2604" s="97"/>
    </row>
    <row r="2605" spans="1:11" x14ac:dyDescent="0.2">
      <c r="A2605" s="91">
        <v>2026</v>
      </c>
      <c r="B2605" s="92" t="s">
        <v>66</v>
      </c>
      <c r="C2605" s="92" t="s">
        <v>17</v>
      </c>
      <c r="D2605" s="92" t="s">
        <v>23</v>
      </c>
      <c r="E2605" s="92" t="s">
        <v>69</v>
      </c>
      <c r="F2605" s="92" t="s">
        <v>71</v>
      </c>
      <c r="G2605" s="93">
        <v>1098193844</v>
      </c>
      <c r="H2605" s="92"/>
      <c r="K2605" s="97"/>
    </row>
    <row r="2606" spans="1:11" x14ac:dyDescent="0.2">
      <c r="A2606" s="94">
        <v>2026</v>
      </c>
      <c r="B2606" s="95" t="s">
        <v>66</v>
      </c>
      <c r="C2606" s="95" t="s">
        <v>17</v>
      </c>
      <c r="D2606" s="95" t="s">
        <v>23</v>
      </c>
      <c r="E2606" s="95" t="s">
        <v>69</v>
      </c>
      <c r="F2606" s="95" t="s">
        <v>70</v>
      </c>
      <c r="G2606" s="96">
        <v>577652182</v>
      </c>
      <c r="H2606" s="95"/>
      <c r="K2606" s="97"/>
    </row>
    <row r="2607" spans="1:11" x14ac:dyDescent="0.2">
      <c r="A2607" s="91">
        <v>2026</v>
      </c>
      <c r="B2607" s="92" t="s">
        <v>66</v>
      </c>
      <c r="C2607" s="92" t="s">
        <v>17</v>
      </c>
      <c r="D2607" s="92" t="s">
        <v>24</v>
      </c>
      <c r="E2607" s="92" t="s">
        <v>67</v>
      </c>
      <c r="F2607" s="92" t="s">
        <v>67</v>
      </c>
      <c r="G2607" s="93">
        <v>17441951561</v>
      </c>
      <c r="H2607" s="92"/>
      <c r="K2607" s="97"/>
    </row>
    <row r="2608" spans="1:11" x14ac:dyDescent="0.2">
      <c r="A2608" s="94">
        <v>2026</v>
      </c>
      <c r="B2608" s="95" t="s">
        <v>66</v>
      </c>
      <c r="C2608" s="95" t="s">
        <v>17</v>
      </c>
      <c r="D2608" s="95" t="s">
        <v>24</v>
      </c>
      <c r="E2608" s="95" t="s">
        <v>69</v>
      </c>
      <c r="F2608" s="95" t="s">
        <v>71</v>
      </c>
      <c r="G2608" s="96">
        <v>10380949735</v>
      </c>
      <c r="H2608" s="95"/>
      <c r="K2608" s="97"/>
    </row>
    <row r="2609" spans="1:11" x14ac:dyDescent="0.2">
      <c r="A2609" s="91">
        <v>2026</v>
      </c>
      <c r="B2609" s="92" t="s">
        <v>66</v>
      </c>
      <c r="C2609" s="92" t="s">
        <v>17</v>
      </c>
      <c r="D2609" s="92" t="s">
        <v>24</v>
      </c>
      <c r="E2609" s="92" t="s">
        <v>69</v>
      </c>
      <c r="F2609" s="92" t="s">
        <v>70</v>
      </c>
      <c r="G2609" s="93">
        <v>12375620130</v>
      </c>
      <c r="H2609" s="92"/>
      <c r="K2609" s="97"/>
    </row>
    <row r="2610" spans="1:11" x14ac:dyDescent="0.2">
      <c r="A2610" s="94">
        <v>2026</v>
      </c>
      <c r="B2610" s="95" t="s">
        <v>66</v>
      </c>
      <c r="C2610" s="95" t="s">
        <v>17</v>
      </c>
      <c r="D2610" s="95" t="s">
        <v>25</v>
      </c>
      <c r="E2610" s="95" t="s">
        <v>67</v>
      </c>
      <c r="F2610" s="95" t="s">
        <v>67</v>
      </c>
      <c r="G2610" s="96">
        <v>0</v>
      </c>
      <c r="H2610" s="95"/>
      <c r="K2610" s="97"/>
    </row>
    <row r="2611" spans="1:11" x14ac:dyDescent="0.2">
      <c r="A2611" s="91">
        <v>2026</v>
      </c>
      <c r="B2611" s="92" t="s">
        <v>66</v>
      </c>
      <c r="C2611" s="92" t="s">
        <v>17</v>
      </c>
      <c r="D2611" s="92" t="s">
        <v>25</v>
      </c>
      <c r="E2611" s="92" t="s">
        <v>69</v>
      </c>
      <c r="F2611" s="92" t="s">
        <v>71</v>
      </c>
      <c r="G2611" s="93">
        <v>0</v>
      </c>
      <c r="H2611" s="92"/>
      <c r="K2611" s="97"/>
    </row>
    <row r="2612" spans="1:11" x14ac:dyDescent="0.2">
      <c r="A2612" s="94">
        <v>2026</v>
      </c>
      <c r="B2612" s="95" t="s">
        <v>66</v>
      </c>
      <c r="C2612" s="95" t="s">
        <v>17</v>
      </c>
      <c r="D2612" s="95" t="s">
        <v>25</v>
      </c>
      <c r="E2612" s="95" t="s">
        <v>69</v>
      </c>
      <c r="F2612" s="95" t="s">
        <v>70</v>
      </c>
      <c r="G2612" s="96">
        <v>0</v>
      </c>
      <c r="H2612" s="95"/>
      <c r="K2612" s="97"/>
    </row>
    <row r="2613" spans="1:11" x14ac:dyDescent="0.2">
      <c r="A2613" s="91">
        <v>2026</v>
      </c>
      <c r="B2613" s="92" t="s">
        <v>66</v>
      </c>
      <c r="C2613" s="92" t="s">
        <v>27</v>
      </c>
      <c r="D2613" s="92" t="s">
        <v>26</v>
      </c>
      <c r="E2613" s="92" t="s">
        <v>67</v>
      </c>
      <c r="F2613" s="92" t="s">
        <v>67</v>
      </c>
      <c r="G2613" s="93">
        <v>28327450431</v>
      </c>
      <c r="H2613" s="92"/>
      <c r="K2613" s="97"/>
    </row>
    <row r="2614" spans="1:11" x14ac:dyDescent="0.2">
      <c r="A2614" s="94">
        <v>2026</v>
      </c>
      <c r="B2614" s="95" t="s">
        <v>66</v>
      </c>
      <c r="C2614" s="95" t="s">
        <v>27</v>
      </c>
      <c r="D2614" s="95" t="s">
        <v>26</v>
      </c>
      <c r="E2614" s="95" t="s">
        <v>69</v>
      </c>
      <c r="F2614" s="95" t="s">
        <v>71</v>
      </c>
      <c r="G2614" s="96">
        <v>9280000192</v>
      </c>
      <c r="H2614" s="95"/>
      <c r="K2614" s="97"/>
    </row>
    <row r="2615" spans="1:11" x14ac:dyDescent="0.2">
      <c r="A2615" s="91">
        <v>2026</v>
      </c>
      <c r="B2615" s="92" t="s">
        <v>66</v>
      </c>
      <c r="C2615" s="92" t="s">
        <v>27</v>
      </c>
      <c r="D2615" s="92" t="s">
        <v>26</v>
      </c>
      <c r="E2615" s="92" t="s">
        <v>69</v>
      </c>
      <c r="F2615" s="92" t="s">
        <v>70</v>
      </c>
      <c r="G2615" s="93">
        <v>26005802916</v>
      </c>
      <c r="H2615" s="92"/>
      <c r="K2615" s="97"/>
    </row>
    <row r="2616" spans="1:11" x14ac:dyDescent="0.2">
      <c r="A2616" s="94">
        <v>2026</v>
      </c>
      <c r="B2616" s="95" t="s">
        <v>66</v>
      </c>
      <c r="C2616" s="95" t="s">
        <v>27</v>
      </c>
      <c r="D2616" s="95" t="s">
        <v>28</v>
      </c>
      <c r="E2616" s="95" t="s">
        <v>67</v>
      </c>
      <c r="F2616" s="95" t="s">
        <v>67</v>
      </c>
      <c r="G2616" s="96">
        <v>25498920598</v>
      </c>
      <c r="H2616" s="95"/>
      <c r="K2616" s="97"/>
    </row>
    <row r="2617" spans="1:11" x14ac:dyDescent="0.2">
      <c r="A2617" s="91">
        <v>2026</v>
      </c>
      <c r="B2617" s="92" t="s">
        <v>66</v>
      </c>
      <c r="C2617" s="92" t="s">
        <v>27</v>
      </c>
      <c r="D2617" s="92" t="s">
        <v>28</v>
      </c>
      <c r="E2617" s="92" t="s">
        <v>69</v>
      </c>
      <c r="F2617" s="92" t="s">
        <v>71</v>
      </c>
      <c r="G2617" s="93">
        <v>17677252677</v>
      </c>
      <c r="H2617" s="92"/>
      <c r="K2617" s="97"/>
    </row>
    <row r="2618" spans="1:11" x14ac:dyDescent="0.2">
      <c r="A2618" s="94">
        <v>2026</v>
      </c>
      <c r="B2618" s="95" t="s">
        <v>66</v>
      </c>
      <c r="C2618" s="95" t="s">
        <v>27</v>
      </c>
      <c r="D2618" s="95" t="s">
        <v>28</v>
      </c>
      <c r="E2618" s="95" t="s">
        <v>69</v>
      </c>
      <c r="F2618" s="95" t="s">
        <v>70</v>
      </c>
      <c r="G2618" s="96">
        <v>40306158822</v>
      </c>
      <c r="H2618" s="95"/>
      <c r="K2618" s="97"/>
    </row>
    <row r="2619" spans="1:11" x14ac:dyDescent="0.2">
      <c r="A2619" s="91">
        <v>2026</v>
      </c>
      <c r="B2619" s="92" t="s">
        <v>66</v>
      </c>
      <c r="C2619" s="92" t="s">
        <v>27</v>
      </c>
      <c r="D2619" s="92" t="s">
        <v>29</v>
      </c>
      <c r="E2619" s="92" t="s">
        <v>67</v>
      </c>
      <c r="F2619" s="92" t="s">
        <v>67</v>
      </c>
      <c r="G2619" s="93">
        <v>14825888758</v>
      </c>
      <c r="H2619" s="92"/>
      <c r="K2619" s="97"/>
    </row>
    <row r="2620" spans="1:11" x14ac:dyDescent="0.2">
      <c r="A2620" s="94">
        <v>2026</v>
      </c>
      <c r="B2620" s="95" t="s">
        <v>66</v>
      </c>
      <c r="C2620" s="95" t="s">
        <v>27</v>
      </c>
      <c r="D2620" s="95" t="s">
        <v>29</v>
      </c>
      <c r="E2620" s="95" t="s">
        <v>69</v>
      </c>
      <c r="F2620" s="95" t="s">
        <v>71</v>
      </c>
      <c r="G2620" s="96">
        <v>7650880893</v>
      </c>
      <c r="H2620" s="95"/>
      <c r="K2620" s="97"/>
    </row>
    <row r="2621" spans="1:11" x14ac:dyDescent="0.2">
      <c r="A2621" s="91">
        <v>2026</v>
      </c>
      <c r="B2621" s="92" t="s">
        <v>66</v>
      </c>
      <c r="C2621" s="92" t="s">
        <v>27</v>
      </c>
      <c r="D2621" s="92" t="s">
        <v>29</v>
      </c>
      <c r="E2621" s="92" t="s">
        <v>69</v>
      </c>
      <c r="F2621" s="92" t="s">
        <v>70</v>
      </c>
      <c r="G2621" s="93">
        <v>13884920573</v>
      </c>
      <c r="H2621" s="92"/>
      <c r="K2621" s="97"/>
    </row>
    <row r="2622" spans="1:11" x14ac:dyDescent="0.2">
      <c r="A2622" s="94">
        <v>2026</v>
      </c>
      <c r="B2622" s="95" t="s">
        <v>66</v>
      </c>
      <c r="C2622" s="95" t="s">
        <v>27</v>
      </c>
      <c r="D2622" s="95" t="s">
        <v>30</v>
      </c>
      <c r="E2622" s="95" t="s">
        <v>67</v>
      </c>
      <c r="F2622" s="95" t="s">
        <v>67</v>
      </c>
      <c r="G2622" s="96">
        <v>26784959758</v>
      </c>
      <c r="H2622" s="95"/>
      <c r="K2622" s="97"/>
    </row>
    <row r="2623" spans="1:11" x14ac:dyDescent="0.2">
      <c r="A2623" s="91">
        <v>2026</v>
      </c>
      <c r="B2623" s="92" t="s">
        <v>66</v>
      </c>
      <c r="C2623" s="92" t="s">
        <v>27</v>
      </c>
      <c r="D2623" s="92" t="s">
        <v>30</v>
      </c>
      <c r="E2623" s="92" t="s">
        <v>69</v>
      </c>
      <c r="F2623" s="92" t="s">
        <v>71</v>
      </c>
      <c r="G2623" s="93">
        <v>15185631164</v>
      </c>
      <c r="H2623" s="92"/>
      <c r="K2623" s="97"/>
    </row>
    <row r="2624" spans="1:11" x14ac:dyDescent="0.2">
      <c r="A2624" s="94">
        <v>2026</v>
      </c>
      <c r="B2624" s="95" t="s">
        <v>66</v>
      </c>
      <c r="C2624" s="95" t="s">
        <v>27</v>
      </c>
      <c r="D2624" s="95" t="s">
        <v>30</v>
      </c>
      <c r="E2624" s="95" t="s">
        <v>69</v>
      </c>
      <c r="F2624" s="95" t="s">
        <v>70</v>
      </c>
      <c r="G2624" s="96">
        <v>46997840477</v>
      </c>
      <c r="H2624" s="95"/>
      <c r="K2624" s="97"/>
    </row>
    <row r="2625" spans="1:11" x14ac:dyDescent="0.2">
      <c r="A2625" s="91">
        <v>2026</v>
      </c>
      <c r="B2625" s="92" t="s">
        <v>66</v>
      </c>
      <c r="C2625" s="92" t="s">
        <v>27</v>
      </c>
      <c r="D2625" s="92" t="s">
        <v>31</v>
      </c>
      <c r="E2625" s="92" t="s">
        <v>67</v>
      </c>
      <c r="F2625" s="92" t="s">
        <v>67</v>
      </c>
      <c r="G2625" s="93">
        <v>4776890035</v>
      </c>
      <c r="H2625" s="92"/>
      <c r="K2625" s="97"/>
    </row>
    <row r="2626" spans="1:11" x14ac:dyDescent="0.2">
      <c r="A2626" s="94">
        <v>2026</v>
      </c>
      <c r="B2626" s="95" t="s">
        <v>66</v>
      </c>
      <c r="C2626" s="95" t="s">
        <v>27</v>
      </c>
      <c r="D2626" s="95" t="s">
        <v>31</v>
      </c>
      <c r="E2626" s="95" t="s">
        <v>69</v>
      </c>
      <c r="F2626" s="95" t="s">
        <v>71</v>
      </c>
      <c r="G2626" s="96">
        <v>5620423310</v>
      </c>
      <c r="H2626" s="95"/>
      <c r="K2626" s="97"/>
    </row>
    <row r="2627" spans="1:11" x14ac:dyDescent="0.2">
      <c r="A2627" s="91">
        <v>2026</v>
      </c>
      <c r="B2627" s="92" t="s">
        <v>66</v>
      </c>
      <c r="C2627" s="92" t="s">
        <v>27</v>
      </c>
      <c r="D2627" s="92" t="s">
        <v>31</v>
      </c>
      <c r="E2627" s="92" t="s">
        <v>69</v>
      </c>
      <c r="F2627" s="92" t="s">
        <v>70</v>
      </c>
      <c r="G2627" s="93">
        <v>13922206895</v>
      </c>
      <c r="H2627" s="92"/>
      <c r="K2627" s="97"/>
    </row>
    <row r="2628" spans="1:11" x14ac:dyDescent="0.2">
      <c r="A2628" s="94">
        <v>2026</v>
      </c>
      <c r="B2628" s="95" t="s">
        <v>66</v>
      </c>
      <c r="C2628" s="95" t="s">
        <v>27</v>
      </c>
      <c r="D2628" s="95" t="s">
        <v>32</v>
      </c>
      <c r="E2628" s="95" t="s">
        <v>67</v>
      </c>
      <c r="F2628" s="95" t="s">
        <v>67</v>
      </c>
      <c r="G2628" s="96">
        <v>16243921669</v>
      </c>
      <c r="H2628" s="95"/>
      <c r="K2628" s="97"/>
    </row>
    <row r="2629" spans="1:11" x14ac:dyDescent="0.2">
      <c r="A2629" s="91">
        <v>2026</v>
      </c>
      <c r="B2629" s="92" t="s">
        <v>66</v>
      </c>
      <c r="C2629" s="92" t="s">
        <v>27</v>
      </c>
      <c r="D2629" s="92" t="s">
        <v>32</v>
      </c>
      <c r="E2629" s="92" t="s">
        <v>69</v>
      </c>
      <c r="F2629" s="92" t="s">
        <v>71</v>
      </c>
      <c r="G2629" s="93">
        <v>13301902500</v>
      </c>
      <c r="H2629" s="92"/>
      <c r="K2629" s="97"/>
    </row>
    <row r="2630" spans="1:11" x14ac:dyDescent="0.2">
      <c r="A2630" s="94">
        <v>2026</v>
      </c>
      <c r="B2630" s="95" t="s">
        <v>66</v>
      </c>
      <c r="C2630" s="95" t="s">
        <v>27</v>
      </c>
      <c r="D2630" s="95" t="s">
        <v>32</v>
      </c>
      <c r="E2630" s="95" t="s">
        <v>69</v>
      </c>
      <c r="F2630" s="95" t="s">
        <v>70</v>
      </c>
      <c r="G2630" s="96">
        <v>15167409009</v>
      </c>
      <c r="H2630" s="95"/>
      <c r="K2630" s="97"/>
    </row>
    <row r="2631" spans="1:11" x14ac:dyDescent="0.2">
      <c r="A2631" s="91">
        <v>2026</v>
      </c>
      <c r="B2631" s="92" t="s">
        <v>66</v>
      </c>
      <c r="C2631" s="92" t="s">
        <v>27</v>
      </c>
      <c r="D2631" s="92" t="s">
        <v>33</v>
      </c>
      <c r="E2631" s="92" t="s">
        <v>67</v>
      </c>
      <c r="F2631" s="92" t="s">
        <v>67</v>
      </c>
      <c r="G2631" s="93">
        <v>12084315663</v>
      </c>
      <c r="H2631" s="92"/>
      <c r="K2631" s="97"/>
    </row>
    <row r="2632" spans="1:11" x14ac:dyDescent="0.2">
      <c r="A2632" s="94">
        <v>2026</v>
      </c>
      <c r="B2632" s="95" t="s">
        <v>66</v>
      </c>
      <c r="C2632" s="95" t="s">
        <v>27</v>
      </c>
      <c r="D2632" s="95" t="s">
        <v>33</v>
      </c>
      <c r="E2632" s="95" t="s">
        <v>69</v>
      </c>
      <c r="F2632" s="95" t="s">
        <v>71</v>
      </c>
      <c r="G2632" s="96">
        <v>13528076876</v>
      </c>
      <c r="H2632" s="95"/>
      <c r="K2632" s="97"/>
    </row>
    <row r="2633" spans="1:11" x14ac:dyDescent="0.2">
      <c r="A2633" s="91">
        <v>2026</v>
      </c>
      <c r="B2633" s="92" t="s">
        <v>66</v>
      </c>
      <c r="C2633" s="92" t="s">
        <v>27</v>
      </c>
      <c r="D2633" s="92" t="s">
        <v>33</v>
      </c>
      <c r="E2633" s="92" t="s">
        <v>69</v>
      </c>
      <c r="F2633" s="92" t="s">
        <v>70</v>
      </c>
      <c r="G2633" s="93">
        <v>48968899704</v>
      </c>
      <c r="H2633" s="92"/>
      <c r="K2633" s="97"/>
    </row>
    <row r="2634" spans="1:11" x14ac:dyDescent="0.2">
      <c r="A2634" s="94">
        <v>2026</v>
      </c>
      <c r="B2634" s="95" t="s">
        <v>66</v>
      </c>
      <c r="C2634" s="95" t="s">
        <v>35</v>
      </c>
      <c r="D2634" s="95" t="s">
        <v>34</v>
      </c>
      <c r="E2634" s="95" t="s">
        <v>67</v>
      </c>
      <c r="F2634" s="95" t="s">
        <v>67</v>
      </c>
      <c r="G2634" s="96">
        <v>5003422814</v>
      </c>
      <c r="H2634" s="95"/>
      <c r="K2634" s="97"/>
    </row>
    <row r="2635" spans="1:11" x14ac:dyDescent="0.2">
      <c r="A2635" s="91">
        <v>2026</v>
      </c>
      <c r="B2635" s="92" t="s">
        <v>66</v>
      </c>
      <c r="C2635" s="92" t="s">
        <v>35</v>
      </c>
      <c r="D2635" s="92" t="s">
        <v>34</v>
      </c>
      <c r="E2635" s="92" t="s">
        <v>69</v>
      </c>
      <c r="F2635" s="92" t="s">
        <v>71</v>
      </c>
      <c r="G2635" s="93">
        <v>2268527294</v>
      </c>
      <c r="H2635" s="92"/>
      <c r="K2635" s="97"/>
    </row>
    <row r="2636" spans="1:11" x14ac:dyDescent="0.2">
      <c r="A2636" s="94">
        <v>2026</v>
      </c>
      <c r="B2636" s="95" t="s">
        <v>66</v>
      </c>
      <c r="C2636" s="95" t="s">
        <v>35</v>
      </c>
      <c r="D2636" s="95" t="s">
        <v>34</v>
      </c>
      <c r="E2636" s="95" t="s">
        <v>69</v>
      </c>
      <c r="F2636" s="95" t="s">
        <v>70</v>
      </c>
      <c r="G2636" s="96">
        <v>2193730682</v>
      </c>
      <c r="H2636" s="95"/>
      <c r="K2636" s="97"/>
    </row>
    <row r="2637" spans="1:11" x14ac:dyDescent="0.2">
      <c r="A2637" s="91">
        <v>2026</v>
      </c>
      <c r="B2637" s="92" t="s">
        <v>66</v>
      </c>
      <c r="C2637" s="92" t="s">
        <v>35</v>
      </c>
      <c r="D2637" s="92" t="s">
        <v>36</v>
      </c>
      <c r="E2637" s="92" t="s">
        <v>67</v>
      </c>
      <c r="F2637" s="92" t="s">
        <v>67</v>
      </c>
      <c r="G2637" s="93">
        <v>13334261596</v>
      </c>
      <c r="H2637" s="92"/>
      <c r="K2637" s="97"/>
    </row>
    <row r="2638" spans="1:11" x14ac:dyDescent="0.2">
      <c r="A2638" s="94">
        <v>2026</v>
      </c>
      <c r="B2638" s="95" t="s">
        <v>66</v>
      </c>
      <c r="C2638" s="95" t="s">
        <v>35</v>
      </c>
      <c r="D2638" s="95" t="s">
        <v>36</v>
      </c>
      <c r="E2638" s="95" t="s">
        <v>69</v>
      </c>
      <c r="F2638" s="95" t="s">
        <v>71</v>
      </c>
      <c r="G2638" s="96">
        <v>7777137008</v>
      </c>
      <c r="H2638" s="95"/>
      <c r="K2638" s="97"/>
    </row>
    <row r="2639" spans="1:11" x14ac:dyDescent="0.2">
      <c r="A2639" s="91">
        <v>2026</v>
      </c>
      <c r="B2639" s="92" t="s">
        <v>66</v>
      </c>
      <c r="C2639" s="92" t="s">
        <v>35</v>
      </c>
      <c r="D2639" s="92" t="s">
        <v>36</v>
      </c>
      <c r="E2639" s="92" t="s">
        <v>69</v>
      </c>
      <c r="F2639" s="92" t="s">
        <v>70</v>
      </c>
      <c r="G2639" s="93">
        <v>6935680734</v>
      </c>
      <c r="H2639" s="92"/>
      <c r="K2639" s="97"/>
    </row>
    <row r="2640" spans="1:11" x14ac:dyDescent="0.2">
      <c r="A2640" s="94">
        <v>2026</v>
      </c>
      <c r="B2640" s="95" t="s">
        <v>66</v>
      </c>
      <c r="C2640" s="95" t="s">
        <v>35</v>
      </c>
      <c r="D2640" s="95" t="s">
        <v>37</v>
      </c>
      <c r="E2640" s="95" t="s">
        <v>67</v>
      </c>
      <c r="F2640" s="95" t="s">
        <v>67</v>
      </c>
      <c r="G2640" s="96">
        <v>2233315939</v>
      </c>
      <c r="H2640" s="95"/>
      <c r="K2640" s="97"/>
    </row>
    <row r="2641" spans="1:11" x14ac:dyDescent="0.2">
      <c r="A2641" s="91">
        <v>2026</v>
      </c>
      <c r="B2641" s="92" t="s">
        <v>66</v>
      </c>
      <c r="C2641" s="92" t="s">
        <v>35</v>
      </c>
      <c r="D2641" s="92" t="s">
        <v>37</v>
      </c>
      <c r="E2641" s="92" t="s">
        <v>69</v>
      </c>
      <c r="F2641" s="92" t="s">
        <v>71</v>
      </c>
      <c r="G2641" s="93">
        <v>1274858051</v>
      </c>
      <c r="H2641" s="92"/>
      <c r="K2641" s="97"/>
    </row>
    <row r="2642" spans="1:11" x14ac:dyDescent="0.2">
      <c r="A2642" s="94">
        <v>2026</v>
      </c>
      <c r="B2642" s="95" t="s">
        <v>66</v>
      </c>
      <c r="C2642" s="95" t="s">
        <v>35</v>
      </c>
      <c r="D2642" s="95" t="s">
        <v>37</v>
      </c>
      <c r="E2642" s="95" t="s">
        <v>69</v>
      </c>
      <c r="F2642" s="95" t="s">
        <v>70</v>
      </c>
      <c r="G2642" s="96">
        <v>1642391689</v>
      </c>
      <c r="H2642" s="95"/>
      <c r="K2642" s="97"/>
    </row>
    <row r="2643" spans="1:11" x14ac:dyDescent="0.2">
      <c r="A2643" s="91">
        <v>2026</v>
      </c>
      <c r="B2643" s="92" t="s">
        <v>66</v>
      </c>
      <c r="C2643" s="92" t="s">
        <v>35</v>
      </c>
      <c r="D2643" s="92" t="s">
        <v>38</v>
      </c>
      <c r="E2643" s="92" t="s">
        <v>67</v>
      </c>
      <c r="F2643" s="92" t="s">
        <v>67</v>
      </c>
      <c r="G2643" s="93">
        <v>3424884998</v>
      </c>
      <c r="H2643" s="92"/>
      <c r="K2643" s="97"/>
    </row>
    <row r="2644" spans="1:11" x14ac:dyDescent="0.2">
      <c r="A2644" s="94">
        <v>2026</v>
      </c>
      <c r="B2644" s="95" t="s">
        <v>66</v>
      </c>
      <c r="C2644" s="95" t="s">
        <v>35</v>
      </c>
      <c r="D2644" s="95" t="s">
        <v>38</v>
      </c>
      <c r="E2644" s="95" t="s">
        <v>69</v>
      </c>
      <c r="F2644" s="95" t="s">
        <v>71</v>
      </c>
      <c r="G2644" s="96">
        <v>1676170516</v>
      </c>
      <c r="H2644" s="95"/>
      <c r="K2644" s="97"/>
    </row>
    <row r="2645" spans="1:11" x14ac:dyDescent="0.2">
      <c r="A2645" s="91">
        <v>2026</v>
      </c>
      <c r="B2645" s="92" t="s">
        <v>66</v>
      </c>
      <c r="C2645" s="92" t="s">
        <v>35</v>
      </c>
      <c r="D2645" s="92" t="s">
        <v>38</v>
      </c>
      <c r="E2645" s="92" t="s">
        <v>69</v>
      </c>
      <c r="F2645" s="92" t="s">
        <v>70</v>
      </c>
      <c r="G2645" s="93">
        <v>2060663936</v>
      </c>
      <c r="H2645" s="92"/>
      <c r="K2645" s="97"/>
    </row>
    <row r="2646" spans="1:11" x14ac:dyDescent="0.2">
      <c r="A2646" s="94">
        <v>2026</v>
      </c>
      <c r="B2646" s="95" t="s">
        <v>66</v>
      </c>
      <c r="C2646" s="95" t="s">
        <v>35</v>
      </c>
      <c r="D2646" s="95" t="s">
        <v>39</v>
      </c>
      <c r="E2646" s="95" t="s">
        <v>67</v>
      </c>
      <c r="F2646" s="95" t="s">
        <v>67</v>
      </c>
      <c r="G2646" s="96">
        <v>17100686837</v>
      </c>
      <c r="H2646" s="95"/>
      <c r="K2646" s="97"/>
    </row>
    <row r="2647" spans="1:11" x14ac:dyDescent="0.2">
      <c r="A2647" s="91">
        <v>2026</v>
      </c>
      <c r="B2647" s="92" t="s">
        <v>66</v>
      </c>
      <c r="C2647" s="92" t="s">
        <v>35</v>
      </c>
      <c r="D2647" s="92" t="s">
        <v>39</v>
      </c>
      <c r="E2647" s="92" t="s">
        <v>69</v>
      </c>
      <c r="F2647" s="92" t="s">
        <v>71</v>
      </c>
      <c r="G2647" s="93">
        <v>9960526262</v>
      </c>
      <c r="H2647" s="92"/>
      <c r="K2647" s="97"/>
    </row>
    <row r="2648" spans="1:11" x14ac:dyDescent="0.2">
      <c r="A2648" s="94">
        <v>2026</v>
      </c>
      <c r="B2648" s="95" t="s">
        <v>66</v>
      </c>
      <c r="C2648" s="95" t="s">
        <v>35</v>
      </c>
      <c r="D2648" s="95" t="s">
        <v>39</v>
      </c>
      <c r="E2648" s="95" t="s">
        <v>69</v>
      </c>
      <c r="F2648" s="95" t="s">
        <v>70</v>
      </c>
      <c r="G2648" s="96">
        <v>9914890541</v>
      </c>
      <c r="H2648" s="95"/>
      <c r="K2648" s="97"/>
    </row>
    <row r="2649" spans="1:11" x14ac:dyDescent="0.2">
      <c r="A2649" s="91">
        <v>2026</v>
      </c>
      <c r="B2649" s="92" t="s">
        <v>66</v>
      </c>
      <c r="C2649" s="92" t="s">
        <v>41</v>
      </c>
      <c r="D2649" s="92" t="s">
        <v>40</v>
      </c>
      <c r="E2649" s="92" t="s">
        <v>67</v>
      </c>
      <c r="F2649" s="92" t="s">
        <v>67</v>
      </c>
      <c r="G2649" s="93">
        <v>1634813791</v>
      </c>
      <c r="H2649" s="92"/>
      <c r="K2649" s="97"/>
    </row>
    <row r="2650" spans="1:11" x14ac:dyDescent="0.2">
      <c r="A2650" s="94">
        <v>2026</v>
      </c>
      <c r="B2650" s="95" t="s">
        <v>66</v>
      </c>
      <c r="C2650" s="95" t="s">
        <v>41</v>
      </c>
      <c r="D2650" s="95" t="s">
        <v>40</v>
      </c>
      <c r="E2650" s="95" t="s">
        <v>69</v>
      </c>
      <c r="F2650" s="95" t="s">
        <v>71</v>
      </c>
      <c r="G2650" s="96">
        <v>652907028</v>
      </c>
      <c r="H2650" s="95"/>
      <c r="K2650" s="97"/>
    </row>
    <row r="2651" spans="1:11" x14ac:dyDescent="0.2">
      <c r="A2651" s="91">
        <v>2026</v>
      </c>
      <c r="B2651" s="92" t="s">
        <v>66</v>
      </c>
      <c r="C2651" s="92" t="s">
        <v>41</v>
      </c>
      <c r="D2651" s="92" t="s">
        <v>40</v>
      </c>
      <c r="E2651" s="92" t="s">
        <v>69</v>
      </c>
      <c r="F2651" s="92" t="s">
        <v>70</v>
      </c>
      <c r="G2651" s="93">
        <v>605463133</v>
      </c>
      <c r="H2651" s="92"/>
      <c r="K2651" s="97"/>
    </row>
    <row r="2652" spans="1:11" x14ac:dyDescent="0.2">
      <c r="A2652" s="94">
        <v>2026</v>
      </c>
      <c r="B2652" s="95" t="s">
        <v>66</v>
      </c>
      <c r="C2652" s="95" t="s">
        <v>41</v>
      </c>
      <c r="D2652" s="95" t="s">
        <v>42</v>
      </c>
      <c r="E2652" s="95" t="s">
        <v>67</v>
      </c>
      <c r="F2652" s="95" t="s">
        <v>67</v>
      </c>
      <c r="G2652" s="96">
        <v>10229763888</v>
      </c>
      <c r="H2652" s="95"/>
      <c r="K2652" s="97"/>
    </row>
    <row r="2653" spans="1:11" x14ac:dyDescent="0.2">
      <c r="A2653" s="91">
        <v>2026</v>
      </c>
      <c r="B2653" s="92" t="s">
        <v>66</v>
      </c>
      <c r="C2653" s="92" t="s">
        <v>41</v>
      </c>
      <c r="D2653" s="92" t="s">
        <v>42</v>
      </c>
      <c r="E2653" s="92" t="s">
        <v>69</v>
      </c>
      <c r="F2653" s="92" t="s">
        <v>71</v>
      </c>
      <c r="G2653" s="93">
        <v>2051195361</v>
      </c>
      <c r="H2653" s="92"/>
      <c r="K2653" s="97"/>
    </row>
    <row r="2654" spans="1:11" x14ac:dyDescent="0.2">
      <c r="A2654" s="94">
        <v>2026</v>
      </c>
      <c r="B2654" s="95" t="s">
        <v>66</v>
      </c>
      <c r="C2654" s="95" t="s">
        <v>41</v>
      </c>
      <c r="D2654" s="95" t="s">
        <v>42</v>
      </c>
      <c r="E2654" s="95" t="s">
        <v>69</v>
      </c>
      <c r="F2654" s="95" t="s">
        <v>70</v>
      </c>
      <c r="G2654" s="96">
        <v>7281596739</v>
      </c>
      <c r="H2654" s="95"/>
      <c r="K2654" s="97"/>
    </row>
    <row r="2655" spans="1:11" x14ac:dyDescent="0.2">
      <c r="A2655" s="91">
        <v>2026</v>
      </c>
      <c r="B2655" s="92" t="s">
        <v>66</v>
      </c>
      <c r="C2655" s="92" t="s">
        <v>41</v>
      </c>
      <c r="D2655" s="92" t="s">
        <v>43</v>
      </c>
      <c r="E2655" s="92" t="s">
        <v>67</v>
      </c>
      <c r="F2655" s="92" t="s">
        <v>67</v>
      </c>
      <c r="G2655" s="93">
        <v>7441756040</v>
      </c>
      <c r="H2655" s="92"/>
      <c r="K2655" s="97"/>
    </row>
    <row r="2656" spans="1:11" x14ac:dyDescent="0.2">
      <c r="A2656" s="94">
        <v>2026</v>
      </c>
      <c r="B2656" s="95" t="s">
        <v>66</v>
      </c>
      <c r="C2656" s="95" t="s">
        <v>41</v>
      </c>
      <c r="D2656" s="95" t="s">
        <v>43</v>
      </c>
      <c r="E2656" s="95" t="s">
        <v>69</v>
      </c>
      <c r="F2656" s="95" t="s">
        <v>71</v>
      </c>
      <c r="G2656" s="96">
        <v>2962053181</v>
      </c>
      <c r="H2656" s="95"/>
      <c r="K2656" s="97"/>
    </row>
    <row r="2657" spans="1:11" x14ac:dyDescent="0.2">
      <c r="A2657" s="91">
        <v>2026</v>
      </c>
      <c r="B2657" s="92" t="s">
        <v>66</v>
      </c>
      <c r="C2657" s="92" t="s">
        <v>41</v>
      </c>
      <c r="D2657" s="92" t="s">
        <v>43</v>
      </c>
      <c r="E2657" s="92" t="s">
        <v>69</v>
      </c>
      <c r="F2657" s="92" t="s">
        <v>70</v>
      </c>
      <c r="G2657" s="93">
        <v>3593408933</v>
      </c>
      <c r="H2657" s="92"/>
      <c r="K2657" s="97"/>
    </row>
    <row r="2658" spans="1:11" x14ac:dyDescent="0.2">
      <c r="A2658" s="94">
        <v>2026</v>
      </c>
      <c r="B2658" s="95" t="s">
        <v>66</v>
      </c>
      <c r="C2658" s="95" t="s">
        <v>41</v>
      </c>
      <c r="D2658" s="95" t="s">
        <v>44</v>
      </c>
      <c r="E2658" s="95" t="s">
        <v>67</v>
      </c>
      <c r="F2658" s="95" t="s">
        <v>67</v>
      </c>
      <c r="G2658" s="96">
        <v>10503655600</v>
      </c>
      <c r="H2658" s="95"/>
      <c r="K2658" s="97"/>
    </row>
    <row r="2659" spans="1:11" x14ac:dyDescent="0.2">
      <c r="A2659" s="91">
        <v>2026</v>
      </c>
      <c r="B2659" s="92" t="s">
        <v>66</v>
      </c>
      <c r="C2659" s="92" t="s">
        <v>41</v>
      </c>
      <c r="D2659" s="92" t="s">
        <v>44</v>
      </c>
      <c r="E2659" s="92" t="s">
        <v>69</v>
      </c>
      <c r="F2659" s="92" t="s">
        <v>71</v>
      </c>
      <c r="G2659" s="93">
        <v>5177870032</v>
      </c>
      <c r="H2659" s="92"/>
      <c r="K2659" s="97"/>
    </row>
    <row r="2660" spans="1:11" x14ac:dyDescent="0.2">
      <c r="A2660" s="94">
        <v>2026</v>
      </c>
      <c r="B2660" s="95" t="s">
        <v>66</v>
      </c>
      <c r="C2660" s="95" t="s">
        <v>41</v>
      </c>
      <c r="D2660" s="95" t="s">
        <v>44</v>
      </c>
      <c r="E2660" s="95" t="s">
        <v>69</v>
      </c>
      <c r="F2660" s="95" t="s">
        <v>70</v>
      </c>
      <c r="G2660" s="96">
        <v>8277044978</v>
      </c>
      <c r="H2660" s="95"/>
      <c r="K2660" s="97"/>
    </row>
    <row r="2661" spans="1:11" x14ac:dyDescent="0.2">
      <c r="A2661" s="91">
        <v>2026</v>
      </c>
      <c r="B2661" s="92" t="s">
        <v>66</v>
      </c>
      <c r="C2661" s="92" t="s">
        <v>41</v>
      </c>
      <c r="D2661" s="92" t="s">
        <v>45</v>
      </c>
      <c r="E2661" s="92" t="s">
        <v>67</v>
      </c>
      <c r="F2661" s="92" t="s">
        <v>67</v>
      </c>
      <c r="G2661" s="93">
        <v>26357217073</v>
      </c>
      <c r="H2661" s="92"/>
      <c r="K2661" s="97"/>
    </row>
    <row r="2662" spans="1:11" x14ac:dyDescent="0.2">
      <c r="A2662" s="94">
        <v>2026</v>
      </c>
      <c r="B2662" s="95" t="s">
        <v>66</v>
      </c>
      <c r="C2662" s="95" t="s">
        <v>41</v>
      </c>
      <c r="D2662" s="95" t="s">
        <v>45</v>
      </c>
      <c r="E2662" s="95" t="s">
        <v>69</v>
      </c>
      <c r="F2662" s="95" t="s">
        <v>71</v>
      </c>
      <c r="G2662" s="96">
        <v>8271249803</v>
      </c>
      <c r="H2662" s="95"/>
      <c r="K2662" s="97"/>
    </row>
    <row r="2663" spans="1:11" x14ac:dyDescent="0.2">
      <c r="A2663" s="91">
        <v>2026</v>
      </c>
      <c r="B2663" s="92" t="s">
        <v>66</v>
      </c>
      <c r="C2663" s="92" t="s">
        <v>41</v>
      </c>
      <c r="D2663" s="92" t="s">
        <v>45</v>
      </c>
      <c r="E2663" s="92" t="s">
        <v>69</v>
      </c>
      <c r="F2663" s="92" t="s">
        <v>70</v>
      </c>
      <c r="G2663" s="93">
        <v>21750136034</v>
      </c>
      <c r="H2663" s="92"/>
      <c r="K2663" s="97"/>
    </row>
    <row r="2664" spans="1:11" x14ac:dyDescent="0.2">
      <c r="A2664" s="94">
        <v>2026</v>
      </c>
      <c r="B2664" s="95" t="s">
        <v>66</v>
      </c>
      <c r="C2664" s="95" t="s">
        <v>47</v>
      </c>
      <c r="D2664" s="95" t="s">
        <v>46</v>
      </c>
      <c r="E2664" s="95" t="s">
        <v>72</v>
      </c>
      <c r="F2664" s="95" t="s">
        <v>73</v>
      </c>
      <c r="G2664" s="96">
        <v>8715045447</v>
      </c>
      <c r="H2664" s="95"/>
      <c r="K2664" s="97"/>
    </row>
    <row r="2665" spans="1:11" x14ac:dyDescent="0.2">
      <c r="A2665" s="91">
        <v>2026</v>
      </c>
      <c r="B2665" s="92" t="s">
        <v>66</v>
      </c>
      <c r="C2665" s="92" t="s">
        <v>47</v>
      </c>
      <c r="D2665" s="92" t="s">
        <v>46</v>
      </c>
      <c r="E2665" s="92" t="s">
        <v>67</v>
      </c>
      <c r="F2665" s="92" t="s">
        <v>74</v>
      </c>
      <c r="G2665" s="93">
        <v>7950816455</v>
      </c>
      <c r="H2665" s="92"/>
      <c r="K2665" s="97"/>
    </row>
    <row r="2666" spans="1:11" x14ac:dyDescent="0.2">
      <c r="A2666" s="94">
        <v>2026</v>
      </c>
      <c r="B2666" s="95" t="s">
        <v>66</v>
      </c>
      <c r="C2666" s="95" t="s">
        <v>47</v>
      </c>
      <c r="D2666" s="95" t="s">
        <v>46</v>
      </c>
      <c r="E2666" s="95" t="s">
        <v>69</v>
      </c>
      <c r="F2666" s="95" t="s">
        <v>71</v>
      </c>
      <c r="G2666" s="96">
        <v>11191322746</v>
      </c>
      <c r="H2666" s="95"/>
      <c r="K2666" s="97"/>
    </row>
    <row r="2667" spans="1:11" x14ac:dyDescent="0.2">
      <c r="A2667" s="91">
        <v>2026</v>
      </c>
      <c r="B2667" s="92" t="s">
        <v>66</v>
      </c>
      <c r="C2667" s="92" t="s">
        <v>47</v>
      </c>
      <c r="D2667" s="92" t="s">
        <v>46</v>
      </c>
      <c r="E2667" s="92" t="s">
        <v>69</v>
      </c>
      <c r="F2667" s="92" t="s">
        <v>70</v>
      </c>
      <c r="G2667" s="93">
        <v>16611073632</v>
      </c>
      <c r="H2667" s="92"/>
      <c r="K2667" s="97"/>
    </row>
    <row r="2668" spans="1:11" x14ac:dyDescent="0.2">
      <c r="A2668" s="94">
        <v>2026</v>
      </c>
      <c r="B2668" s="95" t="s">
        <v>66</v>
      </c>
      <c r="C2668" s="95" t="s">
        <v>47</v>
      </c>
      <c r="D2668" s="95" t="s">
        <v>48</v>
      </c>
      <c r="E2668" s="95" t="s">
        <v>72</v>
      </c>
      <c r="F2668" s="95" t="s">
        <v>73</v>
      </c>
      <c r="G2668" s="96">
        <v>86778740771</v>
      </c>
      <c r="H2668" s="95"/>
      <c r="K2668" s="97"/>
    </row>
    <row r="2669" spans="1:11" x14ac:dyDescent="0.2">
      <c r="A2669" s="91">
        <v>2026</v>
      </c>
      <c r="B2669" s="92" t="s">
        <v>66</v>
      </c>
      <c r="C2669" s="92" t="s">
        <v>47</v>
      </c>
      <c r="D2669" s="92" t="s">
        <v>48</v>
      </c>
      <c r="E2669" s="92" t="s">
        <v>67</v>
      </c>
      <c r="F2669" s="92" t="s">
        <v>74</v>
      </c>
      <c r="G2669" s="93">
        <v>112095498557</v>
      </c>
      <c r="H2669" s="92"/>
      <c r="K2669" s="97"/>
    </row>
    <row r="2670" spans="1:11" x14ac:dyDescent="0.2">
      <c r="A2670" s="94">
        <v>2026</v>
      </c>
      <c r="B2670" s="95" t="s">
        <v>66</v>
      </c>
      <c r="C2670" s="95" t="s">
        <v>47</v>
      </c>
      <c r="D2670" s="95" t="s">
        <v>48</v>
      </c>
      <c r="E2670" s="95" t="s">
        <v>69</v>
      </c>
      <c r="F2670" s="95" t="s">
        <v>71</v>
      </c>
      <c r="G2670" s="96">
        <v>115855812000</v>
      </c>
      <c r="H2670" s="95"/>
      <c r="K2670" s="97"/>
    </row>
    <row r="2671" spans="1:11" x14ac:dyDescent="0.2">
      <c r="A2671" s="91">
        <v>2026</v>
      </c>
      <c r="B2671" s="92" t="s">
        <v>66</v>
      </c>
      <c r="C2671" s="92" t="s">
        <v>47</v>
      </c>
      <c r="D2671" s="92" t="s">
        <v>48</v>
      </c>
      <c r="E2671" s="92" t="s">
        <v>69</v>
      </c>
      <c r="F2671" s="92" t="s">
        <v>70</v>
      </c>
      <c r="G2671" s="93">
        <v>233687650284</v>
      </c>
      <c r="H2671" s="92"/>
      <c r="K2671" s="97"/>
    </row>
    <row r="2672" spans="1:11" x14ac:dyDescent="0.2">
      <c r="A2672" s="94">
        <v>2027</v>
      </c>
      <c r="B2672" s="95" t="s">
        <v>66</v>
      </c>
      <c r="C2672" s="95" t="s">
        <v>4</v>
      </c>
      <c r="D2672" s="95" t="s">
        <v>3</v>
      </c>
      <c r="E2672" s="95" t="s">
        <v>67</v>
      </c>
      <c r="F2672" s="95" t="s">
        <v>67</v>
      </c>
      <c r="G2672" s="96">
        <v>18935738031</v>
      </c>
      <c r="H2672" s="95"/>
      <c r="K2672" s="97"/>
    </row>
    <row r="2673" spans="1:11" x14ac:dyDescent="0.2">
      <c r="A2673" s="91">
        <v>2027</v>
      </c>
      <c r="B2673" s="92" t="s">
        <v>66</v>
      </c>
      <c r="C2673" s="92" t="s">
        <v>4</v>
      </c>
      <c r="D2673" s="92" t="s">
        <v>3</v>
      </c>
      <c r="E2673" s="92" t="s">
        <v>69</v>
      </c>
      <c r="F2673" s="92" t="s">
        <v>71</v>
      </c>
      <c r="G2673" s="93">
        <v>8061111864</v>
      </c>
      <c r="H2673" s="92"/>
      <c r="K2673" s="97"/>
    </row>
    <row r="2674" spans="1:11" x14ac:dyDescent="0.2">
      <c r="A2674" s="94">
        <v>2027</v>
      </c>
      <c r="B2674" s="95" t="s">
        <v>66</v>
      </c>
      <c r="C2674" s="95" t="s">
        <v>4</v>
      </c>
      <c r="D2674" s="95" t="s">
        <v>3</v>
      </c>
      <c r="E2674" s="95" t="s">
        <v>69</v>
      </c>
      <c r="F2674" s="95" t="s">
        <v>70</v>
      </c>
      <c r="G2674" s="96">
        <v>19923813648</v>
      </c>
      <c r="H2674" s="95"/>
      <c r="K2674" s="97"/>
    </row>
    <row r="2675" spans="1:11" x14ac:dyDescent="0.2">
      <c r="A2675" s="91">
        <v>2027</v>
      </c>
      <c r="B2675" s="92" t="s">
        <v>66</v>
      </c>
      <c r="C2675" s="92" t="s">
        <v>4</v>
      </c>
      <c r="D2675" s="92" t="s">
        <v>5</v>
      </c>
      <c r="E2675" s="92" t="s">
        <v>67</v>
      </c>
      <c r="F2675" s="92" t="s">
        <v>67</v>
      </c>
      <c r="G2675" s="93">
        <v>44514742712</v>
      </c>
      <c r="H2675" s="92"/>
      <c r="K2675" s="97"/>
    </row>
    <row r="2676" spans="1:11" x14ac:dyDescent="0.2">
      <c r="A2676" s="94">
        <v>2027</v>
      </c>
      <c r="B2676" s="95" t="s">
        <v>66</v>
      </c>
      <c r="C2676" s="95" t="s">
        <v>4</v>
      </c>
      <c r="D2676" s="95" t="s">
        <v>5</v>
      </c>
      <c r="E2676" s="95" t="s">
        <v>69</v>
      </c>
      <c r="F2676" s="95" t="s">
        <v>71</v>
      </c>
      <c r="G2676" s="96">
        <v>88794485252</v>
      </c>
      <c r="H2676" s="95"/>
      <c r="K2676" s="97"/>
    </row>
    <row r="2677" spans="1:11" x14ac:dyDescent="0.2">
      <c r="A2677" s="91">
        <v>2027</v>
      </c>
      <c r="B2677" s="92" t="s">
        <v>66</v>
      </c>
      <c r="C2677" s="92" t="s">
        <v>4</v>
      </c>
      <c r="D2677" s="92" t="s">
        <v>5</v>
      </c>
      <c r="E2677" s="92" t="s">
        <v>69</v>
      </c>
      <c r="F2677" s="92" t="s">
        <v>70</v>
      </c>
      <c r="G2677" s="93">
        <v>81441781951</v>
      </c>
      <c r="H2677" s="92"/>
      <c r="K2677" s="97"/>
    </row>
    <row r="2678" spans="1:11" x14ac:dyDescent="0.2">
      <c r="A2678" s="94">
        <v>2027</v>
      </c>
      <c r="B2678" s="95" t="s">
        <v>66</v>
      </c>
      <c r="C2678" s="95" t="s">
        <v>4</v>
      </c>
      <c r="D2678" s="95" t="s">
        <v>6</v>
      </c>
      <c r="E2678" s="95" t="s">
        <v>67</v>
      </c>
      <c r="F2678" s="95" t="s">
        <v>67</v>
      </c>
      <c r="G2678" s="96">
        <v>7478023869</v>
      </c>
      <c r="H2678" s="95"/>
      <c r="K2678" s="97"/>
    </row>
    <row r="2679" spans="1:11" x14ac:dyDescent="0.2">
      <c r="A2679" s="91">
        <v>2027</v>
      </c>
      <c r="B2679" s="92" t="s">
        <v>66</v>
      </c>
      <c r="C2679" s="92" t="s">
        <v>4</v>
      </c>
      <c r="D2679" s="92" t="s">
        <v>6</v>
      </c>
      <c r="E2679" s="92" t="s">
        <v>69</v>
      </c>
      <c r="F2679" s="92" t="s">
        <v>71</v>
      </c>
      <c r="G2679" s="93">
        <v>4204265047</v>
      </c>
      <c r="H2679" s="92"/>
      <c r="K2679" s="97"/>
    </row>
    <row r="2680" spans="1:11" x14ac:dyDescent="0.2">
      <c r="A2680" s="94">
        <v>2027</v>
      </c>
      <c r="B2680" s="95" t="s">
        <v>66</v>
      </c>
      <c r="C2680" s="95" t="s">
        <v>4</v>
      </c>
      <c r="D2680" s="95" t="s">
        <v>6</v>
      </c>
      <c r="E2680" s="95" t="s">
        <v>69</v>
      </c>
      <c r="F2680" s="95" t="s">
        <v>70</v>
      </c>
      <c r="G2680" s="96">
        <v>2892552677</v>
      </c>
      <c r="H2680" s="95"/>
      <c r="K2680" s="97"/>
    </row>
    <row r="2681" spans="1:11" x14ac:dyDescent="0.2">
      <c r="A2681" s="91">
        <v>2027</v>
      </c>
      <c r="B2681" s="92" t="s">
        <v>66</v>
      </c>
      <c r="C2681" s="92" t="s">
        <v>4</v>
      </c>
      <c r="D2681" s="92" t="s">
        <v>7</v>
      </c>
      <c r="E2681" s="92" t="s">
        <v>67</v>
      </c>
      <c r="F2681" s="92" t="s">
        <v>67</v>
      </c>
      <c r="G2681" s="93">
        <v>22275839172</v>
      </c>
      <c r="H2681" s="92"/>
      <c r="K2681" s="97"/>
    </row>
    <row r="2682" spans="1:11" x14ac:dyDescent="0.2">
      <c r="A2682" s="94">
        <v>2027</v>
      </c>
      <c r="B2682" s="95" t="s">
        <v>66</v>
      </c>
      <c r="C2682" s="95" t="s">
        <v>4</v>
      </c>
      <c r="D2682" s="95" t="s">
        <v>7</v>
      </c>
      <c r="E2682" s="95" t="s">
        <v>69</v>
      </c>
      <c r="F2682" s="95" t="s">
        <v>71</v>
      </c>
      <c r="G2682" s="96">
        <v>19253059492</v>
      </c>
      <c r="H2682" s="95"/>
      <c r="K2682" s="97"/>
    </row>
    <row r="2683" spans="1:11" x14ac:dyDescent="0.2">
      <c r="A2683" s="91">
        <v>2027</v>
      </c>
      <c r="B2683" s="92" t="s">
        <v>66</v>
      </c>
      <c r="C2683" s="92" t="s">
        <v>4</v>
      </c>
      <c r="D2683" s="92" t="s">
        <v>7</v>
      </c>
      <c r="E2683" s="92" t="s">
        <v>69</v>
      </c>
      <c r="F2683" s="92" t="s">
        <v>70</v>
      </c>
      <c r="G2683" s="93">
        <v>14998319081</v>
      </c>
      <c r="H2683" s="92"/>
      <c r="K2683" s="97"/>
    </row>
    <row r="2684" spans="1:11" x14ac:dyDescent="0.2">
      <c r="A2684" s="94">
        <v>2027</v>
      </c>
      <c r="B2684" s="95" t="s">
        <v>66</v>
      </c>
      <c r="C2684" s="95" t="s">
        <v>4</v>
      </c>
      <c r="D2684" s="95" t="s">
        <v>8</v>
      </c>
      <c r="E2684" s="95" t="s">
        <v>67</v>
      </c>
      <c r="F2684" s="95" t="s">
        <v>67</v>
      </c>
      <c r="G2684" s="96">
        <v>4524725938</v>
      </c>
      <c r="H2684" s="95"/>
      <c r="K2684" s="97"/>
    </row>
    <row r="2685" spans="1:11" x14ac:dyDescent="0.2">
      <c r="A2685" s="91">
        <v>2027</v>
      </c>
      <c r="B2685" s="92" t="s">
        <v>66</v>
      </c>
      <c r="C2685" s="92" t="s">
        <v>4</v>
      </c>
      <c r="D2685" s="92" t="s">
        <v>8</v>
      </c>
      <c r="E2685" s="92" t="s">
        <v>69</v>
      </c>
      <c r="F2685" s="92" t="s">
        <v>71</v>
      </c>
      <c r="G2685" s="93">
        <v>8896894254</v>
      </c>
      <c r="H2685" s="92"/>
      <c r="K2685" s="97"/>
    </row>
    <row r="2686" spans="1:11" x14ac:dyDescent="0.2">
      <c r="A2686" s="94">
        <v>2027</v>
      </c>
      <c r="B2686" s="95" t="s">
        <v>66</v>
      </c>
      <c r="C2686" s="95" t="s">
        <v>4</v>
      </c>
      <c r="D2686" s="95" t="s">
        <v>8</v>
      </c>
      <c r="E2686" s="95" t="s">
        <v>69</v>
      </c>
      <c r="F2686" s="95" t="s">
        <v>70</v>
      </c>
      <c r="G2686" s="96">
        <v>4000219080</v>
      </c>
      <c r="H2686" s="95"/>
      <c r="K2686" s="97"/>
    </row>
    <row r="2687" spans="1:11" x14ac:dyDescent="0.2">
      <c r="A2687" s="91">
        <v>2027</v>
      </c>
      <c r="B2687" s="92" t="s">
        <v>66</v>
      </c>
      <c r="C2687" s="92" t="s">
        <v>4</v>
      </c>
      <c r="D2687" s="92" t="s">
        <v>9</v>
      </c>
      <c r="E2687" s="92" t="s">
        <v>67</v>
      </c>
      <c r="F2687" s="92" t="s">
        <v>67</v>
      </c>
      <c r="G2687" s="93">
        <v>41261278439</v>
      </c>
      <c r="H2687" s="92"/>
      <c r="K2687" s="97"/>
    </row>
    <row r="2688" spans="1:11" x14ac:dyDescent="0.2">
      <c r="A2688" s="94">
        <v>2027</v>
      </c>
      <c r="B2688" s="95" t="s">
        <v>66</v>
      </c>
      <c r="C2688" s="95" t="s">
        <v>4</v>
      </c>
      <c r="D2688" s="95" t="s">
        <v>9</v>
      </c>
      <c r="E2688" s="95" t="s">
        <v>69</v>
      </c>
      <c r="F2688" s="95" t="s">
        <v>71</v>
      </c>
      <c r="G2688" s="96">
        <v>27690090930</v>
      </c>
      <c r="H2688" s="95"/>
      <c r="K2688" s="97"/>
    </row>
    <row r="2689" spans="1:11" x14ac:dyDescent="0.2">
      <c r="A2689" s="91">
        <v>2027</v>
      </c>
      <c r="B2689" s="92" t="s">
        <v>66</v>
      </c>
      <c r="C2689" s="92" t="s">
        <v>4</v>
      </c>
      <c r="D2689" s="92" t="s">
        <v>9</v>
      </c>
      <c r="E2689" s="92" t="s">
        <v>69</v>
      </c>
      <c r="F2689" s="92" t="s">
        <v>70</v>
      </c>
      <c r="G2689" s="93">
        <v>34591348089</v>
      </c>
      <c r="H2689" s="92"/>
      <c r="K2689" s="97"/>
    </row>
    <row r="2690" spans="1:11" x14ac:dyDescent="0.2">
      <c r="A2690" s="94">
        <v>2027</v>
      </c>
      <c r="B2690" s="95" t="s">
        <v>66</v>
      </c>
      <c r="C2690" s="95" t="s">
        <v>4</v>
      </c>
      <c r="D2690" s="95" t="s">
        <v>10</v>
      </c>
      <c r="E2690" s="95" t="s">
        <v>67</v>
      </c>
      <c r="F2690" s="95" t="s">
        <v>67</v>
      </c>
      <c r="G2690" s="96">
        <v>709753253</v>
      </c>
      <c r="H2690" s="95"/>
      <c r="K2690" s="97"/>
    </row>
    <row r="2691" spans="1:11" x14ac:dyDescent="0.2">
      <c r="A2691" s="91">
        <v>2027</v>
      </c>
      <c r="B2691" s="92" t="s">
        <v>66</v>
      </c>
      <c r="C2691" s="92" t="s">
        <v>4</v>
      </c>
      <c r="D2691" s="92" t="s">
        <v>10</v>
      </c>
      <c r="E2691" s="92" t="s">
        <v>69</v>
      </c>
      <c r="F2691" s="92" t="s">
        <v>71</v>
      </c>
      <c r="G2691" s="93">
        <v>2152774194</v>
      </c>
      <c r="H2691" s="92"/>
      <c r="K2691" s="97"/>
    </row>
    <row r="2692" spans="1:11" x14ac:dyDescent="0.2">
      <c r="A2692" s="94">
        <v>2027</v>
      </c>
      <c r="B2692" s="95" t="s">
        <v>66</v>
      </c>
      <c r="C2692" s="95" t="s">
        <v>4</v>
      </c>
      <c r="D2692" s="95" t="s">
        <v>10</v>
      </c>
      <c r="E2692" s="95" t="s">
        <v>69</v>
      </c>
      <c r="F2692" s="95" t="s">
        <v>70</v>
      </c>
      <c r="G2692" s="96">
        <v>223356263</v>
      </c>
      <c r="H2692" s="95"/>
      <c r="K2692" s="97"/>
    </row>
    <row r="2693" spans="1:11" x14ac:dyDescent="0.2">
      <c r="A2693" s="91">
        <v>2027</v>
      </c>
      <c r="B2693" s="92" t="s">
        <v>66</v>
      </c>
      <c r="C2693" s="92" t="s">
        <v>4</v>
      </c>
      <c r="D2693" s="92" t="s">
        <v>11</v>
      </c>
      <c r="E2693" s="92" t="s">
        <v>67</v>
      </c>
      <c r="F2693" s="92" t="s">
        <v>67</v>
      </c>
      <c r="G2693" s="93">
        <v>3081381551</v>
      </c>
      <c r="H2693" s="92"/>
      <c r="K2693" s="97"/>
    </row>
    <row r="2694" spans="1:11" x14ac:dyDescent="0.2">
      <c r="A2694" s="94">
        <v>2027</v>
      </c>
      <c r="B2694" s="95" t="s">
        <v>66</v>
      </c>
      <c r="C2694" s="95" t="s">
        <v>4</v>
      </c>
      <c r="D2694" s="95" t="s">
        <v>11</v>
      </c>
      <c r="E2694" s="95" t="s">
        <v>69</v>
      </c>
      <c r="F2694" s="95" t="s">
        <v>71</v>
      </c>
      <c r="G2694" s="96">
        <v>4446994903</v>
      </c>
      <c r="H2694" s="95"/>
      <c r="K2694" s="97"/>
    </row>
    <row r="2695" spans="1:11" x14ac:dyDescent="0.2">
      <c r="A2695" s="91">
        <v>2027</v>
      </c>
      <c r="B2695" s="92" t="s">
        <v>66</v>
      </c>
      <c r="C2695" s="92" t="s">
        <v>4</v>
      </c>
      <c r="D2695" s="92" t="s">
        <v>11</v>
      </c>
      <c r="E2695" s="92" t="s">
        <v>69</v>
      </c>
      <c r="F2695" s="92" t="s">
        <v>70</v>
      </c>
      <c r="G2695" s="93">
        <v>8381224870</v>
      </c>
      <c r="H2695" s="92"/>
      <c r="K2695" s="97"/>
    </row>
    <row r="2696" spans="1:11" x14ac:dyDescent="0.2">
      <c r="A2696" s="94">
        <v>2027</v>
      </c>
      <c r="B2696" s="95" t="s">
        <v>66</v>
      </c>
      <c r="C2696" s="95" t="s">
        <v>4</v>
      </c>
      <c r="D2696" s="95" t="s">
        <v>12</v>
      </c>
      <c r="E2696" s="95" t="s">
        <v>67</v>
      </c>
      <c r="F2696" s="95" t="s">
        <v>67</v>
      </c>
      <c r="G2696" s="96">
        <v>4715595558</v>
      </c>
      <c r="H2696" s="95"/>
      <c r="K2696" s="97"/>
    </row>
    <row r="2697" spans="1:11" x14ac:dyDescent="0.2">
      <c r="A2697" s="91">
        <v>2027</v>
      </c>
      <c r="B2697" s="92" t="s">
        <v>66</v>
      </c>
      <c r="C2697" s="92" t="s">
        <v>4</v>
      </c>
      <c r="D2697" s="92" t="s">
        <v>12</v>
      </c>
      <c r="E2697" s="92" t="s">
        <v>69</v>
      </c>
      <c r="F2697" s="92" t="s">
        <v>71</v>
      </c>
      <c r="G2697" s="93">
        <v>6464224801</v>
      </c>
      <c r="H2697" s="92"/>
      <c r="K2697" s="97"/>
    </row>
    <row r="2698" spans="1:11" x14ac:dyDescent="0.2">
      <c r="A2698" s="94">
        <v>2027</v>
      </c>
      <c r="B2698" s="95" t="s">
        <v>66</v>
      </c>
      <c r="C2698" s="95" t="s">
        <v>4</v>
      </c>
      <c r="D2698" s="95" t="s">
        <v>12</v>
      </c>
      <c r="E2698" s="95" t="s">
        <v>69</v>
      </c>
      <c r="F2698" s="95" t="s">
        <v>70</v>
      </c>
      <c r="G2698" s="96">
        <v>6207152404</v>
      </c>
      <c r="H2698" s="95"/>
      <c r="K2698" s="97"/>
    </row>
    <row r="2699" spans="1:11" x14ac:dyDescent="0.2">
      <c r="A2699" s="91">
        <v>2027</v>
      </c>
      <c r="B2699" s="92" t="s">
        <v>66</v>
      </c>
      <c r="C2699" s="92" t="s">
        <v>4</v>
      </c>
      <c r="D2699" s="92" t="s">
        <v>13</v>
      </c>
      <c r="E2699" s="92" t="s">
        <v>67</v>
      </c>
      <c r="F2699" s="92" t="s">
        <v>67</v>
      </c>
      <c r="G2699" s="93">
        <v>9979698015</v>
      </c>
      <c r="H2699" s="92"/>
      <c r="K2699" s="97"/>
    </row>
    <row r="2700" spans="1:11" x14ac:dyDescent="0.2">
      <c r="A2700" s="94">
        <v>2027</v>
      </c>
      <c r="B2700" s="95" t="s">
        <v>66</v>
      </c>
      <c r="C2700" s="95" t="s">
        <v>4</v>
      </c>
      <c r="D2700" s="95" t="s">
        <v>13</v>
      </c>
      <c r="E2700" s="95" t="s">
        <v>69</v>
      </c>
      <c r="F2700" s="95" t="s">
        <v>71</v>
      </c>
      <c r="G2700" s="96">
        <v>8382493054</v>
      </c>
      <c r="H2700" s="95"/>
      <c r="K2700" s="97"/>
    </row>
    <row r="2701" spans="1:11" x14ac:dyDescent="0.2">
      <c r="A2701" s="91">
        <v>2027</v>
      </c>
      <c r="B2701" s="92" t="s">
        <v>66</v>
      </c>
      <c r="C2701" s="92" t="s">
        <v>4</v>
      </c>
      <c r="D2701" s="92" t="s">
        <v>13</v>
      </c>
      <c r="E2701" s="92" t="s">
        <v>69</v>
      </c>
      <c r="F2701" s="92" t="s">
        <v>70</v>
      </c>
      <c r="G2701" s="93">
        <v>9404784045</v>
      </c>
      <c r="H2701" s="92"/>
      <c r="K2701" s="97"/>
    </row>
    <row r="2702" spans="1:11" x14ac:dyDescent="0.2">
      <c r="A2702" s="94">
        <v>2027</v>
      </c>
      <c r="B2702" s="95" t="s">
        <v>66</v>
      </c>
      <c r="C2702" s="95" t="s">
        <v>4</v>
      </c>
      <c r="D2702" s="95" t="s">
        <v>14</v>
      </c>
      <c r="E2702" s="95" t="s">
        <v>67</v>
      </c>
      <c r="F2702" s="95" t="s">
        <v>67</v>
      </c>
      <c r="G2702" s="96">
        <v>6452223543</v>
      </c>
      <c r="H2702" s="95"/>
      <c r="K2702" s="97"/>
    </row>
    <row r="2703" spans="1:11" x14ac:dyDescent="0.2">
      <c r="A2703" s="91">
        <v>2027</v>
      </c>
      <c r="B2703" s="92" t="s">
        <v>66</v>
      </c>
      <c r="C2703" s="92" t="s">
        <v>4</v>
      </c>
      <c r="D2703" s="92" t="s">
        <v>14</v>
      </c>
      <c r="E2703" s="92" t="s">
        <v>69</v>
      </c>
      <c r="F2703" s="92" t="s">
        <v>71</v>
      </c>
      <c r="G2703" s="93">
        <v>3604328365</v>
      </c>
      <c r="H2703" s="92"/>
      <c r="K2703" s="97"/>
    </row>
    <row r="2704" spans="1:11" x14ac:dyDescent="0.2">
      <c r="A2704" s="94">
        <v>2027</v>
      </c>
      <c r="B2704" s="95" t="s">
        <v>66</v>
      </c>
      <c r="C2704" s="95" t="s">
        <v>4</v>
      </c>
      <c r="D2704" s="95" t="s">
        <v>14</v>
      </c>
      <c r="E2704" s="95" t="s">
        <v>69</v>
      </c>
      <c r="F2704" s="95" t="s">
        <v>70</v>
      </c>
      <c r="G2704" s="96">
        <v>4655726313</v>
      </c>
      <c r="H2704" s="95"/>
      <c r="K2704" s="97"/>
    </row>
    <row r="2705" spans="1:11" x14ac:dyDescent="0.2">
      <c r="A2705" s="91">
        <v>2027</v>
      </c>
      <c r="B2705" s="92" t="s">
        <v>66</v>
      </c>
      <c r="C2705" s="92" t="s">
        <v>4</v>
      </c>
      <c r="D2705" s="92" t="s">
        <v>15</v>
      </c>
      <c r="E2705" s="92" t="s">
        <v>67</v>
      </c>
      <c r="F2705" s="92" t="s">
        <v>67</v>
      </c>
      <c r="G2705" s="93">
        <v>6269194837</v>
      </c>
      <c r="H2705" s="92"/>
      <c r="K2705" s="97"/>
    </row>
    <row r="2706" spans="1:11" x14ac:dyDescent="0.2">
      <c r="A2706" s="94">
        <v>2027</v>
      </c>
      <c r="B2706" s="95" t="s">
        <v>66</v>
      </c>
      <c r="C2706" s="95" t="s">
        <v>4</v>
      </c>
      <c r="D2706" s="95" t="s">
        <v>15</v>
      </c>
      <c r="E2706" s="95" t="s">
        <v>69</v>
      </c>
      <c r="F2706" s="95" t="s">
        <v>71</v>
      </c>
      <c r="G2706" s="96">
        <v>11555888043</v>
      </c>
      <c r="H2706" s="95"/>
      <c r="K2706" s="97"/>
    </row>
    <row r="2707" spans="1:11" x14ac:dyDescent="0.2">
      <c r="A2707" s="91">
        <v>2027</v>
      </c>
      <c r="B2707" s="92" t="s">
        <v>66</v>
      </c>
      <c r="C2707" s="92" t="s">
        <v>4</v>
      </c>
      <c r="D2707" s="92" t="s">
        <v>15</v>
      </c>
      <c r="E2707" s="92" t="s">
        <v>69</v>
      </c>
      <c r="F2707" s="92" t="s">
        <v>70</v>
      </c>
      <c r="G2707" s="93">
        <v>4458242423</v>
      </c>
      <c r="H2707" s="92"/>
      <c r="K2707" s="97"/>
    </row>
    <row r="2708" spans="1:11" x14ac:dyDescent="0.2">
      <c r="A2708" s="94">
        <v>2027</v>
      </c>
      <c r="B2708" s="95" t="s">
        <v>66</v>
      </c>
      <c r="C2708" s="95" t="s">
        <v>17</v>
      </c>
      <c r="D2708" s="95" t="s">
        <v>16</v>
      </c>
      <c r="E2708" s="95" t="s">
        <v>67</v>
      </c>
      <c r="F2708" s="95" t="s">
        <v>67</v>
      </c>
      <c r="G2708" s="96">
        <v>1049545119</v>
      </c>
      <c r="H2708" s="95"/>
      <c r="K2708" s="97"/>
    </row>
    <row r="2709" spans="1:11" x14ac:dyDescent="0.2">
      <c r="A2709" s="91">
        <v>2027</v>
      </c>
      <c r="B2709" s="92" t="s">
        <v>66</v>
      </c>
      <c r="C2709" s="92" t="s">
        <v>17</v>
      </c>
      <c r="D2709" s="92" t="s">
        <v>16</v>
      </c>
      <c r="E2709" s="92" t="s">
        <v>69</v>
      </c>
      <c r="F2709" s="92" t="s">
        <v>71</v>
      </c>
      <c r="G2709" s="93">
        <v>959990074</v>
      </c>
      <c r="H2709" s="92"/>
      <c r="K2709" s="97"/>
    </row>
    <row r="2710" spans="1:11" x14ac:dyDescent="0.2">
      <c r="A2710" s="94">
        <v>2027</v>
      </c>
      <c r="B2710" s="95" t="s">
        <v>66</v>
      </c>
      <c r="C2710" s="95" t="s">
        <v>17</v>
      </c>
      <c r="D2710" s="95" t="s">
        <v>16</v>
      </c>
      <c r="E2710" s="95" t="s">
        <v>69</v>
      </c>
      <c r="F2710" s="95" t="s">
        <v>70</v>
      </c>
      <c r="G2710" s="96">
        <v>398859246</v>
      </c>
      <c r="H2710" s="95"/>
      <c r="K2710" s="97"/>
    </row>
    <row r="2711" spans="1:11" x14ac:dyDescent="0.2">
      <c r="A2711" s="91">
        <v>2027</v>
      </c>
      <c r="B2711" s="92" t="s">
        <v>66</v>
      </c>
      <c r="C2711" s="92" t="s">
        <v>17</v>
      </c>
      <c r="D2711" s="92" t="s">
        <v>18</v>
      </c>
      <c r="E2711" s="92" t="s">
        <v>67</v>
      </c>
      <c r="F2711" s="92" t="s">
        <v>67</v>
      </c>
      <c r="G2711" s="93">
        <v>1754150116</v>
      </c>
      <c r="H2711" s="92"/>
      <c r="K2711" s="97"/>
    </row>
    <row r="2712" spans="1:11" x14ac:dyDescent="0.2">
      <c r="A2712" s="94">
        <v>2027</v>
      </c>
      <c r="B2712" s="95" t="s">
        <v>66</v>
      </c>
      <c r="C2712" s="95" t="s">
        <v>17</v>
      </c>
      <c r="D2712" s="95" t="s">
        <v>18</v>
      </c>
      <c r="E2712" s="95" t="s">
        <v>69</v>
      </c>
      <c r="F2712" s="95" t="s">
        <v>71</v>
      </c>
      <c r="G2712" s="96">
        <v>1773486752</v>
      </c>
      <c r="H2712" s="95"/>
      <c r="K2712" s="97"/>
    </row>
    <row r="2713" spans="1:11" x14ac:dyDescent="0.2">
      <c r="A2713" s="91">
        <v>2027</v>
      </c>
      <c r="B2713" s="92" t="s">
        <v>66</v>
      </c>
      <c r="C2713" s="92" t="s">
        <v>17</v>
      </c>
      <c r="D2713" s="92" t="s">
        <v>18</v>
      </c>
      <c r="E2713" s="92" t="s">
        <v>69</v>
      </c>
      <c r="F2713" s="92" t="s">
        <v>70</v>
      </c>
      <c r="G2713" s="93">
        <v>2453056251</v>
      </c>
      <c r="H2713" s="92"/>
      <c r="K2713" s="97"/>
    </row>
    <row r="2714" spans="1:11" x14ac:dyDescent="0.2">
      <c r="A2714" s="94">
        <v>2027</v>
      </c>
      <c r="B2714" s="95" t="s">
        <v>66</v>
      </c>
      <c r="C2714" s="95" t="s">
        <v>17</v>
      </c>
      <c r="D2714" s="95" t="s">
        <v>19</v>
      </c>
      <c r="E2714" s="95" t="s">
        <v>67</v>
      </c>
      <c r="F2714" s="95" t="s">
        <v>67</v>
      </c>
      <c r="G2714" s="96">
        <v>5175330628</v>
      </c>
      <c r="H2714" s="95"/>
      <c r="K2714" s="97"/>
    </row>
    <row r="2715" spans="1:11" x14ac:dyDescent="0.2">
      <c r="A2715" s="91">
        <v>2027</v>
      </c>
      <c r="B2715" s="92" t="s">
        <v>66</v>
      </c>
      <c r="C2715" s="92" t="s">
        <v>17</v>
      </c>
      <c r="D2715" s="92" t="s">
        <v>19</v>
      </c>
      <c r="E2715" s="92" t="s">
        <v>69</v>
      </c>
      <c r="F2715" s="92" t="s">
        <v>71</v>
      </c>
      <c r="G2715" s="93">
        <v>5210293255</v>
      </c>
      <c r="H2715" s="92"/>
      <c r="K2715" s="97"/>
    </row>
    <row r="2716" spans="1:11" x14ac:dyDescent="0.2">
      <c r="A2716" s="94">
        <v>2027</v>
      </c>
      <c r="B2716" s="95" t="s">
        <v>66</v>
      </c>
      <c r="C2716" s="95" t="s">
        <v>17</v>
      </c>
      <c r="D2716" s="95" t="s">
        <v>19</v>
      </c>
      <c r="E2716" s="95" t="s">
        <v>69</v>
      </c>
      <c r="F2716" s="95" t="s">
        <v>70</v>
      </c>
      <c r="G2716" s="96">
        <v>2830358304</v>
      </c>
      <c r="H2716" s="95"/>
      <c r="K2716" s="97"/>
    </row>
    <row r="2717" spans="1:11" x14ac:dyDescent="0.2">
      <c r="A2717" s="91">
        <v>2027</v>
      </c>
      <c r="B2717" s="92" t="s">
        <v>66</v>
      </c>
      <c r="C2717" s="92" t="s">
        <v>17</v>
      </c>
      <c r="D2717" s="92" t="s">
        <v>20</v>
      </c>
      <c r="E2717" s="92" t="s">
        <v>67</v>
      </c>
      <c r="F2717" s="92" t="s">
        <v>67</v>
      </c>
      <c r="G2717" s="93">
        <v>686403668</v>
      </c>
      <c r="H2717" s="92"/>
      <c r="K2717" s="97"/>
    </row>
    <row r="2718" spans="1:11" x14ac:dyDescent="0.2">
      <c r="A2718" s="94">
        <v>2027</v>
      </c>
      <c r="B2718" s="95" t="s">
        <v>66</v>
      </c>
      <c r="C2718" s="95" t="s">
        <v>17</v>
      </c>
      <c r="D2718" s="95" t="s">
        <v>20</v>
      </c>
      <c r="E2718" s="95" t="s">
        <v>69</v>
      </c>
      <c r="F2718" s="95" t="s">
        <v>71</v>
      </c>
      <c r="G2718" s="96">
        <v>1289834843</v>
      </c>
      <c r="H2718" s="95"/>
      <c r="K2718" s="97"/>
    </row>
    <row r="2719" spans="1:11" x14ac:dyDescent="0.2">
      <c r="A2719" s="91">
        <v>2027</v>
      </c>
      <c r="B2719" s="92" t="s">
        <v>66</v>
      </c>
      <c r="C2719" s="92" t="s">
        <v>17</v>
      </c>
      <c r="D2719" s="92" t="s">
        <v>20</v>
      </c>
      <c r="E2719" s="92" t="s">
        <v>69</v>
      </c>
      <c r="F2719" s="92" t="s">
        <v>70</v>
      </c>
      <c r="G2719" s="93">
        <v>7654935240</v>
      </c>
      <c r="H2719" s="92"/>
      <c r="K2719" s="97"/>
    </row>
    <row r="2720" spans="1:11" x14ac:dyDescent="0.2">
      <c r="A2720" s="94">
        <v>2027</v>
      </c>
      <c r="B2720" s="95" t="s">
        <v>66</v>
      </c>
      <c r="C2720" s="95" t="s">
        <v>17</v>
      </c>
      <c r="D2720" s="95" t="s">
        <v>21</v>
      </c>
      <c r="E2720" s="95" t="s">
        <v>67</v>
      </c>
      <c r="F2720" s="95" t="s">
        <v>67</v>
      </c>
      <c r="G2720" s="96">
        <v>3481393711</v>
      </c>
      <c r="H2720" s="95"/>
      <c r="K2720" s="97"/>
    </row>
    <row r="2721" spans="1:11" x14ac:dyDescent="0.2">
      <c r="A2721" s="91">
        <v>2027</v>
      </c>
      <c r="B2721" s="92" t="s">
        <v>66</v>
      </c>
      <c r="C2721" s="92" t="s">
        <v>17</v>
      </c>
      <c r="D2721" s="92" t="s">
        <v>21</v>
      </c>
      <c r="E2721" s="92" t="s">
        <v>69</v>
      </c>
      <c r="F2721" s="92" t="s">
        <v>71</v>
      </c>
      <c r="G2721" s="93">
        <v>2315209631</v>
      </c>
      <c r="H2721" s="92"/>
      <c r="K2721" s="97"/>
    </row>
    <row r="2722" spans="1:11" x14ac:dyDescent="0.2">
      <c r="A2722" s="94">
        <v>2027</v>
      </c>
      <c r="B2722" s="95" t="s">
        <v>66</v>
      </c>
      <c r="C2722" s="95" t="s">
        <v>17</v>
      </c>
      <c r="D2722" s="95" t="s">
        <v>21</v>
      </c>
      <c r="E2722" s="95" t="s">
        <v>69</v>
      </c>
      <c r="F2722" s="95" t="s">
        <v>70</v>
      </c>
      <c r="G2722" s="96">
        <v>2956268442</v>
      </c>
      <c r="H2722" s="95"/>
      <c r="K2722" s="97"/>
    </row>
    <row r="2723" spans="1:11" x14ac:dyDescent="0.2">
      <c r="A2723" s="91">
        <v>2027</v>
      </c>
      <c r="B2723" s="92" t="s">
        <v>66</v>
      </c>
      <c r="C2723" s="92" t="s">
        <v>17</v>
      </c>
      <c r="D2723" s="92" t="s">
        <v>22</v>
      </c>
      <c r="E2723" s="92" t="s">
        <v>67</v>
      </c>
      <c r="F2723" s="92" t="s">
        <v>67</v>
      </c>
      <c r="G2723" s="93">
        <v>1131499225</v>
      </c>
      <c r="H2723" s="92"/>
      <c r="K2723" s="97"/>
    </row>
    <row r="2724" spans="1:11" x14ac:dyDescent="0.2">
      <c r="A2724" s="94">
        <v>2027</v>
      </c>
      <c r="B2724" s="95" t="s">
        <v>66</v>
      </c>
      <c r="C2724" s="95" t="s">
        <v>17</v>
      </c>
      <c r="D2724" s="95" t="s">
        <v>22</v>
      </c>
      <c r="E2724" s="95" t="s">
        <v>69</v>
      </c>
      <c r="F2724" s="95" t="s">
        <v>71</v>
      </c>
      <c r="G2724" s="96">
        <v>1069379493</v>
      </c>
      <c r="H2724" s="95"/>
      <c r="K2724" s="97"/>
    </row>
    <row r="2725" spans="1:11" x14ac:dyDescent="0.2">
      <c r="A2725" s="91">
        <v>2027</v>
      </c>
      <c r="B2725" s="92" t="s">
        <v>66</v>
      </c>
      <c r="C2725" s="92" t="s">
        <v>17</v>
      </c>
      <c r="D2725" s="92" t="s">
        <v>22</v>
      </c>
      <c r="E2725" s="92" t="s">
        <v>69</v>
      </c>
      <c r="F2725" s="92" t="s">
        <v>70</v>
      </c>
      <c r="G2725" s="93">
        <v>1454506406</v>
      </c>
      <c r="H2725" s="92"/>
      <c r="K2725" s="97"/>
    </row>
    <row r="2726" spans="1:11" x14ac:dyDescent="0.2">
      <c r="A2726" s="94">
        <v>2027</v>
      </c>
      <c r="B2726" s="95" t="s">
        <v>66</v>
      </c>
      <c r="C2726" s="95" t="s">
        <v>17</v>
      </c>
      <c r="D2726" s="95" t="s">
        <v>23</v>
      </c>
      <c r="E2726" s="95" t="s">
        <v>67</v>
      </c>
      <c r="F2726" s="95" t="s">
        <v>67</v>
      </c>
      <c r="G2726" s="96">
        <v>1202015829</v>
      </c>
      <c r="H2726" s="95"/>
      <c r="K2726" s="97"/>
    </row>
    <row r="2727" spans="1:11" x14ac:dyDescent="0.2">
      <c r="A2727" s="91">
        <v>2027</v>
      </c>
      <c r="B2727" s="92" t="s">
        <v>66</v>
      </c>
      <c r="C2727" s="92" t="s">
        <v>17</v>
      </c>
      <c r="D2727" s="92" t="s">
        <v>23</v>
      </c>
      <c r="E2727" s="92" t="s">
        <v>69</v>
      </c>
      <c r="F2727" s="92" t="s">
        <v>71</v>
      </c>
      <c r="G2727" s="93">
        <v>1251098419</v>
      </c>
      <c r="H2727" s="92"/>
      <c r="K2727" s="97"/>
    </row>
    <row r="2728" spans="1:11" x14ac:dyDescent="0.2">
      <c r="A2728" s="94">
        <v>2027</v>
      </c>
      <c r="B2728" s="95" t="s">
        <v>66</v>
      </c>
      <c r="C2728" s="95" t="s">
        <v>17</v>
      </c>
      <c r="D2728" s="95" t="s">
        <v>23</v>
      </c>
      <c r="E2728" s="95" t="s">
        <v>69</v>
      </c>
      <c r="F2728" s="95" t="s">
        <v>70</v>
      </c>
      <c r="G2728" s="96">
        <v>639242449</v>
      </c>
      <c r="H2728" s="95"/>
      <c r="K2728" s="97"/>
    </row>
    <row r="2729" spans="1:11" x14ac:dyDescent="0.2">
      <c r="A2729" s="91">
        <v>2027</v>
      </c>
      <c r="B2729" s="92" t="s">
        <v>66</v>
      </c>
      <c r="C2729" s="92" t="s">
        <v>17</v>
      </c>
      <c r="D2729" s="92" t="s">
        <v>24</v>
      </c>
      <c r="E2729" s="92" t="s">
        <v>67</v>
      </c>
      <c r="F2729" s="92" t="s">
        <v>67</v>
      </c>
      <c r="G2729" s="93">
        <v>19085337363</v>
      </c>
      <c r="H2729" s="92"/>
      <c r="K2729" s="97"/>
    </row>
    <row r="2730" spans="1:11" x14ac:dyDescent="0.2">
      <c r="A2730" s="94">
        <v>2027</v>
      </c>
      <c r="B2730" s="95" t="s">
        <v>66</v>
      </c>
      <c r="C2730" s="95" t="s">
        <v>17</v>
      </c>
      <c r="D2730" s="95" t="s">
        <v>24</v>
      </c>
      <c r="E2730" s="95" t="s">
        <v>69</v>
      </c>
      <c r="F2730" s="95" t="s">
        <v>71</v>
      </c>
      <c r="G2730" s="96">
        <v>12211234706</v>
      </c>
      <c r="H2730" s="95"/>
      <c r="K2730" s="97"/>
    </row>
    <row r="2731" spans="1:11" x14ac:dyDescent="0.2">
      <c r="A2731" s="91">
        <v>2027</v>
      </c>
      <c r="B2731" s="92" t="s">
        <v>66</v>
      </c>
      <c r="C2731" s="92" t="s">
        <v>17</v>
      </c>
      <c r="D2731" s="92" t="s">
        <v>24</v>
      </c>
      <c r="E2731" s="92" t="s">
        <v>69</v>
      </c>
      <c r="F2731" s="92" t="s">
        <v>70</v>
      </c>
      <c r="G2731" s="93">
        <v>13872259840</v>
      </c>
      <c r="H2731" s="92"/>
      <c r="K2731" s="97"/>
    </row>
    <row r="2732" spans="1:11" x14ac:dyDescent="0.2">
      <c r="A2732" s="94">
        <v>2027</v>
      </c>
      <c r="B2732" s="95" t="s">
        <v>66</v>
      </c>
      <c r="C2732" s="95" t="s">
        <v>17</v>
      </c>
      <c r="D2732" s="95" t="s">
        <v>25</v>
      </c>
      <c r="E2732" s="95" t="s">
        <v>67</v>
      </c>
      <c r="F2732" s="95" t="s">
        <v>67</v>
      </c>
      <c r="G2732" s="96">
        <v>0</v>
      </c>
      <c r="H2732" s="95"/>
      <c r="K2732" s="97"/>
    </row>
    <row r="2733" spans="1:11" x14ac:dyDescent="0.2">
      <c r="A2733" s="91">
        <v>2027</v>
      </c>
      <c r="B2733" s="92" t="s">
        <v>66</v>
      </c>
      <c r="C2733" s="92" t="s">
        <v>17</v>
      </c>
      <c r="D2733" s="92" t="s">
        <v>25</v>
      </c>
      <c r="E2733" s="92" t="s">
        <v>69</v>
      </c>
      <c r="F2733" s="92" t="s">
        <v>71</v>
      </c>
      <c r="G2733" s="93">
        <v>0</v>
      </c>
      <c r="H2733" s="92"/>
      <c r="K2733" s="97"/>
    </row>
    <row r="2734" spans="1:11" x14ac:dyDescent="0.2">
      <c r="A2734" s="94">
        <v>2027</v>
      </c>
      <c r="B2734" s="95" t="s">
        <v>66</v>
      </c>
      <c r="C2734" s="95" t="s">
        <v>17</v>
      </c>
      <c r="D2734" s="95" t="s">
        <v>25</v>
      </c>
      <c r="E2734" s="95" t="s">
        <v>69</v>
      </c>
      <c r="F2734" s="95" t="s">
        <v>70</v>
      </c>
      <c r="G2734" s="96">
        <v>0</v>
      </c>
      <c r="H2734" s="95"/>
      <c r="K2734" s="97"/>
    </row>
    <row r="2735" spans="1:11" x14ac:dyDescent="0.2">
      <c r="A2735" s="91">
        <v>2027</v>
      </c>
      <c r="B2735" s="92" t="s">
        <v>66</v>
      </c>
      <c r="C2735" s="92" t="s">
        <v>27</v>
      </c>
      <c r="D2735" s="92" t="s">
        <v>26</v>
      </c>
      <c r="E2735" s="92" t="s">
        <v>67</v>
      </c>
      <c r="F2735" s="92" t="s">
        <v>67</v>
      </c>
      <c r="G2735" s="93">
        <v>28649022950</v>
      </c>
      <c r="H2735" s="92"/>
      <c r="K2735" s="97"/>
    </row>
    <row r="2736" spans="1:11" x14ac:dyDescent="0.2">
      <c r="A2736" s="94">
        <v>2027</v>
      </c>
      <c r="B2736" s="95" t="s">
        <v>66</v>
      </c>
      <c r="C2736" s="95" t="s">
        <v>27</v>
      </c>
      <c r="D2736" s="95" t="s">
        <v>26</v>
      </c>
      <c r="E2736" s="95" t="s">
        <v>69</v>
      </c>
      <c r="F2736" s="95" t="s">
        <v>71</v>
      </c>
      <c r="G2736" s="96">
        <v>9515838718</v>
      </c>
      <c r="H2736" s="95"/>
      <c r="K2736" s="97"/>
    </row>
    <row r="2737" spans="1:11" x14ac:dyDescent="0.2">
      <c r="A2737" s="91">
        <v>2027</v>
      </c>
      <c r="B2737" s="92" t="s">
        <v>66</v>
      </c>
      <c r="C2737" s="92" t="s">
        <v>27</v>
      </c>
      <c r="D2737" s="92" t="s">
        <v>26</v>
      </c>
      <c r="E2737" s="92" t="s">
        <v>69</v>
      </c>
      <c r="F2737" s="92" t="s">
        <v>70</v>
      </c>
      <c r="G2737" s="93">
        <v>26641180189</v>
      </c>
      <c r="H2737" s="92"/>
      <c r="K2737" s="97"/>
    </row>
    <row r="2738" spans="1:11" x14ac:dyDescent="0.2">
      <c r="A2738" s="94">
        <v>2027</v>
      </c>
      <c r="B2738" s="95" t="s">
        <v>66</v>
      </c>
      <c r="C2738" s="95" t="s">
        <v>27</v>
      </c>
      <c r="D2738" s="95" t="s">
        <v>28</v>
      </c>
      <c r="E2738" s="95" t="s">
        <v>67</v>
      </c>
      <c r="F2738" s="95" t="s">
        <v>67</v>
      </c>
      <c r="G2738" s="96">
        <v>23814140664</v>
      </c>
      <c r="H2738" s="95"/>
      <c r="K2738" s="97"/>
    </row>
    <row r="2739" spans="1:11" x14ac:dyDescent="0.2">
      <c r="A2739" s="91">
        <v>2027</v>
      </c>
      <c r="B2739" s="92" t="s">
        <v>66</v>
      </c>
      <c r="C2739" s="92" t="s">
        <v>27</v>
      </c>
      <c r="D2739" s="92" t="s">
        <v>28</v>
      </c>
      <c r="E2739" s="92" t="s">
        <v>69</v>
      </c>
      <c r="F2739" s="92" t="s">
        <v>71</v>
      </c>
      <c r="G2739" s="93">
        <v>18563809211</v>
      </c>
      <c r="H2739" s="92"/>
      <c r="K2739" s="97"/>
    </row>
    <row r="2740" spans="1:11" x14ac:dyDescent="0.2">
      <c r="A2740" s="94">
        <v>2027</v>
      </c>
      <c r="B2740" s="95" t="s">
        <v>66</v>
      </c>
      <c r="C2740" s="95" t="s">
        <v>27</v>
      </c>
      <c r="D2740" s="95" t="s">
        <v>28</v>
      </c>
      <c r="E2740" s="95" t="s">
        <v>69</v>
      </c>
      <c r="F2740" s="95" t="s">
        <v>70</v>
      </c>
      <c r="G2740" s="96">
        <v>44443766890</v>
      </c>
      <c r="H2740" s="95"/>
      <c r="K2740" s="97"/>
    </row>
    <row r="2741" spans="1:11" x14ac:dyDescent="0.2">
      <c r="A2741" s="91">
        <v>2027</v>
      </c>
      <c r="B2741" s="92" t="s">
        <v>66</v>
      </c>
      <c r="C2741" s="92" t="s">
        <v>27</v>
      </c>
      <c r="D2741" s="92" t="s">
        <v>29</v>
      </c>
      <c r="E2741" s="92" t="s">
        <v>67</v>
      </c>
      <c r="F2741" s="92" t="s">
        <v>67</v>
      </c>
      <c r="G2741" s="93">
        <v>15032131969</v>
      </c>
      <c r="H2741" s="92"/>
      <c r="K2741" s="97"/>
    </row>
    <row r="2742" spans="1:11" x14ac:dyDescent="0.2">
      <c r="A2742" s="94">
        <v>2027</v>
      </c>
      <c r="B2742" s="95" t="s">
        <v>66</v>
      </c>
      <c r="C2742" s="95" t="s">
        <v>27</v>
      </c>
      <c r="D2742" s="95" t="s">
        <v>29</v>
      </c>
      <c r="E2742" s="95" t="s">
        <v>69</v>
      </c>
      <c r="F2742" s="95" t="s">
        <v>71</v>
      </c>
      <c r="G2742" s="96">
        <v>8048135727</v>
      </c>
      <c r="H2742" s="95"/>
      <c r="K2742" s="97"/>
    </row>
    <row r="2743" spans="1:11" x14ac:dyDescent="0.2">
      <c r="A2743" s="91">
        <v>2027</v>
      </c>
      <c r="B2743" s="92" t="s">
        <v>66</v>
      </c>
      <c r="C2743" s="92" t="s">
        <v>27</v>
      </c>
      <c r="D2743" s="92" t="s">
        <v>29</v>
      </c>
      <c r="E2743" s="92" t="s">
        <v>69</v>
      </c>
      <c r="F2743" s="92" t="s">
        <v>70</v>
      </c>
      <c r="G2743" s="93">
        <v>15423024566</v>
      </c>
      <c r="H2743" s="92"/>
      <c r="K2743" s="97"/>
    </row>
    <row r="2744" spans="1:11" x14ac:dyDescent="0.2">
      <c r="A2744" s="94">
        <v>2027</v>
      </c>
      <c r="B2744" s="95" t="s">
        <v>66</v>
      </c>
      <c r="C2744" s="95" t="s">
        <v>27</v>
      </c>
      <c r="D2744" s="95" t="s">
        <v>30</v>
      </c>
      <c r="E2744" s="95" t="s">
        <v>67</v>
      </c>
      <c r="F2744" s="95" t="s">
        <v>67</v>
      </c>
      <c r="G2744" s="96">
        <v>27647312567</v>
      </c>
      <c r="H2744" s="95"/>
      <c r="K2744" s="97"/>
    </row>
    <row r="2745" spans="1:11" x14ac:dyDescent="0.2">
      <c r="A2745" s="91">
        <v>2027</v>
      </c>
      <c r="B2745" s="92" t="s">
        <v>66</v>
      </c>
      <c r="C2745" s="92" t="s">
        <v>27</v>
      </c>
      <c r="D2745" s="92" t="s">
        <v>30</v>
      </c>
      <c r="E2745" s="92" t="s">
        <v>69</v>
      </c>
      <c r="F2745" s="92" t="s">
        <v>71</v>
      </c>
      <c r="G2745" s="93">
        <v>15938394819</v>
      </c>
      <c r="H2745" s="92"/>
      <c r="K2745" s="97"/>
    </row>
    <row r="2746" spans="1:11" x14ac:dyDescent="0.2">
      <c r="A2746" s="94">
        <v>2027</v>
      </c>
      <c r="B2746" s="95" t="s">
        <v>66</v>
      </c>
      <c r="C2746" s="95" t="s">
        <v>27</v>
      </c>
      <c r="D2746" s="95" t="s">
        <v>30</v>
      </c>
      <c r="E2746" s="95" t="s">
        <v>69</v>
      </c>
      <c r="F2746" s="95" t="s">
        <v>70</v>
      </c>
      <c r="G2746" s="96">
        <v>49843384960</v>
      </c>
      <c r="H2746" s="95"/>
      <c r="K2746" s="97"/>
    </row>
    <row r="2747" spans="1:11" x14ac:dyDescent="0.2">
      <c r="A2747" s="91">
        <v>2027</v>
      </c>
      <c r="B2747" s="92" t="s">
        <v>66</v>
      </c>
      <c r="C2747" s="92" t="s">
        <v>27</v>
      </c>
      <c r="D2747" s="92" t="s">
        <v>31</v>
      </c>
      <c r="E2747" s="92" t="s">
        <v>67</v>
      </c>
      <c r="F2747" s="92" t="s">
        <v>67</v>
      </c>
      <c r="G2747" s="93">
        <v>4879692982</v>
      </c>
      <c r="H2747" s="92"/>
      <c r="K2747" s="97"/>
    </row>
    <row r="2748" spans="1:11" x14ac:dyDescent="0.2">
      <c r="A2748" s="94">
        <v>2027</v>
      </c>
      <c r="B2748" s="95" t="s">
        <v>66</v>
      </c>
      <c r="C2748" s="95" t="s">
        <v>27</v>
      </c>
      <c r="D2748" s="95" t="s">
        <v>31</v>
      </c>
      <c r="E2748" s="95" t="s">
        <v>69</v>
      </c>
      <c r="F2748" s="95" t="s">
        <v>71</v>
      </c>
      <c r="G2748" s="96">
        <v>5911171229</v>
      </c>
      <c r="H2748" s="95"/>
      <c r="K2748" s="97"/>
    </row>
    <row r="2749" spans="1:11" x14ac:dyDescent="0.2">
      <c r="A2749" s="91">
        <v>2027</v>
      </c>
      <c r="B2749" s="92" t="s">
        <v>66</v>
      </c>
      <c r="C2749" s="92" t="s">
        <v>27</v>
      </c>
      <c r="D2749" s="92" t="s">
        <v>31</v>
      </c>
      <c r="E2749" s="92" t="s">
        <v>69</v>
      </c>
      <c r="F2749" s="92" t="s">
        <v>70</v>
      </c>
      <c r="G2749" s="93">
        <v>15328275406</v>
      </c>
      <c r="H2749" s="92"/>
      <c r="K2749" s="97"/>
    </row>
    <row r="2750" spans="1:11" x14ac:dyDescent="0.2">
      <c r="A2750" s="94">
        <v>2027</v>
      </c>
      <c r="B2750" s="95" t="s">
        <v>66</v>
      </c>
      <c r="C2750" s="95" t="s">
        <v>27</v>
      </c>
      <c r="D2750" s="95" t="s">
        <v>32</v>
      </c>
      <c r="E2750" s="95" t="s">
        <v>67</v>
      </c>
      <c r="F2750" s="95" t="s">
        <v>67</v>
      </c>
      <c r="G2750" s="96">
        <v>16239281969</v>
      </c>
      <c r="H2750" s="95"/>
      <c r="K2750" s="97"/>
    </row>
    <row r="2751" spans="1:11" x14ac:dyDescent="0.2">
      <c r="A2751" s="91">
        <v>2027</v>
      </c>
      <c r="B2751" s="92" t="s">
        <v>66</v>
      </c>
      <c r="C2751" s="92" t="s">
        <v>27</v>
      </c>
      <c r="D2751" s="92" t="s">
        <v>32</v>
      </c>
      <c r="E2751" s="92" t="s">
        <v>69</v>
      </c>
      <c r="F2751" s="92" t="s">
        <v>71</v>
      </c>
      <c r="G2751" s="93">
        <v>14209716460</v>
      </c>
      <c r="H2751" s="92"/>
      <c r="K2751" s="97"/>
    </row>
    <row r="2752" spans="1:11" x14ac:dyDescent="0.2">
      <c r="A2752" s="94">
        <v>2027</v>
      </c>
      <c r="B2752" s="95" t="s">
        <v>66</v>
      </c>
      <c r="C2752" s="95" t="s">
        <v>27</v>
      </c>
      <c r="D2752" s="95" t="s">
        <v>32</v>
      </c>
      <c r="E2752" s="95" t="s">
        <v>69</v>
      </c>
      <c r="F2752" s="95" t="s">
        <v>70</v>
      </c>
      <c r="G2752" s="96">
        <v>16462260336</v>
      </c>
      <c r="H2752" s="95"/>
      <c r="K2752" s="97"/>
    </row>
    <row r="2753" spans="1:11" x14ac:dyDescent="0.2">
      <c r="A2753" s="91">
        <v>2027</v>
      </c>
      <c r="B2753" s="92" t="s">
        <v>66</v>
      </c>
      <c r="C2753" s="92" t="s">
        <v>27</v>
      </c>
      <c r="D2753" s="92" t="s">
        <v>33</v>
      </c>
      <c r="E2753" s="92" t="s">
        <v>67</v>
      </c>
      <c r="F2753" s="92" t="s">
        <v>67</v>
      </c>
      <c r="G2753" s="93">
        <v>12622234694</v>
      </c>
      <c r="H2753" s="92"/>
      <c r="K2753" s="97"/>
    </row>
    <row r="2754" spans="1:11" x14ac:dyDescent="0.2">
      <c r="A2754" s="94">
        <v>2027</v>
      </c>
      <c r="B2754" s="95" t="s">
        <v>66</v>
      </c>
      <c r="C2754" s="95" t="s">
        <v>27</v>
      </c>
      <c r="D2754" s="95" t="s">
        <v>33</v>
      </c>
      <c r="E2754" s="95" t="s">
        <v>69</v>
      </c>
      <c r="F2754" s="95" t="s">
        <v>71</v>
      </c>
      <c r="G2754" s="96">
        <v>14187194242</v>
      </c>
      <c r="H2754" s="95"/>
      <c r="K2754" s="97"/>
    </row>
    <row r="2755" spans="1:11" x14ac:dyDescent="0.2">
      <c r="A2755" s="91">
        <v>2027</v>
      </c>
      <c r="B2755" s="92" t="s">
        <v>66</v>
      </c>
      <c r="C2755" s="92" t="s">
        <v>27</v>
      </c>
      <c r="D2755" s="92" t="s">
        <v>33</v>
      </c>
      <c r="E2755" s="92" t="s">
        <v>69</v>
      </c>
      <c r="F2755" s="92" t="s">
        <v>70</v>
      </c>
      <c r="G2755" s="93">
        <v>52438052106</v>
      </c>
      <c r="H2755" s="92"/>
      <c r="K2755" s="97"/>
    </row>
    <row r="2756" spans="1:11" x14ac:dyDescent="0.2">
      <c r="A2756" s="94">
        <v>2027</v>
      </c>
      <c r="B2756" s="95" t="s">
        <v>66</v>
      </c>
      <c r="C2756" s="95" t="s">
        <v>35</v>
      </c>
      <c r="D2756" s="95" t="s">
        <v>34</v>
      </c>
      <c r="E2756" s="95" t="s">
        <v>67</v>
      </c>
      <c r="F2756" s="95" t="s">
        <v>67</v>
      </c>
      <c r="G2756" s="96">
        <v>5756083614</v>
      </c>
      <c r="H2756" s="95"/>
      <c r="K2756" s="97"/>
    </row>
    <row r="2757" spans="1:11" x14ac:dyDescent="0.2">
      <c r="A2757" s="91">
        <v>2027</v>
      </c>
      <c r="B2757" s="92" t="s">
        <v>66</v>
      </c>
      <c r="C2757" s="92" t="s">
        <v>35</v>
      </c>
      <c r="D2757" s="92" t="s">
        <v>34</v>
      </c>
      <c r="E2757" s="92" t="s">
        <v>69</v>
      </c>
      <c r="F2757" s="92" t="s">
        <v>71</v>
      </c>
      <c r="G2757" s="93">
        <v>2653038645</v>
      </c>
      <c r="H2757" s="92"/>
      <c r="K2757" s="97"/>
    </row>
    <row r="2758" spans="1:11" x14ac:dyDescent="0.2">
      <c r="A2758" s="94">
        <v>2027</v>
      </c>
      <c r="B2758" s="95" t="s">
        <v>66</v>
      </c>
      <c r="C2758" s="95" t="s">
        <v>35</v>
      </c>
      <c r="D2758" s="95" t="s">
        <v>34</v>
      </c>
      <c r="E2758" s="95" t="s">
        <v>69</v>
      </c>
      <c r="F2758" s="95" t="s">
        <v>70</v>
      </c>
      <c r="G2758" s="96">
        <v>2728402202</v>
      </c>
      <c r="H2758" s="95"/>
      <c r="K2758" s="97"/>
    </row>
    <row r="2759" spans="1:11" x14ac:dyDescent="0.2">
      <c r="A2759" s="91">
        <v>2027</v>
      </c>
      <c r="B2759" s="92" t="s">
        <v>66</v>
      </c>
      <c r="C2759" s="92" t="s">
        <v>35</v>
      </c>
      <c r="D2759" s="92" t="s">
        <v>36</v>
      </c>
      <c r="E2759" s="92" t="s">
        <v>67</v>
      </c>
      <c r="F2759" s="92" t="s">
        <v>67</v>
      </c>
      <c r="G2759" s="93">
        <v>14200506763</v>
      </c>
      <c r="H2759" s="92"/>
      <c r="K2759" s="97"/>
    </row>
    <row r="2760" spans="1:11" x14ac:dyDescent="0.2">
      <c r="A2760" s="94">
        <v>2027</v>
      </c>
      <c r="B2760" s="95" t="s">
        <v>66</v>
      </c>
      <c r="C2760" s="95" t="s">
        <v>35</v>
      </c>
      <c r="D2760" s="95" t="s">
        <v>36</v>
      </c>
      <c r="E2760" s="95" t="s">
        <v>69</v>
      </c>
      <c r="F2760" s="95" t="s">
        <v>71</v>
      </c>
      <c r="G2760" s="96">
        <v>8451090087</v>
      </c>
      <c r="H2760" s="95"/>
      <c r="K2760" s="97"/>
    </row>
    <row r="2761" spans="1:11" x14ac:dyDescent="0.2">
      <c r="A2761" s="91">
        <v>2027</v>
      </c>
      <c r="B2761" s="92" t="s">
        <v>66</v>
      </c>
      <c r="C2761" s="92" t="s">
        <v>35</v>
      </c>
      <c r="D2761" s="92" t="s">
        <v>36</v>
      </c>
      <c r="E2761" s="92" t="s">
        <v>69</v>
      </c>
      <c r="F2761" s="92" t="s">
        <v>70</v>
      </c>
      <c r="G2761" s="93">
        <v>7692308274</v>
      </c>
      <c r="H2761" s="92"/>
      <c r="K2761" s="97"/>
    </row>
    <row r="2762" spans="1:11" x14ac:dyDescent="0.2">
      <c r="A2762" s="94">
        <v>2027</v>
      </c>
      <c r="B2762" s="95" t="s">
        <v>66</v>
      </c>
      <c r="C2762" s="95" t="s">
        <v>35</v>
      </c>
      <c r="D2762" s="95" t="s">
        <v>37</v>
      </c>
      <c r="E2762" s="95" t="s">
        <v>67</v>
      </c>
      <c r="F2762" s="95" t="s">
        <v>67</v>
      </c>
      <c r="G2762" s="96">
        <v>2397583538</v>
      </c>
      <c r="H2762" s="95"/>
      <c r="K2762" s="97"/>
    </row>
    <row r="2763" spans="1:11" x14ac:dyDescent="0.2">
      <c r="A2763" s="91">
        <v>2027</v>
      </c>
      <c r="B2763" s="92" t="s">
        <v>66</v>
      </c>
      <c r="C2763" s="92" t="s">
        <v>35</v>
      </c>
      <c r="D2763" s="92" t="s">
        <v>37</v>
      </c>
      <c r="E2763" s="92" t="s">
        <v>69</v>
      </c>
      <c r="F2763" s="92" t="s">
        <v>71</v>
      </c>
      <c r="G2763" s="93">
        <v>1489924229</v>
      </c>
      <c r="H2763" s="92"/>
      <c r="K2763" s="97"/>
    </row>
    <row r="2764" spans="1:11" x14ac:dyDescent="0.2">
      <c r="A2764" s="94">
        <v>2027</v>
      </c>
      <c r="B2764" s="95" t="s">
        <v>66</v>
      </c>
      <c r="C2764" s="95" t="s">
        <v>35</v>
      </c>
      <c r="D2764" s="95" t="s">
        <v>37</v>
      </c>
      <c r="E2764" s="95" t="s">
        <v>69</v>
      </c>
      <c r="F2764" s="95" t="s">
        <v>70</v>
      </c>
      <c r="G2764" s="96">
        <v>1893923045</v>
      </c>
      <c r="H2764" s="95"/>
      <c r="K2764" s="97"/>
    </row>
    <row r="2765" spans="1:11" x14ac:dyDescent="0.2">
      <c r="A2765" s="91">
        <v>2027</v>
      </c>
      <c r="B2765" s="92" t="s">
        <v>66</v>
      </c>
      <c r="C2765" s="92" t="s">
        <v>35</v>
      </c>
      <c r="D2765" s="92" t="s">
        <v>38</v>
      </c>
      <c r="E2765" s="92" t="s">
        <v>67</v>
      </c>
      <c r="F2765" s="92" t="s">
        <v>67</v>
      </c>
      <c r="G2765" s="93">
        <v>3585941185</v>
      </c>
      <c r="H2765" s="92"/>
      <c r="K2765" s="97"/>
    </row>
    <row r="2766" spans="1:11" x14ac:dyDescent="0.2">
      <c r="A2766" s="94">
        <v>2027</v>
      </c>
      <c r="B2766" s="95" t="s">
        <v>66</v>
      </c>
      <c r="C2766" s="95" t="s">
        <v>35</v>
      </c>
      <c r="D2766" s="95" t="s">
        <v>38</v>
      </c>
      <c r="E2766" s="95" t="s">
        <v>69</v>
      </c>
      <c r="F2766" s="95" t="s">
        <v>71</v>
      </c>
      <c r="G2766" s="96">
        <v>1896089709</v>
      </c>
      <c r="H2766" s="95"/>
      <c r="K2766" s="97"/>
    </row>
    <row r="2767" spans="1:11" x14ac:dyDescent="0.2">
      <c r="A2767" s="91">
        <v>2027</v>
      </c>
      <c r="B2767" s="92" t="s">
        <v>66</v>
      </c>
      <c r="C2767" s="92" t="s">
        <v>35</v>
      </c>
      <c r="D2767" s="92" t="s">
        <v>38</v>
      </c>
      <c r="E2767" s="92" t="s">
        <v>69</v>
      </c>
      <c r="F2767" s="92" t="s">
        <v>70</v>
      </c>
      <c r="G2767" s="93">
        <v>2388991811</v>
      </c>
      <c r="H2767" s="92"/>
      <c r="K2767" s="97"/>
    </row>
    <row r="2768" spans="1:11" x14ac:dyDescent="0.2">
      <c r="A2768" s="94">
        <v>2027</v>
      </c>
      <c r="B2768" s="95" t="s">
        <v>66</v>
      </c>
      <c r="C2768" s="95" t="s">
        <v>35</v>
      </c>
      <c r="D2768" s="95" t="s">
        <v>39</v>
      </c>
      <c r="E2768" s="95" t="s">
        <v>67</v>
      </c>
      <c r="F2768" s="95" t="s">
        <v>67</v>
      </c>
      <c r="G2768" s="96">
        <v>18315051255</v>
      </c>
      <c r="H2768" s="95"/>
      <c r="K2768" s="97"/>
    </row>
    <row r="2769" spans="1:11" x14ac:dyDescent="0.2">
      <c r="A2769" s="91">
        <v>2027</v>
      </c>
      <c r="B2769" s="92" t="s">
        <v>66</v>
      </c>
      <c r="C2769" s="92" t="s">
        <v>35</v>
      </c>
      <c r="D2769" s="92" t="s">
        <v>39</v>
      </c>
      <c r="E2769" s="92" t="s">
        <v>69</v>
      </c>
      <c r="F2769" s="92" t="s">
        <v>71</v>
      </c>
      <c r="G2769" s="93">
        <v>11059011020</v>
      </c>
      <c r="H2769" s="92"/>
      <c r="K2769" s="97"/>
    </row>
    <row r="2770" spans="1:11" x14ac:dyDescent="0.2">
      <c r="A2770" s="94">
        <v>2027</v>
      </c>
      <c r="B2770" s="95" t="s">
        <v>66</v>
      </c>
      <c r="C2770" s="95" t="s">
        <v>35</v>
      </c>
      <c r="D2770" s="95" t="s">
        <v>39</v>
      </c>
      <c r="E2770" s="95" t="s">
        <v>69</v>
      </c>
      <c r="F2770" s="95" t="s">
        <v>70</v>
      </c>
      <c r="G2770" s="96">
        <v>11246265453</v>
      </c>
      <c r="H2770" s="95"/>
      <c r="K2770" s="97"/>
    </row>
    <row r="2771" spans="1:11" x14ac:dyDescent="0.2">
      <c r="A2771" s="91">
        <v>2027</v>
      </c>
      <c r="B2771" s="92" t="s">
        <v>66</v>
      </c>
      <c r="C2771" s="92" t="s">
        <v>41</v>
      </c>
      <c r="D2771" s="92" t="s">
        <v>40</v>
      </c>
      <c r="E2771" s="92" t="s">
        <v>67</v>
      </c>
      <c r="F2771" s="92" t="s">
        <v>67</v>
      </c>
      <c r="G2771" s="93">
        <v>1644215466</v>
      </c>
      <c r="H2771" s="92"/>
      <c r="K2771" s="97"/>
    </row>
    <row r="2772" spans="1:11" x14ac:dyDescent="0.2">
      <c r="A2772" s="94">
        <v>2027</v>
      </c>
      <c r="B2772" s="95" t="s">
        <v>66</v>
      </c>
      <c r="C2772" s="95" t="s">
        <v>41</v>
      </c>
      <c r="D2772" s="95" t="s">
        <v>40</v>
      </c>
      <c r="E2772" s="95" t="s">
        <v>69</v>
      </c>
      <c r="F2772" s="95" t="s">
        <v>71</v>
      </c>
      <c r="G2772" s="96">
        <v>714883483</v>
      </c>
      <c r="H2772" s="95"/>
      <c r="K2772" s="97"/>
    </row>
    <row r="2773" spans="1:11" x14ac:dyDescent="0.2">
      <c r="A2773" s="91">
        <v>2027</v>
      </c>
      <c r="B2773" s="92" t="s">
        <v>66</v>
      </c>
      <c r="C2773" s="92" t="s">
        <v>41</v>
      </c>
      <c r="D2773" s="92" t="s">
        <v>40</v>
      </c>
      <c r="E2773" s="92" t="s">
        <v>69</v>
      </c>
      <c r="F2773" s="92" t="s">
        <v>70</v>
      </c>
      <c r="G2773" s="93">
        <v>677079743</v>
      </c>
      <c r="H2773" s="92"/>
      <c r="K2773" s="97"/>
    </row>
    <row r="2774" spans="1:11" x14ac:dyDescent="0.2">
      <c r="A2774" s="94">
        <v>2027</v>
      </c>
      <c r="B2774" s="95" t="s">
        <v>66</v>
      </c>
      <c r="C2774" s="95" t="s">
        <v>41</v>
      </c>
      <c r="D2774" s="95" t="s">
        <v>42</v>
      </c>
      <c r="E2774" s="95" t="s">
        <v>67</v>
      </c>
      <c r="F2774" s="95" t="s">
        <v>67</v>
      </c>
      <c r="G2774" s="96">
        <v>10490473483</v>
      </c>
      <c r="H2774" s="95"/>
      <c r="K2774" s="97"/>
    </row>
    <row r="2775" spans="1:11" x14ac:dyDescent="0.2">
      <c r="A2775" s="91">
        <v>2027</v>
      </c>
      <c r="B2775" s="92" t="s">
        <v>66</v>
      </c>
      <c r="C2775" s="92" t="s">
        <v>41</v>
      </c>
      <c r="D2775" s="92" t="s">
        <v>42</v>
      </c>
      <c r="E2775" s="92" t="s">
        <v>69</v>
      </c>
      <c r="F2775" s="92" t="s">
        <v>71</v>
      </c>
      <c r="G2775" s="93">
        <v>2218757677</v>
      </c>
      <c r="H2775" s="92"/>
      <c r="K2775" s="97"/>
    </row>
    <row r="2776" spans="1:11" x14ac:dyDescent="0.2">
      <c r="A2776" s="94">
        <v>2027</v>
      </c>
      <c r="B2776" s="95" t="s">
        <v>66</v>
      </c>
      <c r="C2776" s="95" t="s">
        <v>41</v>
      </c>
      <c r="D2776" s="95" t="s">
        <v>42</v>
      </c>
      <c r="E2776" s="95" t="s">
        <v>69</v>
      </c>
      <c r="F2776" s="95" t="s">
        <v>70</v>
      </c>
      <c r="G2776" s="96">
        <v>8020999236</v>
      </c>
      <c r="H2776" s="95"/>
      <c r="K2776" s="97"/>
    </row>
    <row r="2777" spans="1:11" x14ac:dyDescent="0.2">
      <c r="A2777" s="91">
        <v>2027</v>
      </c>
      <c r="B2777" s="92" t="s">
        <v>66</v>
      </c>
      <c r="C2777" s="92" t="s">
        <v>41</v>
      </c>
      <c r="D2777" s="92" t="s">
        <v>43</v>
      </c>
      <c r="E2777" s="92" t="s">
        <v>67</v>
      </c>
      <c r="F2777" s="92" t="s">
        <v>67</v>
      </c>
      <c r="G2777" s="93">
        <v>7614718101</v>
      </c>
      <c r="H2777" s="92"/>
      <c r="K2777" s="97"/>
    </row>
    <row r="2778" spans="1:11" x14ac:dyDescent="0.2">
      <c r="A2778" s="94">
        <v>2027</v>
      </c>
      <c r="B2778" s="95" t="s">
        <v>66</v>
      </c>
      <c r="C2778" s="95" t="s">
        <v>41</v>
      </c>
      <c r="D2778" s="95" t="s">
        <v>43</v>
      </c>
      <c r="E2778" s="95" t="s">
        <v>69</v>
      </c>
      <c r="F2778" s="95" t="s">
        <v>71</v>
      </c>
      <c r="G2778" s="96">
        <v>3271305311</v>
      </c>
      <c r="H2778" s="95"/>
      <c r="K2778" s="97"/>
    </row>
    <row r="2779" spans="1:11" x14ac:dyDescent="0.2">
      <c r="A2779" s="91">
        <v>2027</v>
      </c>
      <c r="B2779" s="92" t="s">
        <v>66</v>
      </c>
      <c r="C2779" s="92" t="s">
        <v>41</v>
      </c>
      <c r="D2779" s="92" t="s">
        <v>43</v>
      </c>
      <c r="E2779" s="92" t="s">
        <v>69</v>
      </c>
      <c r="F2779" s="92" t="s">
        <v>70</v>
      </c>
      <c r="G2779" s="93">
        <v>4035409736</v>
      </c>
      <c r="H2779" s="92"/>
      <c r="K2779" s="97"/>
    </row>
    <row r="2780" spans="1:11" x14ac:dyDescent="0.2">
      <c r="A2780" s="94">
        <v>2027</v>
      </c>
      <c r="B2780" s="95" t="s">
        <v>66</v>
      </c>
      <c r="C2780" s="95" t="s">
        <v>41</v>
      </c>
      <c r="D2780" s="95" t="s">
        <v>44</v>
      </c>
      <c r="E2780" s="95" t="s">
        <v>67</v>
      </c>
      <c r="F2780" s="95" t="s">
        <v>67</v>
      </c>
      <c r="G2780" s="96">
        <v>11358960396</v>
      </c>
      <c r="H2780" s="95"/>
      <c r="K2780" s="97"/>
    </row>
    <row r="2781" spans="1:11" x14ac:dyDescent="0.2">
      <c r="A2781" s="91">
        <v>2027</v>
      </c>
      <c r="B2781" s="92" t="s">
        <v>66</v>
      </c>
      <c r="C2781" s="92" t="s">
        <v>41</v>
      </c>
      <c r="D2781" s="92" t="s">
        <v>44</v>
      </c>
      <c r="E2781" s="92" t="s">
        <v>69</v>
      </c>
      <c r="F2781" s="92" t="s">
        <v>71</v>
      </c>
      <c r="G2781" s="93">
        <v>6207792363</v>
      </c>
      <c r="H2781" s="92"/>
      <c r="K2781" s="97"/>
    </row>
    <row r="2782" spans="1:11" x14ac:dyDescent="0.2">
      <c r="A2782" s="94">
        <v>2027</v>
      </c>
      <c r="B2782" s="95" t="s">
        <v>66</v>
      </c>
      <c r="C2782" s="95" t="s">
        <v>41</v>
      </c>
      <c r="D2782" s="95" t="s">
        <v>44</v>
      </c>
      <c r="E2782" s="95" t="s">
        <v>69</v>
      </c>
      <c r="F2782" s="95" t="s">
        <v>70</v>
      </c>
      <c r="G2782" s="96">
        <v>10446628417</v>
      </c>
      <c r="H2782" s="95"/>
      <c r="K2782" s="97"/>
    </row>
    <row r="2783" spans="1:11" x14ac:dyDescent="0.2">
      <c r="A2783" s="91">
        <v>2027</v>
      </c>
      <c r="B2783" s="92" t="s">
        <v>66</v>
      </c>
      <c r="C2783" s="92" t="s">
        <v>41</v>
      </c>
      <c r="D2783" s="92" t="s">
        <v>45</v>
      </c>
      <c r="E2783" s="92" t="s">
        <v>67</v>
      </c>
      <c r="F2783" s="92" t="s">
        <v>67</v>
      </c>
      <c r="G2783" s="93">
        <v>27258670742</v>
      </c>
      <c r="H2783" s="92"/>
      <c r="K2783" s="97"/>
    </row>
    <row r="2784" spans="1:11" x14ac:dyDescent="0.2">
      <c r="A2784" s="94">
        <v>2027</v>
      </c>
      <c r="B2784" s="95" t="s">
        <v>66</v>
      </c>
      <c r="C2784" s="95" t="s">
        <v>41</v>
      </c>
      <c r="D2784" s="95" t="s">
        <v>45</v>
      </c>
      <c r="E2784" s="95" t="s">
        <v>69</v>
      </c>
      <c r="F2784" s="95" t="s">
        <v>71</v>
      </c>
      <c r="G2784" s="96">
        <v>9085416717</v>
      </c>
      <c r="H2784" s="95"/>
      <c r="K2784" s="97"/>
    </row>
    <row r="2785" spans="1:11" x14ac:dyDescent="0.2">
      <c r="A2785" s="91">
        <v>2027</v>
      </c>
      <c r="B2785" s="92" t="s">
        <v>66</v>
      </c>
      <c r="C2785" s="92" t="s">
        <v>41</v>
      </c>
      <c r="D2785" s="92" t="s">
        <v>45</v>
      </c>
      <c r="E2785" s="92" t="s">
        <v>69</v>
      </c>
      <c r="F2785" s="92" t="s">
        <v>70</v>
      </c>
      <c r="G2785" s="93">
        <v>24185008989</v>
      </c>
      <c r="H2785" s="92"/>
      <c r="K2785" s="97"/>
    </row>
    <row r="2786" spans="1:11" x14ac:dyDescent="0.2">
      <c r="A2786" s="94">
        <v>2027</v>
      </c>
      <c r="B2786" s="95" t="s">
        <v>66</v>
      </c>
      <c r="C2786" s="95" t="s">
        <v>47</v>
      </c>
      <c r="D2786" s="95" t="s">
        <v>46</v>
      </c>
      <c r="E2786" s="95" t="s">
        <v>72</v>
      </c>
      <c r="F2786" s="95" t="s">
        <v>73</v>
      </c>
      <c r="G2786" s="96">
        <v>8711357347</v>
      </c>
      <c r="H2786" s="95"/>
      <c r="K2786" s="97"/>
    </row>
    <row r="2787" spans="1:11" x14ac:dyDescent="0.2">
      <c r="A2787" s="91">
        <v>2027</v>
      </c>
      <c r="B2787" s="92" t="s">
        <v>66</v>
      </c>
      <c r="C2787" s="92" t="s">
        <v>47</v>
      </c>
      <c r="D2787" s="92" t="s">
        <v>46</v>
      </c>
      <c r="E2787" s="92" t="s">
        <v>67</v>
      </c>
      <c r="F2787" s="92" t="s">
        <v>74</v>
      </c>
      <c r="G2787" s="93">
        <v>8201207297</v>
      </c>
      <c r="H2787" s="92"/>
      <c r="K2787" s="97"/>
    </row>
    <row r="2788" spans="1:11" x14ac:dyDescent="0.2">
      <c r="A2788" s="94">
        <v>2027</v>
      </c>
      <c r="B2788" s="95" t="s">
        <v>66</v>
      </c>
      <c r="C2788" s="95" t="s">
        <v>47</v>
      </c>
      <c r="D2788" s="95" t="s">
        <v>46</v>
      </c>
      <c r="E2788" s="95" t="s">
        <v>69</v>
      </c>
      <c r="F2788" s="95" t="s">
        <v>71</v>
      </c>
      <c r="G2788" s="96">
        <v>11594703060</v>
      </c>
      <c r="H2788" s="95"/>
      <c r="K2788" s="97"/>
    </row>
    <row r="2789" spans="1:11" x14ac:dyDescent="0.2">
      <c r="A2789" s="91">
        <v>2027</v>
      </c>
      <c r="B2789" s="92" t="s">
        <v>66</v>
      </c>
      <c r="C2789" s="92" t="s">
        <v>47</v>
      </c>
      <c r="D2789" s="92" t="s">
        <v>46</v>
      </c>
      <c r="E2789" s="92" t="s">
        <v>69</v>
      </c>
      <c r="F2789" s="92" t="s">
        <v>70</v>
      </c>
      <c r="G2789" s="93">
        <v>17708764572</v>
      </c>
      <c r="H2789" s="92"/>
      <c r="K2789" s="97"/>
    </row>
    <row r="2790" spans="1:11" x14ac:dyDescent="0.2">
      <c r="A2790" s="94">
        <v>2027</v>
      </c>
      <c r="B2790" s="95" t="s">
        <v>66</v>
      </c>
      <c r="C2790" s="95" t="s">
        <v>47</v>
      </c>
      <c r="D2790" s="95" t="s">
        <v>48</v>
      </c>
      <c r="E2790" s="95" t="s">
        <v>72</v>
      </c>
      <c r="F2790" s="95" t="s">
        <v>73</v>
      </c>
      <c r="G2790" s="96">
        <v>87741743601</v>
      </c>
      <c r="H2790" s="95"/>
      <c r="K2790" s="97"/>
    </row>
    <row r="2791" spans="1:11" x14ac:dyDescent="0.2">
      <c r="A2791" s="91">
        <v>2027</v>
      </c>
      <c r="B2791" s="92" t="s">
        <v>66</v>
      </c>
      <c r="C2791" s="92" t="s">
        <v>47</v>
      </c>
      <c r="D2791" s="92" t="s">
        <v>48</v>
      </c>
      <c r="E2791" s="92" t="s">
        <v>67</v>
      </c>
      <c r="F2791" s="92" t="s">
        <v>74</v>
      </c>
      <c r="G2791" s="93">
        <v>116388953255</v>
      </c>
      <c r="H2791" s="92"/>
      <c r="K2791" s="97"/>
    </row>
    <row r="2792" spans="1:11" x14ac:dyDescent="0.2">
      <c r="A2792" s="94">
        <v>2027</v>
      </c>
      <c r="B2792" s="95" t="s">
        <v>66</v>
      </c>
      <c r="C2792" s="95" t="s">
        <v>47</v>
      </c>
      <c r="D2792" s="95" t="s">
        <v>48</v>
      </c>
      <c r="E2792" s="95" t="s">
        <v>69</v>
      </c>
      <c r="F2792" s="95" t="s">
        <v>71</v>
      </c>
      <c r="G2792" s="96">
        <v>119331486357</v>
      </c>
      <c r="H2792" s="95"/>
      <c r="K2792" s="97"/>
    </row>
    <row r="2793" spans="1:11" x14ac:dyDescent="0.2">
      <c r="A2793" s="91">
        <v>2027</v>
      </c>
      <c r="B2793" s="92" t="s">
        <v>66</v>
      </c>
      <c r="C2793" s="92" t="s">
        <v>47</v>
      </c>
      <c r="D2793" s="92" t="s">
        <v>48</v>
      </c>
      <c r="E2793" s="92" t="s">
        <v>69</v>
      </c>
      <c r="F2793" s="92" t="s">
        <v>70</v>
      </c>
      <c r="G2793" s="93">
        <v>245027904788</v>
      </c>
      <c r="H2793" s="92"/>
      <c r="K2793" s="97"/>
    </row>
  </sheetData>
  <autoFilter ref="A1:K2793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Visualization Data</vt:lpstr>
      <vt:lpstr>Data pivot</vt:lpstr>
      <vt:lpstr>Raw GDP data</vt:lpstr>
      <vt:lpstr>Backfilled Data</vt:lpstr>
      <vt:lpstr>Raw PhocalPoint Data</vt:lpstr>
      <vt:lpstr>New Backfilled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Gum Lau</cp:lastModifiedBy>
  <dcterms:created xsi:type="dcterms:W3CDTF">2025-01-27T05:59:03Z</dcterms:created>
  <dcterms:modified xsi:type="dcterms:W3CDTF">2025-04-16T04:24:57Z</dcterms:modified>
</cp:coreProperties>
</file>